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10" windowHeight="9840" tabRatio="760" activeTab="6"/>
  </bookViews>
  <sheets>
    <sheet name="Base de données sociale" sheetId="3" r:id="rId1"/>
    <sheet name="suivi bulletins" sheetId="1" r:id="rId2"/>
    <sheet name="SMIC" sheetId="5" r:id="rId3"/>
    <sheet name="DUBREUIL JEAN" sheetId="6" r:id="rId4"/>
    <sheet name="ROBERT DUVERGNE" sheetId="8" r:id="rId5"/>
    <sheet name="Modèle" sheetId="9" state="hidden" r:id="rId6"/>
    <sheet name="Controle des charges" sheetId="4" r:id="rId7"/>
  </sheets>
  <definedNames>
    <definedName name="_xlnm._FilterDatabase" localSheetId="0" hidden="1">'Base de données sociale'!$B$26:$Q$26</definedName>
    <definedName name="Assiette_Fillon" localSheetId="3">'DUBREUIL JEAN'!#REF!</definedName>
    <definedName name="Assiette_Fillon" localSheetId="5">Modèle!#REF!</definedName>
    <definedName name="Assiette_Fillon" localSheetId="4">'ROBERT DUVERGNE'!#REF!</definedName>
    <definedName name="Assiette_Fillon">#REF!</definedName>
    <definedName name="Coeff.effectif" localSheetId="3">'DUBREUIL JEAN'!$C$15</definedName>
    <definedName name="Coeff.effectif" localSheetId="5">Modèle!$C$15</definedName>
    <definedName name="Coeff.effectif" localSheetId="4">'ROBERT DUVERGNE'!$C$15</definedName>
    <definedName name="Coeff.effectif">#REF!</definedName>
    <definedName name="Horaire_collectif_mensuel" localSheetId="3">'DUBREUIL JEAN'!$C$13</definedName>
    <definedName name="Horaire_collectif_mensuel" localSheetId="5">Modèle!$C$13</definedName>
    <definedName name="Horaire_collectif_mensuel" localSheetId="4">'ROBERT DUVERGNE'!$C$13</definedName>
    <definedName name="Horaire_collectif_mensuel">#REF!</definedName>
    <definedName name="Mode_calcul" localSheetId="5">Modèle!$C$11</definedName>
    <definedName name="Mode_calcul" localSheetId="4">'ROBERT DUVERGNE'!$C$11</definedName>
    <definedName name="Mode_calcul">'DUBREUIL JEAN'!$C$11</definedName>
    <definedName name="Montant_absences_non_rémunérées" localSheetId="3">'DUBREUIL JEAN'!#REF!</definedName>
    <definedName name="Montant_absences_non_rémunérées" localSheetId="5">Modèle!#REF!</definedName>
    <definedName name="Montant_absences_non_rémunérées" localSheetId="4">'ROBERT DUVERGNE'!#REF!</definedName>
    <definedName name="Montant_absences_non_rémunérées">#REF!</definedName>
    <definedName name="Montant_annuel_absences_non_rémunérées" localSheetId="3">'DUBREUIL JEAN'!#REF!</definedName>
    <definedName name="Montant_annuel_absences_non_rémunérées" localSheetId="5">Modèle!#REF!</definedName>
    <definedName name="Montant_annuel_absences_non_rémunérées" localSheetId="4">'ROBERT DUVERGNE'!#REF!</definedName>
    <definedName name="Montant_annuel_absences_non_rémunérées">#REF!</definedName>
    <definedName name="Montant_annuel_gain_des_heures_compl._et_suppl." localSheetId="3">'DUBREUIL JEAN'!#REF!</definedName>
    <definedName name="Montant_annuel_gain_des_heures_compl._et_suppl." localSheetId="5">Modèle!#REF!</definedName>
    <definedName name="Montant_annuel_gain_des_heures_compl._et_suppl." localSheetId="4">'ROBERT DUVERGNE'!#REF!</definedName>
    <definedName name="Montant_annuel_gain_des_heures_compl._et_suppl.">#REF!</definedName>
    <definedName name="Montant_annuel_retenu_ijss_brutes" localSheetId="3">'DUBREUIL JEAN'!#REF!</definedName>
    <definedName name="Montant_annuel_retenu_ijss_brutes" localSheetId="5">Modèle!#REF!</definedName>
    <definedName name="Montant_annuel_retenu_ijss_brutes" localSheetId="4">'ROBERT DUVERGNE'!#REF!</definedName>
    <definedName name="Montant_annuel_retenu_ijss_brutes">#REF!</definedName>
    <definedName name="Montant_retenu_ijss_brutes" localSheetId="3">'DUBREUIL JEAN'!#REF!</definedName>
    <definedName name="Montant_retenu_ijss_brutes" localSheetId="5">Modèle!#REF!</definedName>
    <definedName name="Montant_retenu_ijss_brutes" localSheetId="4">'ROBERT DUVERGNE'!#REF!</definedName>
    <definedName name="Montant_retenu_ijss_brutes">#REF!</definedName>
    <definedName name="Nb_heures_supp" localSheetId="3">'DUBREUIL JEAN'!#REF!</definedName>
    <definedName name="Nb_heures_supp" localSheetId="5">Modèle!#REF!</definedName>
    <definedName name="Nb_heures_supp" localSheetId="4">'ROBERT DUVERGNE'!#REF!</definedName>
    <definedName name="Nb_heures_supp">#REF!</definedName>
    <definedName name="Prorata_horaire_annuel" localSheetId="3">'DUBREUIL JEAN'!#REF!</definedName>
    <definedName name="Prorata_horaire_annuel" localSheetId="5">Modèle!#REF!</definedName>
    <definedName name="Prorata_horaire_annuel" localSheetId="4">'ROBERT DUVERGNE'!#REF!</definedName>
    <definedName name="Prorata_horaire_annuel">#REF!</definedName>
    <definedName name="Prorata_horaire_mensuel" localSheetId="3">'DUBREUIL JEAN'!#REF!</definedName>
    <definedName name="Prorata_horaire_mensuel" localSheetId="5">Modèle!#REF!</definedName>
    <definedName name="Prorata_horaire_mensuel" localSheetId="4">'ROBERT DUVERGNE'!#REF!</definedName>
    <definedName name="Prorata_horaire_mensuel">#REF!</definedName>
    <definedName name="Salaire_brut_annuel_total" localSheetId="3">'DUBREUIL JEAN'!#REF!</definedName>
    <definedName name="Salaire_brut_annuel_total" localSheetId="5">Modèle!#REF!</definedName>
    <definedName name="Salaire_brut_annuel_total" localSheetId="4">'ROBERT DUVERGNE'!#REF!</definedName>
    <definedName name="Salaire_brut_annuel_total">#REF!</definedName>
    <definedName name="Salaire_brut_annuel_total__sauf_HS_et_IJSS" localSheetId="3">'DUBREUIL JEAN'!#REF!</definedName>
    <definedName name="Salaire_brut_annuel_total__sauf_HS_et_IJSS" localSheetId="5">Modèle!#REF!</definedName>
    <definedName name="Salaire_brut_annuel_total__sauf_HS_et_IJSS" localSheetId="4">'ROBERT DUVERGNE'!#REF!</definedName>
    <definedName name="Salaire_brut_annuel_total__sauf_HS_et_IJSS">#REF!</definedName>
    <definedName name="Salaire_brut_août" localSheetId="5">Modèle!$D$30</definedName>
    <definedName name="Salaire_brut_août" localSheetId="4">'ROBERT DUVERGNE'!$D$30</definedName>
    <definedName name="Salaire_brut_août">'DUBREUIL JEAN'!$D$30</definedName>
    <definedName name="Salaire_brut_avril" localSheetId="5">Modèle!$D$26</definedName>
    <definedName name="Salaire_brut_avril" localSheetId="4">'ROBERT DUVERGNE'!$D$26</definedName>
    <definedName name="Salaire_brut_avril">'DUBREUIL JEAN'!$D$26</definedName>
    <definedName name="Salaire_brut_décembre" localSheetId="5">Modèle!$D$34</definedName>
    <definedName name="Salaire_brut_décembre" localSheetId="4">'ROBERT DUVERGNE'!$D$34</definedName>
    <definedName name="Salaire_brut_décembre">'DUBREUIL JEAN'!$D$34</definedName>
    <definedName name="Salaire_brut_février" localSheetId="5">Modèle!$D$24</definedName>
    <definedName name="Salaire_brut_février" localSheetId="4">'ROBERT DUVERGNE'!$D$24</definedName>
    <definedName name="Salaire_brut_février">'DUBREUIL JEAN'!$D$24</definedName>
    <definedName name="Salaire_brut_janvier" localSheetId="5">Modèle!$D$23</definedName>
    <definedName name="Salaire_brut_janvier" localSheetId="4">'ROBERT DUVERGNE'!$D$23</definedName>
    <definedName name="Salaire_brut_janvier">'DUBREUIL JEAN'!$D$23</definedName>
    <definedName name="Salaire_brut_juillet" localSheetId="5">Modèle!$D$29</definedName>
    <definedName name="Salaire_brut_juillet" localSheetId="4">'ROBERT DUVERGNE'!$D$29</definedName>
    <definedName name="Salaire_brut_juillet">'DUBREUIL JEAN'!$D$29</definedName>
    <definedName name="Salaire_brut_juin" localSheetId="5">Modèle!$D$28</definedName>
    <definedName name="Salaire_brut_juin" localSheetId="4">'ROBERT DUVERGNE'!$D$28</definedName>
    <definedName name="Salaire_brut_juin">'DUBREUIL JEAN'!$D$28</definedName>
    <definedName name="Salaire_brut_mai" localSheetId="5">Modèle!$D$27</definedName>
    <definedName name="Salaire_brut_mai" localSheetId="4">'ROBERT DUVERGNE'!$D$27</definedName>
    <definedName name="Salaire_brut_mai">'DUBREUIL JEAN'!$D$27</definedName>
    <definedName name="Salaire_brut_mars" localSheetId="5">Modèle!$D$25</definedName>
    <definedName name="Salaire_brut_mars" localSheetId="4">'ROBERT DUVERGNE'!$D$25</definedName>
    <definedName name="Salaire_brut_mars">'DUBREUIL JEAN'!$D$25</definedName>
    <definedName name="Salaire_brut_novembre" localSheetId="5">Modèle!$D$33</definedName>
    <definedName name="Salaire_brut_novembre" localSheetId="4">'ROBERT DUVERGNE'!$D$33</definedName>
    <definedName name="Salaire_brut_novembre">'DUBREUIL JEAN'!$D$33</definedName>
    <definedName name="Salaire_brut_octobre" localSheetId="5">Modèle!$D$32</definedName>
    <definedName name="Salaire_brut_octobre" localSheetId="4">'ROBERT DUVERGNE'!$D$32</definedName>
    <definedName name="Salaire_brut_octobre">'DUBREUIL JEAN'!$D$32</definedName>
    <definedName name="Salaire_brut_septembre" localSheetId="5">Modèle!$D$31</definedName>
    <definedName name="Salaire_brut_septembre" localSheetId="4">'ROBERT DUVERGNE'!$D$31</definedName>
    <definedName name="Salaire_brut_septembre">'DUBREUIL JEAN'!$D$31</definedName>
    <definedName name="Salaire_brut_total__sauf_HS_et_IJSS" localSheetId="3">'DUBREUIL JEAN'!#REF!</definedName>
    <definedName name="Salaire_brut_total__sauf_HS_et_IJSS" localSheetId="5">Modèle!#REF!</definedName>
    <definedName name="Salaire_brut_total__sauf_HS_et_IJSS" localSheetId="4">'ROBERT DUVERGNE'!#REF!</definedName>
    <definedName name="Salaire_brut_total__sauf_HS_et_IJSS">#REF!</definedName>
    <definedName name="Salaire_mensuel" localSheetId="3">'DUBREUIL JEAN'!#REF!</definedName>
    <definedName name="Salaire_mensuel" localSheetId="5">Modèle!#REF!</definedName>
    <definedName name="Salaire_mensuel" localSheetId="4">'ROBERT DUVERGNE'!#REF!</definedName>
    <definedName name="Salaire_mensuel">#REF!</definedName>
    <definedName name="Smic_août" localSheetId="5">Modèle!#REF!</definedName>
    <definedName name="Smic_août" localSheetId="4">'ROBERT DUVERGNE'!#REF!</definedName>
    <definedName name="Smic_août">'DUBREUIL JEAN'!#REF!</definedName>
    <definedName name="Smic_avril" localSheetId="5">Modèle!#REF!</definedName>
    <definedName name="Smic_avril" localSheetId="4">'ROBERT DUVERGNE'!#REF!</definedName>
    <definedName name="Smic_avril">'DUBREUIL JEAN'!#REF!</definedName>
    <definedName name="Smic_décembre" localSheetId="5">Modèle!#REF!</definedName>
    <definedName name="Smic_décembre" localSheetId="4">'ROBERT DUVERGNE'!#REF!</definedName>
    <definedName name="Smic_décembre">'DUBREUIL JEAN'!#REF!</definedName>
    <definedName name="Smic_février" localSheetId="5">Modèle!#REF!</definedName>
    <definedName name="Smic_février" localSheetId="4">'ROBERT DUVERGNE'!#REF!</definedName>
    <definedName name="Smic_février">'DUBREUIL JEAN'!#REF!</definedName>
    <definedName name="Smic_janvier" localSheetId="5">Modèle!#REF!</definedName>
    <definedName name="Smic_janvier" localSheetId="4">'ROBERT DUVERGNE'!#REF!</definedName>
    <definedName name="Smic_janvier">'DUBREUIL JEAN'!#REF!</definedName>
    <definedName name="Smic_juillet" localSheetId="5">Modèle!#REF!</definedName>
    <definedName name="Smic_juillet" localSheetId="4">'ROBERT DUVERGNE'!#REF!</definedName>
    <definedName name="Smic_juillet">'DUBREUIL JEAN'!#REF!</definedName>
    <definedName name="Smic_juin" localSheetId="5">Modèle!#REF!</definedName>
    <definedName name="Smic_juin" localSheetId="4">'ROBERT DUVERGNE'!#REF!</definedName>
    <definedName name="Smic_juin">'DUBREUIL JEAN'!#REF!</definedName>
    <definedName name="Smic_mai" localSheetId="5">Modèle!#REF!</definedName>
    <definedName name="Smic_mai" localSheetId="4">'ROBERT DUVERGNE'!#REF!</definedName>
    <definedName name="Smic_mai">'DUBREUIL JEAN'!#REF!</definedName>
    <definedName name="Smic_mars" localSheetId="5">Modèle!#REF!</definedName>
    <definedName name="Smic_mars" localSheetId="4">'ROBERT DUVERGNE'!#REF!</definedName>
    <definedName name="Smic_mars">'DUBREUIL JEAN'!#REF!</definedName>
    <definedName name="Smic_mensuel" localSheetId="3">'DUBREUIL JEAN'!#REF!</definedName>
    <definedName name="Smic_mensuel" localSheetId="5">Modèle!#REF!</definedName>
    <definedName name="Smic_mensuel" localSheetId="4">'ROBERT DUVERGNE'!#REF!</definedName>
    <definedName name="Smic_mensuel">#REF!</definedName>
    <definedName name="Smic_novembre" localSheetId="5">Modèle!#REF!</definedName>
    <definedName name="Smic_novembre" localSheetId="4">'ROBERT DUVERGNE'!#REF!</definedName>
    <definedName name="Smic_novembre">'DUBREUIL JEAN'!#REF!</definedName>
    <definedName name="Smic_octobre" localSheetId="5">Modèle!#REF!</definedName>
    <definedName name="Smic_octobre" localSheetId="4">'ROBERT DUVERGNE'!#REF!</definedName>
    <definedName name="Smic_octobre">'DUBREUIL JEAN'!#REF!</definedName>
    <definedName name="Smic_septembre" localSheetId="5">Modèle!#REF!</definedName>
    <definedName name="Smic_septembre" localSheetId="4">'ROBERT DUVERGNE'!#REF!</definedName>
    <definedName name="Smic_septembre">'DUBREUIL JEAN'!#REF!</definedName>
    <definedName name="Taux_horaire_smic" localSheetId="3">'DUBREUIL JEAN'!#REF!</definedName>
    <definedName name="Taux_horaire_smic" localSheetId="5">Modèle!#REF!</definedName>
    <definedName name="Taux_horaire_smic" localSheetId="4">'ROBERT DUVERGNE'!#REF!</definedName>
    <definedName name="Taux_horaire_smic">#REF!</definedName>
    <definedName name="_xlnm.Print_Area" localSheetId="3">'DUBREUIL JEAN'!$B$1:$W$51</definedName>
    <definedName name="_xlnm.Print_Area" localSheetId="5">Modèle!$B$1:$W$51</definedName>
    <definedName name="_xlnm.Print_Area" localSheetId="4">'ROBERT DUVERGNE'!$B$1:$W$51</definedName>
  </definedNames>
  <calcPr calcId="152511"/>
</workbook>
</file>

<file path=xl/calcChain.xml><?xml version="1.0" encoding="utf-8"?>
<calcChain xmlns="http://schemas.openxmlformats.org/spreadsheetml/2006/main">
  <c r="D35" i="9" l="1"/>
  <c r="N34" i="9"/>
  <c r="K34" i="9"/>
  <c r="H34" i="9"/>
  <c r="G34" i="9"/>
  <c r="J34" i="9" s="1"/>
  <c r="C34" i="9"/>
  <c r="N33" i="9"/>
  <c r="K33" i="9"/>
  <c r="H33" i="9"/>
  <c r="G33" i="9"/>
  <c r="J33" i="9" s="1"/>
  <c r="C33" i="9"/>
  <c r="N32" i="9"/>
  <c r="K32" i="9"/>
  <c r="H32" i="9"/>
  <c r="G32" i="9"/>
  <c r="J32" i="9" s="1"/>
  <c r="C32" i="9"/>
  <c r="N31" i="9"/>
  <c r="K31" i="9"/>
  <c r="H31" i="9"/>
  <c r="G31" i="9"/>
  <c r="J31" i="9" s="1"/>
  <c r="C31" i="9"/>
  <c r="N30" i="9"/>
  <c r="K30" i="9"/>
  <c r="H30" i="9"/>
  <c r="G30" i="9"/>
  <c r="J30" i="9" s="1"/>
  <c r="C30" i="9"/>
  <c r="N29" i="9"/>
  <c r="K29" i="9"/>
  <c r="H29" i="9"/>
  <c r="G29" i="9"/>
  <c r="J29" i="9" s="1"/>
  <c r="C29" i="9"/>
  <c r="N28" i="9"/>
  <c r="K28" i="9"/>
  <c r="H28" i="9"/>
  <c r="G28" i="9"/>
  <c r="J28" i="9" s="1"/>
  <c r="C28" i="9"/>
  <c r="N27" i="9"/>
  <c r="K27" i="9"/>
  <c r="H27" i="9"/>
  <c r="G27" i="9"/>
  <c r="J27" i="9" s="1"/>
  <c r="C27" i="9"/>
  <c r="N26" i="9"/>
  <c r="K26" i="9"/>
  <c r="H26" i="9"/>
  <c r="G26" i="9"/>
  <c r="J26" i="9" s="1"/>
  <c r="C26" i="9"/>
  <c r="N25" i="9"/>
  <c r="K25" i="9"/>
  <c r="H25" i="9"/>
  <c r="G25" i="9"/>
  <c r="J25" i="9" s="1"/>
  <c r="C25" i="9"/>
  <c r="N24" i="9"/>
  <c r="K24" i="9"/>
  <c r="H24" i="9"/>
  <c r="G24" i="9"/>
  <c r="J24" i="9" s="1"/>
  <c r="C24" i="9"/>
  <c r="N23" i="9"/>
  <c r="K23" i="9"/>
  <c r="H23" i="9"/>
  <c r="G23" i="9"/>
  <c r="J23" i="9" s="1"/>
  <c r="L23" i="9" s="1"/>
  <c r="C23" i="9"/>
  <c r="M23" i="9" s="1"/>
  <c r="M24" i="9" s="1"/>
  <c r="M25" i="9" s="1"/>
  <c r="M26" i="9" s="1"/>
  <c r="M27" i="9" s="1"/>
  <c r="M28" i="9" s="1"/>
  <c r="M29" i="9" s="1"/>
  <c r="M30" i="9" s="1"/>
  <c r="M31" i="9" s="1"/>
  <c r="M32" i="9" s="1"/>
  <c r="M33" i="9" s="1"/>
  <c r="M34" i="9" s="1"/>
  <c r="E19" i="9"/>
  <c r="E18" i="9"/>
  <c r="C15" i="9"/>
  <c r="P34" i="9" s="1"/>
  <c r="S34" i="9" s="1"/>
  <c r="D35" i="8"/>
  <c r="N34" i="8"/>
  <c r="K34" i="8"/>
  <c r="H34" i="8"/>
  <c r="G34" i="8"/>
  <c r="J34" i="8" s="1"/>
  <c r="P34" i="8" s="1"/>
  <c r="S34" i="8" s="1"/>
  <c r="C34" i="8"/>
  <c r="N33" i="8"/>
  <c r="K33" i="8"/>
  <c r="H33" i="8"/>
  <c r="G33" i="8"/>
  <c r="J33" i="8" s="1"/>
  <c r="C33" i="8"/>
  <c r="N32" i="8"/>
  <c r="K32" i="8"/>
  <c r="H32" i="8"/>
  <c r="G32" i="8"/>
  <c r="J32" i="8" s="1"/>
  <c r="P32" i="8" s="1"/>
  <c r="S32" i="8" s="1"/>
  <c r="U32" i="8" s="1"/>
  <c r="C32" i="8"/>
  <c r="N31" i="8"/>
  <c r="K31" i="8"/>
  <c r="H31" i="8"/>
  <c r="G31" i="8"/>
  <c r="J31" i="8" s="1"/>
  <c r="C31" i="8"/>
  <c r="N30" i="8"/>
  <c r="K30" i="8"/>
  <c r="H30" i="8"/>
  <c r="G30" i="8"/>
  <c r="J30" i="8" s="1"/>
  <c r="P30" i="8" s="1"/>
  <c r="S30" i="8" s="1"/>
  <c r="U30" i="8" s="1"/>
  <c r="C30" i="8"/>
  <c r="N29" i="8"/>
  <c r="K29" i="8"/>
  <c r="H29" i="8"/>
  <c r="G29" i="8"/>
  <c r="J29" i="8" s="1"/>
  <c r="C29" i="8"/>
  <c r="N28" i="8"/>
  <c r="K28" i="8"/>
  <c r="H28" i="8"/>
  <c r="G28" i="8"/>
  <c r="J28" i="8" s="1"/>
  <c r="P28" i="8" s="1"/>
  <c r="S28" i="8" s="1"/>
  <c r="U28" i="8" s="1"/>
  <c r="C28" i="8"/>
  <c r="N27" i="8"/>
  <c r="K27" i="8"/>
  <c r="H27" i="8"/>
  <c r="G27" i="8"/>
  <c r="J27" i="8" s="1"/>
  <c r="C27" i="8"/>
  <c r="N26" i="8"/>
  <c r="K26" i="8"/>
  <c r="H26" i="8"/>
  <c r="G26" i="8"/>
  <c r="J26" i="8" s="1"/>
  <c r="P26" i="8" s="1"/>
  <c r="S26" i="8" s="1"/>
  <c r="U26" i="8" s="1"/>
  <c r="C26" i="8"/>
  <c r="N25" i="8"/>
  <c r="K25" i="8"/>
  <c r="H25" i="8"/>
  <c r="G25" i="8"/>
  <c r="J25" i="8" s="1"/>
  <c r="C25" i="8"/>
  <c r="N24" i="8"/>
  <c r="K24" i="8"/>
  <c r="H24" i="8"/>
  <c r="G24" i="8"/>
  <c r="J24" i="8" s="1"/>
  <c r="P24" i="8" s="1"/>
  <c r="S24" i="8" s="1"/>
  <c r="U24" i="8" s="1"/>
  <c r="C24" i="8"/>
  <c r="N23" i="8"/>
  <c r="K23" i="8"/>
  <c r="H23" i="8"/>
  <c r="G23" i="8"/>
  <c r="J23" i="8" s="1"/>
  <c r="L23" i="8" s="1"/>
  <c r="C23" i="8"/>
  <c r="M23" i="8" s="1"/>
  <c r="M24" i="8" s="1"/>
  <c r="M25" i="8" s="1"/>
  <c r="M26" i="8" s="1"/>
  <c r="M27" i="8" s="1"/>
  <c r="M28" i="8" s="1"/>
  <c r="M29" i="8" s="1"/>
  <c r="M30" i="8" s="1"/>
  <c r="M31" i="8" s="1"/>
  <c r="M32" i="8" s="1"/>
  <c r="M33" i="8" s="1"/>
  <c r="M34" i="8" s="1"/>
  <c r="E19" i="8"/>
  <c r="E18" i="8"/>
  <c r="C15" i="8"/>
  <c r="L24" i="8" l="1"/>
  <c r="L25" i="8" s="1"/>
  <c r="L26" i="8" s="1"/>
  <c r="L27" i="8" s="1"/>
  <c r="L28" i="8" s="1"/>
  <c r="L29" i="8" s="1"/>
  <c r="L30" i="8" s="1"/>
  <c r="L31" i="8" s="1"/>
  <c r="L32" i="8" s="1"/>
  <c r="L33" i="8" s="1"/>
  <c r="L34" i="8" s="1"/>
  <c r="O34" i="8" s="1"/>
  <c r="Q34" i="8" s="1"/>
  <c r="L24" i="9"/>
  <c r="L25" i="9" s="1"/>
  <c r="L26" i="9" s="1"/>
  <c r="L27" i="9" s="1"/>
  <c r="L28" i="9" s="1"/>
  <c r="L29" i="9" s="1"/>
  <c r="L30" i="9" s="1"/>
  <c r="L31" i="9" s="1"/>
  <c r="L32" i="9" s="1"/>
  <c r="L33" i="9" s="1"/>
  <c r="L34" i="9" s="1"/>
  <c r="P24" i="9"/>
  <c r="S24" i="9" s="1"/>
  <c r="U24" i="9" s="1"/>
  <c r="P26" i="9"/>
  <c r="S26" i="9" s="1"/>
  <c r="U26" i="9" s="1"/>
  <c r="P28" i="9"/>
  <c r="S28" i="9" s="1"/>
  <c r="U28" i="9" s="1"/>
  <c r="P30" i="9"/>
  <c r="S30" i="9" s="1"/>
  <c r="U30" i="9" s="1"/>
  <c r="P32" i="9"/>
  <c r="S32" i="9" s="1"/>
  <c r="U32" i="9" s="1"/>
  <c r="O34" i="9"/>
  <c r="Q34" i="9" s="1"/>
  <c r="O30" i="9"/>
  <c r="Q30" i="9" s="1"/>
  <c r="O28" i="9"/>
  <c r="Q28" i="9" s="1"/>
  <c r="O26" i="9"/>
  <c r="Q26" i="9" s="1"/>
  <c r="O24" i="9"/>
  <c r="Q24" i="9" s="1"/>
  <c r="O23" i="9"/>
  <c r="R23" i="9" s="1"/>
  <c r="P23" i="9"/>
  <c r="S23" i="9" s="1"/>
  <c r="P25" i="9"/>
  <c r="S25" i="9" s="1"/>
  <c r="U25" i="9" s="1"/>
  <c r="P27" i="9"/>
  <c r="S27" i="9" s="1"/>
  <c r="U27" i="9" s="1"/>
  <c r="P29" i="9"/>
  <c r="S29" i="9" s="1"/>
  <c r="U29" i="9" s="1"/>
  <c r="P31" i="9"/>
  <c r="S31" i="9" s="1"/>
  <c r="U31" i="9" s="1"/>
  <c r="P33" i="9"/>
  <c r="S33" i="9" s="1"/>
  <c r="U33" i="9" s="1"/>
  <c r="O33" i="8"/>
  <c r="Q33" i="8" s="1"/>
  <c r="O31" i="8"/>
  <c r="Q31" i="8" s="1"/>
  <c r="O29" i="8"/>
  <c r="Q29" i="8" s="1"/>
  <c r="O27" i="8"/>
  <c r="Q27" i="8" s="1"/>
  <c r="O25" i="8"/>
  <c r="Q25" i="8" s="1"/>
  <c r="O23" i="8"/>
  <c r="R23" i="8" s="1"/>
  <c r="P23" i="8"/>
  <c r="S23" i="8" s="1"/>
  <c r="P25" i="8"/>
  <c r="S25" i="8" s="1"/>
  <c r="U25" i="8" s="1"/>
  <c r="P27" i="8"/>
  <c r="S27" i="8" s="1"/>
  <c r="U27" i="8" s="1"/>
  <c r="X40" i="8" s="1"/>
  <c r="P29" i="8"/>
  <c r="S29" i="8" s="1"/>
  <c r="U29" i="8" s="1"/>
  <c r="P31" i="8"/>
  <c r="S31" i="8" s="1"/>
  <c r="U31" i="8" s="1"/>
  <c r="P33" i="8"/>
  <c r="S33" i="8" s="1"/>
  <c r="U33" i="8" s="1"/>
  <c r="E165" i="4"/>
  <c r="E164" i="4"/>
  <c r="B2" i="4"/>
  <c r="G23" i="6"/>
  <c r="B12" i="4"/>
  <c r="D35" i="6"/>
  <c r="N34" i="6"/>
  <c r="K34" i="6"/>
  <c r="H34" i="6"/>
  <c r="G34" i="6"/>
  <c r="N33" i="6"/>
  <c r="K33" i="6"/>
  <c r="H33" i="6"/>
  <c r="G33" i="6"/>
  <c r="N32" i="6"/>
  <c r="K32" i="6"/>
  <c r="H32" i="6"/>
  <c r="G32" i="6"/>
  <c r="N31" i="6"/>
  <c r="K31" i="6"/>
  <c r="H31" i="6"/>
  <c r="G31" i="6"/>
  <c r="N30" i="6"/>
  <c r="K30" i="6"/>
  <c r="H30" i="6"/>
  <c r="G30" i="6"/>
  <c r="N29" i="6"/>
  <c r="K29" i="6"/>
  <c r="H29" i="6"/>
  <c r="G29" i="6"/>
  <c r="C29" i="6"/>
  <c r="J29" i="6" s="1"/>
  <c r="N28" i="6"/>
  <c r="K28" i="6"/>
  <c r="H28" i="6"/>
  <c r="G28" i="6"/>
  <c r="N27" i="6"/>
  <c r="K27" i="6"/>
  <c r="H27" i="6"/>
  <c r="G27" i="6"/>
  <c r="N26" i="6"/>
  <c r="K26" i="6"/>
  <c r="H26" i="6"/>
  <c r="G26" i="6"/>
  <c r="N25" i="6"/>
  <c r="K25" i="6"/>
  <c r="H25" i="6"/>
  <c r="G25" i="6"/>
  <c r="N24" i="6"/>
  <c r="K24" i="6"/>
  <c r="H24" i="6"/>
  <c r="G24" i="6"/>
  <c r="N23" i="6"/>
  <c r="K23" i="6"/>
  <c r="H23" i="6"/>
  <c r="C23" i="6"/>
  <c r="M23" i="6" s="1"/>
  <c r="E19" i="6"/>
  <c r="E18" i="6"/>
  <c r="C15" i="6"/>
  <c r="B3" i="4" s="1"/>
  <c r="B12" i="5"/>
  <c r="B13" i="5" s="1"/>
  <c r="B11" i="5"/>
  <c r="C30" i="6" s="1"/>
  <c r="J30" i="6" s="1"/>
  <c r="B6" i="5"/>
  <c r="C25" i="6" s="1"/>
  <c r="J25" i="6" s="1"/>
  <c r="B5" i="5"/>
  <c r="C24" i="6" s="1"/>
  <c r="J24" i="6" s="1"/>
  <c r="B108" i="4"/>
  <c r="B92" i="4"/>
  <c r="B62" i="4"/>
  <c r="B145" i="4"/>
  <c r="B34" i="4"/>
  <c r="B129" i="4"/>
  <c r="B16" i="4"/>
  <c r="B91" i="4"/>
  <c r="B63" i="4"/>
  <c r="B15" i="4"/>
  <c r="B128" i="4"/>
  <c r="B100" i="4"/>
  <c r="B11" i="4"/>
  <c r="B54" i="4"/>
  <c r="B137" i="4"/>
  <c r="B35" i="4"/>
  <c r="B99" i="4"/>
  <c r="B72" i="4"/>
  <c r="B24" i="4"/>
  <c r="B136" i="4"/>
  <c r="B109" i="4"/>
  <c r="B23" i="4"/>
  <c r="B71" i="4"/>
  <c r="B146" i="4"/>
  <c r="B55" i="4"/>
  <c r="O24" i="8" l="1"/>
  <c r="Q24" i="8" s="1"/>
  <c r="R24" i="8" s="1"/>
  <c r="O26" i="8"/>
  <c r="Q26" i="8" s="1"/>
  <c r="O28" i="8"/>
  <c r="Q28" i="8" s="1"/>
  <c r="O30" i="8"/>
  <c r="Q30" i="8" s="1"/>
  <c r="O32" i="8"/>
  <c r="Q32" i="8" s="1"/>
  <c r="O25" i="9"/>
  <c r="Q25" i="9" s="1"/>
  <c r="O27" i="9"/>
  <c r="Q27" i="9" s="1"/>
  <c r="O29" i="9"/>
  <c r="Q29" i="9" s="1"/>
  <c r="O32" i="9"/>
  <c r="Q32" i="9" s="1"/>
  <c r="D145" i="4"/>
  <c r="Y40" i="8"/>
  <c r="R24" i="9"/>
  <c r="R25" i="9" s="1"/>
  <c r="V23" i="9"/>
  <c r="W23" i="9"/>
  <c r="O31" i="9"/>
  <c r="Q31" i="9" s="1"/>
  <c r="O33" i="9"/>
  <c r="Q33" i="9" s="1"/>
  <c r="Q23" i="9"/>
  <c r="X41" i="9"/>
  <c r="Y41" i="9"/>
  <c r="S35" i="9"/>
  <c r="U23" i="9"/>
  <c r="X40" i="9"/>
  <c r="Y40" i="9"/>
  <c r="V23" i="8"/>
  <c r="W23" i="8"/>
  <c r="X41" i="8"/>
  <c r="Y41" i="8"/>
  <c r="S35" i="8"/>
  <c r="U23" i="8"/>
  <c r="Q23" i="8"/>
  <c r="B29" i="4"/>
  <c r="B25" i="4" s="1"/>
  <c r="B28" i="4"/>
  <c r="I23" i="4"/>
  <c r="H23" i="4"/>
  <c r="J15" i="4"/>
  <c r="I15" i="4"/>
  <c r="H15" i="4"/>
  <c r="G23" i="4"/>
  <c r="G15" i="4"/>
  <c r="J34" i="4"/>
  <c r="I34" i="4"/>
  <c r="H34" i="4"/>
  <c r="G34" i="4"/>
  <c r="J23" i="4"/>
  <c r="G145" i="4"/>
  <c r="I145" i="4" s="1"/>
  <c r="G136" i="4"/>
  <c r="I136" i="4" s="1"/>
  <c r="J128" i="4"/>
  <c r="I128" i="4"/>
  <c r="H128" i="4"/>
  <c r="G128" i="4"/>
  <c r="J91" i="4"/>
  <c r="I91" i="4"/>
  <c r="H91" i="4"/>
  <c r="G108" i="4"/>
  <c r="I108" i="4" s="1"/>
  <c r="G99" i="4"/>
  <c r="I99" i="4" s="1"/>
  <c r="G91" i="4"/>
  <c r="G71" i="4"/>
  <c r="I71" i="4" s="1"/>
  <c r="G62" i="4"/>
  <c r="I62" i="4" s="1"/>
  <c r="J54" i="4"/>
  <c r="I54" i="4"/>
  <c r="H54" i="4"/>
  <c r="G54" i="4"/>
  <c r="G79" i="4" s="1"/>
  <c r="B154" i="4"/>
  <c r="D146" i="4"/>
  <c r="B144" i="4"/>
  <c r="B153" i="4"/>
  <c r="D137" i="4"/>
  <c r="B135" i="4"/>
  <c r="D136" i="4"/>
  <c r="B130" i="4"/>
  <c r="B126" i="4" s="1"/>
  <c r="D129" i="4"/>
  <c r="B127" i="4"/>
  <c r="D128" i="4"/>
  <c r="B117" i="4"/>
  <c r="D109" i="4"/>
  <c r="B107" i="4"/>
  <c r="B116" i="4"/>
  <c r="D108" i="4"/>
  <c r="D100" i="4"/>
  <c r="B98" i="4"/>
  <c r="D99" i="4"/>
  <c r="B93" i="4"/>
  <c r="B89" i="4" s="1"/>
  <c r="D92" i="4"/>
  <c r="B90" i="4"/>
  <c r="D91" i="4"/>
  <c r="B80" i="4"/>
  <c r="D72" i="4"/>
  <c r="B70" i="4"/>
  <c r="B79" i="4"/>
  <c r="D79" i="4" s="1"/>
  <c r="D71" i="4"/>
  <c r="D63" i="4"/>
  <c r="B61" i="4"/>
  <c r="D62" i="4"/>
  <c r="B56" i="4"/>
  <c r="B52" i="4" s="1"/>
  <c r="D55" i="4"/>
  <c r="B53" i="4"/>
  <c r="D54" i="4"/>
  <c r="B43" i="4"/>
  <c r="B42" i="4"/>
  <c r="D35" i="4"/>
  <c r="D24" i="4"/>
  <c r="D16" i="4"/>
  <c r="B17" i="4"/>
  <c r="J23" i="6"/>
  <c r="L23" i="6" s="1"/>
  <c r="L24" i="6" s="1"/>
  <c r="L25" i="6" s="1"/>
  <c r="M24" i="6"/>
  <c r="B7" i="5"/>
  <c r="B14" i="5"/>
  <c r="C32" i="6"/>
  <c r="M25" i="6"/>
  <c r="P24" i="6"/>
  <c r="S24" i="6" s="1"/>
  <c r="U24" i="6" s="1"/>
  <c r="P25" i="6"/>
  <c r="S25" i="6" s="1"/>
  <c r="U25" i="6" s="1"/>
  <c r="P29" i="6"/>
  <c r="S29" i="6" s="1"/>
  <c r="U29" i="6" s="1"/>
  <c r="P30" i="6"/>
  <c r="S30" i="6" s="1"/>
  <c r="U30" i="6" s="1"/>
  <c r="C26" i="6"/>
  <c r="C31" i="6"/>
  <c r="R25" i="8" l="1"/>
  <c r="V24" i="8"/>
  <c r="V24" i="9"/>
  <c r="R26" i="9"/>
  <c r="R27" i="9" s="1"/>
  <c r="W24" i="9"/>
  <c r="W39" i="9"/>
  <c r="E46" i="9" s="1"/>
  <c r="V39" i="9"/>
  <c r="D46" i="9" s="1"/>
  <c r="V25" i="8"/>
  <c r="W25" i="8"/>
  <c r="V39" i="8"/>
  <c r="D46" i="8" s="1"/>
  <c r="W39" i="8"/>
  <c r="E46" i="8" s="1"/>
  <c r="X39" i="9"/>
  <c r="Y39" i="9"/>
  <c r="W24" i="8"/>
  <c r="R26" i="8"/>
  <c r="R27" i="8" s="1"/>
  <c r="V27" i="8" s="1"/>
  <c r="V26" i="9"/>
  <c r="W26" i="9"/>
  <c r="V25" i="9"/>
  <c r="W25" i="9"/>
  <c r="X39" i="8"/>
  <c r="Y39" i="8"/>
  <c r="E54" i="4"/>
  <c r="E129" i="4"/>
  <c r="J31" i="6"/>
  <c r="P31" i="6" s="1"/>
  <c r="S31" i="6" s="1"/>
  <c r="U31" i="6" s="1"/>
  <c r="J26" i="6"/>
  <c r="L26" i="6" s="1"/>
  <c r="J32" i="6"/>
  <c r="P32" i="6" s="1"/>
  <c r="S32" i="6" s="1"/>
  <c r="U32" i="6" s="1"/>
  <c r="B8" i="5"/>
  <c r="G153" i="4"/>
  <c r="G116" i="4"/>
  <c r="I42" i="4"/>
  <c r="I116" i="4"/>
  <c r="I153" i="4"/>
  <c r="B165" i="4"/>
  <c r="B164" i="4"/>
  <c r="I79" i="4"/>
  <c r="D127" i="4"/>
  <c r="D135" i="4"/>
  <c r="B138" i="4"/>
  <c r="D153" i="4"/>
  <c r="D154" i="4"/>
  <c r="B152" i="4"/>
  <c r="D144" i="4"/>
  <c r="D90" i="4"/>
  <c r="D98" i="4"/>
  <c r="B101" i="4"/>
  <c r="D116" i="4"/>
  <c r="D117" i="4"/>
  <c r="B115" i="4"/>
  <c r="D107" i="4"/>
  <c r="D53" i="4"/>
  <c r="D61" i="4"/>
  <c r="B64" i="4"/>
  <c r="D80" i="4"/>
  <c r="B78" i="4"/>
  <c r="D78" i="4" s="1"/>
  <c r="D70" i="4"/>
  <c r="G42" i="4"/>
  <c r="P23" i="6"/>
  <c r="S23" i="6" s="1"/>
  <c r="U23" i="6" s="1"/>
  <c r="O25" i="6"/>
  <c r="Q25" i="6" s="1"/>
  <c r="O24" i="6"/>
  <c r="Q24" i="6" s="1"/>
  <c r="O23" i="6"/>
  <c r="R23" i="6" s="1"/>
  <c r="M26" i="6"/>
  <c r="C33" i="6"/>
  <c r="B15" i="5"/>
  <c r="W27" i="8" l="1"/>
  <c r="R28" i="9"/>
  <c r="V40" i="9" s="1"/>
  <c r="D47" i="9" s="1"/>
  <c r="W27" i="9"/>
  <c r="V27" i="9"/>
  <c r="W40" i="9"/>
  <c r="E47" i="9" s="1"/>
  <c r="R29" i="9"/>
  <c r="R30" i="9" s="1"/>
  <c r="V26" i="8"/>
  <c r="W26" i="8"/>
  <c r="R28" i="8"/>
  <c r="V40" i="8" s="1"/>
  <c r="D47" i="8" s="1"/>
  <c r="V30" i="9"/>
  <c r="W30" i="9"/>
  <c r="E92" i="4"/>
  <c r="R29" i="8"/>
  <c r="W40" i="8"/>
  <c r="E47" i="8" s="1"/>
  <c r="V29" i="9"/>
  <c r="W29" i="9"/>
  <c r="R31" i="9"/>
  <c r="E90" i="4"/>
  <c r="E128" i="4"/>
  <c r="E91" i="4"/>
  <c r="X41" i="6"/>
  <c r="Y41" i="6"/>
  <c r="R30" i="8"/>
  <c r="V28" i="8"/>
  <c r="W28" i="8"/>
  <c r="P26" i="6"/>
  <c r="S26" i="6" s="1"/>
  <c r="U26" i="6" s="1"/>
  <c r="V29" i="8"/>
  <c r="W29" i="8"/>
  <c r="E55" i="4"/>
  <c r="E53" i="4"/>
  <c r="G164" i="4"/>
  <c r="E127" i="4"/>
  <c r="C34" i="6"/>
  <c r="B9" i="5"/>
  <c r="C27" i="6"/>
  <c r="J33" i="6"/>
  <c r="P33" i="6" s="1"/>
  <c r="S33" i="6" s="1"/>
  <c r="U33" i="6" s="1"/>
  <c r="W23" i="6"/>
  <c r="I164" i="4"/>
  <c r="D115" i="4"/>
  <c r="D165" i="4"/>
  <c r="D152" i="4"/>
  <c r="B147" i="4"/>
  <c r="B134" i="4"/>
  <c r="B110" i="4"/>
  <c r="B106" i="4" s="1"/>
  <c r="B97" i="4"/>
  <c r="B73" i="4"/>
  <c r="B69" i="4" s="1"/>
  <c r="B60" i="4"/>
  <c r="Q23" i="6"/>
  <c r="R24" i="6"/>
  <c r="V23" i="6"/>
  <c r="X39" i="6"/>
  <c r="Y39" i="6"/>
  <c r="M27" i="6"/>
  <c r="O26" i="6"/>
  <c r="Q26" i="6" s="1"/>
  <c r="B19" i="4"/>
  <c r="B18" i="4"/>
  <c r="W28" i="9" l="1"/>
  <c r="V28" i="9"/>
  <c r="V31" i="9"/>
  <c r="W31" i="9"/>
  <c r="R32" i="9"/>
  <c r="R33" i="9" s="1"/>
  <c r="W41" i="9"/>
  <c r="E48" i="9" s="1"/>
  <c r="V41" i="9"/>
  <c r="D48" i="9" s="1"/>
  <c r="V30" i="8"/>
  <c r="W30" i="8"/>
  <c r="R31" i="8"/>
  <c r="J27" i="6"/>
  <c r="L27" i="6" s="1"/>
  <c r="J34" i="6"/>
  <c r="P34" i="6" s="1"/>
  <c r="S34" i="6" s="1"/>
  <c r="R25" i="6"/>
  <c r="W24" i="6"/>
  <c r="V24" i="6"/>
  <c r="C28" i="6"/>
  <c r="F19" i="4"/>
  <c r="F18" i="4"/>
  <c r="B143" i="4"/>
  <c r="E137" i="4"/>
  <c r="E136" i="4"/>
  <c r="H136" i="4" s="1"/>
  <c r="E135" i="4"/>
  <c r="E109" i="4"/>
  <c r="E117" i="4" s="1"/>
  <c r="E108" i="4"/>
  <c r="H108" i="4" s="1"/>
  <c r="D106" i="4"/>
  <c r="E107" i="4"/>
  <c r="E100" i="4"/>
  <c r="E99" i="4"/>
  <c r="E98" i="4"/>
  <c r="E72" i="4"/>
  <c r="E80" i="4" s="1"/>
  <c r="E71" i="4"/>
  <c r="H71" i="4" s="1"/>
  <c r="D69" i="4"/>
  <c r="E70" i="4"/>
  <c r="E63" i="4"/>
  <c r="E62" i="4"/>
  <c r="E61" i="4"/>
  <c r="R26" i="6"/>
  <c r="W26" i="6" s="1"/>
  <c r="V26" i="6"/>
  <c r="O27" i="6"/>
  <c r="Q27" i="6" s="1"/>
  <c r="R27" i="6" s="1"/>
  <c r="B27" i="4"/>
  <c r="B57" i="4"/>
  <c r="B26" i="4"/>
  <c r="B58" i="4"/>
  <c r="T34" i="9" l="1"/>
  <c r="W34" i="9" s="1"/>
  <c r="R34" i="9"/>
  <c r="V33" i="9"/>
  <c r="W33" i="9"/>
  <c r="V42" i="9"/>
  <c r="D49" i="9" s="1"/>
  <c r="V32" i="9"/>
  <c r="W42" i="9"/>
  <c r="E49" i="9" s="1"/>
  <c r="W32" i="9"/>
  <c r="D50" i="9"/>
  <c r="V34" i="9"/>
  <c r="P27" i="6"/>
  <c r="S27" i="6" s="1"/>
  <c r="V31" i="8"/>
  <c r="W31" i="8"/>
  <c r="V41" i="8"/>
  <c r="D48" i="8" s="1"/>
  <c r="W41" i="8"/>
  <c r="E48" i="8" s="1"/>
  <c r="R32" i="8"/>
  <c r="J99" i="4"/>
  <c r="H99" i="4"/>
  <c r="H116" i="4" s="1"/>
  <c r="J62" i="4"/>
  <c r="H62" i="4"/>
  <c r="H79" i="4" s="1"/>
  <c r="F26" i="4"/>
  <c r="F27" i="4"/>
  <c r="J28" i="6"/>
  <c r="P28" i="6" s="1"/>
  <c r="S28" i="6" s="1"/>
  <c r="V39" i="6"/>
  <c r="D46" i="6" s="1"/>
  <c r="W25" i="6"/>
  <c r="V25" i="6"/>
  <c r="U27" i="6"/>
  <c r="M28" i="6"/>
  <c r="W39" i="6"/>
  <c r="E46" i="6" s="1"/>
  <c r="E146" i="4"/>
  <c r="E154" i="4" s="1"/>
  <c r="E116" i="4"/>
  <c r="J108" i="4"/>
  <c r="F57" i="4"/>
  <c r="F58" i="4"/>
  <c r="E79" i="4"/>
  <c r="J71" i="4"/>
  <c r="D143" i="4"/>
  <c r="E144" i="4"/>
  <c r="E145" i="4"/>
  <c r="H145" i="4" s="1"/>
  <c r="H153" i="4" s="1"/>
  <c r="M29" i="6"/>
  <c r="V27" i="6"/>
  <c r="W27" i="6"/>
  <c r="B44" i="4"/>
  <c r="B111" i="4"/>
  <c r="B37" i="4"/>
  <c r="B45" i="4"/>
  <c r="B38" i="4"/>
  <c r="B65" i="4"/>
  <c r="B66" i="4"/>
  <c r="L28" i="6" l="1"/>
  <c r="V35" i="9"/>
  <c r="U34" i="9"/>
  <c r="Y42" i="9" s="1"/>
  <c r="U28" i="6"/>
  <c r="Y40" i="6" s="1"/>
  <c r="S35" i="6"/>
  <c r="J79" i="4"/>
  <c r="V32" i="8"/>
  <c r="W32" i="8"/>
  <c r="R33" i="8"/>
  <c r="J116" i="4"/>
  <c r="F38" i="4"/>
  <c r="F45" i="4" s="1"/>
  <c r="F37" i="4"/>
  <c r="F44" i="4" s="1"/>
  <c r="F111" i="4"/>
  <c r="X40" i="6"/>
  <c r="E153" i="4"/>
  <c r="J145" i="4"/>
  <c r="F66" i="4"/>
  <c r="F65" i="4"/>
  <c r="M30" i="6"/>
  <c r="X42" i="9" l="1"/>
  <c r="L29" i="6"/>
  <c r="O28" i="6"/>
  <c r="Q28" i="6" s="1"/>
  <c r="R28" i="6" s="1"/>
  <c r="V33" i="8"/>
  <c r="W33" i="8"/>
  <c r="R34" i="8"/>
  <c r="T34" i="8"/>
  <c r="W34" i="8" s="1"/>
  <c r="M31" i="6"/>
  <c r="V28" i="6" l="1"/>
  <c r="V40" i="6"/>
  <c r="D47" i="6" s="1"/>
  <c r="W28" i="6"/>
  <c r="W40" i="6"/>
  <c r="E47" i="6" s="1"/>
  <c r="L30" i="6"/>
  <c r="O29" i="6"/>
  <c r="Q29" i="6" s="1"/>
  <c r="R29" i="6" s="1"/>
  <c r="V42" i="8"/>
  <c r="D49" i="8" s="1"/>
  <c r="W42" i="8"/>
  <c r="E49" i="8" s="1"/>
  <c r="D50" i="8" s="1"/>
  <c r="U34" i="8"/>
  <c r="V34" i="8"/>
  <c r="V35" i="8" s="1"/>
  <c r="M32" i="6"/>
  <c r="B74" i="4"/>
  <c r="B75" i="4"/>
  <c r="B82" i="4" l="1"/>
  <c r="F75" i="4"/>
  <c r="F82" i="4" s="1"/>
  <c r="B81" i="4"/>
  <c r="F74" i="4"/>
  <c r="F81" i="4" s="1"/>
  <c r="V29" i="6"/>
  <c r="W29" i="6"/>
  <c r="L31" i="6"/>
  <c r="O30" i="6"/>
  <c r="Q30" i="6" s="1"/>
  <c r="R30" i="6" s="1"/>
  <c r="Y42" i="8"/>
  <c r="X42" i="8"/>
  <c r="M33" i="6"/>
  <c r="B94" i="4"/>
  <c r="B95" i="4"/>
  <c r="F95" i="4" l="1"/>
  <c r="F94" i="4"/>
  <c r="W30" i="6"/>
  <c r="V30" i="6"/>
  <c r="L32" i="6"/>
  <c r="O31" i="6"/>
  <c r="Q31" i="6" s="1"/>
  <c r="R31" i="6" s="1"/>
  <c r="M34" i="6"/>
  <c r="B103" i="4"/>
  <c r="B102" i="4"/>
  <c r="F102" i="4" l="1"/>
  <c r="F118" i="4" s="1"/>
  <c r="B118" i="4"/>
  <c r="F103" i="4"/>
  <c r="L33" i="6"/>
  <c r="O32" i="6"/>
  <c r="Q32" i="6" s="1"/>
  <c r="R32" i="6" s="1"/>
  <c r="V31" i="6"/>
  <c r="W31" i="6"/>
  <c r="V41" i="6"/>
  <c r="D48" i="6" s="1"/>
  <c r="W41" i="6"/>
  <c r="E48" i="6" s="1"/>
  <c r="B112" i="4"/>
  <c r="F112" i="4" l="1"/>
  <c r="F119" i="4" s="1"/>
  <c r="B119" i="4"/>
  <c r="W32" i="6"/>
  <c r="V32" i="6"/>
  <c r="L34" i="6"/>
  <c r="O34" i="6" s="1"/>
  <c r="Q34" i="6" s="1"/>
  <c r="O33" i="6"/>
  <c r="Q33" i="6" s="1"/>
  <c r="R33" i="6" s="1"/>
  <c r="B132" i="4"/>
  <c r="B131" i="4"/>
  <c r="F131" i="4" l="1"/>
  <c r="F132" i="4"/>
  <c r="V33" i="6"/>
  <c r="W33" i="6"/>
  <c r="R34" i="6"/>
  <c r="T34" i="6"/>
  <c r="U34" i="6" s="1"/>
  <c r="V34" i="6"/>
  <c r="B139" i="4"/>
  <c r="B140" i="4"/>
  <c r="B148" i="4"/>
  <c r="F140" i="4" l="1"/>
  <c r="F139" i="4"/>
  <c r="W34" i="6"/>
  <c r="X42" i="6"/>
  <c r="D49" i="6" s="1"/>
  <c r="Y42" i="6"/>
  <c r="W42" i="6"/>
  <c r="V42" i="6"/>
  <c r="B155" i="4"/>
  <c r="B166" i="4" s="1"/>
  <c r="D164" i="4"/>
  <c r="V35" i="6"/>
  <c r="B149" i="4"/>
  <c r="B156" i="4" l="1"/>
  <c r="B167" i="4" s="1"/>
  <c r="F149" i="4"/>
  <c r="F156" i="4" s="1"/>
  <c r="F167" i="4" s="1"/>
  <c r="E49" i="6"/>
  <c r="D50" i="6" s="1"/>
  <c r="F148" i="4"/>
  <c r="F155" i="4" s="1"/>
  <c r="F166" i="4" s="1"/>
  <c r="B13" i="4" l="1"/>
  <c r="D43" i="4"/>
  <c r="D34" i="4"/>
  <c r="B33" i="4"/>
  <c r="D23" i="4"/>
  <c r="B22" i="4"/>
  <c r="D15" i="4"/>
  <c r="B14" i="4"/>
  <c r="H42" i="4" l="1"/>
  <c r="H164" i="4" s="1"/>
  <c r="B41" i="4"/>
  <c r="D33" i="4"/>
  <c r="E15" i="4"/>
  <c r="B36" i="4"/>
  <c r="D14" i="4"/>
  <c r="D22" i="4"/>
  <c r="D41" i="4" l="1"/>
  <c r="D163" i="4" s="1"/>
  <c r="B163" i="4"/>
  <c r="E16" i="4"/>
  <c r="B21" i="4"/>
  <c r="E24" i="4" s="1"/>
  <c r="E14" i="4"/>
  <c r="B32" i="4"/>
  <c r="E34" i="4" l="1"/>
  <c r="E35" i="4"/>
  <c r="E43" i="4" s="1"/>
  <c r="E23" i="4"/>
  <c r="J136" i="4"/>
  <c r="J153" i="4" s="1"/>
  <c r="E22" i="4"/>
  <c r="D42" i="4"/>
  <c r="E33" i="4"/>
  <c r="D32" i="4"/>
  <c r="E42" i="4" l="1"/>
  <c r="J42" i="4"/>
  <c r="J164" i="4" s="1"/>
  <c r="Q7" i="1"/>
  <c r="Q8" i="1"/>
  <c r="Q9" i="1"/>
  <c r="Q10" i="1"/>
  <c r="Q12" i="1"/>
  <c r="Q14" i="1"/>
  <c r="Q15" i="1"/>
  <c r="Q17" i="1"/>
  <c r="Q19" i="1"/>
  <c r="Q20" i="1"/>
  <c r="Q21" i="1"/>
  <c r="Q22" i="1"/>
  <c r="Q23" i="1"/>
  <c r="Q25" i="1"/>
  <c r="Q6" i="1" l="1"/>
</calcChain>
</file>

<file path=xl/comments1.xml><?xml version="1.0" encoding="utf-8"?>
<comments xmlns="http://schemas.openxmlformats.org/spreadsheetml/2006/main">
  <authors>
    <author>UTIL10</author>
  </authors>
  <commentList>
    <comment ref="E21" authorId="0" shape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comments2.xml><?xml version="1.0" encoding="utf-8"?>
<comments xmlns="http://schemas.openxmlformats.org/spreadsheetml/2006/main">
  <authors>
    <author>UTIL10</author>
  </authors>
  <commentList>
    <comment ref="E21" authorId="0" shape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comments3.xml><?xml version="1.0" encoding="utf-8"?>
<comments xmlns="http://schemas.openxmlformats.org/spreadsheetml/2006/main">
  <authors>
    <author>UTIL10</author>
  </authors>
  <commentList>
    <comment ref="E21" authorId="0" shape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sharedStrings.xml><?xml version="1.0" encoding="utf-8"?>
<sst xmlns="http://schemas.openxmlformats.org/spreadsheetml/2006/main" count="503" uniqueCount="180">
  <si>
    <t>Liste des salariés de l'entreprise</t>
  </si>
  <si>
    <t>salarié 1</t>
  </si>
  <si>
    <t>salarié 2</t>
  </si>
  <si>
    <t>salarié 3</t>
  </si>
  <si>
    <t>salarié 4</t>
  </si>
  <si>
    <t>Nom</t>
  </si>
  <si>
    <t>date d entrée</t>
  </si>
  <si>
    <t>date de sortie</t>
  </si>
  <si>
    <t>type de contrat</t>
  </si>
  <si>
    <t>si cdd, Date de fin</t>
  </si>
  <si>
    <t>apprentissage</t>
  </si>
  <si>
    <t>professionnalisation</t>
  </si>
  <si>
    <t>handicap</t>
  </si>
  <si>
    <t>Contrat de génération</t>
  </si>
  <si>
    <t>CIE</t>
  </si>
  <si>
    <t>Dirigeant</t>
  </si>
  <si>
    <t>Cumul emploi retraite</t>
  </si>
  <si>
    <t>associé</t>
  </si>
  <si>
    <t>conjoint(e) associé ou dirigeant</t>
  </si>
  <si>
    <t>due établis</t>
  </si>
  <si>
    <t>contrat établis</t>
  </si>
  <si>
    <t>retour contrat signé</t>
  </si>
  <si>
    <t>Nom entreprise</t>
  </si>
  <si>
    <t>Nombre d'établissement</t>
  </si>
  <si>
    <t>effectifs au 31/12/N-1</t>
  </si>
  <si>
    <t>date de versement des salaires</t>
  </si>
  <si>
    <t>contact principal</t>
  </si>
  <si>
    <t>coordonées du contact principal</t>
  </si>
  <si>
    <t>périodicité des charges sociales</t>
  </si>
  <si>
    <t>Spécificité 1**</t>
  </si>
  <si>
    <t>caisse des congés payés</t>
  </si>
  <si>
    <t>prime d'ancienneté</t>
  </si>
  <si>
    <t>prime diverses</t>
  </si>
  <si>
    <t>si oui, préciser</t>
  </si>
  <si>
    <t>mensuelle</t>
  </si>
  <si>
    <t>trimestrielle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</si>
  <si>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</si>
  <si>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</si>
  <si>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</si>
  <si>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</si>
  <si>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</si>
  <si>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</si>
  <si>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</si>
  <si>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</si>
  <si>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</si>
  <si>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</si>
  <si>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</si>
  <si>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</si>
  <si>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</si>
  <si>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temps partiel</t>
  </si>
  <si>
    <t>multiemployeurs</t>
  </si>
  <si>
    <t>statut</t>
  </si>
  <si>
    <t>ETAM</t>
  </si>
  <si>
    <t>Cadre</t>
  </si>
  <si>
    <t>Mandataire social</t>
  </si>
  <si>
    <t>Ouvrier</t>
  </si>
  <si>
    <t>Non cadre</t>
  </si>
  <si>
    <t>date dernière visite médicale</t>
  </si>
  <si>
    <t>mutuelle</t>
  </si>
  <si>
    <t>avantage en nature</t>
  </si>
  <si>
    <t>oui</t>
  </si>
  <si>
    <t>non</t>
  </si>
  <si>
    <t>véhicule</t>
  </si>
  <si>
    <t>repas pris</t>
  </si>
  <si>
    <t>repas non pris</t>
  </si>
  <si>
    <t>logement</t>
  </si>
  <si>
    <t>autres( à préciser)</t>
  </si>
  <si>
    <t>matricule</t>
  </si>
  <si>
    <t>A</t>
  </si>
  <si>
    <t>machin@machine,com</t>
  </si>
  <si>
    <t>albert robert</t>
  </si>
  <si>
    <t>NA</t>
  </si>
  <si>
    <t>bulletins initiaux</t>
  </si>
  <si>
    <t>Total bulletins</t>
  </si>
  <si>
    <t>procédure de licenciement*</t>
  </si>
  <si>
    <t>rupture conventionnelle*</t>
  </si>
  <si>
    <t>* précisez le nom du salarié concerné en commentaires</t>
  </si>
  <si>
    <t>dont solde de tout compte*</t>
  </si>
  <si>
    <t>dont bulletins spécifiques*</t>
  </si>
  <si>
    <t>bulletins refaits erreurs client*</t>
  </si>
  <si>
    <t>bulletins refaits erreurs cabinet*</t>
  </si>
  <si>
    <t>total procédures</t>
  </si>
  <si>
    <t>Bordereau de charges URSSAF</t>
  </si>
  <si>
    <t>bordereau de charges retraite</t>
  </si>
  <si>
    <t>Bordereau de charges prévoyance</t>
  </si>
  <si>
    <t>Bordereau de charges Mutuelle</t>
  </si>
  <si>
    <t>bordereau de caisse des congés payés</t>
  </si>
  <si>
    <t>Total Bordereaux</t>
  </si>
  <si>
    <t>SMIC</t>
  </si>
  <si>
    <t>Effectif</t>
  </si>
  <si>
    <t>Salaire brut</t>
  </si>
  <si>
    <t>Nombre d'heures travaillées</t>
  </si>
  <si>
    <t>Majoration 2,5 fois SMIC</t>
  </si>
  <si>
    <t>REDUCTION FILLON</t>
  </si>
  <si>
    <t>COEFFICIENT</t>
  </si>
  <si>
    <t>Table SMIC horaire</t>
  </si>
  <si>
    <t>Smic hor 2012</t>
  </si>
  <si>
    <r>
      <rPr>
        <u/>
        <sz val="8"/>
        <color theme="1"/>
        <rFont val="Century Gothic"/>
        <family val="2"/>
      </rPr>
      <t>Coefficient</t>
    </r>
    <r>
      <rPr>
        <sz val="11"/>
        <color theme="1"/>
        <rFont val="Calibri"/>
        <family val="2"/>
        <scheme val="minor"/>
      </rPr>
      <t xml:space="preserve"> = 0,26/0,6 x [1,6 x Smic mensuel base 151,67 heures/Rémunération mensuelle brute - 1] </t>
    </r>
  </si>
  <si>
    <t>Remarques sur le calcul Fillon:</t>
  </si>
  <si>
    <t>le résultat du coefficient obtenu est arrondi à quatre décimales au dix millième le plus proche. Il est pris en compte pour une valeur égale à 0,281 s'il est supérieur à 0,281</t>
  </si>
  <si>
    <t>Pour le calcul de ce coefficient, la rémunération des heures supplémentaires ou complémentaires défiscalisées (c’est-à-dire dans la limite, en ce qui concerne la majoration salariale, des taux de 25 % ou de 50 % selon le cas) sont à exclure</t>
  </si>
  <si>
    <t>les entreprises qui atteignent ou franchissent le seuil de 19 salariés pour la première fois, maintiennent ce coefficient maximal à 0,2810 pendant 3 ans (article 48 de la loi n° 2008-776 de modernisation de l'économie du 4 août 2008).</t>
  </si>
  <si>
    <t>CALCUL DE LA REDUCTION FILLON</t>
  </si>
  <si>
    <t xml:space="preserve">Année : </t>
  </si>
  <si>
    <t>Nom / Prénom :</t>
  </si>
  <si>
    <t>Matricule :</t>
  </si>
  <si>
    <t>0004</t>
  </si>
  <si>
    <t>Effectif de l'entreprise :</t>
  </si>
  <si>
    <t>Choix du mode de calcul de la régularisation :</t>
  </si>
  <si>
    <t>Horaire collectif mensuel :</t>
  </si>
  <si>
    <t>Coefficient effectif :</t>
  </si>
  <si>
    <t>Temps partiel :</t>
  </si>
  <si>
    <t>Horaire hebdo contractuel :</t>
  </si>
  <si>
    <t>ex. : 17h</t>
  </si>
  <si>
    <t>Horaire hebdo conventionnel :</t>
  </si>
  <si>
    <t>ex. : 35h</t>
  </si>
  <si>
    <t>Mois incomplet</t>
  </si>
  <si>
    <t>Tps partiel</t>
  </si>
  <si>
    <t>Réduction calculée</t>
  </si>
  <si>
    <t>Smic mensuel</t>
  </si>
  <si>
    <t>Salaire brut total versé</t>
  </si>
  <si>
    <t xml:space="preserve">Base rémunération mensuelle </t>
  </si>
  <si>
    <t>Nb d'h.suppl.</t>
  </si>
  <si>
    <t>horaire hebdo contractuel</t>
  </si>
  <si>
    <t>horaire hebdo conventionnel</t>
  </si>
  <si>
    <t>Smic brut mensuel</t>
  </si>
  <si>
    <t>Assiette Fillon</t>
  </si>
  <si>
    <t>Cumul smic mensuel</t>
  </si>
  <si>
    <t>Cumul HS SMIC</t>
  </si>
  <si>
    <t>Cumul SB mensuel</t>
  </si>
  <si>
    <t>Coeff.progr</t>
  </si>
  <si>
    <t>Coeff.annuel</t>
  </si>
  <si>
    <t xml:space="preserve">Réduction Fillon réelle cumulée </t>
  </si>
  <si>
    <t>Mtt réduction Fillon progr.</t>
  </si>
  <si>
    <t>Calcul par régularisation annuelle</t>
  </si>
  <si>
    <t>Mtt réduction Fillon annuel</t>
  </si>
  <si>
    <t>Réduction 
(code 671)</t>
  </si>
  <si>
    <t>Régularisation
 (code 801)</t>
  </si>
  <si>
    <t>Total</t>
  </si>
  <si>
    <t>Progressif</t>
  </si>
  <si>
    <t>Annuel</t>
  </si>
  <si>
    <t>Code 671</t>
  </si>
  <si>
    <t>Code 801</t>
  </si>
  <si>
    <t>1er trimestre</t>
  </si>
  <si>
    <t>2ème trimestre</t>
  </si>
  <si>
    <t>3ème trimestre</t>
  </si>
  <si>
    <t>4ème trimestre</t>
  </si>
  <si>
    <t>RECAPITULATIF TRIMESTRIEL</t>
  </si>
  <si>
    <t>Réduction (code 671)</t>
  </si>
  <si>
    <t>Régularisation
(code 801)</t>
  </si>
  <si>
    <t>ROBERT DUVERGNE</t>
  </si>
  <si>
    <t>STATUT</t>
  </si>
  <si>
    <t>TOTAL CADRE</t>
  </si>
  <si>
    <t>TOTAL NON CADRE</t>
  </si>
  <si>
    <t>TOTAL DIRIGEANT</t>
  </si>
  <si>
    <t>Régularisation réduction fillon</t>
  </si>
  <si>
    <t>Réduction fillon</t>
  </si>
  <si>
    <t>CONTRÔLE DES CHARGES SOCIALES</t>
  </si>
  <si>
    <t>N : Non cadre</t>
  </si>
  <si>
    <t>C : Cadre</t>
  </si>
  <si>
    <t>A : Apprentis</t>
  </si>
  <si>
    <t>D : Dirigeant</t>
  </si>
  <si>
    <t>NOM</t>
  </si>
  <si>
    <t>Statut</t>
  </si>
  <si>
    <t>DUBREUIL JEAN</t>
  </si>
  <si>
    <t>1er Trimestre</t>
  </si>
  <si>
    <t>ELIGIBLE CICE</t>
  </si>
  <si>
    <t>SALAIRE BRUT</t>
  </si>
  <si>
    <t>apprenti</t>
  </si>
  <si>
    <t>TOTAL APPRENTI</t>
  </si>
  <si>
    <t>2eme Trimestre</t>
  </si>
  <si>
    <t>aout</t>
  </si>
  <si>
    <t>3eme Trimestre</t>
  </si>
  <si>
    <t>decembre</t>
  </si>
  <si>
    <t>4eme Trimestre</t>
  </si>
  <si>
    <t>TOTAL ANNUEL</t>
  </si>
  <si>
    <t>salaire brut cumule</t>
  </si>
  <si>
    <t>nb d heures travaillé cumulé</t>
  </si>
  <si>
    <t>0003</t>
  </si>
  <si>
    <t>Statut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</si>
</sst>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_€_-;\-* #,##0.000\ _€_-;_-* &quot;-&quot;??\ _€_-;_-@_-"/>
    <numFmt numFmtId="166" formatCode="0.00?&quot;h&quot;"/>
    <numFmt numFmtId="167" formatCode="0.0000"/>
    <numFmt numFmtId="168" formatCode="0.000"/>
  </numFmts>
  <fonts count="1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u/>
      <sz val="8"/>
      <color theme="1"/>
      <name val="Century Gothic"/>
      <family val="2"/>
    </font>
    <font>
      <sz val="8"/>
      <name val="Tahoma"/>
      <family val="2"/>
    </font>
    <font>
      <b/>
      <sz val="8"/>
      <color theme="1"/>
      <name val="Century Gothic"/>
      <family val="2"/>
    </font>
    <font>
      <sz val="8"/>
      <color rgb="FFFF0000"/>
      <name val="Century Gothic"/>
      <family val="2"/>
    </font>
    <font>
      <sz val="11"/>
      <color theme="1"/>
      <name val="Franklin Gothic Heavy"/>
      <family val="2"/>
    </font>
    <font>
      <i/>
      <sz val="8"/>
      <color theme="1"/>
      <name val="Century Gothic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170">
    <xf numFmtId="0" fontId="0" fillId="0" borderId="0" xfId="0"/>
    <xf numFmtId="2" fontId="0" fillId="0" borderId="0" xfId="0" applyNumberFormat="1" applyAlignment="1">
      <alignment horizontal="center" vertical="distributed"/>
    </xf>
    <xf numFmtId="0" fontId="0" fillId="0" borderId="1" xfId="0" applyBorder="1"/>
    <xf numFmtId="0" fontId="1" fillId="0" borderId="0" xfId="0" applyFont="1"/>
    <xf numFmtId="2" fontId="0" fillId="0" borderId="0" xfId="0" applyNumberFormat="1"/>
    <xf numFmtId="2" fontId="0" fillId="0" borderId="0" xfId="0" applyNumberFormat="1" applyAlignment="1"/>
    <xf numFmtId="2" fontId="0" fillId="0" borderId="0" xfId="0" applyNumberFormat="1" applyAlignment="1">
      <alignment horizontal="left"/>
    </xf>
    <xf numFmtId="0" fontId="2" fillId="0" borderId="1" xfId="1" applyBorder="1" applyAlignment="1" applyProtection="1"/>
    <xf numFmtId="14" fontId="0" fillId="0" borderId="0" xfId="0" applyNumberFormat="1"/>
    <xf numFmtId="0" fontId="5" fillId="0" borderId="0" xfId="3"/>
    <xf numFmtId="0" fontId="5" fillId="0" borderId="0" xfId="3" applyAlignment="1">
      <alignment horizontal="center"/>
    </xf>
    <xf numFmtId="0" fontId="6" fillId="0" borderId="0" xfId="3" applyFont="1" applyAlignment="1">
      <alignment horizontal="right" vertical="center"/>
    </xf>
    <xf numFmtId="44" fontId="0" fillId="3" borderId="0" xfId="4" applyFont="1" applyFill="1" applyAlignment="1" applyProtection="1">
      <alignment vertical="center"/>
      <protection locked="0"/>
    </xf>
    <xf numFmtId="0" fontId="5" fillId="0" borderId="0" xfId="3" applyAlignment="1">
      <alignment vertical="top"/>
    </xf>
    <xf numFmtId="0" fontId="7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9" fillId="0" borderId="0" xfId="3" applyFont="1" applyAlignment="1">
      <alignment vertical="top"/>
    </xf>
    <xf numFmtId="0" fontId="11" fillId="0" borderId="1" xfId="3" applyFont="1" applyBorder="1" applyAlignment="1">
      <alignment horizontal="center" vertical="center"/>
    </xf>
    <xf numFmtId="0" fontId="5" fillId="0" borderId="0" xfId="3" applyAlignment="1">
      <alignment vertical="center"/>
    </xf>
    <xf numFmtId="0" fontId="5" fillId="3" borderId="0" xfId="3" applyFill="1" applyAlignment="1" applyProtection="1">
      <alignment vertical="center"/>
      <protection locked="0"/>
    </xf>
    <xf numFmtId="0" fontId="5" fillId="0" borderId="0" xfId="3" applyFont="1"/>
    <xf numFmtId="49" fontId="5" fillId="3" borderId="0" xfId="3" applyNumberFormat="1" applyFill="1" applyAlignment="1" applyProtection="1">
      <alignment vertical="center"/>
      <protection locked="0"/>
    </xf>
    <xf numFmtId="0" fontId="9" fillId="0" borderId="0" xfId="3" applyFont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0" fontId="10" fillId="0" borderId="0" xfId="3" applyFont="1" applyAlignment="1" applyProtection="1">
      <alignment vertical="center"/>
      <protection locked="0"/>
    </xf>
    <xf numFmtId="166" fontId="0" fillId="3" borderId="1" xfId="4" applyNumberFormat="1" applyFont="1" applyFill="1" applyBorder="1" applyAlignment="1" applyProtection="1">
      <alignment horizontal="center" vertical="center"/>
      <protection locked="0"/>
    </xf>
    <xf numFmtId="44" fontId="5" fillId="0" borderId="0" xfId="3" applyNumberFormat="1" applyFont="1" applyAlignment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0" fontId="5" fillId="0" borderId="0" xfId="3" applyAlignment="1">
      <alignment horizontal="left" vertical="center" wrapText="1"/>
    </xf>
    <xf numFmtId="0" fontId="12" fillId="0" borderId="0" xfId="3" applyFont="1" applyAlignment="1">
      <alignment horizontal="left" vertical="center" wrapText="1"/>
    </xf>
    <xf numFmtId="0" fontId="5" fillId="0" borderId="0" xfId="3" applyFont="1" applyAlignment="1">
      <alignment vertical="center" wrapText="1"/>
    </xf>
    <xf numFmtId="0" fontId="5" fillId="4" borderId="2" xfId="3" applyFill="1" applyBorder="1" applyAlignment="1">
      <alignment vertical="center" wrapText="1"/>
    </xf>
    <xf numFmtId="0" fontId="5" fillId="0" borderId="0" xfId="3" applyAlignment="1">
      <alignment horizontal="center" vertical="center" wrapText="1"/>
    </xf>
    <xf numFmtId="0" fontId="5" fillId="4" borderId="7" xfId="3" applyFont="1" applyFill="1" applyBorder="1" applyAlignment="1">
      <alignment horizontal="center" vertical="center" wrapText="1"/>
    </xf>
    <xf numFmtId="0" fontId="5" fillId="4" borderId="8" xfId="3" applyFill="1" applyBorder="1" applyAlignment="1">
      <alignment horizontal="center" vertical="center" wrapText="1"/>
    </xf>
    <xf numFmtId="0" fontId="5" fillId="4" borderId="9" xfId="3" applyFill="1" applyBorder="1" applyAlignment="1">
      <alignment horizontal="center" vertical="center" wrapText="1"/>
    </xf>
    <xf numFmtId="0" fontId="5" fillId="4" borderId="9" xfId="3" applyFont="1" applyFill="1" applyBorder="1" applyAlignment="1">
      <alignment horizontal="center" vertical="center" wrapText="1"/>
    </xf>
    <xf numFmtId="0" fontId="5" fillId="4" borderId="7" xfId="3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5" fillId="4" borderId="10" xfId="3" applyFont="1" applyFill="1" applyBorder="1" applyAlignment="1">
      <alignment horizontal="center" vertical="center" wrapText="1"/>
    </xf>
    <xf numFmtId="0" fontId="5" fillId="4" borderId="11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right" vertical="center"/>
    </xf>
    <xf numFmtId="44" fontId="0" fillId="0" borderId="12" xfId="4" applyFont="1" applyFill="1" applyBorder="1" applyAlignment="1">
      <alignment vertical="center"/>
    </xf>
    <xf numFmtId="44" fontId="0" fillId="3" borderId="13" xfId="4" applyFont="1" applyFill="1" applyBorder="1" applyAlignment="1" applyProtection="1">
      <alignment vertical="center"/>
      <protection locked="0"/>
    </xf>
    <xf numFmtId="166" fontId="0" fillId="3" borderId="13" xfId="4" applyNumberFormat="1" applyFont="1" applyFill="1" applyBorder="1" applyAlignment="1" applyProtection="1">
      <alignment horizontal="center" vertical="center"/>
      <protection locked="0"/>
    </xf>
    <xf numFmtId="166" fontId="0" fillId="0" borderId="14" xfId="4" applyNumberFormat="1" applyFont="1" applyFill="1" applyBorder="1" applyAlignment="1">
      <alignment horizontal="center" vertical="center"/>
    </xf>
    <xf numFmtId="44" fontId="10" fillId="0" borderId="0" xfId="3" applyNumberFormat="1" applyFont="1" applyAlignment="1">
      <alignment vertical="center"/>
    </xf>
    <xf numFmtId="167" fontId="10" fillId="0" borderId="0" xfId="3" applyNumberFormat="1" applyFont="1" applyAlignment="1">
      <alignment vertical="center"/>
    </xf>
    <xf numFmtId="44" fontId="10" fillId="0" borderId="0" xfId="3" applyNumberFormat="1" applyFont="1" applyBorder="1" applyAlignment="1">
      <alignment vertical="center" wrapText="1"/>
    </xf>
    <xf numFmtId="44" fontId="5" fillId="0" borderId="15" xfId="3" applyNumberFormat="1" applyFont="1" applyBorder="1" applyAlignment="1">
      <alignment vertical="center"/>
    </xf>
    <xf numFmtId="44" fontId="5" fillId="0" borderId="16" xfId="3" applyNumberFormat="1" applyFont="1" applyBorder="1" applyAlignment="1">
      <alignment vertical="center"/>
    </xf>
    <xf numFmtId="166" fontId="0" fillId="0" borderId="13" xfId="4" applyNumberFormat="1" applyFont="1" applyFill="1" applyBorder="1" applyAlignment="1">
      <alignment horizontal="center" vertical="center"/>
    </xf>
    <xf numFmtId="44" fontId="5" fillId="0" borderId="17" xfId="3" applyNumberFormat="1" applyFont="1" applyBorder="1" applyAlignment="1">
      <alignment vertical="center"/>
    </xf>
    <xf numFmtId="44" fontId="0" fillId="0" borderId="18" xfId="4" applyFont="1" applyFill="1" applyBorder="1" applyAlignment="1">
      <alignment vertical="center"/>
    </xf>
    <xf numFmtId="44" fontId="0" fillId="3" borderId="19" xfId="4" applyFont="1" applyFill="1" applyBorder="1" applyAlignment="1" applyProtection="1">
      <alignment vertical="center"/>
      <protection locked="0"/>
    </xf>
    <xf numFmtId="166" fontId="0" fillId="3" borderId="19" xfId="4" applyNumberFormat="1" applyFont="1" applyFill="1" applyBorder="1" applyAlignment="1" applyProtection="1">
      <alignment horizontal="center" vertical="center"/>
      <protection locked="0"/>
    </xf>
    <xf numFmtId="166" fontId="0" fillId="0" borderId="19" xfId="4" applyNumberFormat="1" applyFont="1" applyFill="1" applyBorder="1" applyAlignment="1">
      <alignment horizontal="center" vertical="center"/>
    </xf>
    <xf numFmtId="44" fontId="5" fillId="0" borderId="20" xfId="3" applyNumberFormat="1" applyFont="1" applyBorder="1" applyAlignment="1">
      <alignment vertical="center"/>
    </xf>
    <xf numFmtId="0" fontId="9" fillId="0" borderId="0" xfId="3" applyFont="1" applyAlignment="1">
      <alignment horizontal="right" vertical="center"/>
    </xf>
    <xf numFmtId="0" fontId="5" fillId="0" borderId="8" xfId="3" applyFont="1" applyBorder="1" applyAlignment="1">
      <alignment vertical="center"/>
    </xf>
    <xf numFmtId="44" fontId="9" fillId="0" borderId="8" xfId="3" applyNumberFormat="1" applyFont="1" applyBorder="1" applyAlignment="1">
      <alignment vertical="center"/>
    </xf>
    <xf numFmtId="44" fontId="9" fillId="0" borderId="21" xfId="3" applyNumberFormat="1" applyFont="1" applyBorder="1" applyAlignment="1">
      <alignment vertical="center"/>
    </xf>
    <xf numFmtId="0" fontId="5" fillId="0" borderId="21" xfId="3" applyFont="1" applyBorder="1" applyAlignment="1">
      <alignment vertical="center"/>
    </xf>
    <xf numFmtId="44" fontId="6" fillId="0" borderId="0" xfId="3" applyNumberFormat="1" applyFont="1" applyAlignment="1">
      <alignment vertical="center"/>
    </xf>
    <xf numFmtId="0" fontId="5" fillId="0" borderId="0" xfId="3" applyAlignment="1">
      <alignment horizontal="right" vertical="center"/>
    </xf>
    <xf numFmtId="0" fontId="5" fillId="0" borderId="0" xfId="3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44" fontId="10" fillId="0" borderId="0" xfId="3" applyNumberFormat="1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5" fillId="4" borderId="23" xfId="3" applyFont="1" applyFill="1" applyBorder="1" applyAlignment="1">
      <alignment horizontal="center" vertical="center" wrapText="1"/>
    </xf>
    <xf numFmtId="0" fontId="5" fillId="4" borderId="16" xfId="3" applyFont="1" applyFill="1" applyBorder="1" applyAlignment="1">
      <alignment horizontal="center" vertical="center" wrapText="1"/>
    </xf>
    <xf numFmtId="0" fontId="6" fillId="0" borderId="24" xfId="3" applyFont="1" applyBorder="1" applyAlignment="1">
      <alignment horizontal="right" vertical="center"/>
    </xf>
    <xf numFmtId="44" fontId="5" fillId="0" borderId="25" xfId="3" applyNumberFormat="1" applyFont="1" applyFill="1" applyBorder="1" applyAlignment="1">
      <alignment vertical="center"/>
    </xf>
    <xf numFmtId="44" fontId="5" fillId="0" borderId="26" xfId="3" applyNumberFormat="1" applyFont="1" applyFill="1" applyBorder="1" applyAlignment="1">
      <alignment vertical="center"/>
    </xf>
    <xf numFmtId="2" fontId="5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44" fontId="9" fillId="0" borderId="0" xfId="3" applyNumberFormat="1" applyFont="1" applyAlignment="1">
      <alignment vertical="center"/>
    </xf>
    <xf numFmtId="168" fontId="5" fillId="0" borderId="0" xfId="3" applyNumberFormat="1" applyFont="1" applyAlignment="1">
      <alignment vertical="center"/>
    </xf>
    <xf numFmtId="0" fontId="5" fillId="0" borderId="0" xfId="3" applyFont="1" applyBorder="1" applyAlignment="1">
      <alignment horizontal="center" vertical="center" wrapText="1"/>
    </xf>
    <xf numFmtId="0" fontId="0" fillId="0" borderId="0" xfId="0" applyBorder="1" applyProtection="1"/>
    <xf numFmtId="0" fontId="0" fillId="0" borderId="0" xfId="0" applyProtection="1"/>
    <xf numFmtId="0" fontId="4" fillId="0" borderId="0" xfId="0" applyFont="1" applyBorder="1" applyProtection="1"/>
    <xf numFmtId="43" fontId="4" fillId="0" borderId="0" xfId="2" applyFont="1" applyBorder="1" applyProtection="1"/>
    <xf numFmtId="165" fontId="4" fillId="0" borderId="0" xfId="2" applyNumberFormat="1" applyFont="1" applyBorder="1" applyProtection="1"/>
    <xf numFmtId="0" fontId="4" fillId="0" borderId="28" xfId="0" applyFont="1" applyBorder="1" applyAlignment="1" applyProtection="1">
      <alignment horizontal="center"/>
    </xf>
    <xf numFmtId="43" fontId="15" fillId="0" borderId="29" xfId="2" applyFont="1" applyBorder="1" applyAlignment="1" applyProtection="1">
      <alignment horizontal="center"/>
    </xf>
    <xf numFmtId="43" fontId="15" fillId="0" borderId="29" xfId="2" applyFont="1" applyBorder="1" applyProtection="1"/>
    <xf numFmtId="0" fontId="15" fillId="0" borderId="29" xfId="0" applyFont="1" applyBorder="1" applyProtection="1"/>
    <xf numFmtId="0" fontId="15" fillId="0" borderId="30" xfId="0" applyFont="1" applyBorder="1" applyProtection="1"/>
    <xf numFmtId="164" fontId="0" fillId="0" borderId="31" xfId="2" applyNumberFormat="1" applyFont="1" applyBorder="1" applyAlignment="1" applyProtection="1">
      <alignment horizontal="center"/>
    </xf>
    <xf numFmtId="43" fontId="15" fillId="0" borderId="0" xfId="2" applyNumberFormat="1" applyFont="1" applyBorder="1" applyAlignment="1" applyProtection="1">
      <alignment horizontal="center"/>
    </xf>
    <xf numFmtId="43" fontId="16" fillId="0" borderId="0" xfId="2" applyFont="1" applyBorder="1" applyProtection="1"/>
    <xf numFmtId="164" fontId="15" fillId="0" borderId="0" xfId="2" applyNumberFormat="1" applyFont="1" applyBorder="1" applyProtection="1"/>
    <xf numFmtId="164" fontId="15" fillId="0" borderId="32" xfId="2" applyNumberFormat="1" applyFont="1" applyBorder="1" applyProtection="1"/>
    <xf numFmtId="164" fontId="0" fillId="0" borderId="0" xfId="2" applyNumberFormat="1" applyFont="1" applyProtection="1"/>
    <xf numFmtId="0" fontId="0" fillId="0" borderId="31" xfId="0" applyBorder="1" applyAlignment="1" applyProtection="1">
      <alignment horizontal="center"/>
    </xf>
    <xf numFmtId="0" fontId="15" fillId="5" borderId="0" xfId="0" quotePrefix="1" applyFont="1" applyFill="1" applyBorder="1" applyProtection="1"/>
    <xf numFmtId="43" fontId="16" fillId="7" borderId="0" xfId="2" applyFont="1" applyFill="1" applyBorder="1" applyAlignment="1" applyProtection="1">
      <alignment horizontal="center"/>
    </xf>
    <xf numFmtId="0" fontId="15" fillId="6" borderId="0" xfId="0" applyFont="1" applyFill="1" applyBorder="1" applyProtection="1"/>
    <xf numFmtId="0" fontId="15" fillId="6" borderId="32" xfId="0" applyFont="1" applyFill="1" applyBorder="1" applyProtection="1"/>
    <xf numFmtId="2" fontId="15" fillId="5" borderId="0" xfId="0" quotePrefix="1" applyNumberFormat="1" applyFont="1" applyFill="1" applyBorder="1" applyProtection="1"/>
    <xf numFmtId="0" fontId="15" fillId="0" borderId="0" xfId="0" applyFont="1" applyBorder="1" applyProtection="1"/>
    <xf numFmtId="0" fontId="15" fillId="0" borderId="32" xfId="0" applyFont="1" applyBorder="1" applyProtection="1"/>
    <xf numFmtId="43" fontId="15" fillId="0" borderId="0" xfId="2" applyFont="1" applyBorder="1" applyAlignment="1" applyProtection="1">
      <alignment horizontal="center"/>
    </xf>
    <xf numFmtId="43" fontId="16" fillId="0" borderId="0" xfId="2" applyFont="1" applyBorder="1" applyAlignment="1" applyProtection="1">
      <alignment horizontal="center"/>
    </xf>
    <xf numFmtId="43" fontId="0" fillId="0" borderId="31" xfId="2" applyFont="1" applyBorder="1" applyAlignment="1" applyProtection="1">
      <alignment horizontal="center"/>
    </xf>
    <xf numFmtId="43" fontId="15" fillId="2" borderId="0" xfId="2" applyFont="1" applyFill="1" applyBorder="1" applyAlignment="1" applyProtection="1">
      <alignment horizontal="center"/>
    </xf>
    <xf numFmtId="43" fontId="15" fillId="0" borderId="0" xfId="2" applyFont="1" applyBorder="1" applyProtection="1"/>
    <xf numFmtId="43" fontId="15" fillId="0" borderId="32" xfId="2" applyFont="1" applyBorder="1" applyProtection="1"/>
    <xf numFmtId="43" fontId="0" fillId="0" borderId="0" xfId="2" applyFont="1" applyProtection="1"/>
    <xf numFmtId="43" fontId="0" fillId="0" borderId="33" xfId="2" applyFont="1" applyBorder="1" applyAlignment="1" applyProtection="1">
      <alignment horizontal="center"/>
    </xf>
    <xf numFmtId="43" fontId="15" fillId="2" borderId="34" xfId="2" applyFont="1" applyFill="1" applyBorder="1" applyAlignment="1" applyProtection="1">
      <alignment horizontal="center"/>
    </xf>
    <xf numFmtId="43" fontId="16" fillId="7" borderId="34" xfId="2" applyFont="1" applyFill="1" applyBorder="1" applyAlignment="1" applyProtection="1">
      <alignment horizontal="center"/>
    </xf>
    <xf numFmtId="43" fontId="15" fillId="0" borderId="34" xfId="2" applyFont="1" applyBorder="1" applyProtection="1"/>
    <xf numFmtId="43" fontId="15" fillId="0" borderId="35" xfId="2" applyFont="1" applyBorder="1" applyProtection="1"/>
    <xf numFmtId="43" fontId="0" fillId="0" borderId="0" xfId="2" applyFont="1" applyBorder="1" applyAlignment="1" applyProtection="1">
      <alignment horizontal="center"/>
    </xf>
    <xf numFmtId="43" fontId="16" fillId="0" borderId="29" xfId="2" applyFont="1" applyBorder="1" applyAlignment="1" applyProtection="1">
      <alignment horizontal="center"/>
    </xf>
    <xf numFmtId="0" fontId="4" fillId="0" borderId="27" xfId="0" applyFont="1" applyBorder="1" applyAlignment="1" applyProtection="1">
      <alignment horizontal="center"/>
    </xf>
    <xf numFmtId="43" fontId="15" fillId="0" borderId="27" xfId="2" applyFont="1" applyBorder="1" applyAlignment="1" applyProtection="1">
      <alignment horizontal="center"/>
    </xf>
    <xf numFmtId="43" fontId="16" fillId="0" borderId="27" xfId="2" applyFont="1" applyBorder="1" applyAlignment="1" applyProtection="1">
      <alignment horizontal="center"/>
    </xf>
    <xf numFmtId="43" fontId="15" fillId="0" borderId="27" xfId="2" applyFont="1" applyBorder="1" applyProtection="1"/>
    <xf numFmtId="43" fontId="15" fillId="0" borderId="37" xfId="2" applyFont="1" applyBorder="1" applyProtection="1"/>
    <xf numFmtId="164" fontId="0" fillId="0" borderId="0" xfId="2" applyNumberFormat="1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3" fontId="15" fillId="5" borderId="0" xfId="2" applyFont="1" applyFill="1" applyBorder="1" applyAlignment="1" applyProtection="1">
      <alignment horizontal="center"/>
    </xf>
    <xf numFmtId="43" fontId="15" fillId="6" borderId="0" xfId="2" applyFont="1" applyFill="1" applyBorder="1" applyProtection="1"/>
    <xf numFmtId="43" fontId="0" fillId="0" borderId="36" xfId="2" applyFont="1" applyBorder="1" applyAlignment="1" applyProtection="1">
      <alignment horizontal="center"/>
    </xf>
    <xf numFmtId="43" fontId="15" fillId="0" borderId="36" xfId="2" applyFont="1" applyBorder="1" applyAlignment="1" applyProtection="1">
      <alignment horizontal="center"/>
    </xf>
    <xf numFmtId="43" fontId="16" fillId="0" borderId="36" xfId="2" applyFont="1" applyFill="1" applyBorder="1" applyAlignment="1" applyProtection="1">
      <alignment horizontal="center"/>
    </xf>
    <xf numFmtId="43" fontId="15" fillId="0" borderId="36" xfId="2" applyFont="1" applyBorder="1" applyProtection="1"/>
    <xf numFmtId="43" fontId="15" fillId="0" borderId="38" xfId="2" applyFont="1" applyBorder="1" applyProtection="1"/>
    <xf numFmtId="0" fontId="4" fillId="0" borderId="0" xfId="0" applyFont="1" applyBorder="1" applyAlignment="1" applyProtection="1">
      <alignment horizontal="center"/>
    </xf>
    <xf numFmtId="43" fontId="0" fillId="0" borderId="0" xfId="2" applyFont="1" applyFill="1" applyBorder="1" applyAlignment="1" applyProtection="1">
      <alignment horizontal="center"/>
    </xf>
    <xf numFmtId="43" fontId="15" fillId="0" borderId="0" xfId="2" applyFont="1" applyProtection="1"/>
    <xf numFmtId="0" fontId="15" fillId="0" borderId="0" xfId="0" applyFont="1" applyProtection="1"/>
    <xf numFmtId="43" fontId="15" fillId="0" borderId="0" xfId="2" applyFont="1" applyFill="1" applyBorder="1" applyAlignment="1" applyProtection="1">
      <alignment horizontal="center"/>
    </xf>
    <xf numFmtId="43" fontId="15" fillId="0" borderId="0" xfId="2" applyNumberFormat="1" applyFont="1" applyFill="1" applyBorder="1" applyAlignment="1" applyProtection="1">
      <alignment horizontal="center"/>
    </xf>
    <xf numFmtId="0" fontId="15" fillId="0" borderId="0" xfId="0" quotePrefix="1" applyFont="1" applyFill="1" applyProtection="1"/>
    <xf numFmtId="43" fontId="15" fillId="2" borderId="0" xfId="2" applyNumberFormat="1" applyFont="1" applyFill="1" applyBorder="1" applyAlignment="1" applyProtection="1">
      <alignment horizontal="center"/>
    </xf>
    <xf numFmtId="43" fontId="15" fillId="2" borderId="34" xfId="2" applyNumberFormat="1" applyFont="1" applyFill="1" applyBorder="1" applyAlignment="1" applyProtection="1">
      <alignment horizontal="center"/>
    </xf>
    <xf numFmtId="0" fontId="10" fillId="0" borderId="0" xfId="3" applyFont="1" applyAlignment="1">
      <alignment horizontal="center" vertical="center"/>
    </xf>
    <xf numFmtId="0" fontId="5" fillId="4" borderId="8" xfId="3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distributed"/>
    </xf>
    <xf numFmtId="0" fontId="5" fillId="0" borderId="0" xfId="3" applyFont="1" applyBorder="1" applyAlignment="1">
      <alignment horizontal="left" vertical="center" wrapText="1"/>
    </xf>
    <xf numFmtId="0" fontId="10" fillId="0" borderId="0" xfId="3" applyFont="1" applyAlignment="1">
      <alignment horizontal="center" vertical="center"/>
    </xf>
    <xf numFmtId="0" fontId="5" fillId="4" borderId="8" xfId="3" applyFill="1" applyBorder="1" applyAlignment="1">
      <alignment horizontal="center" vertical="center" wrapText="1"/>
    </xf>
    <xf numFmtId="0" fontId="5" fillId="0" borderId="0" xfId="3" applyAlignment="1">
      <alignment horizontal="center" wrapText="1"/>
    </xf>
    <xf numFmtId="0" fontId="5" fillId="0" borderId="0" xfId="3" applyFont="1" applyAlignment="1">
      <alignment horizontal="center" wrapText="1"/>
    </xf>
    <xf numFmtId="44" fontId="9" fillId="0" borderId="8" xfId="3" applyNumberFormat="1" applyFont="1" applyBorder="1" applyAlignment="1">
      <alignment horizontal="center" vertical="center"/>
    </xf>
    <xf numFmtId="0" fontId="9" fillId="4" borderId="0" xfId="3" applyFont="1" applyFill="1" applyAlignment="1">
      <alignment horizontal="center" vertical="center"/>
    </xf>
    <xf numFmtId="0" fontId="5" fillId="4" borderId="3" xfId="3" applyFill="1" applyBorder="1" applyAlignment="1">
      <alignment horizontal="center" vertical="center" wrapText="1"/>
    </xf>
    <xf numFmtId="0" fontId="5" fillId="4" borderId="4" xfId="3" applyFill="1" applyBorder="1" applyAlignment="1">
      <alignment horizontal="center" vertical="center" wrapText="1"/>
    </xf>
    <xf numFmtId="0" fontId="5" fillId="4" borderId="5" xfId="3" applyFill="1" applyBorder="1" applyAlignment="1">
      <alignment horizontal="center" vertical="center" wrapText="1"/>
    </xf>
    <xf numFmtId="0" fontId="5" fillId="4" borderId="6" xfId="3" applyFont="1" applyFill="1" applyBorder="1" applyAlignment="1">
      <alignment horizontal="center" vertical="center" wrapText="1"/>
    </xf>
    <xf numFmtId="44" fontId="9" fillId="0" borderId="10" xfId="3" applyNumberFormat="1" applyFont="1" applyBorder="1" applyAlignment="1">
      <alignment horizontal="center" vertical="center"/>
    </xf>
    <xf numFmtId="44" fontId="9" fillId="0" borderId="22" xfId="3" applyNumberFormat="1" applyFont="1" applyBorder="1" applyAlignment="1">
      <alignment horizontal="center" vertical="center"/>
    </xf>
    <xf numFmtId="0" fontId="0" fillId="0" borderId="0" xfId="0" applyBorder="1" applyAlignment="1" applyProtection="1">
      <alignment vertical="center"/>
    </xf>
    <xf numFmtId="43" fontId="0" fillId="0" borderId="0" xfId="2" applyFont="1" applyAlignment="1" applyProtection="1">
      <alignment vertical="center"/>
    </xf>
    <xf numFmtId="0" fontId="0" fillId="0" borderId="0" xfId="0" applyAlignment="1" applyProtection="1">
      <alignment vertical="center"/>
    </xf>
    <xf numFmtId="43" fontId="4" fillId="4" borderId="0" xfId="2" applyFont="1" applyFill="1" applyBorder="1" applyAlignment="1" applyProtection="1">
      <alignment horizontal="centerContinuous" vertical="center"/>
    </xf>
    <xf numFmtId="0" fontId="4" fillId="4" borderId="0" xfId="0" applyFont="1" applyFill="1" applyBorder="1" applyAlignment="1" applyProtection="1">
      <alignment horizontal="center" vertical="center"/>
    </xf>
    <xf numFmtId="43" fontId="4" fillId="4" borderId="0" xfId="2" applyFont="1" applyFill="1" applyBorder="1" applyAlignment="1" applyProtection="1">
      <alignment vertical="center"/>
    </xf>
    <xf numFmtId="0" fontId="4" fillId="4" borderId="0" xfId="0" applyFont="1" applyFill="1" applyBorder="1" applyAlignment="1" applyProtection="1">
      <alignment vertical="center"/>
    </xf>
    <xf numFmtId="0" fontId="4" fillId="0" borderId="0" xfId="0" applyFont="1" applyAlignment="1" applyProtection="1">
      <alignment vertical="center"/>
    </xf>
  </cellXfs>
  <cellStyles count="5">
    <cellStyle name="Lien hypertexte" xfId="1" builtinId="8"/>
    <cellStyle name="Milliers" xfId="2" builtinId="3"/>
    <cellStyle name="Monétaire 2" xfId="4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$C$11" lockText="1" noThreeD="1"/>
</file>

<file path=xl/ctrlProps/ctrlProp2.xml><?xml version="1.0" encoding="utf-8"?>
<formControlPr xmlns="http://schemas.microsoft.com/office/spreadsheetml/2009/9/main" objectType="Radio" checked="Checked" firstButton="1" fmlaLink="$C$7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firstButton="1" fmlaLink="$C$11" lockText="1" noThreeD="1"/>
</file>

<file path=xl/ctrlProps/ctrlProp8.xml><?xml version="1.0" encoding="utf-8"?>
<formControlPr xmlns="http://schemas.microsoft.com/office/spreadsheetml/2009/9/main" objectType="Radio" checked="Checked" firstButton="1" fmlaLink="$C$7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checked="Checked" firstButton="1" fmlaLink="$C$11" lockText="1" noThreeD="1"/>
</file>

<file path=xl/ctrlProps/ctrlProp14.xml><?xml version="1.0" encoding="utf-8"?>
<formControlPr xmlns="http://schemas.microsoft.com/office/spreadsheetml/2009/9/main" objectType="Radio" checked="Checked" firstButton="1" fmlaLink="$C$7" lockText="1" noThreeD="1"/>
</file>

<file path=xl/ctrlProps/ctrlProp15.xml><?xml version="1.0" encoding="utf-8"?>
<formControlPr xmlns="http://schemas.microsoft.com/office/spreadsheetml/2009/9/main" objectType="GBox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704850</xdr:colOff>
          <xdr:row>9</xdr:row>
          <xdr:rowOff>266700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Progressive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66675</xdr:rowOff>
        </xdr:from>
        <xdr:to>
          <xdr:col>3</xdr:col>
          <xdr:colOff>57150</xdr:colOff>
          <xdr:row>4</xdr:row>
          <xdr:rowOff>285750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19 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228600</xdr:rowOff>
        </xdr:from>
        <xdr:to>
          <xdr:col>5</xdr:col>
          <xdr:colOff>314325</xdr:colOff>
          <xdr:row>5</xdr:row>
          <xdr:rowOff>66675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l'effectif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114300</xdr:rowOff>
        </xdr:from>
        <xdr:to>
          <xdr:col>4</xdr:col>
          <xdr:colOff>323850</xdr:colOff>
          <xdr:row>11</xdr:row>
          <xdr:rowOff>19050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le mode de 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9</xdr:row>
          <xdr:rowOff>57150</xdr:rowOff>
        </xdr:from>
        <xdr:to>
          <xdr:col>4</xdr:col>
          <xdr:colOff>28575</xdr:colOff>
          <xdr:row>9</xdr:row>
          <xdr:rowOff>276225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66675</xdr:rowOff>
        </xdr:from>
        <xdr:to>
          <xdr:col>5</xdr:col>
          <xdr:colOff>57150</xdr:colOff>
          <xdr:row>4</xdr:row>
          <xdr:rowOff>285750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19 salariés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704850</xdr:colOff>
          <xdr:row>9</xdr:row>
          <xdr:rowOff>266700</xdr:rowOff>
        </xdr:to>
        <xdr:sp macro="" textlink="">
          <xdr:nvSpPr>
            <xdr:cNvPr id="4097" name="Option 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Progressive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66675</xdr:rowOff>
        </xdr:from>
        <xdr:to>
          <xdr:col>3</xdr:col>
          <xdr:colOff>57150</xdr:colOff>
          <xdr:row>4</xdr:row>
          <xdr:rowOff>285750</xdr:rowOff>
        </xdr:to>
        <xdr:sp macro="" textlink="">
          <xdr:nvSpPr>
            <xdr:cNvPr id="4098" name="Option 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19 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228600</xdr:rowOff>
        </xdr:from>
        <xdr:to>
          <xdr:col>5</xdr:col>
          <xdr:colOff>314325</xdr:colOff>
          <xdr:row>5</xdr:row>
          <xdr:rowOff>66675</xdr:rowOff>
        </xdr:to>
        <xdr:sp macro="" textlink="">
          <xdr:nvSpPr>
            <xdr:cNvPr id="4099" name="Group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l'effectif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114300</xdr:rowOff>
        </xdr:from>
        <xdr:to>
          <xdr:col>4</xdr:col>
          <xdr:colOff>323850</xdr:colOff>
          <xdr:row>11</xdr:row>
          <xdr:rowOff>19050</xdr:rowOff>
        </xdr:to>
        <xdr:sp macro="" textlink="">
          <xdr:nvSpPr>
            <xdr:cNvPr id="4100" name="Group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le mode de 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9</xdr:row>
          <xdr:rowOff>57150</xdr:rowOff>
        </xdr:from>
        <xdr:to>
          <xdr:col>4</xdr:col>
          <xdr:colOff>28575</xdr:colOff>
          <xdr:row>9</xdr:row>
          <xdr:rowOff>276225</xdr:rowOff>
        </xdr:to>
        <xdr:sp macro="" textlink="">
          <xdr:nvSpPr>
            <xdr:cNvPr id="4101" name="Option 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66675</xdr:rowOff>
        </xdr:from>
        <xdr:to>
          <xdr:col>5</xdr:col>
          <xdr:colOff>57150</xdr:colOff>
          <xdr:row>4</xdr:row>
          <xdr:rowOff>285750</xdr:rowOff>
        </xdr:to>
        <xdr:sp macro="" textlink="">
          <xdr:nvSpPr>
            <xdr:cNvPr id="4102" name="Option 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19 salariés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704850</xdr:colOff>
          <xdr:row>9</xdr:row>
          <xdr:rowOff>266700</xdr:rowOff>
        </xdr:to>
        <xdr:sp macro="" textlink="">
          <xdr:nvSpPr>
            <xdr:cNvPr id="5121" name="Option 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Progressive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66675</xdr:rowOff>
        </xdr:from>
        <xdr:to>
          <xdr:col>3</xdr:col>
          <xdr:colOff>57150</xdr:colOff>
          <xdr:row>4</xdr:row>
          <xdr:rowOff>285750</xdr:rowOff>
        </xdr:to>
        <xdr:sp macro="" textlink="">
          <xdr:nvSpPr>
            <xdr:cNvPr id="5122" name="Option 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19 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228600</xdr:rowOff>
        </xdr:from>
        <xdr:to>
          <xdr:col>5</xdr:col>
          <xdr:colOff>314325</xdr:colOff>
          <xdr:row>5</xdr:row>
          <xdr:rowOff>66675</xdr:rowOff>
        </xdr:to>
        <xdr:sp macro="" textlink="">
          <xdr:nvSpPr>
            <xdr:cNvPr id="5123" name="Group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l'effectif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114300</xdr:rowOff>
        </xdr:from>
        <xdr:to>
          <xdr:col>4</xdr:col>
          <xdr:colOff>323850</xdr:colOff>
          <xdr:row>11</xdr:row>
          <xdr:rowOff>19050</xdr:rowOff>
        </xdr:to>
        <xdr:sp macro="" textlink="">
          <xdr:nvSpPr>
            <xdr:cNvPr id="5124" name="Group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le mode de 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9</xdr:row>
          <xdr:rowOff>57150</xdr:rowOff>
        </xdr:from>
        <xdr:to>
          <xdr:col>4</xdr:col>
          <xdr:colOff>28575</xdr:colOff>
          <xdr:row>9</xdr:row>
          <xdr:rowOff>276225</xdr:rowOff>
        </xdr:to>
        <xdr:sp macro="" textlink="">
          <xdr:nvSpPr>
            <xdr:cNvPr id="5125" name="Option 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66675</xdr:rowOff>
        </xdr:from>
        <xdr:to>
          <xdr:col>5</xdr:col>
          <xdr:colOff>57150</xdr:colOff>
          <xdr:row>4</xdr:row>
          <xdr:rowOff>285750</xdr:rowOff>
        </xdr:to>
        <xdr:sp macro="" textlink="">
          <xdr:nvSpPr>
            <xdr:cNvPr id="5126" name="Option 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19 salariés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4</xdr:col>
      <xdr:colOff>114300</xdr:colOff>
      <xdr:row>6</xdr:row>
      <xdr:rowOff>95250</xdr:rowOff>
    </xdr:to>
    <xdr:sp macro="[0]!NouvelEmployé" textlink="">
      <xdr:nvSpPr>
        <xdr:cNvPr id="2" name="ZoneTexte 1"/>
        <xdr:cNvSpPr txBox="1"/>
      </xdr:nvSpPr>
      <xdr:spPr>
        <a:xfrm>
          <a:off x="5229225" y="1066800"/>
          <a:ext cx="1238250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</a:t>
          </a:r>
          <a:r>
            <a:rPr lang="fr-FR" sz="1100" baseline="0">
              <a:solidFill>
                <a:srgbClr val="0000FF"/>
              </a:solidFill>
            </a:rPr>
            <a:t> employé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6</xdr:col>
      <xdr:colOff>457199</xdr:colOff>
      <xdr:row>2</xdr:row>
      <xdr:rowOff>19049</xdr:rowOff>
    </xdr:from>
    <xdr:to>
      <xdr:col>11</xdr:col>
      <xdr:colOff>638174</xdr:colOff>
      <xdr:row>5</xdr:row>
      <xdr:rowOff>47625</xdr:rowOff>
    </xdr:to>
    <xdr:sp macro="" textlink="">
      <xdr:nvSpPr>
        <xdr:cNvPr id="4" name="ZoneTexte 3"/>
        <xdr:cNvSpPr txBox="1"/>
      </xdr:nvSpPr>
      <xdr:spPr>
        <a:xfrm>
          <a:off x="8334374" y="514349"/>
          <a:ext cx="3990975" cy="600076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F0"/>
              </a:solidFill>
            </a:rPr>
            <a:t>Eviter</a:t>
          </a:r>
          <a:r>
            <a:rPr lang="fr-FR" sz="1100" baseline="0">
              <a:solidFill>
                <a:srgbClr val="00B0F0"/>
              </a:solidFill>
            </a:rPr>
            <a:t> les cellules fusionnées : les macros n'aiment pas... Il vaut mieux centrer la cellule sur plusieurs colonnes.</a:t>
          </a:r>
          <a:endParaRPr lang="fr-FR" sz="1100">
            <a:solidFill>
              <a:srgbClr val="00B0F0"/>
            </a:solidFill>
          </a:endParaRPr>
        </a:p>
      </xdr:txBody>
    </xdr:sp>
    <xdr:clientData fPrintsWithSheet="0"/>
  </xdr:twoCellAnchor>
  <xdr:twoCellAnchor editAs="oneCell">
    <xdr:from>
      <xdr:col>5</xdr:col>
      <xdr:colOff>219077</xdr:colOff>
      <xdr:row>1</xdr:row>
      <xdr:rowOff>66675</xdr:rowOff>
    </xdr:from>
    <xdr:to>
      <xdr:col>6</xdr:col>
      <xdr:colOff>457199</xdr:colOff>
      <xdr:row>3</xdr:row>
      <xdr:rowOff>128587</xdr:rowOff>
    </xdr:to>
    <xdr:cxnSp macro="">
      <xdr:nvCxnSpPr>
        <xdr:cNvPr id="12" name="Connecteur droit avec flèche 11"/>
        <xdr:cNvCxnSpPr>
          <a:stCxn id="4" idx="1"/>
        </xdr:cNvCxnSpPr>
      </xdr:nvCxnSpPr>
      <xdr:spPr>
        <a:xfrm flipH="1" flipV="1">
          <a:off x="7334252" y="371475"/>
          <a:ext cx="1000122" cy="4429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oneCell">
    <xdr:from>
      <xdr:col>6</xdr:col>
      <xdr:colOff>438149</xdr:colOff>
      <xdr:row>5</xdr:row>
      <xdr:rowOff>161923</xdr:rowOff>
    </xdr:from>
    <xdr:to>
      <xdr:col>11</xdr:col>
      <xdr:colOff>619124</xdr:colOff>
      <xdr:row>9</xdr:row>
      <xdr:rowOff>180974</xdr:rowOff>
    </xdr:to>
    <xdr:sp macro="" textlink="">
      <xdr:nvSpPr>
        <xdr:cNvPr id="16" name="ZoneTexte 15"/>
        <xdr:cNvSpPr txBox="1"/>
      </xdr:nvSpPr>
      <xdr:spPr>
        <a:xfrm>
          <a:off x="8315324" y="1228723"/>
          <a:ext cx="3990975" cy="781051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rgbClr val="00B0F0"/>
              </a:solidFill>
            </a:rPr>
            <a:t>Si on change "SALAIRE BRUT", la macro ne marchera plus. Elle a besoin de ce titre pour repérer où elle doit inserer la cololnne d'un nouvel employé.</a:t>
          </a:r>
          <a:endParaRPr lang="fr-FR" sz="1100">
            <a:solidFill>
              <a:srgbClr val="00B0F0"/>
            </a:solidFill>
          </a:endParaRPr>
        </a:p>
      </xdr:txBody>
    </xdr:sp>
    <xdr:clientData fPrintsWithSheet="0"/>
  </xdr:twoCellAnchor>
  <xdr:twoCellAnchor editAs="oneCell">
    <xdr:from>
      <xdr:col>3</xdr:col>
      <xdr:colOff>895350</xdr:colOff>
      <xdr:row>7</xdr:row>
      <xdr:rowOff>61912</xdr:rowOff>
    </xdr:from>
    <xdr:to>
      <xdr:col>6</xdr:col>
      <xdr:colOff>447674</xdr:colOff>
      <xdr:row>11</xdr:row>
      <xdr:rowOff>133350</xdr:rowOff>
    </xdr:to>
    <xdr:cxnSp macro="">
      <xdr:nvCxnSpPr>
        <xdr:cNvPr id="17" name="Connecteur droit avec flèche 16"/>
        <xdr:cNvCxnSpPr/>
      </xdr:nvCxnSpPr>
      <xdr:spPr>
        <a:xfrm flipH="1">
          <a:off x="6124575" y="1509712"/>
          <a:ext cx="2200274" cy="8334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chin@machine,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10" Type="http://schemas.openxmlformats.org/officeDocument/2006/relationships/comments" Target="../comments3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69"/>
  <sheetViews>
    <sheetView showGridLines="0" showRowColHeaders="0" workbookViewId="0">
      <selection activeCell="I11" sqref="I11"/>
    </sheetView>
  </sheetViews>
  <sheetFormatPr baseColWidth="10" defaultRowHeight="15"/>
  <cols>
    <col min="3" max="3" width="18.140625" bestFit="1" customWidth="1"/>
    <col min="4" max="4" width="13" bestFit="1" customWidth="1"/>
    <col min="5" max="5" width="13.28515625" bestFit="1" customWidth="1"/>
    <col min="6" max="6" width="21.42578125" bestFit="1" customWidth="1"/>
    <col min="7" max="7" width="15.7109375" bestFit="1" customWidth="1"/>
    <col min="9" max="9" width="16" bestFit="1" customWidth="1"/>
    <col min="10" max="10" width="16.7109375" bestFit="1" customWidth="1"/>
    <col min="11" max="11" width="29.28515625" bestFit="1" customWidth="1"/>
    <col min="15" max="15" width="13.7109375" bestFit="1" customWidth="1"/>
    <col min="22" max="22" width="11.42578125" customWidth="1"/>
  </cols>
  <sheetData>
    <row r="1" spans="2:22" ht="15.75" thickBot="1"/>
    <row r="2" spans="2:22" ht="15.75" thickBot="1">
      <c r="B2" t="s">
        <v>22</v>
      </c>
      <c r="F2" s="2" t="s">
        <v>68</v>
      </c>
    </row>
    <row r="3" spans="2:22" ht="15.75" thickBot="1">
      <c r="V3" t="s">
        <v>60</v>
      </c>
    </row>
    <row r="4" spans="2:22" ht="15.75" thickBot="1">
      <c r="B4" t="s">
        <v>23</v>
      </c>
      <c r="F4" s="2">
        <v>1</v>
      </c>
      <c r="V4" t="s">
        <v>61</v>
      </c>
    </row>
    <row r="5" spans="2:22" ht="15.75" thickBot="1"/>
    <row r="6" spans="2:22" ht="15.75" thickBot="1">
      <c r="B6" t="s">
        <v>24</v>
      </c>
      <c r="F6" s="2">
        <v>5</v>
      </c>
    </row>
    <row r="7" spans="2:22" ht="15.75" thickBot="1"/>
    <row r="8" spans="2:22" ht="15.75" thickBot="1">
      <c r="B8" t="s">
        <v>25</v>
      </c>
      <c r="F8" s="2">
        <v>30</v>
      </c>
    </row>
    <row r="9" spans="2:22" ht="15.75" thickBot="1"/>
    <row r="10" spans="2:22" ht="15.75" thickBot="1">
      <c r="B10" t="s">
        <v>28</v>
      </c>
      <c r="F10" s="2" t="s">
        <v>35</v>
      </c>
      <c r="V10" t="s">
        <v>34</v>
      </c>
    </row>
    <row r="11" spans="2:22" ht="15.75" thickBot="1">
      <c r="V11" t="s">
        <v>35</v>
      </c>
    </row>
    <row r="12" spans="2:22" ht="15.75" thickBot="1">
      <c r="B12" t="s">
        <v>26</v>
      </c>
      <c r="F12" s="7" t="s">
        <v>69</v>
      </c>
    </row>
    <row r="13" spans="2:22" ht="15.75" thickBot="1"/>
    <row r="14" spans="2:22" ht="15.75" thickBot="1">
      <c r="B14" t="s">
        <v>27</v>
      </c>
      <c r="F14" s="2" t="s">
        <v>70</v>
      </c>
      <c r="V14">
        <v>1</v>
      </c>
    </row>
    <row r="15" spans="2:22" ht="15.75" thickBot="1">
      <c r="V15">
        <v>2</v>
      </c>
    </row>
    <row r="16" spans="2:22" ht="15.75" thickBot="1">
      <c r="B16" t="s">
        <v>30</v>
      </c>
      <c r="F16" s="2" t="s">
        <v>61</v>
      </c>
      <c r="V16">
        <v>3</v>
      </c>
    </row>
    <row r="17" spans="2:22" ht="15.75" thickBot="1">
      <c r="V17">
        <v>4</v>
      </c>
    </row>
    <row r="18" spans="2:22" ht="15.75" thickBot="1">
      <c r="B18" t="s">
        <v>31</v>
      </c>
      <c r="F18" s="2" t="s">
        <v>60</v>
      </c>
      <c r="V18">
        <v>5</v>
      </c>
    </row>
    <row r="19" spans="2:22" ht="15.75" thickBot="1">
      <c r="V19">
        <v>6</v>
      </c>
    </row>
    <row r="20" spans="2:22" ht="15.75" thickBot="1">
      <c r="B20" t="s">
        <v>32</v>
      </c>
      <c r="F20" s="2" t="s">
        <v>61</v>
      </c>
      <c r="V20">
        <v>7</v>
      </c>
    </row>
    <row r="21" spans="2:22" ht="15.75" thickBot="1">
      <c r="B21" t="s">
        <v>33</v>
      </c>
      <c r="F21" s="2" t="s">
        <v>71</v>
      </c>
      <c r="V21">
        <v>8</v>
      </c>
    </row>
    <row r="22" spans="2:22">
      <c r="V22">
        <v>9</v>
      </c>
    </row>
    <row r="23" spans="2:22" ht="18.75">
      <c r="B23" s="3" t="s">
        <v>0</v>
      </c>
      <c r="C23" s="3"/>
      <c r="D23" s="3"/>
      <c r="V23">
        <v>10</v>
      </c>
    </row>
    <row r="24" spans="2:22">
      <c r="V24">
        <v>11</v>
      </c>
    </row>
    <row r="25" spans="2:22">
      <c r="V25">
        <v>12</v>
      </c>
    </row>
    <row r="26" spans="2:22" s="1" customFormat="1" ht="45">
      <c r="B26" s="1" t="s">
        <v>5</v>
      </c>
      <c r="C26" s="1" t="s">
        <v>67</v>
      </c>
      <c r="D26" s="1" t="s">
        <v>6</v>
      </c>
      <c r="E26" s="1" t="s">
        <v>7</v>
      </c>
      <c r="F26" s="1" t="s">
        <v>8</v>
      </c>
      <c r="G26" s="1" t="s">
        <v>9</v>
      </c>
      <c r="H26" s="1" t="s">
        <v>49</v>
      </c>
      <c r="I26" s="1" t="s">
        <v>50</v>
      </c>
      <c r="J26" s="1" t="s">
        <v>51</v>
      </c>
      <c r="K26" s="1" t="s">
        <v>29</v>
      </c>
      <c r="L26" s="1" t="s">
        <v>19</v>
      </c>
      <c r="M26" s="1" t="s">
        <v>20</v>
      </c>
      <c r="N26" s="1" t="s">
        <v>21</v>
      </c>
      <c r="O26" s="1" t="s">
        <v>57</v>
      </c>
      <c r="P26" s="1" t="s">
        <v>58</v>
      </c>
      <c r="Q26" s="1" t="s">
        <v>59</v>
      </c>
      <c r="V26">
        <v>13</v>
      </c>
    </row>
    <row r="27" spans="2:22">
      <c r="B27" t="s">
        <v>1</v>
      </c>
      <c r="C27" t="s">
        <v>164</v>
      </c>
      <c r="D27" s="8">
        <v>38838</v>
      </c>
      <c r="G27" t="s">
        <v>71</v>
      </c>
      <c r="J27" t="s">
        <v>55</v>
      </c>
      <c r="Q27" t="s">
        <v>65</v>
      </c>
      <c r="V27">
        <v>14</v>
      </c>
    </row>
    <row r="28" spans="2:22">
      <c r="B28" t="s">
        <v>2</v>
      </c>
      <c r="C28" t="s">
        <v>150</v>
      </c>
      <c r="J28" t="s">
        <v>56</v>
      </c>
      <c r="K28" t="s">
        <v>12</v>
      </c>
      <c r="V28">
        <v>15</v>
      </c>
    </row>
    <row r="29" spans="2:22">
      <c r="B29" t="s">
        <v>3</v>
      </c>
      <c r="J29" t="s">
        <v>53</v>
      </c>
      <c r="K29" t="s">
        <v>18</v>
      </c>
      <c r="V29">
        <v>16</v>
      </c>
    </row>
    <row r="30" spans="2:22">
      <c r="B30" t="s">
        <v>4</v>
      </c>
      <c r="J30" t="s">
        <v>54</v>
      </c>
      <c r="V30">
        <v>17</v>
      </c>
    </row>
    <row r="31" spans="2:22">
      <c r="V31">
        <v>18</v>
      </c>
    </row>
    <row r="32" spans="2:22">
      <c r="V32">
        <v>19</v>
      </c>
    </row>
    <row r="33" spans="22:22">
      <c r="V33">
        <v>20</v>
      </c>
    </row>
    <row r="34" spans="22:22">
      <c r="V34">
        <v>21</v>
      </c>
    </row>
    <row r="35" spans="22:22">
      <c r="V35">
        <v>22</v>
      </c>
    </row>
    <row r="36" spans="22:22">
      <c r="V36">
        <v>23</v>
      </c>
    </row>
    <row r="37" spans="22:22">
      <c r="V37">
        <v>24</v>
      </c>
    </row>
    <row r="38" spans="22:22">
      <c r="V38">
        <v>25</v>
      </c>
    </row>
    <row r="39" spans="22:22">
      <c r="V39">
        <v>26</v>
      </c>
    </row>
    <row r="40" spans="22:22">
      <c r="V40">
        <v>27</v>
      </c>
    </row>
    <row r="41" spans="22:22">
      <c r="V41">
        <v>28</v>
      </c>
    </row>
    <row r="42" spans="22:22">
      <c r="V42">
        <v>29</v>
      </c>
    </row>
    <row r="43" spans="22:22">
      <c r="V43">
        <v>30</v>
      </c>
    </row>
    <row r="44" spans="22:22">
      <c r="V44">
        <v>31</v>
      </c>
    </row>
    <row r="46" spans="22:22">
      <c r="V46" t="s">
        <v>55</v>
      </c>
    </row>
    <row r="47" spans="22:22">
      <c r="V47" t="s">
        <v>56</v>
      </c>
    </row>
    <row r="48" spans="22:22">
      <c r="V48" t="s">
        <v>52</v>
      </c>
    </row>
    <row r="49" spans="22:22">
      <c r="V49" t="s">
        <v>53</v>
      </c>
    </row>
    <row r="50" spans="22:22">
      <c r="V50" t="s">
        <v>54</v>
      </c>
    </row>
    <row r="54" spans="22:22">
      <c r="V54" t="s">
        <v>10</v>
      </c>
    </row>
    <row r="55" spans="22:22">
      <c r="V55" t="s">
        <v>11</v>
      </c>
    </row>
    <row r="56" spans="22:22">
      <c r="V56" t="s">
        <v>12</v>
      </c>
    </row>
    <row r="57" spans="22:22">
      <c r="V57" t="s">
        <v>13</v>
      </c>
    </row>
    <row r="58" spans="22:22">
      <c r="V58" t="s">
        <v>14</v>
      </c>
    </row>
    <row r="59" spans="22:22">
      <c r="V59" t="s">
        <v>15</v>
      </c>
    </row>
    <row r="60" spans="22:22">
      <c r="V60" t="s">
        <v>16</v>
      </c>
    </row>
    <row r="61" spans="22:22">
      <c r="V61" t="s">
        <v>17</v>
      </c>
    </row>
    <row r="62" spans="22:22">
      <c r="V62" t="s">
        <v>18</v>
      </c>
    </row>
    <row r="65" spans="22:22">
      <c r="V65" t="s">
        <v>62</v>
      </c>
    </row>
    <row r="66" spans="22:22">
      <c r="V66" t="s">
        <v>63</v>
      </c>
    </row>
    <row r="67" spans="22:22">
      <c r="V67" t="s">
        <v>64</v>
      </c>
    </row>
    <row r="68" spans="22:22">
      <c r="V68" t="s">
        <v>65</v>
      </c>
    </row>
    <row r="69" spans="22:22">
      <c r="V69" t="s">
        <v>66</v>
      </c>
    </row>
  </sheetData>
  <autoFilter ref="B26:Q26"/>
  <dataValidations count="6">
    <dataValidation type="list" allowBlank="1" showInputMessage="1" showErrorMessage="1" sqref="J27:J30">
      <formula1>$V$46:$V$50</formula1>
    </dataValidation>
    <dataValidation type="list" allowBlank="1" showInputMessage="1" showErrorMessage="1" sqref="F8">
      <formula1>$V$13:$V$44</formula1>
    </dataValidation>
    <dataValidation type="list" allowBlank="1" showInputMessage="1" showErrorMessage="1" sqref="F10">
      <formula1>$V$9:$V$11</formula1>
    </dataValidation>
    <dataValidation type="list" allowBlank="1" showInputMessage="1" showErrorMessage="1" sqref="F20 P27:P30 L27:N30 F18 F16">
      <formula1>$V$2:$V$4</formula1>
    </dataValidation>
    <dataValidation type="list" allowBlank="1" showInputMessage="1" showErrorMessage="1" sqref="K27:K30">
      <formula1>$V$53:$V$62</formula1>
    </dataValidation>
    <dataValidation type="list" allowBlank="1" showInputMessage="1" showErrorMessage="1" sqref="Q27:Q30">
      <formula1>$V$64:$V$69</formula1>
    </dataValidation>
  </dataValidations>
  <hyperlinks>
    <hyperlink ref="F12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Q45"/>
  <sheetViews>
    <sheetView showGridLines="0" showRowColHeader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6" sqref="E6"/>
    </sheetView>
  </sheetViews>
  <sheetFormatPr baseColWidth="10" defaultRowHeight="15"/>
  <cols>
    <col min="4" max="4" width="35" bestFit="1" customWidth="1"/>
  </cols>
  <sheetData>
    <row r="3" spans="1:17">
      <c r="A3" t="s">
        <v>76</v>
      </c>
    </row>
    <row r="4" spans="1:17">
      <c r="C4" s="4"/>
      <c r="D4" s="4"/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</row>
    <row r="5" spans="1:17">
      <c r="C5" s="148"/>
      <c r="D5" s="4"/>
    </row>
    <row r="6" spans="1:17">
      <c r="C6" s="148"/>
      <c r="D6" s="6" t="s">
        <v>72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f>+SUM(E6:P6)</f>
        <v>12</v>
      </c>
    </row>
    <row r="7" spans="1:17">
      <c r="C7" s="148"/>
      <c r="D7" s="6" t="s">
        <v>78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f t="shared" ref="Q7:Q25" si="0">+SUM(E7:P7)</f>
        <v>0</v>
      </c>
    </row>
    <row r="8" spans="1:17">
      <c r="C8" s="148"/>
      <c r="D8" s="6" t="s">
        <v>77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f t="shared" si="0"/>
        <v>0</v>
      </c>
    </row>
    <row r="9" spans="1:17">
      <c r="C9" s="148"/>
      <c r="D9" s="6" t="s">
        <v>79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f t="shared" si="0"/>
        <v>1</v>
      </c>
    </row>
    <row r="10" spans="1:17">
      <c r="C10" s="148"/>
      <c r="D10" s="6" t="s">
        <v>80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f t="shared" si="0"/>
        <v>1</v>
      </c>
    </row>
    <row r="11" spans="1:17">
      <c r="C11" s="5"/>
      <c r="D11" s="6"/>
    </row>
    <row r="12" spans="1:17">
      <c r="C12" s="148"/>
      <c r="D12" s="4" t="s">
        <v>73</v>
      </c>
      <c r="Q12">
        <f t="shared" si="0"/>
        <v>0</v>
      </c>
    </row>
    <row r="13" spans="1:17">
      <c r="C13" s="148"/>
      <c r="D13" s="6"/>
    </row>
    <row r="14" spans="1:17">
      <c r="C14" s="148"/>
      <c r="D14" s="6" t="s">
        <v>74</v>
      </c>
      <c r="Q14">
        <f t="shared" si="0"/>
        <v>0</v>
      </c>
    </row>
    <row r="15" spans="1:17">
      <c r="C15" s="148"/>
      <c r="D15" s="6" t="s">
        <v>75</v>
      </c>
      <c r="Q15">
        <f t="shared" si="0"/>
        <v>0</v>
      </c>
    </row>
    <row r="16" spans="1:17">
      <c r="C16" s="148"/>
      <c r="D16" s="6"/>
    </row>
    <row r="17" spans="3:17">
      <c r="C17" s="148"/>
      <c r="D17" s="6" t="s">
        <v>81</v>
      </c>
      <c r="Q17">
        <f t="shared" si="0"/>
        <v>0</v>
      </c>
    </row>
    <row r="18" spans="3:17">
      <c r="C18" s="5"/>
      <c r="D18" s="6"/>
    </row>
    <row r="19" spans="3:17">
      <c r="C19" s="148"/>
      <c r="D19" s="4" t="s">
        <v>82</v>
      </c>
      <c r="Q19">
        <f t="shared" si="0"/>
        <v>0</v>
      </c>
    </row>
    <row r="20" spans="3:17">
      <c r="C20" s="148"/>
      <c r="D20" s="6" t="s">
        <v>83</v>
      </c>
      <c r="Q20">
        <f t="shared" si="0"/>
        <v>0</v>
      </c>
    </row>
    <row r="21" spans="3:17">
      <c r="C21" s="148"/>
      <c r="D21" s="6" t="s">
        <v>84</v>
      </c>
      <c r="Q21">
        <f t="shared" si="0"/>
        <v>0</v>
      </c>
    </row>
    <row r="22" spans="3:17">
      <c r="C22" s="148"/>
      <c r="D22" s="6" t="s">
        <v>85</v>
      </c>
      <c r="Q22">
        <f t="shared" si="0"/>
        <v>0</v>
      </c>
    </row>
    <row r="23" spans="3:17">
      <c r="C23" s="148"/>
      <c r="D23" s="6" t="s">
        <v>86</v>
      </c>
      <c r="Q23">
        <f t="shared" si="0"/>
        <v>0</v>
      </c>
    </row>
    <row r="24" spans="3:17">
      <c r="C24" s="148"/>
      <c r="D24" s="6"/>
    </row>
    <row r="25" spans="3:17">
      <c r="C25" s="5"/>
      <c r="D25" s="5" t="s">
        <v>87</v>
      </c>
      <c r="Q25">
        <f t="shared" si="0"/>
        <v>0</v>
      </c>
    </row>
    <row r="26" spans="3:17">
      <c r="C26" s="148"/>
      <c r="D26" s="4"/>
    </row>
    <row r="27" spans="3:17">
      <c r="C27" s="148"/>
      <c r="D27" s="6"/>
    </row>
    <row r="28" spans="3:17">
      <c r="C28" s="148"/>
      <c r="D28" s="6"/>
    </row>
    <row r="29" spans="3:17">
      <c r="C29" s="148"/>
      <c r="D29" s="6"/>
    </row>
    <row r="30" spans="3:17">
      <c r="C30" s="148"/>
      <c r="D30" s="6"/>
    </row>
    <row r="31" spans="3:17">
      <c r="C31" s="148"/>
      <c r="D31" s="6"/>
    </row>
    <row r="32" spans="3:17">
      <c r="C32" s="5"/>
      <c r="D32" s="5"/>
    </row>
    <row r="33" spans="3:4">
      <c r="C33" s="5"/>
      <c r="D33" s="5"/>
    </row>
    <row r="34" spans="3:4">
      <c r="C34" s="5"/>
      <c r="D34" s="5"/>
    </row>
    <row r="35" spans="3:4">
      <c r="C35" s="5"/>
      <c r="D35" s="5"/>
    </row>
    <row r="36" spans="3:4">
      <c r="C36" s="5"/>
      <c r="D36" s="5"/>
    </row>
    <row r="37" spans="3:4">
      <c r="C37" s="5"/>
      <c r="D37" s="5"/>
    </row>
    <row r="38" spans="3:4">
      <c r="C38" s="5"/>
      <c r="D38" s="5"/>
    </row>
    <row r="39" spans="3:4">
      <c r="C39" s="5"/>
      <c r="D39" s="5"/>
    </row>
    <row r="40" spans="3:4">
      <c r="C40" s="5"/>
      <c r="D40" s="5"/>
    </row>
    <row r="41" spans="3:4">
      <c r="C41" s="5"/>
      <c r="D41" s="5"/>
    </row>
    <row r="42" spans="3:4">
      <c r="C42" s="5"/>
      <c r="D42" s="5"/>
    </row>
    <row r="43" spans="3:4">
      <c r="D43" s="5"/>
    </row>
    <row r="44" spans="3:4">
      <c r="D44" s="5"/>
    </row>
    <row r="45" spans="3:4">
      <c r="D45" s="5"/>
    </row>
  </sheetData>
  <mergeCells count="4">
    <mergeCell ref="C5:C10"/>
    <mergeCell ref="C12:C17"/>
    <mergeCell ref="C19:C24"/>
    <mergeCell ref="C26:C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3"/>
  <sheetViews>
    <sheetView showGridLines="0" showRowColHeaders="0" workbookViewId="0">
      <selection activeCell="H44" sqref="H44"/>
    </sheetView>
  </sheetViews>
  <sheetFormatPr baseColWidth="10" defaultColWidth="11.42578125" defaultRowHeight="13.5"/>
  <cols>
    <col min="1" max="16384" width="11.42578125" style="9"/>
  </cols>
  <sheetData>
    <row r="1" spans="1:2">
      <c r="A1" s="9" t="s">
        <v>95</v>
      </c>
    </row>
    <row r="3" spans="1:2">
      <c r="B3" s="10" t="s">
        <v>96</v>
      </c>
    </row>
    <row r="4" spans="1:2" ht="15">
      <c r="A4" s="11" t="s">
        <v>36</v>
      </c>
      <c r="B4" s="12">
        <v>9.5299999999999994</v>
      </c>
    </row>
    <row r="5" spans="1:2" ht="15">
      <c r="A5" s="11" t="s">
        <v>37</v>
      </c>
      <c r="B5" s="12">
        <f>B4</f>
        <v>9.5299999999999994</v>
      </c>
    </row>
    <row r="6" spans="1:2" ht="15">
      <c r="A6" s="11" t="s">
        <v>38</v>
      </c>
      <c r="B6" s="12">
        <f>B5</f>
        <v>9.5299999999999994</v>
      </c>
    </row>
    <row r="7" spans="1:2" ht="15">
      <c r="A7" s="11" t="s">
        <v>39</v>
      </c>
      <c r="B7" s="12">
        <f>B6</f>
        <v>9.5299999999999994</v>
      </c>
    </row>
    <row r="8" spans="1:2" ht="15">
      <c r="A8" s="11" t="s">
        <v>40</v>
      </c>
      <c r="B8" s="12">
        <f t="shared" ref="B8:B15" si="0">B7</f>
        <v>9.5299999999999994</v>
      </c>
    </row>
    <row r="9" spans="1:2" ht="15">
      <c r="A9" s="11" t="s">
        <v>41</v>
      </c>
      <c r="B9" s="12">
        <f t="shared" si="0"/>
        <v>9.5299999999999994</v>
      </c>
    </row>
    <row r="10" spans="1:2" ht="15">
      <c r="A10" s="11" t="s">
        <v>42</v>
      </c>
      <c r="B10" s="12">
        <v>9.5299999999999994</v>
      </c>
    </row>
    <row r="11" spans="1:2" ht="15">
      <c r="A11" s="11" t="s">
        <v>43</v>
      </c>
      <c r="B11" s="12">
        <f t="shared" si="0"/>
        <v>9.5299999999999994</v>
      </c>
    </row>
    <row r="12" spans="1:2" ht="15">
      <c r="A12" s="11" t="s">
        <v>44</v>
      </c>
      <c r="B12" s="12">
        <f t="shared" si="0"/>
        <v>9.5299999999999994</v>
      </c>
    </row>
    <row r="13" spans="1:2" ht="15">
      <c r="A13" s="11" t="s">
        <v>45</v>
      </c>
      <c r="B13" s="12">
        <f t="shared" si="0"/>
        <v>9.5299999999999994</v>
      </c>
    </row>
    <row r="14" spans="1:2" ht="15">
      <c r="A14" s="11" t="s">
        <v>46</v>
      </c>
      <c r="B14" s="12">
        <f t="shared" si="0"/>
        <v>9.5299999999999994</v>
      </c>
    </row>
    <row r="15" spans="1:2" ht="15">
      <c r="A15" s="11" t="s">
        <v>47</v>
      </c>
      <c r="B15" s="12">
        <f t="shared" si="0"/>
        <v>9.5299999999999994</v>
      </c>
    </row>
    <row r="17" spans="2:11" ht="15">
      <c r="B17" s="13" t="s">
        <v>97</v>
      </c>
    </row>
    <row r="19" spans="2:11">
      <c r="B19" s="14" t="s">
        <v>98</v>
      </c>
      <c r="C19" s="15"/>
      <c r="D19" s="15"/>
      <c r="E19" s="15"/>
      <c r="F19" s="15"/>
      <c r="G19" s="15"/>
      <c r="H19" s="15"/>
      <c r="I19" s="15"/>
      <c r="J19" s="15"/>
      <c r="K19" s="15"/>
    </row>
    <row r="20" spans="2:11">
      <c r="B20" s="149" t="s">
        <v>99</v>
      </c>
      <c r="C20" s="149"/>
      <c r="D20" s="149"/>
      <c r="E20" s="149"/>
      <c r="F20" s="149"/>
      <c r="G20" s="149"/>
      <c r="H20" s="149"/>
      <c r="I20" s="149"/>
      <c r="J20" s="149"/>
      <c r="K20" s="149"/>
    </row>
    <row r="21" spans="2:11" ht="25.5" customHeight="1">
      <c r="B21" s="149" t="s">
        <v>100</v>
      </c>
      <c r="C21" s="149"/>
      <c r="D21" s="149"/>
      <c r="E21" s="149"/>
      <c r="F21" s="149"/>
      <c r="G21" s="149"/>
      <c r="H21" s="149"/>
      <c r="I21" s="149"/>
      <c r="J21" s="149"/>
      <c r="K21" s="149"/>
    </row>
    <row r="22" spans="2:11" ht="23.25" customHeight="1">
      <c r="B22" s="149" t="s">
        <v>101</v>
      </c>
      <c r="C22" s="149"/>
      <c r="D22" s="149"/>
      <c r="E22" s="149"/>
      <c r="F22" s="149"/>
      <c r="G22" s="149"/>
      <c r="H22" s="149"/>
      <c r="I22" s="149"/>
      <c r="J22" s="149"/>
      <c r="K22" s="149"/>
    </row>
    <row r="23" spans="2:11">
      <c r="B23" s="15"/>
      <c r="C23" s="15"/>
      <c r="D23" s="15"/>
      <c r="E23" s="15"/>
      <c r="F23" s="15"/>
      <c r="G23" s="15"/>
      <c r="H23" s="15"/>
      <c r="I23" s="15"/>
      <c r="J23" s="15"/>
      <c r="K23" s="15"/>
    </row>
  </sheetData>
  <sheetProtection password="C75A" sheet="1" objects="1" scenarios="1"/>
  <mergeCells count="3">
    <mergeCell ref="B20:K20"/>
    <mergeCell ref="B21:K21"/>
    <mergeCell ref="B22:K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69"/>
  <sheetViews>
    <sheetView showGridLines="0" showRowColHeaders="0" workbookViewId="0">
      <selection activeCell="H14" sqref="H14"/>
    </sheetView>
  </sheetViews>
  <sheetFormatPr baseColWidth="10" defaultColWidth="0" defaultRowHeight="13.5"/>
  <cols>
    <col min="1" max="1" width="2.7109375" style="15" customWidth="1"/>
    <col min="2" max="2" width="25.28515625" style="15" customWidth="1"/>
    <col min="3" max="9" width="13.5703125" style="15" customWidth="1"/>
    <col min="10" max="14" width="12.7109375" style="15" hidden="1" customWidth="1"/>
    <col min="15" max="16" width="10.85546875" style="16" hidden="1" customWidth="1"/>
    <col min="17" max="17" width="12.7109375" style="16" hidden="1" customWidth="1"/>
    <col min="18" max="18" width="11.28515625" style="16" hidden="1" customWidth="1"/>
    <col min="19" max="19" width="14.7109375" style="16" hidden="1" customWidth="1"/>
    <col min="20" max="20" width="14.7109375" style="15" hidden="1" customWidth="1"/>
    <col min="21" max="21" width="14.28515625" style="15" hidden="1" customWidth="1"/>
    <col min="22" max="23" width="15.7109375" style="15" customWidth="1"/>
    <col min="24" max="24" width="2.5703125" style="15" customWidth="1"/>
    <col min="25" max="33" width="10.28515625" style="15" hidden="1" customWidth="1"/>
    <col min="34" max="16384" width="10.28515625" style="15" hidden="1"/>
  </cols>
  <sheetData>
    <row r="1" spans="2:23" ht="25.5" customHeight="1">
      <c r="B1" s="155" t="s">
        <v>102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</row>
    <row r="2" spans="2:23" ht="14.25" thickBot="1"/>
    <row r="3" spans="2:23" ht="21.75" customHeight="1" thickBot="1">
      <c r="B3" s="17" t="s">
        <v>103</v>
      </c>
      <c r="C3" s="18">
        <v>2013</v>
      </c>
      <c r="H3" s="19" t="s">
        <v>104</v>
      </c>
      <c r="I3" s="20" t="s">
        <v>164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2:23" ht="20.25" customHeight="1">
      <c r="B4" s="21"/>
      <c r="H4" s="19" t="s">
        <v>105</v>
      </c>
      <c r="I4" s="22" t="s">
        <v>106</v>
      </c>
    </row>
    <row r="5" spans="2:23" ht="27" customHeight="1">
      <c r="B5" s="23" t="s">
        <v>107</v>
      </c>
      <c r="H5" s="15" t="s">
        <v>179</v>
      </c>
      <c r="I5" s="15" t="s">
        <v>168</v>
      </c>
    </row>
    <row r="6" spans="2:23" ht="9.75" customHeight="1">
      <c r="B6" s="24"/>
    </row>
    <row r="7" spans="2:23" hidden="1">
      <c r="B7" s="24"/>
      <c r="C7" s="25">
        <v>1</v>
      </c>
    </row>
    <row r="8" spans="2:23" ht="5.25" customHeight="1">
      <c r="B8" s="24"/>
    </row>
    <row r="9" spans="2:23" ht="15" customHeight="1">
      <c r="B9" s="24"/>
    </row>
    <row r="10" spans="2:23" ht="29.25" customHeight="1">
      <c r="B10" s="23" t="s">
        <v>108</v>
      </c>
    </row>
    <row r="11" spans="2:23" ht="15" hidden="1" customHeight="1">
      <c r="B11" s="24"/>
      <c r="C11" s="25">
        <v>1</v>
      </c>
    </row>
    <row r="12" spans="2:23" ht="15" customHeight="1" thickBot="1">
      <c r="B12" s="24"/>
    </row>
    <row r="13" spans="2:23" ht="15.75" thickBot="1">
      <c r="B13" s="23" t="s">
        <v>109</v>
      </c>
      <c r="C13" s="26">
        <v>151.66999999999999</v>
      </c>
      <c r="G13" s="27"/>
    </row>
    <row r="14" spans="2:23" ht="14.25" thickBot="1">
      <c r="B14" s="24"/>
    </row>
    <row r="15" spans="2:23" ht="14.25" thickBot="1">
      <c r="B15" s="23" t="s">
        <v>110</v>
      </c>
      <c r="C15" s="28">
        <f>IF(C7=1,0.281,0.26)</f>
        <v>0.28100000000000003</v>
      </c>
      <c r="G15" s="27"/>
    </row>
    <row r="16" spans="2:23" s="29" customFormat="1" ht="15" customHeight="1">
      <c r="B16" s="24"/>
      <c r="S16" s="30"/>
    </row>
    <row r="17" spans="2:23" s="29" customFormat="1" ht="15" customHeight="1" thickBot="1">
      <c r="B17" s="23" t="s">
        <v>111</v>
      </c>
      <c r="S17" s="30"/>
      <c r="U17" s="31"/>
    </row>
    <row r="18" spans="2:23" s="29" customFormat="1" ht="15" customHeight="1" thickBot="1">
      <c r="B18" s="32" t="s">
        <v>112</v>
      </c>
      <c r="C18" s="26">
        <v>35</v>
      </c>
      <c r="D18" s="33" t="s">
        <v>113</v>
      </c>
      <c r="E18" s="16" t="str">
        <f>IF(AND(C19&lt;&gt;"",OR(C18="",C18=0)),"&lt;&lt;&lt;&lt;&lt; info à compléter","")</f>
        <v/>
      </c>
      <c r="S18" s="30"/>
      <c r="U18" s="31"/>
    </row>
    <row r="19" spans="2:23" s="29" customFormat="1" ht="15" customHeight="1" thickBot="1">
      <c r="B19" s="32" t="s">
        <v>114</v>
      </c>
      <c r="C19" s="26">
        <v>35</v>
      </c>
      <c r="D19" s="33" t="s">
        <v>115</v>
      </c>
      <c r="E19" s="16" t="str">
        <f>IF(AND(C18&lt;&gt;"",OR(C19="",C19=0)),"&lt;&lt;&lt;&lt;&lt; info à compléter","")</f>
        <v/>
      </c>
      <c r="S19" s="30"/>
      <c r="U19" s="31"/>
    </row>
    <row r="20" spans="2:23" s="29" customFormat="1" ht="15" customHeight="1">
      <c r="B20" s="34"/>
      <c r="S20" s="30"/>
      <c r="U20" s="31"/>
    </row>
    <row r="21" spans="2:23" s="29" customFormat="1" ht="14.25" customHeight="1" thickBot="1">
      <c r="B21" s="34"/>
      <c r="C21" s="34"/>
      <c r="D21" s="34"/>
      <c r="E21" s="35" t="s">
        <v>116</v>
      </c>
      <c r="F21" s="34"/>
      <c r="G21" s="156" t="s">
        <v>117</v>
      </c>
      <c r="H21" s="157"/>
      <c r="I21" s="36"/>
      <c r="U21" s="31"/>
      <c r="V21" s="158" t="s">
        <v>118</v>
      </c>
      <c r="W21" s="159"/>
    </row>
    <row r="22" spans="2:23" s="29" customFormat="1" ht="27" customHeight="1" thickBot="1">
      <c r="C22" s="37" t="s">
        <v>119</v>
      </c>
      <c r="D22" s="38" t="s">
        <v>120</v>
      </c>
      <c r="E22" s="39" t="s">
        <v>121</v>
      </c>
      <c r="F22" s="40" t="s">
        <v>122</v>
      </c>
      <c r="G22" s="41" t="s">
        <v>123</v>
      </c>
      <c r="H22" s="39" t="s">
        <v>124</v>
      </c>
      <c r="I22" s="36"/>
      <c r="J22" s="30" t="s">
        <v>125</v>
      </c>
      <c r="K22" s="30" t="s">
        <v>126</v>
      </c>
      <c r="L22" s="30" t="s">
        <v>127</v>
      </c>
      <c r="M22" s="30" t="s">
        <v>128</v>
      </c>
      <c r="N22" s="30" t="s">
        <v>129</v>
      </c>
      <c r="O22" s="30" t="s">
        <v>130</v>
      </c>
      <c r="P22" s="30" t="s">
        <v>131</v>
      </c>
      <c r="Q22" s="30" t="s">
        <v>132</v>
      </c>
      <c r="R22" s="30" t="s">
        <v>133</v>
      </c>
      <c r="S22" s="150" t="s">
        <v>134</v>
      </c>
      <c r="T22" s="150"/>
      <c r="U22" s="42" t="s">
        <v>135</v>
      </c>
      <c r="V22" s="43" t="s">
        <v>136</v>
      </c>
      <c r="W22" s="44" t="s">
        <v>137</v>
      </c>
    </row>
    <row r="23" spans="2:23" ht="15">
      <c r="B23" s="45" t="s">
        <v>36</v>
      </c>
      <c r="C23" s="46">
        <f>SMIC!B4</f>
        <v>9.5299999999999994</v>
      </c>
      <c r="D23" s="12">
        <v>1001</v>
      </c>
      <c r="E23" s="47"/>
      <c r="F23" s="48"/>
      <c r="G23" s="49">
        <f>IF(AND($C$18&lt;&gt;0,$C$18&lt;&gt;""),$C$18,"")</f>
        <v>35</v>
      </c>
      <c r="H23" s="49">
        <f>IF(AND($C$19&lt;&gt;0,$C$19&lt;&gt;""),$C$19,"")</f>
        <v>35</v>
      </c>
      <c r="I23" s="45" t="s">
        <v>36</v>
      </c>
      <c r="J23" s="50">
        <f>IF(Salaire_brut_janvier="",0,(Horaire_collectif_mensuel*C23*IF(G23&lt;&gt;"",G23,Salaire_brut_janvier)/IF(H23&lt;&gt;"",H23,IF(E23&lt;&gt;"",E23,Salaire_brut_janvier))))</f>
        <v>1445.4150999999997</v>
      </c>
      <c r="K23" s="50">
        <f t="shared" ref="K23:K34" si="0">D23</f>
        <v>1001</v>
      </c>
      <c r="L23" s="50">
        <f>J23</f>
        <v>1445.4150999999997</v>
      </c>
      <c r="M23" s="50">
        <f>C23*F23</f>
        <v>0</v>
      </c>
      <c r="N23" s="50">
        <f>D23</f>
        <v>1001</v>
      </c>
      <c r="O23" s="51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0.28100000000000003</v>
      </c>
      <c r="P23" s="51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0.28100000000000003</v>
      </c>
      <c r="Q23" s="50">
        <f>IF(ISERR(N23*O23),0,N23*O23)</f>
        <v>281.28100000000001</v>
      </c>
      <c r="R23" s="50">
        <f>IF(ISERR(Salaire_brut_janvier*O23),0,Salaire_brut_janvier*O23)</f>
        <v>281.28100000000001</v>
      </c>
      <c r="S23" s="50">
        <f>IF(ISERR(P23),0,Salaire_brut_janvier*P23)</f>
        <v>281.28100000000001</v>
      </c>
      <c r="T23" s="50"/>
      <c r="U23" s="52">
        <f>S23</f>
        <v>281.28100000000001</v>
      </c>
      <c r="V23" s="53">
        <f t="shared" ref="V23:V34" si="2">IF(Mode_calcul=1,IF(R23&gt;0,R23,""),IF(U23&gt;0,U23,""))</f>
        <v>281.28100000000001</v>
      </c>
      <c r="W23" s="54" t="str">
        <f t="shared" ref="W23:W33" si="3">IF(Mode_calcul=1,IF(R23&lt;0,-R23,""),IF(U23&lt;0,-U23,""))</f>
        <v/>
      </c>
    </row>
    <row r="24" spans="2:23" ht="15">
      <c r="B24" s="45" t="s">
        <v>37</v>
      </c>
      <c r="C24" s="46">
        <f>SMIC!B5</f>
        <v>9.5299999999999994</v>
      </c>
      <c r="D24" s="12">
        <v>1002</v>
      </c>
      <c r="E24" s="47"/>
      <c r="F24" s="48"/>
      <c r="G24" s="55">
        <f t="shared" ref="G24:G34" si="4">IF(AND($C$18&lt;&gt;0,$C$18&lt;&gt;""),$C$18,"")</f>
        <v>35</v>
      </c>
      <c r="H24" s="55">
        <f t="shared" ref="H24:H34" si="5">IF(AND($C$19&lt;&gt;0,$C$19&lt;&gt;""),$C$19,"")</f>
        <v>35</v>
      </c>
      <c r="I24" s="45" t="s">
        <v>37</v>
      </c>
      <c r="J24" s="50">
        <f>IF(Salaire_brut_février="",0,Horaire_collectif_mensuel*C24*IF(G24&lt;&gt;"",G24,Salaire_brut_février)/IF(H24&lt;&gt;"",H24,IF(E24&lt;&gt;"",E24,Salaire_brut_février)))</f>
        <v>1445.4150999999997</v>
      </c>
      <c r="K24" s="50">
        <f t="shared" si="0"/>
        <v>1002</v>
      </c>
      <c r="L24" s="50">
        <f>L23+J24</f>
        <v>2890.8301999999994</v>
      </c>
      <c r="M24" s="50">
        <f t="shared" ref="M24:M34" si="6">M23+C24*F24</f>
        <v>0</v>
      </c>
      <c r="N24" s="50">
        <f>Salaire_brut_janvier+Salaire_brut_février</f>
        <v>2003</v>
      </c>
      <c r="O24" s="51">
        <f t="shared" si="1"/>
        <v>0.28100000000000003</v>
      </c>
      <c r="P24" s="51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0.28100000000000003</v>
      </c>
      <c r="Q24" s="50">
        <f t="shared" ref="Q24:Q33" si="7">IF(ISERR(N24*O24),0,N24*O24)</f>
        <v>562.84300000000007</v>
      </c>
      <c r="R24" s="50">
        <f>Q24-SUM(R23)</f>
        <v>281.56200000000007</v>
      </c>
      <c r="S24" s="50">
        <f>IF(ISERR(P24),0,Salaire_brut_février*P24)</f>
        <v>281.56200000000001</v>
      </c>
      <c r="T24" s="50"/>
      <c r="U24" s="50">
        <f t="shared" ref="U24:U33" si="8">S24</f>
        <v>281.56200000000001</v>
      </c>
      <c r="V24" s="53">
        <f t="shared" si="2"/>
        <v>281.56200000000007</v>
      </c>
      <c r="W24" s="56" t="str">
        <f t="shared" si="3"/>
        <v/>
      </c>
    </row>
    <row r="25" spans="2:23" ht="15">
      <c r="B25" s="45" t="s">
        <v>38</v>
      </c>
      <c r="C25" s="46">
        <f>SMIC!B6</f>
        <v>9.5299999999999994</v>
      </c>
      <c r="D25" s="12">
        <v>4004</v>
      </c>
      <c r="E25" s="47"/>
      <c r="F25" s="48"/>
      <c r="G25" s="55">
        <f t="shared" si="4"/>
        <v>35</v>
      </c>
      <c r="H25" s="55">
        <f t="shared" si="5"/>
        <v>35</v>
      </c>
      <c r="I25" s="45" t="s">
        <v>38</v>
      </c>
      <c r="J25" s="50">
        <f>IF(Salaire_brut_mars="",0,Horaire_collectif_mensuel*C25*IF(G25&lt;&gt;"",G25,Salaire_brut_mars)/IF(H25&lt;&gt;"",H25,IF(E25&lt;&gt;"",E25,Salaire_brut_mars)))</f>
        <v>1445.4150999999997</v>
      </c>
      <c r="K25" s="50">
        <f t="shared" si="0"/>
        <v>4004</v>
      </c>
      <c r="L25" s="50">
        <f t="shared" ref="L25:L34" si="9">L24+J25</f>
        <v>4336.2452999999987</v>
      </c>
      <c r="M25" s="50">
        <f t="shared" si="6"/>
        <v>0</v>
      </c>
      <c r="N25" s="50">
        <f>Salaire_brut_janvier+Salaire_brut_février+Salaire_brut_mars</f>
        <v>6007</v>
      </c>
      <c r="O25" s="51">
        <f t="shared" si="1"/>
        <v>7.2599999999999998E-2</v>
      </c>
      <c r="P25" s="51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0</v>
      </c>
      <c r="Q25" s="50">
        <f t="shared" si="7"/>
        <v>436.10820000000001</v>
      </c>
      <c r="R25" s="50">
        <f>Q25-SUM(R23:R24)</f>
        <v>-126.73480000000006</v>
      </c>
      <c r="S25" s="50">
        <f>IF(ISERR(P25),0,Salaire_brut_mars*P25)</f>
        <v>0</v>
      </c>
      <c r="T25" s="50"/>
      <c r="U25" s="50">
        <f t="shared" si="8"/>
        <v>0</v>
      </c>
      <c r="V25" s="53" t="str">
        <f t="shared" si="2"/>
        <v/>
      </c>
      <c r="W25" s="56">
        <f t="shared" si="3"/>
        <v>126.73480000000006</v>
      </c>
    </row>
    <row r="26" spans="2:23" ht="15">
      <c r="B26" s="45" t="s">
        <v>39</v>
      </c>
      <c r="C26" s="46">
        <f>SMIC!B7</f>
        <v>9.5299999999999994</v>
      </c>
      <c r="D26" s="12">
        <v>1004</v>
      </c>
      <c r="E26" s="47"/>
      <c r="F26" s="48"/>
      <c r="G26" s="55">
        <f t="shared" si="4"/>
        <v>35</v>
      </c>
      <c r="H26" s="55">
        <f t="shared" si="5"/>
        <v>35</v>
      </c>
      <c r="I26" s="45" t="s">
        <v>39</v>
      </c>
      <c r="J26" s="50">
        <f>IF(Salaire_brut_avril="",0,Horaire_collectif_mensuel*C26*IF(G26&lt;&gt;"",G26,Salaire_brut_avril)/IF(H26&lt;&gt;"",H26,IF(E26&lt;&gt;"",E26,Salaire_brut_avril)))</f>
        <v>1445.4150999999997</v>
      </c>
      <c r="K26" s="50">
        <f t="shared" si="0"/>
        <v>1004</v>
      </c>
      <c r="L26" s="50">
        <f t="shared" si="9"/>
        <v>5781.6603999999988</v>
      </c>
      <c r="M26" s="50">
        <f t="shared" si="6"/>
        <v>0</v>
      </c>
      <c r="N26" s="50">
        <f>Salaire_brut_janvier+Salaire_brut_février+Salaire_brut_mars+Salaire_brut_avril</f>
        <v>7011</v>
      </c>
      <c r="O26" s="51">
        <f t="shared" si="1"/>
        <v>0.14960000000000001</v>
      </c>
      <c r="P26" s="51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0.28100000000000003</v>
      </c>
      <c r="Q26" s="50">
        <f t="shared" si="7"/>
        <v>1048.8456000000001</v>
      </c>
      <c r="R26" s="50">
        <f>Q26-SUM(R23:R25)</f>
        <v>612.73740000000009</v>
      </c>
      <c r="S26" s="50">
        <f>IF(ISERR(P26),0,Salaire_brut_avril*P26)</f>
        <v>282.12400000000002</v>
      </c>
      <c r="T26" s="50"/>
      <c r="U26" s="50">
        <f t="shared" si="8"/>
        <v>282.12400000000002</v>
      </c>
      <c r="V26" s="53">
        <f t="shared" si="2"/>
        <v>612.73740000000009</v>
      </c>
      <c r="W26" s="56" t="str">
        <f t="shared" si="3"/>
        <v/>
      </c>
    </row>
    <row r="27" spans="2:23" ht="15">
      <c r="B27" s="45" t="s">
        <v>40</v>
      </c>
      <c r="C27" s="46">
        <f>SMIC!B8</f>
        <v>9.5299999999999994</v>
      </c>
      <c r="D27" s="12">
        <v>1005</v>
      </c>
      <c r="E27" s="47"/>
      <c r="F27" s="48"/>
      <c r="G27" s="55">
        <f t="shared" si="4"/>
        <v>35</v>
      </c>
      <c r="H27" s="55">
        <f t="shared" si="5"/>
        <v>35</v>
      </c>
      <c r="I27" s="45" t="s">
        <v>40</v>
      </c>
      <c r="J27" s="50">
        <f>IF(Salaire_brut_mai="",0,Horaire_collectif_mensuel*C27*IF(G27&lt;&gt;"",G27,Salaire_brut_mai)/IF(H27&lt;&gt;"",H27,IF(E27&lt;&gt;"",E27,Salaire_brut_mai)))</f>
        <v>1445.4150999999997</v>
      </c>
      <c r="K27" s="50">
        <f t="shared" si="0"/>
        <v>1005</v>
      </c>
      <c r="L27" s="50">
        <f t="shared" si="9"/>
        <v>7227.075499999999</v>
      </c>
      <c r="M27" s="50">
        <f t="shared" si="6"/>
        <v>0</v>
      </c>
      <c r="N27" s="50">
        <f>Salaire_brut_janvier+Salaire_brut_février+Salaire_brut_mars+Salaire_brut_avril+Salaire_brut_mai</f>
        <v>8016</v>
      </c>
      <c r="O27" s="51">
        <f t="shared" si="1"/>
        <v>0.20730000000000001</v>
      </c>
      <c r="P27" s="51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0.28100000000000003</v>
      </c>
      <c r="Q27" s="50">
        <f t="shared" si="7"/>
        <v>1661.7168000000001</v>
      </c>
      <c r="R27" s="50">
        <f>Q27-SUM(R23:R26)</f>
        <v>612.87120000000004</v>
      </c>
      <c r="S27" s="50">
        <f>IF(ISERR(P27),0,Salaire_brut_mai*P27)</f>
        <v>282.40500000000003</v>
      </c>
      <c r="T27" s="50"/>
      <c r="U27" s="50">
        <f t="shared" si="8"/>
        <v>282.40500000000003</v>
      </c>
      <c r="V27" s="53">
        <f t="shared" si="2"/>
        <v>612.87120000000004</v>
      </c>
      <c r="W27" s="56" t="str">
        <f t="shared" si="3"/>
        <v/>
      </c>
    </row>
    <row r="28" spans="2:23" ht="15">
      <c r="B28" s="45" t="s">
        <v>41</v>
      </c>
      <c r="C28" s="46">
        <f>SMIC!B9</f>
        <v>9.5299999999999994</v>
      </c>
      <c r="D28" s="12">
        <v>3006</v>
      </c>
      <c r="E28" s="47"/>
      <c r="F28" s="48"/>
      <c r="G28" s="55">
        <f t="shared" si="4"/>
        <v>35</v>
      </c>
      <c r="H28" s="55">
        <f t="shared" si="5"/>
        <v>35</v>
      </c>
      <c r="I28" s="45" t="s">
        <v>41</v>
      </c>
      <c r="J28" s="50">
        <f>IF(Salaire_brut_juin="",0,Horaire_collectif_mensuel*C28*IF(G28&lt;&gt;"",G28,Salaire_brut_juin)/IF(H28&lt;&gt;"",H28,IF(E28&lt;&gt;"",E28,Salaire_brut_juin)))</f>
        <v>1445.4150999999997</v>
      </c>
      <c r="K28" s="50">
        <f t="shared" si="0"/>
        <v>3006</v>
      </c>
      <c r="L28" s="50">
        <f t="shared" si="9"/>
        <v>8672.4905999999992</v>
      </c>
      <c r="M28" s="50">
        <f t="shared" si="6"/>
        <v>0</v>
      </c>
      <c r="N28" s="50">
        <f>Salaire_brut_janvier+Salaire_brut_février+Salaire_brut_mars+Salaire_brut_avril+Salaire_brut_mai+Salaire_brut_juin</f>
        <v>11022</v>
      </c>
      <c r="O28" s="51">
        <f t="shared" si="1"/>
        <v>0.12130000000000001</v>
      </c>
      <c r="P28" s="51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0</v>
      </c>
      <c r="Q28" s="50">
        <f t="shared" si="7"/>
        <v>1336.9686000000002</v>
      </c>
      <c r="R28" s="50">
        <f>Q28-SUM(R23:R27)</f>
        <v>-324.7482</v>
      </c>
      <c r="S28" s="50">
        <f>IF(ISERR(P28),0,Salaire_brut_juin*P28)</f>
        <v>0</v>
      </c>
      <c r="T28" s="50"/>
      <c r="U28" s="50">
        <f t="shared" si="8"/>
        <v>0</v>
      </c>
      <c r="V28" s="53" t="str">
        <f t="shared" si="2"/>
        <v/>
      </c>
      <c r="W28" s="56">
        <f t="shared" si="3"/>
        <v>324.7482</v>
      </c>
    </row>
    <row r="29" spans="2:23" ht="15">
      <c r="B29" s="45" t="s">
        <v>42</v>
      </c>
      <c r="C29" s="46">
        <f>SMIC!B10</f>
        <v>9.5299999999999994</v>
      </c>
      <c r="D29" s="12">
        <v>1007</v>
      </c>
      <c r="E29" s="47"/>
      <c r="F29" s="48"/>
      <c r="G29" s="55">
        <f t="shared" si="4"/>
        <v>35</v>
      </c>
      <c r="H29" s="55">
        <f t="shared" si="5"/>
        <v>35</v>
      </c>
      <c r="I29" s="45" t="s">
        <v>42</v>
      </c>
      <c r="J29" s="50">
        <f>IF(Salaire_brut_juillet="",0,Horaire_collectif_mensuel*C29*IF(G29&lt;&gt;"",G29,Salaire_brut_juillet)/IF(H29&lt;&gt;"",H29,IF(E29&lt;&gt;"",E29,Salaire_brut_juillet)))</f>
        <v>1445.4150999999997</v>
      </c>
      <c r="K29" s="50">
        <f t="shared" si="0"/>
        <v>1007</v>
      </c>
      <c r="L29" s="50">
        <f t="shared" si="9"/>
        <v>10117.905699999999</v>
      </c>
      <c r="M29" s="50">
        <f t="shared" si="6"/>
        <v>0</v>
      </c>
      <c r="N29" s="50">
        <f>Salaire_brut_janvier+Salaire_brut_février+Salaire_brut_mars+Salaire_brut_avril+Salaire_brut_mai+Salaire_brut_juin+Salaire_brut_juillet</f>
        <v>12029</v>
      </c>
      <c r="O29" s="51">
        <f t="shared" si="1"/>
        <v>0.16200000000000001</v>
      </c>
      <c r="P29" s="51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0.28100000000000003</v>
      </c>
      <c r="Q29" s="50">
        <f t="shared" si="7"/>
        <v>1948.6980000000001</v>
      </c>
      <c r="R29" s="50">
        <f>Q29-SUM(R23:R28)</f>
        <v>611.72939999999994</v>
      </c>
      <c r="S29" s="50">
        <f>IF(ISERR(P29),0,Salaire_brut_juillet*P29)</f>
        <v>282.96700000000004</v>
      </c>
      <c r="T29" s="50"/>
      <c r="U29" s="50">
        <f t="shared" si="8"/>
        <v>282.96700000000004</v>
      </c>
      <c r="V29" s="53">
        <f t="shared" si="2"/>
        <v>611.72939999999994</v>
      </c>
      <c r="W29" s="56" t="str">
        <f t="shared" si="3"/>
        <v/>
      </c>
    </row>
    <row r="30" spans="2:23" ht="15">
      <c r="B30" s="45" t="s">
        <v>43</v>
      </c>
      <c r="C30" s="46">
        <f>SMIC!B11</f>
        <v>9.5299999999999994</v>
      </c>
      <c r="D30" s="12">
        <v>1008</v>
      </c>
      <c r="E30" s="47"/>
      <c r="F30" s="48"/>
      <c r="G30" s="55">
        <f t="shared" si="4"/>
        <v>35</v>
      </c>
      <c r="H30" s="55">
        <f t="shared" si="5"/>
        <v>35</v>
      </c>
      <c r="I30" s="45" t="s">
        <v>43</v>
      </c>
      <c r="J30" s="50">
        <f>IF(Salaire_brut_août="",0,Horaire_collectif_mensuel*C30*IF(G30&lt;&gt;"",G30,Salaire_brut_août)/IF(H30&lt;&gt;"",H30,IF(E30&lt;&gt;"",E30,Salaire_brut_août)))</f>
        <v>1445.4150999999997</v>
      </c>
      <c r="K30" s="50">
        <f t="shared" si="0"/>
        <v>1008</v>
      </c>
      <c r="L30" s="50">
        <f t="shared" si="9"/>
        <v>11563.3208</v>
      </c>
      <c r="M30" s="50">
        <f t="shared" si="6"/>
        <v>0</v>
      </c>
      <c r="N30" s="50">
        <f>Salaire_brut_janvier+Salaire_brut_février+Salaire_brut_mars+Salaire_brut_avril+Salaire_brut_mai+Salaire_brut_juin+Salaire_brut_juillet+Salaire_brut_août</f>
        <v>13037</v>
      </c>
      <c r="O30" s="51">
        <f t="shared" si="1"/>
        <v>0.1963</v>
      </c>
      <c r="P30" s="51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0.28100000000000003</v>
      </c>
      <c r="Q30" s="50">
        <f t="shared" si="7"/>
        <v>2559.1631000000002</v>
      </c>
      <c r="R30" s="50">
        <f>Q30-SUM(R23:R29)</f>
        <v>610.46510000000012</v>
      </c>
      <c r="S30" s="50">
        <f>IF(ISERR(P30),0,Salaire_brut_août*P30)</f>
        <v>283.24800000000005</v>
      </c>
      <c r="T30" s="50"/>
      <c r="U30" s="50">
        <f t="shared" si="8"/>
        <v>283.24800000000005</v>
      </c>
      <c r="V30" s="53">
        <f t="shared" si="2"/>
        <v>610.46510000000012</v>
      </c>
      <c r="W30" s="56" t="str">
        <f t="shared" si="3"/>
        <v/>
      </c>
    </row>
    <row r="31" spans="2:23" ht="15">
      <c r="B31" s="45" t="s">
        <v>44</v>
      </c>
      <c r="C31" s="46">
        <f>SMIC!B12</f>
        <v>9.5299999999999994</v>
      </c>
      <c r="D31" s="12">
        <v>3009</v>
      </c>
      <c r="E31" s="47"/>
      <c r="F31" s="48"/>
      <c r="G31" s="55">
        <f t="shared" si="4"/>
        <v>35</v>
      </c>
      <c r="H31" s="55">
        <f t="shared" si="5"/>
        <v>35</v>
      </c>
      <c r="I31" s="45" t="s">
        <v>44</v>
      </c>
      <c r="J31" s="50">
        <f>IF(Salaire_brut_septembre="",0,Horaire_collectif_mensuel*C31*IF(G31&lt;&gt;"",G31,Salaire_brut_septembre)/IF(H31&lt;&gt;"",H31,IF(E31&lt;&gt;"",E31,Salaire_brut_septembre)))</f>
        <v>1445.4150999999997</v>
      </c>
      <c r="K31" s="50">
        <f t="shared" si="0"/>
        <v>3009</v>
      </c>
      <c r="L31" s="50">
        <f t="shared" si="9"/>
        <v>13008.7359</v>
      </c>
      <c r="M31" s="50">
        <f t="shared" si="6"/>
        <v>0</v>
      </c>
      <c r="N31" s="50">
        <f>Salaire_brut_janvier+Salaire_brut_février+Salaire_brut_mars+Salaire_brut_avril+Salaire_brut_mai+Salaire_brut_juin+Salaire_brut_juillet+Salaire_brut_août+Salaire_brut_septembre</f>
        <v>16046</v>
      </c>
      <c r="O31" s="51">
        <f t="shared" si="1"/>
        <v>0.13919999999999999</v>
      </c>
      <c r="P31" s="51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0</v>
      </c>
      <c r="Q31" s="50">
        <f t="shared" si="7"/>
        <v>2233.6032</v>
      </c>
      <c r="R31" s="50">
        <f>Q31-SUM(R23:R30)</f>
        <v>-325.5599000000002</v>
      </c>
      <c r="S31" s="50">
        <f>IF(ISERR(P31),0,Salaire_brut_septembre*P31)</f>
        <v>0</v>
      </c>
      <c r="T31" s="50"/>
      <c r="U31" s="50">
        <f t="shared" si="8"/>
        <v>0</v>
      </c>
      <c r="V31" s="53" t="str">
        <f t="shared" si="2"/>
        <v/>
      </c>
      <c r="W31" s="56">
        <f t="shared" si="3"/>
        <v>325.5599000000002</v>
      </c>
    </row>
    <row r="32" spans="2:23" ht="15">
      <c r="B32" s="45" t="s">
        <v>45</v>
      </c>
      <c r="C32" s="46">
        <f>SMIC!B13</f>
        <v>9.5299999999999994</v>
      </c>
      <c r="D32" s="12">
        <v>1010</v>
      </c>
      <c r="E32" s="47"/>
      <c r="F32" s="48"/>
      <c r="G32" s="55">
        <f t="shared" si="4"/>
        <v>35</v>
      </c>
      <c r="H32" s="55">
        <f t="shared" si="5"/>
        <v>35</v>
      </c>
      <c r="I32" s="45" t="s">
        <v>45</v>
      </c>
      <c r="J32" s="50">
        <f>IF(Salaire_brut_octobre="",0,Horaire_collectif_mensuel*C32*IF(G32&lt;&gt;"",G32,Salaire_brut_octobre)/IF(H32&lt;&gt;"",H32,IF(E32&lt;&gt;"",E32,Salaire_brut_octobre)))</f>
        <v>1445.4150999999997</v>
      </c>
      <c r="K32" s="50">
        <f t="shared" si="0"/>
        <v>1010</v>
      </c>
      <c r="L32" s="50">
        <f t="shared" si="9"/>
        <v>14454.151</v>
      </c>
      <c r="M32" s="50">
        <f t="shared" si="6"/>
        <v>0</v>
      </c>
      <c r="N32" s="50">
        <f>Salaire_brut_janvier+Salaire_brut_février+Salaire_brut_mars+Salaire_brut_avril+Salaire_brut_mai+Salaire_brut_juin+Salaire_brut_juillet+Salaire_brut_août+Salaire_brut_septembre+Salaire_brut_octobre</f>
        <v>17056</v>
      </c>
      <c r="O32" s="51">
        <f t="shared" si="1"/>
        <v>0.16669999999999999</v>
      </c>
      <c r="P32" s="51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0.28100000000000003</v>
      </c>
      <c r="Q32" s="50">
        <f t="shared" si="7"/>
        <v>2843.2351999999996</v>
      </c>
      <c r="R32" s="50">
        <f>Q32-SUM(R23:R31)</f>
        <v>609.63199999999961</v>
      </c>
      <c r="S32" s="50">
        <f>IF(ISERR(P32),0,Salaire_brut_octobre*P32)</f>
        <v>283.81</v>
      </c>
      <c r="T32" s="50"/>
      <c r="U32" s="50">
        <f t="shared" si="8"/>
        <v>283.81</v>
      </c>
      <c r="V32" s="53">
        <f t="shared" si="2"/>
        <v>609.63199999999961</v>
      </c>
      <c r="W32" s="56" t="str">
        <f t="shared" si="3"/>
        <v/>
      </c>
    </row>
    <row r="33" spans="2:31" ht="15">
      <c r="B33" s="45" t="s">
        <v>46</v>
      </c>
      <c r="C33" s="46">
        <f>SMIC!B14</f>
        <v>9.5299999999999994</v>
      </c>
      <c r="D33" s="12">
        <v>1011</v>
      </c>
      <c r="E33" s="47"/>
      <c r="F33" s="48"/>
      <c r="G33" s="55">
        <f t="shared" si="4"/>
        <v>35</v>
      </c>
      <c r="H33" s="55">
        <f t="shared" si="5"/>
        <v>35</v>
      </c>
      <c r="I33" s="45" t="s">
        <v>46</v>
      </c>
      <c r="J33" s="50">
        <f>IF(Salaire_brut_novembre="",0,Horaire_collectif_mensuel*C33*IF(G33&lt;&gt;"",G33,Salaire_brut_novembre)/IF(H33&lt;&gt;"",H33,IF(E33&lt;&gt;"",E33,Salaire_brut_novembre)))</f>
        <v>1445.4150999999997</v>
      </c>
      <c r="K33" s="50">
        <f t="shared" si="0"/>
        <v>1011</v>
      </c>
      <c r="L33" s="50">
        <f t="shared" si="9"/>
        <v>15899.5661</v>
      </c>
      <c r="M33" s="50">
        <f t="shared" si="6"/>
        <v>0</v>
      </c>
      <c r="N33" s="50">
        <f>Salaire_brut_janvier+Salaire_brut_février+Salaire_brut_mars+Salaire_brut_avril+Salaire_brut_mai+Salaire_brut_juin+Salaire_brut_juillet+Salaire_brut_août+Salaire_brut_septembre+Salaire_brut_octobre+Salaire_brut_novembre</f>
        <v>18067</v>
      </c>
      <c r="O33" s="51">
        <f t="shared" si="1"/>
        <v>0.19109999999999999</v>
      </c>
      <c r="P33" s="51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0.28100000000000003</v>
      </c>
      <c r="Q33" s="50">
        <f t="shared" si="7"/>
        <v>3452.6036999999997</v>
      </c>
      <c r="R33" s="50">
        <f>Q33-SUM(R23:R32)</f>
        <v>609.36850000000004</v>
      </c>
      <c r="S33" s="50">
        <f>IF(ISERR(P33),0,Salaire_brut_novembre*P33)</f>
        <v>284.09100000000001</v>
      </c>
      <c r="U33" s="50">
        <f t="shared" si="8"/>
        <v>284.09100000000001</v>
      </c>
      <c r="V33" s="53">
        <f t="shared" si="2"/>
        <v>609.36850000000004</v>
      </c>
      <c r="W33" s="56" t="str">
        <f t="shared" si="3"/>
        <v/>
      </c>
    </row>
    <row r="34" spans="2:31" ht="15.75" thickBot="1">
      <c r="B34" s="45" t="s">
        <v>47</v>
      </c>
      <c r="C34" s="57">
        <f>SMIC!B15</f>
        <v>9.5299999999999994</v>
      </c>
      <c r="D34" s="12">
        <v>3012</v>
      </c>
      <c r="E34" s="58"/>
      <c r="F34" s="59"/>
      <c r="G34" s="60">
        <f t="shared" si="4"/>
        <v>35</v>
      </c>
      <c r="H34" s="60">
        <f t="shared" si="5"/>
        <v>35</v>
      </c>
      <c r="I34" s="45" t="s">
        <v>47</v>
      </c>
      <c r="J34" s="50">
        <f>IF(Salaire_brut_décembre="",0,Horaire_collectif_mensuel*C34*IF(G34&lt;&gt;"",G34,Salaire_brut_décembre)/IF(H34&lt;&gt;"",H34,IF(E34&lt;&gt;"",E34,Salaire_brut_décembre)))</f>
        <v>1445.4150999999997</v>
      </c>
      <c r="K34" s="50">
        <f t="shared" si="0"/>
        <v>3012</v>
      </c>
      <c r="L34" s="50">
        <f t="shared" si="9"/>
        <v>17344.981199999998</v>
      </c>
      <c r="M34" s="50">
        <f t="shared" si="6"/>
        <v>0</v>
      </c>
      <c r="N34" s="50">
        <f>Salaire_brut_janvier+Salaire_brut_février+Salaire_brut_mars+Salaire_brut_avril+Salaire_brut_mai+Salaire_brut_juin+Salaire_brut_juillet+Salaire_brut_août+Salaire_brut_septembre+Salaire_brut_octobre+Salaire_brut_novembre+Salaire_brut_décembre</f>
        <v>21079</v>
      </c>
      <c r="O34" s="51">
        <f t="shared" si="1"/>
        <v>0.14829999999999999</v>
      </c>
      <c r="P34" s="51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0</v>
      </c>
      <c r="Q34" s="50">
        <f>IF(Salaire_brut_décembre=0,0,N34*O34)</f>
        <v>3126.0156999999999</v>
      </c>
      <c r="R34" s="50" t="str">
        <f>IF(Q34-SUM(R23:R33)&lt;0,"",Q34-SUM(R23:R33))</f>
        <v/>
      </c>
      <c r="S34" s="50">
        <f>IF(ISERR(P34),0,Salaire_brut_décembre*P34)</f>
        <v>0</v>
      </c>
      <c r="T34" s="50">
        <f>IF(Salaire_brut_décembre="",0,IF(Q34-SUM(R23:R33)&gt;0,"",Q34-SUM(R23:R33)))</f>
        <v>-326.58799999999974</v>
      </c>
      <c r="U34" s="50">
        <f>(SUM(R23:R33)+IF(R34&lt;&gt;"",R34,0)+IF(T34&lt;&gt;"",T34,0))-SUM(U23:U33)</f>
        <v>864.52769999999964</v>
      </c>
      <c r="V34" s="53" t="str">
        <f t="shared" si="2"/>
        <v/>
      </c>
      <c r="W34" s="61">
        <f>IF(Mode_calcul=1,IF(T34&lt;0,-T34,""),IF(U34&lt;0,-U34,""))</f>
        <v>326.58799999999974</v>
      </c>
    </row>
    <row r="35" spans="2:31" ht="21" customHeight="1" thickBot="1">
      <c r="B35" s="62" t="s">
        <v>138</v>
      </c>
      <c r="C35" s="63"/>
      <c r="D35" s="64">
        <f>SUM(D23:D34)</f>
        <v>21079</v>
      </c>
      <c r="E35" s="65"/>
      <c r="F35" s="66"/>
      <c r="G35" s="63"/>
      <c r="H35" s="63"/>
      <c r="I35" s="62" t="s">
        <v>138</v>
      </c>
      <c r="Q35" s="50"/>
      <c r="R35" s="67"/>
      <c r="S35" s="50">
        <f>SUM(S23:S34)</f>
        <v>2261.4880000000003</v>
      </c>
      <c r="V35" s="160">
        <f>SUM(V23:V33)+IF(V34="",0,V34)-SUM(W23:W33)-IF(W34="",0,W34)</f>
        <v>3126.0156999999999</v>
      </c>
      <c r="W35" s="161"/>
    </row>
    <row r="36" spans="2:31" ht="21" customHeight="1" thickBot="1">
      <c r="C36" s="68"/>
      <c r="F36" s="27"/>
      <c r="Q36" s="50"/>
      <c r="R36" s="67"/>
      <c r="S36" s="50"/>
    </row>
    <row r="37" spans="2:31" ht="21" hidden="1" customHeight="1">
      <c r="C37" s="68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50"/>
      <c r="V37" s="150" t="s">
        <v>139</v>
      </c>
      <c r="W37" s="150"/>
      <c r="X37" s="150" t="s">
        <v>140</v>
      </c>
      <c r="Y37" s="150"/>
    </row>
    <row r="38" spans="2:31" ht="21" hidden="1" customHeight="1">
      <c r="C38" s="68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50"/>
      <c r="V38" s="16" t="s">
        <v>141</v>
      </c>
      <c r="W38" s="16" t="s">
        <v>142</v>
      </c>
      <c r="X38" s="16" t="s">
        <v>141</v>
      </c>
      <c r="Y38" s="16" t="s">
        <v>142</v>
      </c>
      <c r="AB38" s="16"/>
      <c r="AC38" s="16"/>
      <c r="AD38" s="50"/>
      <c r="AE38" s="19"/>
    </row>
    <row r="39" spans="2:31" ht="21" hidden="1" customHeight="1">
      <c r="C39" s="68"/>
      <c r="D39" s="69"/>
      <c r="E39" s="69"/>
      <c r="F39" s="69"/>
      <c r="H39" s="70"/>
      <c r="I39" s="70"/>
      <c r="J39" s="69"/>
      <c r="K39" s="69"/>
      <c r="L39" s="69"/>
      <c r="M39" s="69"/>
      <c r="N39" s="69"/>
      <c r="O39" s="69"/>
      <c r="P39" s="69"/>
      <c r="Q39" s="69"/>
      <c r="R39" s="69"/>
      <c r="S39" s="50"/>
      <c r="U39" s="71" t="s">
        <v>143</v>
      </c>
      <c r="V39" s="72">
        <f>IF(R23+R24+R25&lt;0,"",R23+R24+R25)</f>
        <v>436.10820000000001</v>
      </c>
      <c r="W39" s="72" t="str">
        <f>IF(R23+R24+R25&gt;0,"",-(R23+R24+R25))</f>
        <v/>
      </c>
      <c r="X39" s="72">
        <f>IF(U23+U24+U25&lt;0,"",U23+U24+U25)</f>
        <v>562.84300000000007</v>
      </c>
      <c r="Y39" s="72" t="str">
        <f>IF(U23+U24+U25&gt;0,"",-(U23+U24+U25))</f>
        <v/>
      </c>
      <c r="Z39" s="73"/>
      <c r="AA39" s="73"/>
      <c r="AB39" s="74"/>
      <c r="AC39" s="74"/>
      <c r="AD39" s="74"/>
    </row>
    <row r="40" spans="2:31" ht="21" hidden="1" customHeight="1">
      <c r="C40" s="68"/>
      <c r="D40" s="69"/>
      <c r="E40" s="69"/>
      <c r="F40" s="69"/>
      <c r="H40" s="70"/>
      <c r="I40" s="70"/>
      <c r="J40" s="69"/>
      <c r="K40" s="69"/>
      <c r="L40" s="69"/>
      <c r="M40" s="69"/>
      <c r="N40" s="69"/>
      <c r="O40" s="69"/>
      <c r="P40" s="69"/>
      <c r="Q40" s="69"/>
      <c r="R40" s="69"/>
      <c r="S40" s="50"/>
      <c r="U40" s="71" t="s">
        <v>144</v>
      </c>
      <c r="V40" s="72">
        <f>IF(R26+R27+R28&lt;0,"",R26+R27+R28)</f>
        <v>900.86040000000003</v>
      </c>
      <c r="W40" s="72" t="str">
        <f>IF(R26+R27+R28&gt;0,"",-(R26+R27+R28))</f>
        <v/>
      </c>
      <c r="X40" s="72">
        <f>IF(U26+U27+U28&lt;0,"",U26+U27+U28)</f>
        <v>564.529</v>
      </c>
      <c r="Y40" s="72" t="str">
        <f>IF(U26+U27+U28&gt;0,"",-(U26+U27+U28))</f>
        <v/>
      </c>
      <c r="Z40" s="73"/>
      <c r="AA40" s="73"/>
      <c r="AB40" s="74"/>
      <c r="AC40" s="74"/>
      <c r="AD40" s="74"/>
    </row>
    <row r="41" spans="2:31" ht="21" hidden="1" customHeight="1">
      <c r="C41" s="68"/>
      <c r="D41" s="69"/>
      <c r="E41" s="69"/>
      <c r="F41" s="69"/>
      <c r="H41" s="70"/>
      <c r="I41" s="70"/>
      <c r="J41" s="69"/>
      <c r="K41" s="69"/>
      <c r="L41" s="69"/>
      <c r="M41" s="69"/>
      <c r="N41" s="69"/>
      <c r="O41" s="69"/>
      <c r="P41" s="69"/>
      <c r="Q41" s="69"/>
      <c r="R41" s="69"/>
      <c r="S41" s="50"/>
      <c r="U41" s="71" t="s">
        <v>145</v>
      </c>
      <c r="V41" s="72">
        <f>IF(R29+R30+R31&lt;0,"",R29+R30+R31)</f>
        <v>896.63459999999986</v>
      </c>
      <c r="W41" s="72" t="str">
        <f>IF(R29+R30+R31&gt;0,"",-(R29+R30+R31))</f>
        <v/>
      </c>
      <c r="X41" s="72">
        <f>IF(U29+U30+U31&lt;0,"",U29+U30+U31)</f>
        <v>566.21500000000015</v>
      </c>
      <c r="Y41" s="72" t="str">
        <f>IF(U29+U30+U31&gt;0,"",-(U29+U30+U31))</f>
        <v/>
      </c>
      <c r="Z41" s="73"/>
      <c r="AA41" s="73"/>
      <c r="AB41" s="74"/>
      <c r="AC41" s="74"/>
      <c r="AD41" s="74"/>
    </row>
    <row r="42" spans="2:31" ht="21" hidden="1" customHeight="1" thickBot="1">
      <c r="C42" s="68"/>
      <c r="D42" s="69"/>
      <c r="E42" s="69"/>
      <c r="F42" s="69"/>
      <c r="H42" s="70"/>
      <c r="I42" s="70"/>
      <c r="J42" s="69"/>
      <c r="K42" s="69"/>
      <c r="L42" s="69"/>
      <c r="M42" s="69"/>
      <c r="N42" s="69"/>
      <c r="O42" s="69"/>
      <c r="P42" s="69"/>
      <c r="Q42" s="69"/>
      <c r="R42" s="69"/>
      <c r="S42" s="50"/>
      <c r="U42" s="71" t="s">
        <v>146</v>
      </c>
      <c r="V42" s="72">
        <f>IF(R32+R33+IF(R34&lt;&gt;"",R34,0)+IF(T34&lt;&gt;"",T34,0)&lt;0,"",R32+R33+IF(R34&lt;&gt;"",R34,0)+IF(T34&lt;&gt;"",T34,0))</f>
        <v>892.41249999999991</v>
      </c>
      <c r="W42" s="72" t="str">
        <f>IF(R32+R33+IF(R34&lt;&gt;"",R34,0)+IF(T34&lt;&gt;"",T34,0)&gt;0,"",-(R32+R33+IF(R34&lt;&gt;"",R34,0)+IF(T34&lt;&gt;"",T34,0)))</f>
        <v/>
      </c>
      <c r="X42" s="72">
        <f>IF(U32+U33+U34&lt;0,"",U32+U33+U34)</f>
        <v>1432.4286999999997</v>
      </c>
      <c r="Y42" s="72" t="str">
        <f>IF(U32+U33+U34&gt;0,"",-(U32+U33+U34))</f>
        <v/>
      </c>
      <c r="Z42" s="73"/>
      <c r="AA42" s="73"/>
      <c r="AB42" s="74"/>
      <c r="AC42" s="74"/>
      <c r="AD42" s="74"/>
    </row>
    <row r="43" spans="2:31" ht="21" customHeight="1" thickBot="1">
      <c r="C43" s="151" t="s">
        <v>147</v>
      </c>
      <c r="D43" s="151"/>
      <c r="E43" s="151"/>
      <c r="F43" s="151"/>
      <c r="G43" s="151"/>
      <c r="H43" s="151"/>
      <c r="I43" s="70"/>
      <c r="J43" s="69"/>
      <c r="K43" s="69"/>
      <c r="L43" s="69"/>
      <c r="M43" s="69"/>
      <c r="N43" s="69"/>
      <c r="O43" s="69"/>
      <c r="P43" s="69"/>
      <c r="Q43" s="69"/>
      <c r="R43" s="69"/>
      <c r="S43" s="50"/>
      <c r="U43" s="71"/>
      <c r="V43" s="72"/>
      <c r="W43" s="72"/>
      <c r="X43" s="72"/>
      <c r="Y43" s="72"/>
      <c r="Z43" s="73"/>
      <c r="AA43" s="73"/>
      <c r="AB43" s="74"/>
      <c r="AC43" s="74"/>
      <c r="AD43" s="74"/>
    </row>
    <row r="44" spans="2:31" ht="21" customHeight="1" thickBot="1">
      <c r="C44" s="68"/>
      <c r="D44" s="152" t="s">
        <v>118</v>
      </c>
      <c r="E44" s="152"/>
      <c r="F44" s="153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50"/>
    </row>
    <row r="45" spans="2:31" ht="32.25" customHeight="1">
      <c r="C45" s="68"/>
      <c r="D45" s="75" t="s">
        <v>148</v>
      </c>
      <c r="E45" s="76" t="s">
        <v>149</v>
      </c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50"/>
    </row>
    <row r="46" spans="2:31">
      <c r="C46" s="77" t="s">
        <v>143</v>
      </c>
      <c r="D46" s="78">
        <f t="shared" ref="D46:E49" si="10">IF(Mode_calcul=1,V39,X39)</f>
        <v>436.10820000000001</v>
      </c>
      <c r="E46" s="78" t="str">
        <f t="shared" si="10"/>
        <v/>
      </c>
      <c r="O46" s="15"/>
      <c r="P46" s="15"/>
      <c r="Q46" s="15"/>
      <c r="R46" s="15"/>
    </row>
    <row r="47" spans="2:31">
      <c r="C47" s="77" t="s">
        <v>144</v>
      </c>
      <c r="D47" s="78">
        <f t="shared" si="10"/>
        <v>900.86040000000003</v>
      </c>
      <c r="E47" s="78" t="str">
        <f t="shared" si="10"/>
        <v/>
      </c>
      <c r="O47" s="15"/>
      <c r="P47" s="15"/>
      <c r="Q47" s="15"/>
      <c r="R47" s="15"/>
    </row>
    <row r="48" spans="2:31">
      <c r="C48" s="77" t="s">
        <v>145</v>
      </c>
      <c r="D48" s="78">
        <f t="shared" si="10"/>
        <v>896.63459999999986</v>
      </c>
      <c r="E48" s="78" t="str">
        <f t="shared" si="10"/>
        <v/>
      </c>
      <c r="O48" s="15"/>
      <c r="P48" s="15"/>
      <c r="Q48" s="15"/>
      <c r="R48" s="15"/>
    </row>
    <row r="49" spans="3:19" ht="14.25" thickBot="1">
      <c r="C49" s="77" t="s">
        <v>146</v>
      </c>
      <c r="D49" s="79">
        <f t="shared" si="10"/>
        <v>892.41249999999991</v>
      </c>
      <c r="E49" s="79" t="str">
        <f t="shared" si="10"/>
        <v/>
      </c>
      <c r="O49" s="15"/>
      <c r="P49" s="15"/>
      <c r="Q49" s="15"/>
      <c r="R49" s="15"/>
    </row>
    <row r="50" spans="3:19" ht="14.25" thickBot="1">
      <c r="C50" s="62" t="s">
        <v>138</v>
      </c>
      <c r="D50" s="154">
        <f>+SUM(D46:D49)-SUM(E46:E49)</f>
        <v>3126.0156999999999</v>
      </c>
      <c r="E50" s="154"/>
      <c r="K50" s="80"/>
      <c r="L50" s="80"/>
      <c r="M50" s="80"/>
      <c r="N50" s="80"/>
      <c r="S50" s="51"/>
    </row>
    <row r="51" spans="3:19">
      <c r="K51" s="80"/>
      <c r="L51" s="80"/>
      <c r="M51" s="80"/>
      <c r="N51" s="80"/>
      <c r="S51" s="51"/>
    </row>
    <row r="52" spans="3:19">
      <c r="C52" s="81"/>
      <c r="D52" s="82"/>
      <c r="E52" s="82"/>
      <c r="F52" s="82"/>
      <c r="G52" s="82"/>
      <c r="H52" s="82"/>
      <c r="I52" s="82"/>
      <c r="K52" s="80"/>
      <c r="L52" s="80"/>
      <c r="M52" s="80"/>
      <c r="N52" s="80"/>
      <c r="S52" s="51"/>
    </row>
    <row r="53" spans="3:19">
      <c r="K53" s="80"/>
      <c r="L53" s="80"/>
      <c r="M53" s="80"/>
      <c r="N53" s="80"/>
      <c r="S53" s="51"/>
    </row>
    <row r="54" spans="3:19">
      <c r="K54" s="80"/>
      <c r="L54" s="80"/>
      <c r="M54" s="80"/>
      <c r="N54" s="80"/>
      <c r="S54" s="51"/>
    </row>
    <row r="55" spans="3:19">
      <c r="K55" s="80"/>
      <c r="L55" s="80"/>
      <c r="M55" s="80"/>
      <c r="N55" s="80"/>
      <c r="S55" s="51"/>
    </row>
    <row r="56" spans="3:19">
      <c r="K56" s="80"/>
      <c r="L56" s="80"/>
      <c r="M56" s="80"/>
      <c r="N56" s="80"/>
      <c r="S56" s="51"/>
    </row>
    <row r="57" spans="3:19">
      <c r="K57" s="80"/>
      <c r="L57" s="80"/>
      <c r="M57" s="80"/>
      <c r="N57" s="80"/>
      <c r="S57" s="51"/>
    </row>
    <row r="58" spans="3:19">
      <c r="K58" s="80"/>
      <c r="L58" s="80"/>
      <c r="M58" s="80"/>
      <c r="N58" s="80"/>
      <c r="S58" s="51"/>
    </row>
    <row r="59" spans="3:19">
      <c r="K59" s="80"/>
      <c r="L59" s="80"/>
      <c r="M59" s="80"/>
      <c r="N59" s="80"/>
      <c r="S59" s="51"/>
    </row>
    <row r="60" spans="3:19">
      <c r="K60" s="80"/>
      <c r="L60" s="80"/>
      <c r="M60" s="80"/>
      <c r="N60" s="80"/>
      <c r="S60" s="51"/>
    </row>
    <row r="61" spans="3:19">
      <c r="K61" s="80"/>
      <c r="L61" s="80"/>
      <c r="M61" s="80"/>
      <c r="N61" s="80"/>
      <c r="S61" s="51"/>
    </row>
    <row r="63" spans="3:19">
      <c r="G63" s="83"/>
      <c r="H63" s="83"/>
      <c r="I63" s="83"/>
    </row>
    <row r="65" spans="2:14"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84"/>
      <c r="M65" s="84"/>
      <c r="N65" s="84"/>
    </row>
    <row r="67" spans="2:14"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84"/>
      <c r="M67" s="84"/>
      <c r="N67" s="84"/>
    </row>
    <row r="69" spans="2:14"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84"/>
      <c r="M69" s="84"/>
      <c r="N69" s="84"/>
    </row>
  </sheetData>
  <mergeCells count="13">
    <mergeCell ref="B1:W1"/>
    <mergeCell ref="G21:H21"/>
    <mergeCell ref="V21:W21"/>
    <mergeCell ref="S22:T22"/>
    <mergeCell ref="V35:W35"/>
    <mergeCell ref="B69:K69"/>
    <mergeCell ref="X37:Y37"/>
    <mergeCell ref="C43:H43"/>
    <mergeCell ref="D44:F44"/>
    <mergeCell ref="D50:E50"/>
    <mergeCell ref="B65:K65"/>
    <mergeCell ref="B67:K67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704850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 sizeWithCells="1">
                  <from>
                    <xdr:col>2</xdr:col>
                    <xdr:colOff>28575</xdr:colOff>
                    <xdr:row>4</xdr:row>
                    <xdr:rowOff>66675</xdr:rowOff>
                  </from>
                  <to>
                    <xdr:col>3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Group Box 3">
              <controlPr defaultSize="0" autoFill="0" autoPict="0">
                <anchor moveWithCells="1" sizeWithCells="1">
                  <from>
                    <xdr:col>2</xdr:col>
                    <xdr:colOff>0</xdr:colOff>
                    <xdr:row>3</xdr:row>
                    <xdr:rowOff>228600</xdr:rowOff>
                  </from>
                  <to>
                    <xdr:col>5</xdr:col>
                    <xdr:colOff>314325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Group Box 4">
              <controlPr defaultSize="0" autoFill="0" autoPict="0">
                <anchor moveWithCells="1">
                  <from>
                    <xdr:col>2</xdr:col>
                    <xdr:colOff>0</xdr:colOff>
                    <xdr:row>8</xdr:row>
                    <xdr:rowOff>114300</xdr:rowOff>
                  </from>
                  <to>
                    <xdr:col>4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3</xdr:col>
                    <xdr:colOff>190500</xdr:colOff>
                    <xdr:row>9</xdr:row>
                    <xdr:rowOff>57150</xdr:rowOff>
                  </from>
                  <to>
                    <xdr:col>4</xdr:col>
                    <xdr:colOff>28575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Option Button 6">
              <controlPr defaultSize="0" autoFill="0" autoLine="0" autoPict="0">
                <anchor moveWithCells="1" sizeWithCells="1">
                  <from>
                    <xdr:col>3</xdr:col>
                    <xdr:colOff>28575</xdr:colOff>
                    <xdr:row>4</xdr:row>
                    <xdr:rowOff>66675</xdr:rowOff>
                  </from>
                  <to>
                    <xdr:col>5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E69"/>
  <sheetViews>
    <sheetView showGridLines="0" showRowColHeaders="0" workbookViewId="0">
      <selection activeCell="I3" sqref="I3"/>
    </sheetView>
  </sheetViews>
  <sheetFormatPr baseColWidth="10" defaultColWidth="0" defaultRowHeight="13.5"/>
  <cols>
    <col min="1" max="1" width="2.7109375" style="15" customWidth="1"/>
    <col min="2" max="2" width="25.28515625" style="15" customWidth="1"/>
    <col min="3" max="9" width="13.5703125" style="15" customWidth="1"/>
    <col min="10" max="14" width="12.7109375" style="15" hidden="1" customWidth="1"/>
    <col min="15" max="16" width="10.85546875" style="16" hidden="1" customWidth="1"/>
    <col min="17" max="17" width="12.7109375" style="16" hidden="1" customWidth="1"/>
    <col min="18" max="18" width="11.28515625" style="16" hidden="1" customWidth="1"/>
    <col min="19" max="19" width="14.7109375" style="16" hidden="1" customWidth="1"/>
    <col min="20" max="20" width="14.7109375" style="15" hidden="1" customWidth="1"/>
    <col min="21" max="21" width="14.28515625" style="15" hidden="1" customWidth="1"/>
    <col min="22" max="23" width="15.7109375" style="15" customWidth="1"/>
    <col min="24" max="24" width="2.5703125" style="15" customWidth="1"/>
    <col min="25" max="33" width="10.28515625" style="15" hidden="1" customWidth="1"/>
    <col min="34" max="16384" width="10.28515625" style="15" hidden="1"/>
  </cols>
  <sheetData>
    <row r="1" spans="2:23" ht="25.5" customHeight="1">
      <c r="B1" s="155" t="s">
        <v>102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</row>
    <row r="2" spans="2:23" ht="14.25" thickBot="1"/>
    <row r="3" spans="2:23" ht="21.75" customHeight="1" thickBot="1">
      <c r="B3" s="17" t="s">
        <v>103</v>
      </c>
      <c r="C3" s="18">
        <v>2013</v>
      </c>
      <c r="H3" s="19" t="s">
        <v>104</v>
      </c>
      <c r="I3" s="20" t="s">
        <v>150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2:23" ht="20.25" customHeight="1">
      <c r="B4" s="21"/>
      <c r="H4" s="19" t="s">
        <v>105</v>
      </c>
      <c r="I4" s="22" t="s">
        <v>178</v>
      </c>
    </row>
    <row r="5" spans="2:23" ht="27" customHeight="1">
      <c r="B5" s="23" t="s">
        <v>107</v>
      </c>
      <c r="H5" s="15" t="s">
        <v>163</v>
      </c>
      <c r="I5" s="15" t="s">
        <v>56</v>
      </c>
    </row>
    <row r="6" spans="2:23" ht="9.75" customHeight="1">
      <c r="B6" s="24"/>
    </row>
    <row r="7" spans="2:23" hidden="1">
      <c r="B7" s="24"/>
      <c r="C7" s="25">
        <v>1</v>
      </c>
    </row>
    <row r="8" spans="2:23" ht="5.25" customHeight="1">
      <c r="B8" s="24"/>
    </row>
    <row r="9" spans="2:23" ht="15" customHeight="1">
      <c r="B9" s="24"/>
    </row>
    <row r="10" spans="2:23" ht="29.25" customHeight="1">
      <c r="B10" s="23" t="s">
        <v>108</v>
      </c>
    </row>
    <row r="11" spans="2:23" ht="15" hidden="1" customHeight="1">
      <c r="B11" s="24"/>
      <c r="C11" s="25">
        <v>1</v>
      </c>
    </row>
    <row r="12" spans="2:23" ht="15" customHeight="1" thickBot="1">
      <c r="B12" s="24"/>
    </row>
    <row r="13" spans="2:23" ht="15.75" thickBot="1">
      <c r="B13" s="23" t="s">
        <v>109</v>
      </c>
      <c r="C13" s="26">
        <v>151.66999999999999</v>
      </c>
      <c r="G13" s="27"/>
    </row>
    <row r="14" spans="2:23" ht="14.25" thickBot="1">
      <c r="B14" s="24"/>
    </row>
    <row r="15" spans="2:23" ht="14.25" thickBot="1">
      <c r="B15" s="23" t="s">
        <v>110</v>
      </c>
      <c r="C15" s="28">
        <f>IF(C7=1,0.281,0.26)</f>
        <v>0.28100000000000003</v>
      </c>
      <c r="G15" s="27"/>
    </row>
    <row r="16" spans="2:23" s="29" customFormat="1" ht="15" customHeight="1">
      <c r="B16" s="24"/>
      <c r="S16" s="30"/>
    </row>
    <row r="17" spans="2:23" s="29" customFormat="1" ht="15" customHeight="1" thickBot="1">
      <c r="B17" s="23" t="s">
        <v>111</v>
      </c>
      <c r="S17" s="30"/>
      <c r="U17" s="31"/>
    </row>
    <row r="18" spans="2:23" s="29" customFormat="1" ht="15" customHeight="1" thickBot="1">
      <c r="B18" s="32" t="s">
        <v>112</v>
      </c>
      <c r="C18" s="26">
        <v>35</v>
      </c>
      <c r="D18" s="33" t="s">
        <v>113</v>
      </c>
      <c r="E18" s="16" t="str">
        <f>IF(AND(C19&lt;&gt;"",OR(C18="",C18=0)),"&lt;&lt;&lt;&lt;&lt; info à compléter","")</f>
        <v/>
      </c>
      <c r="S18" s="30"/>
      <c r="U18" s="31"/>
    </row>
    <row r="19" spans="2:23" s="29" customFormat="1" ht="15" customHeight="1" thickBot="1">
      <c r="B19" s="32" t="s">
        <v>114</v>
      </c>
      <c r="C19" s="26">
        <v>35</v>
      </c>
      <c r="D19" s="33" t="s">
        <v>115</v>
      </c>
      <c r="E19" s="16" t="str">
        <f>IF(AND(C18&lt;&gt;"",OR(C19="",C19=0)),"&lt;&lt;&lt;&lt;&lt; info à compléter","")</f>
        <v/>
      </c>
      <c r="S19" s="30"/>
      <c r="U19" s="31"/>
    </row>
    <row r="20" spans="2:23" s="29" customFormat="1" ht="15" customHeight="1">
      <c r="B20" s="34"/>
      <c r="S20" s="30"/>
      <c r="U20" s="31"/>
    </row>
    <row r="21" spans="2:23" s="29" customFormat="1" ht="14.25" customHeight="1" thickBot="1">
      <c r="B21" s="34"/>
      <c r="C21" s="34"/>
      <c r="D21" s="34"/>
      <c r="E21" s="35" t="s">
        <v>116</v>
      </c>
      <c r="F21" s="34"/>
      <c r="G21" s="156" t="s">
        <v>117</v>
      </c>
      <c r="H21" s="157"/>
      <c r="I21" s="36"/>
      <c r="U21" s="31"/>
      <c r="V21" s="158" t="s">
        <v>118</v>
      </c>
      <c r="W21" s="159"/>
    </row>
    <row r="22" spans="2:23" s="29" customFormat="1" ht="27" customHeight="1" thickBot="1">
      <c r="C22" s="37" t="s">
        <v>119</v>
      </c>
      <c r="D22" s="147" t="s">
        <v>120</v>
      </c>
      <c r="E22" s="39" t="s">
        <v>121</v>
      </c>
      <c r="F22" s="40" t="s">
        <v>122</v>
      </c>
      <c r="G22" s="41" t="s">
        <v>123</v>
      </c>
      <c r="H22" s="39" t="s">
        <v>124</v>
      </c>
      <c r="I22" s="36"/>
      <c r="J22" s="30" t="s">
        <v>125</v>
      </c>
      <c r="K22" s="30" t="s">
        <v>126</v>
      </c>
      <c r="L22" s="30" t="s">
        <v>127</v>
      </c>
      <c r="M22" s="30" t="s">
        <v>128</v>
      </c>
      <c r="N22" s="30" t="s">
        <v>129</v>
      </c>
      <c r="O22" s="30" t="s">
        <v>130</v>
      </c>
      <c r="P22" s="30" t="s">
        <v>131</v>
      </c>
      <c r="Q22" s="30" t="s">
        <v>132</v>
      </c>
      <c r="R22" s="30" t="s">
        <v>133</v>
      </c>
      <c r="S22" s="150" t="s">
        <v>134</v>
      </c>
      <c r="T22" s="150"/>
      <c r="U22" s="42" t="s">
        <v>135</v>
      </c>
      <c r="V22" s="43" t="s">
        <v>136</v>
      </c>
      <c r="W22" s="44" t="s">
        <v>137</v>
      </c>
    </row>
    <row r="23" spans="2:23" ht="15">
      <c r="B23" s="45" t="s">
        <v>36</v>
      </c>
      <c r="C23" s="46">
        <f>SMIC!B4</f>
        <v>9.5299999999999994</v>
      </c>
      <c r="D23" s="12">
        <v>1001</v>
      </c>
      <c r="E23" s="47"/>
      <c r="F23" s="48"/>
      <c r="G23" s="49">
        <f>IF(AND($C$18&lt;&gt;0,$C$18&lt;&gt;""),$C$18,"")</f>
        <v>35</v>
      </c>
      <c r="H23" s="49">
        <f>IF(AND($C$19&lt;&gt;0,$C$19&lt;&gt;""),$C$19,"")</f>
        <v>35</v>
      </c>
      <c r="I23" s="45" t="s">
        <v>36</v>
      </c>
      <c r="J23" s="50">
        <f>IF(Salaire_brut_janvier="",0,(Horaire_collectif_mensuel*C23*IF(G23&lt;&gt;"",G23,Salaire_brut_janvier)/IF(H23&lt;&gt;"",H23,IF(E23&lt;&gt;"",E23,Salaire_brut_janvier))))</f>
        <v>1445.4150999999997</v>
      </c>
      <c r="K23" s="50">
        <f t="shared" ref="K23:K34" si="0">D23</f>
        <v>1001</v>
      </c>
      <c r="L23" s="50">
        <f>J23</f>
        <v>1445.4150999999997</v>
      </c>
      <c r="M23" s="50">
        <f>C23*F23</f>
        <v>0</v>
      </c>
      <c r="N23" s="50">
        <f>D23</f>
        <v>1001</v>
      </c>
      <c r="O23" s="51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0.28100000000000003</v>
      </c>
      <c r="P23" s="51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0.28100000000000003</v>
      </c>
      <c r="Q23" s="50">
        <f>IF(ISERR(N23*O23),0,N23*O23)</f>
        <v>281.28100000000001</v>
      </c>
      <c r="R23" s="50">
        <f>IF(ISERR(Salaire_brut_janvier*O23),0,Salaire_brut_janvier*O23)</f>
        <v>281.28100000000001</v>
      </c>
      <c r="S23" s="50">
        <f>IF(ISERR(P23),0,Salaire_brut_janvier*P23)</f>
        <v>281.28100000000001</v>
      </c>
      <c r="T23" s="50"/>
      <c r="U23" s="52">
        <f>S23</f>
        <v>281.28100000000001</v>
      </c>
      <c r="V23" s="53">
        <f t="shared" ref="V23:V34" si="2">IF(Mode_calcul=1,IF(R23&gt;0,R23,""),IF(U23&gt;0,U23,""))</f>
        <v>281.28100000000001</v>
      </c>
      <c r="W23" s="54" t="str">
        <f t="shared" ref="W23:W33" si="3">IF(Mode_calcul=1,IF(R23&lt;0,-R23,""),IF(U23&lt;0,-U23,""))</f>
        <v/>
      </c>
    </row>
    <row r="24" spans="2:23" ht="15">
      <c r="B24" s="45" t="s">
        <v>37</v>
      </c>
      <c r="C24" s="46">
        <f>SMIC!B5</f>
        <v>9.5299999999999994</v>
      </c>
      <c r="D24" s="12">
        <v>1002</v>
      </c>
      <c r="E24" s="47"/>
      <c r="F24" s="48"/>
      <c r="G24" s="55">
        <f t="shared" ref="G24:G34" si="4">IF(AND($C$18&lt;&gt;0,$C$18&lt;&gt;""),$C$18,"")</f>
        <v>35</v>
      </c>
      <c r="H24" s="55">
        <f t="shared" ref="H24:H34" si="5">IF(AND($C$19&lt;&gt;0,$C$19&lt;&gt;""),$C$19,"")</f>
        <v>35</v>
      </c>
      <c r="I24" s="45" t="s">
        <v>37</v>
      </c>
      <c r="J24" s="50">
        <f>IF(Salaire_brut_février="",0,Horaire_collectif_mensuel*C24*IF(G24&lt;&gt;"",G24,Salaire_brut_février)/IF(H24&lt;&gt;"",H24,IF(E24&lt;&gt;"",E24,Salaire_brut_février)))</f>
        <v>1445.4150999999997</v>
      </c>
      <c r="K24" s="50">
        <f t="shared" si="0"/>
        <v>1002</v>
      </c>
      <c r="L24" s="50">
        <f>L23+J24</f>
        <v>2890.8301999999994</v>
      </c>
      <c r="M24" s="50">
        <f t="shared" ref="M24:M34" si="6">M23+C24*F24</f>
        <v>0</v>
      </c>
      <c r="N24" s="50">
        <f>Salaire_brut_janvier+Salaire_brut_février</f>
        <v>2003</v>
      </c>
      <c r="O24" s="51">
        <f t="shared" si="1"/>
        <v>0.28100000000000003</v>
      </c>
      <c r="P24" s="51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0.28100000000000003</v>
      </c>
      <c r="Q24" s="50">
        <f t="shared" ref="Q24:Q33" si="7">IF(ISERR(N24*O24),0,N24*O24)</f>
        <v>562.84300000000007</v>
      </c>
      <c r="R24" s="50">
        <f>Q24-SUM(R23)</f>
        <v>281.56200000000007</v>
      </c>
      <c r="S24" s="50">
        <f>IF(ISERR(P24),0,Salaire_brut_février*P24)</f>
        <v>281.56200000000001</v>
      </c>
      <c r="T24" s="50"/>
      <c r="U24" s="50">
        <f t="shared" ref="U24:U33" si="8">S24</f>
        <v>281.56200000000001</v>
      </c>
      <c r="V24" s="53">
        <f t="shared" si="2"/>
        <v>281.56200000000007</v>
      </c>
      <c r="W24" s="56" t="str">
        <f t="shared" si="3"/>
        <v/>
      </c>
    </row>
    <row r="25" spans="2:23" ht="15">
      <c r="B25" s="45" t="s">
        <v>38</v>
      </c>
      <c r="C25" s="46">
        <f>SMIC!B6</f>
        <v>9.5299999999999994</v>
      </c>
      <c r="D25" s="12">
        <v>4004</v>
      </c>
      <c r="E25" s="47"/>
      <c r="F25" s="48"/>
      <c r="G25" s="55">
        <f t="shared" si="4"/>
        <v>35</v>
      </c>
      <c r="H25" s="55">
        <f t="shared" si="5"/>
        <v>35</v>
      </c>
      <c r="I25" s="45" t="s">
        <v>38</v>
      </c>
      <c r="J25" s="50">
        <f>IF(Salaire_brut_mars="",0,Horaire_collectif_mensuel*C25*IF(G25&lt;&gt;"",G25,Salaire_brut_mars)/IF(H25&lt;&gt;"",H25,IF(E25&lt;&gt;"",E25,Salaire_brut_mars)))</f>
        <v>1445.4150999999997</v>
      </c>
      <c r="K25" s="50">
        <f t="shared" si="0"/>
        <v>4004</v>
      </c>
      <c r="L25" s="50">
        <f t="shared" ref="L25:L34" si="9">L24+J25</f>
        <v>4336.2452999999987</v>
      </c>
      <c r="M25" s="50">
        <f t="shared" si="6"/>
        <v>0</v>
      </c>
      <c r="N25" s="50">
        <f>Salaire_brut_janvier+Salaire_brut_février+Salaire_brut_mars</f>
        <v>6007</v>
      </c>
      <c r="O25" s="51">
        <f t="shared" si="1"/>
        <v>7.2599999999999998E-2</v>
      </c>
      <c r="P25" s="51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0</v>
      </c>
      <c r="Q25" s="50">
        <f t="shared" si="7"/>
        <v>436.10820000000001</v>
      </c>
      <c r="R25" s="50">
        <f>Q25-SUM(R23:R24)</f>
        <v>-126.73480000000006</v>
      </c>
      <c r="S25" s="50">
        <f>IF(ISERR(P25),0,Salaire_brut_mars*P25)</f>
        <v>0</v>
      </c>
      <c r="T25" s="50"/>
      <c r="U25" s="50">
        <f t="shared" si="8"/>
        <v>0</v>
      </c>
      <c r="V25" s="53" t="str">
        <f t="shared" si="2"/>
        <v/>
      </c>
      <c r="W25" s="56">
        <f t="shared" si="3"/>
        <v>126.73480000000006</v>
      </c>
    </row>
    <row r="26" spans="2:23" ht="15">
      <c r="B26" s="45" t="s">
        <v>39</v>
      </c>
      <c r="C26" s="46">
        <f>SMIC!B7</f>
        <v>9.5299999999999994</v>
      </c>
      <c r="D26" s="12">
        <v>1004</v>
      </c>
      <c r="E26" s="47"/>
      <c r="F26" s="48"/>
      <c r="G26" s="55">
        <f t="shared" si="4"/>
        <v>35</v>
      </c>
      <c r="H26" s="55">
        <f t="shared" si="5"/>
        <v>35</v>
      </c>
      <c r="I26" s="45" t="s">
        <v>39</v>
      </c>
      <c r="J26" s="50">
        <f>IF(Salaire_brut_avril="",0,Horaire_collectif_mensuel*C26*IF(G26&lt;&gt;"",G26,Salaire_brut_avril)/IF(H26&lt;&gt;"",H26,IF(E26&lt;&gt;"",E26,Salaire_brut_avril)))</f>
        <v>1445.4150999999997</v>
      </c>
      <c r="K26" s="50">
        <f t="shared" si="0"/>
        <v>1004</v>
      </c>
      <c r="L26" s="50">
        <f t="shared" si="9"/>
        <v>5781.6603999999988</v>
      </c>
      <c r="M26" s="50">
        <f t="shared" si="6"/>
        <v>0</v>
      </c>
      <c r="N26" s="50">
        <f>Salaire_brut_janvier+Salaire_brut_février+Salaire_brut_mars+Salaire_brut_avril</f>
        <v>7011</v>
      </c>
      <c r="O26" s="51">
        <f t="shared" si="1"/>
        <v>0.14960000000000001</v>
      </c>
      <c r="P26" s="51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0.28100000000000003</v>
      </c>
      <c r="Q26" s="50">
        <f t="shared" si="7"/>
        <v>1048.8456000000001</v>
      </c>
      <c r="R26" s="50">
        <f>Q26-SUM(R23:R25)</f>
        <v>612.73740000000009</v>
      </c>
      <c r="S26" s="50">
        <f>IF(ISERR(P26),0,Salaire_brut_avril*P26)</f>
        <v>282.12400000000002</v>
      </c>
      <c r="T26" s="50"/>
      <c r="U26" s="50">
        <f t="shared" si="8"/>
        <v>282.12400000000002</v>
      </c>
      <c r="V26" s="53">
        <f t="shared" si="2"/>
        <v>612.73740000000009</v>
      </c>
      <c r="W26" s="56" t="str">
        <f t="shared" si="3"/>
        <v/>
      </c>
    </row>
    <row r="27" spans="2:23" ht="15">
      <c r="B27" s="45" t="s">
        <v>40</v>
      </c>
      <c r="C27" s="46">
        <f>SMIC!B8</f>
        <v>9.5299999999999994</v>
      </c>
      <c r="D27" s="12">
        <v>1005</v>
      </c>
      <c r="E27" s="47"/>
      <c r="F27" s="48"/>
      <c r="G27" s="55">
        <f t="shared" si="4"/>
        <v>35</v>
      </c>
      <c r="H27" s="55">
        <f t="shared" si="5"/>
        <v>35</v>
      </c>
      <c r="I27" s="45" t="s">
        <v>40</v>
      </c>
      <c r="J27" s="50">
        <f>IF(Salaire_brut_mai="",0,Horaire_collectif_mensuel*C27*IF(G27&lt;&gt;"",G27,Salaire_brut_mai)/IF(H27&lt;&gt;"",H27,IF(E27&lt;&gt;"",E27,Salaire_brut_mai)))</f>
        <v>1445.4150999999997</v>
      </c>
      <c r="K27" s="50">
        <f t="shared" si="0"/>
        <v>1005</v>
      </c>
      <c r="L27" s="50">
        <f t="shared" si="9"/>
        <v>7227.075499999999</v>
      </c>
      <c r="M27" s="50">
        <f t="shared" si="6"/>
        <v>0</v>
      </c>
      <c r="N27" s="50">
        <f>Salaire_brut_janvier+Salaire_brut_février+Salaire_brut_mars+Salaire_brut_avril+Salaire_brut_mai</f>
        <v>8016</v>
      </c>
      <c r="O27" s="51">
        <f t="shared" si="1"/>
        <v>0.20730000000000001</v>
      </c>
      <c r="P27" s="51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0.28100000000000003</v>
      </c>
      <c r="Q27" s="50">
        <f t="shared" si="7"/>
        <v>1661.7168000000001</v>
      </c>
      <c r="R27" s="50">
        <f>Q27-SUM(R23:R26)</f>
        <v>612.87120000000004</v>
      </c>
      <c r="S27" s="50">
        <f>IF(ISERR(P27),0,Salaire_brut_mai*P27)</f>
        <v>282.40500000000003</v>
      </c>
      <c r="T27" s="50"/>
      <c r="U27" s="50">
        <f t="shared" si="8"/>
        <v>282.40500000000003</v>
      </c>
      <c r="V27" s="53">
        <f t="shared" si="2"/>
        <v>612.87120000000004</v>
      </c>
      <c r="W27" s="56" t="str">
        <f t="shared" si="3"/>
        <v/>
      </c>
    </row>
    <row r="28" spans="2:23" ht="15">
      <c r="B28" s="45" t="s">
        <v>41</v>
      </c>
      <c r="C28" s="46">
        <f>SMIC!B9</f>
        <v>9.5299999999999994</v>
      </c>
      <c r="D28" s="12">
        <v>3006</v>
      </c>
      <c r="E28" s="47"/>
      <c r="F28" s="48"/>
      <c r="G28" s="55">
        <f t="shared" si="4"/>
        <v>35</v>
      </c>
      <c r="H28" s="55">
        <f t="shared" si="5"/>
        <v>35</v>
      </c>
      <c r="I28" s="45" t="s">
        <v>41</v>
      </c>
      <c r="J28" s="50">
        <f>IF(Salaire_brut_juin="",0,Horaire_collectif_mensuel*C28*IF(G28&lt;&gt;"",G28,Salaire_brut_juin)/IF(H28&lt;&gt;"",H28,IF(E28&lt;&gt;"",E28,Salaire_brut_juin)))</f>
        <v>1445.4150999999997</v>
      </c>
      <c r="K28" s="50">
        <f t="shared" si="0"/>
        <v>3006</v>
      </c>
      <c r="L28" s="50">
        <f t="shared" si="9"/>
        <v>8672.4905999999992</v>
      </c>
      <c r="M28" s="50">
        <f t="shared" si="6"/>
        <v>0</v>
      </c>
      <c r="N28" s="50">
        <f>Salaire_brut_janvier+Salaire_brut_février+Salaire_brut_mars+Salaire_brut_avril+Salaire_brut_mai+Salaire_brut_juin</f>
        <v>11022</v>
      </c>
      <c r="O28" s="51">
        <f t="shared" si="1"/>
        <v>0.12130000000000001</v>
      </c>
      <c r="P28" s="51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0</v>
      </c>
      <c r="Q28" s="50">
        <f t="shared" si="7"/>
        <v>1336.9686000000002</v>
      </c>
      <c r="R28" s="50">
        <f>Q28-SUM(R23:R27)</f>
        <v>-324.7482</v>
      </c>
      <c r="S28" s="50">
        <f>IF(ISERR(P28),0,Salaire_brut_juin*P28)</f>
        <v>0</v>
      </c>
      <c r="T28" s="50"/>
      <c r="U28" s="50">
        <f t="shared" si="8"/>
        <v>0</v>
      </c>
      <c r="V28" s="53" t="str">
        <f t="shared" si="2"/>
        <v/>
      </c>
      <c r="W28" s="56">
        <f t="shared" si="3"/>
        <v>324.7482</v>
      </c>
    </row>
    <row r="29" spans="2:23" ht="15">
      <c r="B29" s="45" t="s">
        <v>42</v>
      </c>
      <c r="C29" s="46">
        <f>SMIC!B10</f>
        <v>9.5299999999999994</v>
      </c>
      <c r="D29" s="12">
        <v>1007</v>
      </c>
      <c r="E29" s="47"/>
      <c r="F29" s="48"/>
      <c r="G29" s="55">
        <f t="shared" si="4"/>
        <v>35</v>
      </c>
      <c r="H29" s="55">
        <f t="shared" si="5"/>
        <v>35</v>
      </c>
      <c r="I29" s="45" t="s">
        <v>42</v>
      </c>
      <c r="J29" s="50">
        <f>IF(Salaire_brut_juillet="",0,Horaire_collectif_mensuel*C29*IF(G29&lt;&gt;"",G29,Salaire_brut_juillet)/IF(H29&lt;&gt;"",H29,IF(E29&lt;&gt;"",E29,Salaire_brut_juillet)))</f>
        <v>1445.4150999999997</v>
      </c>
      <c r="K29" s="50">
        <f t="shared" si="0"/>
        <v>1007</v>
      </c>
      <c r="L29" s="50">
        <f t="shared" si="9"/>
        <v>10117.905699999999</v>
      </c>
      <c r="M29" s="50">
        <f t="shared" si="6"/>
        <v>0</v>
      </c>
      <c r="N29" s="50">
        <f>Salaire_brut_janvier+Salaire_brut_février+Salaire_brut_mars+Salaire_brut_avril+Salaire_brut_mai+Salaire_brut_juin+Salaire_brut_juillet</f>
        <v>12029</v>
      </c>
      <c r="O29" s="51">
        <f t="shared" si="1"/>
        <v>0.16200000000000001</v>
      </c>
      <c r="P29" s="51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0.28100000000000003</v>
      </c>
      <c r="Q29" s="50">
        <f t="shared" si="7"/>
        <v>1948.6980000000001</v>
      </c>
      <c r="R29" s="50">
        <f>Q29-SUM(R23:R28)</f>
        <v>611.72939999999994</v>
      </c>
      <c r="S29" s="50">
        <f>IF(ISERR(P29),0,Salaire_brut_juillet*P29)</f>
        <v>282.96700000000004</v>
      </c>
      <c r="T29" s="50"/>
      <c r="U29" s="50">
        <f t="shared" si="8"/>
        <v>282.96700000000004</v>
      </c>
      <c r="V29" s="53">
        <f t="shared" si="2"/>
        <v>611.72939999999994</v>
      </c>
      <c r="W29" s="56" t="str">
        <f t="shared" si="3"/>
        <v/>
      </c>
    </row>
    <row r="30" spans="2:23" ht="15">
      <c r="B30" s="45" t="s">
        <v>43</v>
      </c>
      <c r="C30" s="46">
        <f>SMIC!B11</f>
        <v>9.5299999999999994</v>
      </c>
      <c r="D30" s="12">
        <v>1008</v>
      </c>
      <c r="E30" s="47"/>
      <c r="F30" s="48"/>
      <c r="G30" s="55">
        <f t="shared" si="4"/>
        <v>35</v>
      </c>
      <c r="H30" s="55">
        <f t="shared" si="5"/>
        <v>35</v>
      </c>
      <c r="I30" s="45" t="s">
        <v>43</v>
      </c>
      <c r="J30" s="50">
        <f>IF(Salaire_brut_août="",0,Horaire_collectif_mensuel*C30*IF(G30&lt;&gt;"",G30,Salaire_brut_août)/IF(H30&lt;&gt;"",H30,IF(E30&lt;&gt;"",E30,Salaire_brut_août)))</f>
        <v>1445.4150999999997</v>
      </c>
      <c r="K30" s="50">
        <f t="shared" si="0"/>
        <v>1008</v>
      </c>
      <c r="L30" s="50">
        <f t="shared" si="9"/>
        <v>11563.3208</v>
      </c>
      <c r="M30" s="50">
        <f t="shared" si="6"/>
        <v>0</v>
      </c>
      <c r="N30" s="50">
        <f>Salaire_brut_janvier+Salaire_brut_février+Salaire_brut_mars+Salaire_brut_avril+Salaire_brut_mai+Salaire_brut_juin+Salaire_brut_juillet+Salaire_brut_août</f>
        <v>13037</v>
      </c>
      <c r="O30" s="51">
        <f t="shared" si="1"/>
        <v>0.1963</v>
      </c>
      <c r="P30" s="51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0.28100000000000003</v>
      </c>
      <c r="Q30" s="50">
        <f t="shared" si="7"/>
        <v>2559.1631000000002</v>
      </c>
      <c r="R30" s="50">
        <f>Q30-SUM(R23:R29)</f>
        <v>610.46510000000012</v>
      </c>
      <c r="S30" s="50">
        <f>IF(ISERR(P30),0,Salaire_brut_août*P30)</f>
        <v>283.24800000000005</v>
      </c>
      <c r="T30" s="50"/>
      <c r="U30" s="50">
        <f t="shared" si="8"/>
        <v>283.24800000000005</v>
      </c>
      <c r="V30" s="53">
        <f t="shared" si="2"/>
        <v>610.46510000000012</v>
      </c>
      <c r="W30" s="56" t="str">
        <f t="shared" si="3"/>
        <v/>
      </c>
    </row>
    <row r="31" spans="2:23" ht="15">
      <c r="B31" s="45" t="s">
        <v>44</v>
      </c>
      <c r="C31" s="46">
        <f>SMIC!B12</f>
        <v>9.5299999999999994</v>
      </c>
      <c r="D31" s="12">
        <v>3009</v>
      </c>
      <c r="E31" s="47"/>
      <c r="F31" s="48"/>
      <c r="G31" s="55">
        <f t="shared" si="4"/>
        <v>35</v>
      </c>
      <c r="H31" s="55">
        <f t="shared" si="5"/>
        <v>35</v>
      </c>
      <c r="I31" s="45" t="s">
        <v>44</v>
      </c>
      <c r="J31" s="50">
        <f>IF(Salaire_brut_septembre="",0,Horaire_collectif_mensuel*C31*IF(G31&lt;&gt;"",G31,Salaire_brut_septembre)/IF(H31&lt;&gt;"",H31,IF(E31&lt;&gt;"",E31,Salaire_brut_septembre)))</f>
        <v>1445.4150999999997</v>
      </c>
      <c r="K31" s="50">
        <f t="shared" si="0"/>
        <v>3009</v>
      </c>
      <c r="L31" s="50">
        <f t="shared" si="9"/>
        <v>13008.7359</v>
      </c>
      <c r="M31" s="50">
        <f t="shared" si="6"/>
        <v>0</v>
      </c>
      <c r="N31" s="50">
        <f>Salaire_brut_janvier+Salaire_brut_février+Salaire_brut_mars+Salaire_brut_avril+Salaire_brut_mai+Salaire_brut_juin+Salaire_brut_juillet+Salaire_brut_août+Salaire_brut_septembre</f>
        <v>16046</v>
      </c>
      <c r="O31" s="51">
        <f t="shared" si="1"/>
        <v>0.13919999999999999</v>
      </c>
      <c r="P31" s="51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0</v>
      </c>
      <c r="Q31" s="50">
        <f t="shared" si="7"/>
        <v>2233.6032</v>
      </c>
      <c r="R31" s="50">
        <f>Q31-SUM(R23:R30)</f>
        <v>-325.5599000000002</v>
      </c>
      <c r="S31" s="50">
        <f>IF(ISERR(P31),0,Salaire_brut_septembre*P31)</f>
        <v>0</v>
      </c>
      <c r="T31" s="50"/>
      <c r="U31" s="50">
        <f t="shared" si="8"/>
        <v>0</v>
      </c>
      <c r="V31" s="53" t="str">
        <f t="shared" si="2"/>
        <v/>
      </c>
      <c r="W31" s="56">
        <f t="shared" si="3"/>
        <v>325.5599000000002</v>
      </c>
    </row>
    <row r="32" spans="2:23" ht="15">
      <c r="B32" s="45" t="s">
        <v>45</v>
      </c>
      <c r="C32" s="46">
        <f>SMIC!B13</f>
        <v>9.5299999999999994</v>
      </c>
      <c r="D32" s="12">
        <v>1010</v>
      </c>
      <c r="E32" s="47"/>
      <c r="F32" s="48"/>
      <c r="G32" s="55">
        <f t="shared" si="4"/>
        <v>35</v>
      </c>
      <c r="H32" s="55">
        <f t="shared" si="5"/>
        <v>35</v>
      </c>
      <c r="I32" s="45" t="s">
        <v>45</v>
      </c>
      <c r="J32" s="50">
        <f>IF(Salaire_brut_octobre="",0,Horaire_collectif_mensuel*C32*IF(G32&lt;&gt;"",G32,Salaire_brut_octobre)/IF(H32&lt;&gt;"",H32,IF(E32&lt;&gt;"",E32,Salaire_brut_octobre)))</f>
        <v>1445.4150999999997</v>
      </c>
      <c r="K32" s="50">
        <f t="shared" si="0"/>
        <v>1010</v>
      </c>
      <c r="L32" s="50">
        <f t="shared" si="9"/>
        <v>14454.151</v>
      </c>
      <c r="M32" s="50">
        <f t="shared" si="6"/>
        <v>0</v>
      </c>
      <c r="N32" s="50">
        <f>Salaire_brut_janvier+Salaire_brut_février+Salaire_brut_mars+Salaire_brut_avril+Salaire_brut_mai+Salaire_brut_juin+Salaire_brut_juillet+Salaire_brut_août+Salaire_brut_septembre+Salaire_brut_octobre</f>
        <v>17056</v>
      </c>
      <c r="O32" s="51">
        <f t="shared" si="1"/>
        <v>0.16669999999999999</v>
      </c>
      <c r="P32" s="51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0.28100000000000003</v>
      </c>
      <c r="Q32" s="50">
        <f t="shared" si="7"/>
        <v>2843.2351999999996</v>
      </c>
      <c r="R32" s="50">
        <f>Q32-SUM(R23:R31)</f>
        <v>609.63199999999961</v>
      </c>
      <c r="S32" s="50">
        <f>IF(ISERR(P32),0,Salaire_brut_octobre*P32)</f>
        <v>283.81</v>
      </c>
      <c r="T32" s="50"/>
      <c r="U32" s="50">
        <f t="shared" si="8"/>
        <v>283.81</v>
      </c>
      <c r="V32" s="53">
        <f t="shared" si="2"/>
        <v>609.63199999999961</v>
      </c>
      <c r="W32" s="56" t="str">
        <f t="shared" si="3"/>
        <v/>
      </c>
    </row>
    <row r="33" spans="2:31" ht="15">
      <c r="B33" s="45" t="s">
        <v>46</v>
      </c>
      <c r="C33" s="46">
        <f>SMIC!B14</f>
        <v>9.5299999999999994</v>
      </c>
      <c r="D33" s="12">
        <v>1011</v>
      </c>
      <c r="E33" s="47"/>
      <c r="F33" s="48"/>
      <c r="G33" s="55">
        <f t="shared" si="4"/>
        <v>35</v>
      </c>
      <c r="H33" s="55">
        <f t="shared" si="5"/>
        <v>35</v>
      </c>
      <c r="I33" s="45" t="s">
        <v>46</v>
      </c>
      <c r="J33" s="50">
        <f>IF(Salaire_brut_novembre="",0,Horaire_collectif_mensuel*C33*IF(G33&lt;&gt;"",G33,Salaire_brut_novembre)/IF(H33&lt;&gt;"",H33,IF(E33&lt;&gt;"",E33,Salaire_brut_novembre)))</f>
        <v>1445.4150999999997</v>
      </c>
      <c r="K33" s="50">
        <f t="shared" si="0"/>
        <v>1011</v>
      </c>
      <c r="L33" s="50">
        <f t="shared" si="9"/>
        <v>15899.5661</v>
      </c>
      <c r="M33" s="50">
        <f t="shared" si="6"/>
        <v>0</v>
      </c>
      <c r="N33" s="50">
        <f>Salaire_brut_janvier+Salaire_brut_février+Salaire_brut_mars+Salaire_brut_avril+Salaire_brut_mai+Salaire_brut_juin+Salaire_brut_juillet+Salaire_brut_août+Salaire_brut_septembre+Salaire_brut_octobre+Salaire_brut_novembre</f>
        <v>18067</v>
      </c>
      <c r="O33" s="51">
        <f t="shared" si="1"/>
        <v>0.19109999999999999</v>
      </c>
      <c r="P33" s="51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0.28100000000000003</v>
      </c>
      <c r="Q33" s="50">
        <f t="shared" si="7"/>
        <v>3452.6036999999997</v>
      </c>
      <c r="R33" s="50">
        <f>Q33-SUM(R23:R32)</f>
        <v>609.36850000000004</v>
      </c>
      <c r="S33" s="50">
        <f>IF(ISERR(P33),0,Salaire_brut_novembre*P33)</f>
        <v>284.09100000000001</v>
      </c>
      <c r="U33" s="50">
        <f t="shared" si="8"/>
        <v>284.09100000000001</v>
      </c>
      <c r="V33" s="53">
        <f t="shared" si="2"/>
        <v>609.36850000000004</v>
      </c>
      <c r="W33" s="56" t="str">
        <f t="shared" si="3"/>
        <v/>
      </c>
    </row>
    <row r="34" spans="2:31" ht="15.75" thickBot="1">
      <c r="B34" s="45" t="s">
        <v>47</v>
      </c>
      <c r="C34" s="57">
        <f>SMIC!B15</f>
        <v>9.5299999999999994</v>
      </c>
      <c r="D34" s="12">
        <v>3012</v>
      </c>
      <c r="E34" s="58"/>
      <c r="F34" s="59"/>
      <c r="G34" s="60">
        <f t="shared" si="4"/>
        <v>35</v>
      </c>
      <c r="H34" s="60">
        <f t="shared" si="5"/>
        <v>35</v>
      </c>
      <c r="I34" s="45" t="s">
        <v>47</v>
      </c>
      <c r="J34" s="50">
        <f>IF(Salaire_brut_décembre="",0,Horaire_collectif_mensuel*C34*IF(G34&lt;&gt;"",G34,Salaire_brut_décembre)/IF(H34&lt;&gt;"",H34,IF(E34&lt;&gt;"",E34,Salaire_brut_décembre)))</f>
        <v>1445.4150999999997</v>
      </c>
      <c r="K34" s="50">
        <f t="shared" si="0"/>
        <v>3012</v>
      </c>
      <c r="L34" s="50">
        <f t="shared" si="9"/>
        <v>17344.981199999998</v>
      </c>
      <c r="M34" s="50">
        <f t="shared" si="6"/>
        <v>0</v>
      </c>
      <c r="N34" s="50">
        <f>Salaire_brut_janvier+Salaire_brut_février+Salaire_brut_mars+Salaire_brut_avril+Salaire_brut_mai+Salaire_brut_juin+Salaire_brut_juillet+Salaire_brut_août+Salaire_brut_septembre+Salaire_brut_octobre+Salaire_brut_novembre+Salaire_brut_décembre</f>
        <v>21079</v>
      </c>
      <c r="O34" s="51">
        <f t="shared" si="1"/>
        <v>0.14829999999999999</v>
      </c>
      <c r="P34" s="51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0</v>
      </c>
      <c r="Q34" s="50">
        <f>IF(Salaire_brut_décembre=0,0,N34*O34)</f>
        <v>3126.0156999999999</v>
      </c>
      <c r="R34" s="50" t="str">
        <f>IF(Q34-SUM(R23:R33)&lt;0,"",Q34-SUM(R23:R33))</f>
        <v/>
      </c>
      <c r="S34" s="50">
        <f>IF(ISERR(P34),0,Salaire_brut_décembre*P34)</f>
        <v>0</v>
      </c>
      <c r="T34" s="50">
        <f>IF(Salaire_brut_décembre="",0,IF(Q34-SUM(R23:R33)&gt;0,"",Q34-SUM(R23:R33)))</f>
        <v>-326.58799999999974</v>
      </c>
      <c r="U34" s="50">
        <f>(SUM(R23:R33)+IF(R34&lt;&gt;"",R34,0)+IF(T34&lt;&gt;"",T34,0))-SUM(U23:U33)</f>
        <v>864.52769999999964</v>
      </c>
      <c r="V34" s="53" t="str">
        <f t="shared" si="2"/>
        <v/>
      </c>
      <c r="W34" s="61">
        <f>IF(Mode_calcul=1,IF(T34&lt;0,-T34,""),IF(U34&lt;0,-U34,""))</f>
        <v>326.58799999999974</v>
      </c>
    </row>
    <row r="35" spans="2:31" ht="21" customHeight="1" thickBot="1">
      <c r="B35" s="62" t="s">
        <v>138</v>
      </c>
      <c r="C35" s="63"/>
      <c r="D35" s="64">
        <f>SUM(D23:D34)</f>
        <v>21079</v>
      </c>
      <c r="E35" s="65"/>
      <c r="F35" s="66"/>
      <c r="G35" s="63"/>
      <c r="H35" s="63"/>
      <c r="I35" s="62" t="s">
        <v>138</v>
      </c>
      <c r="Q35" s="50"/>
      <c r="R35" s="67"/>
      <c r="S35" s="50">
        <f>SUM(S23:S34)</f>
        <v>2261.4880000000003</v>
      </c>
      <c r="V35" s="160">
        <f>SUM(V23:V33)+IF(V34="",0,V34)-SUM(W23:W33)-IF(W34="",0,W34)</f>
        <v>3126.0156999999999</v>
      </c>
      <c r="W35" s="161"/>
    </row>
    <row r="36" spans="2:31" ht="21" customHeight="1" thickBot="1">
      <c r="C36" s="68"/>
      <c r="F36" s="27"/>
      <c r="Q36" s="50"/>
      <c r="R36" s="67"/>
      <c r="S36" s="50"/>
    </row>
    <row r="37" spans="2:31" ht="21" hidden="1" customHeight="1">
      <c r="C37" s="68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50"/>
      <c r="V37" s="150" t="s">
        <v>139</v>
      </c>
      <c r="W37" s="150"/>
      <c r="X37" s="150" t="s">
        <v>140</v>
      </c>
      <c r="Y37" s="150"/>
    </row>
    <row r="38" spans="2:31" ht="21" hidden="1" customHeight="1">
      <c r="C38" s="68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50"/>
      <c r="V38" s="16" t="s">
        <v>141</v>
      </c>
      <c r="W38" s="16" t="s">
        <v>142</v>
      </c>
      <c r="X38" s="16" t="s">
        <v>141</v>
      </c>
      <c r="Y38" s="16" t="s">
        <v>142</v>
      </c>
      <c r="AB38" s="16"/>
      <c r="AC38" s="16"/>
      <c r="AD38" s="50"/>
      <c r="AE38" s="19"/>
    </row>
    <row r="39" spans="2:31" ht="21" hidden="1" customHeight="1">
      <c r="C39" s="68"/>
      <c r="D39" s="69"/>
      <c r="E39" s="69"/>
      <c r="F39" s="69"/>
      <c r="H39" s="146"/>
      <c r="I39" s="146"/>
      <c r="J39" s="69"/>
      <c r="K39" s="69"/>
      <c r="L39" s="69"/>
      <c r="M39" s="69"/>
      <c r="N39" s="69"/>
      <c r="O39" s="69"/>
      <c r="P39" s="69"/>
      <c r="Q39" s="69"/>
      <c r="R39" s="69"/>
      <c r="S39" s="50"/>
      <c r="U39" s="71" t="s">
        <v>143</v>
      </c>
      <c r="V39" s="72">
        <f>IF(R23+R24+R25&lt;0,"",R23+R24+R25)</f>
        <v>436.10820000000001</v>
      </c>
      <c r="W39" s="72" t="str">
        <f>IF(R23+R24+R25&gt;0,"",-(R23+R24+R25))</f>
        <v/>
      </c>
      <c r="X39" s="72">
        <f>IF(U23+U24+U25&lt;0,"",U23+U24+U25)</f>
        <v>562.84300000000007</v>
      </c>
      <c r="Y39" s="72" t="str">
        <f>IF(U23+U24+U25&gt;0,"",-(U23+U24+U25))</f>
        <v/>
      </c>
      <c r="Z39" s="73"/>
      <c r="AA39" s="73"/>
      <c r="AB39" s="74"/>
      <c r="AC39" s="74"/>
      <c r="AD39" s="74"/>
    </row>
    <row r="40" spans="2:31" ht="21" hidden="1" customHeight="1">
      <c r="C40" s="68"/>
      <c r="D40" s="69"/>
      <c r="E40" s="69"/>
      <c r="F40" s="69"/>
      <c r="H40" s="146"/>
      <c r="I40" s="146"/>
      <c r="J40" s="69"/>
      <c r="K40" s="69"/>
      <c r="L40" s="69"/>
      <c r="M40" s="69"/>
      <c r="N40" s="69"/>
      <c r="O40" s="69"/>
      <c r="P40" s="69"/>
      <c r="Q40" s="69"/>
      <c r="R40" s="69"/>
      <c r="S40" s="50"/>
      <c r="U40" s="71" t="s">
        <v>144</v>
      </c>
      <c r="V40" s="72">
        <f>IF(R26+R27+R28&lt;0,"",R26+R27+R28)</f>
        <v>900.86040000000003</v>
      </c>
      <c r="W40" s="72" t="str">
        <f>IF(R26+R27+R28&gt;0,"",-(R26+R27+R28))</f>
        <v/>
      </c>
      <c r="X40" s="72">
        <f>IF(U26+U27+U28&lt;0,"",U26+U27+U28)</f>
        <v>564.529</v>
      </c>
      <c r="Y40" s="72" t="str">
        <f>IF(U26+U27+U28&gt;0,"",-(U26+U27+U28))</f>
        <v/>
      </c>
      <c r="Z40" s="73"/>
      <c r="AA40" s="73"/>
      <c r="AB40" s="74"/>
      <c r="AC40" s="74"/>
      <c r="AD40" s="74"/>
    </row>
    <row r="41" spans="2:31" ht="21" hidden="1" customHeight="1">
      <c r="C41" s="68"/>
      <c r="D41" s="69"/>
      <c r="E41" s="69"/>
      <c r="F41" s="69"/>
      <c r="H41" s="146"/>
      <c r="I41" s="146"/>
      <c r="J41" s="69"/>
      <c r="K41" s="69"/>
      <c r="L41" s="69"/>
      <c r="M41" s="69"/>
      <c r="N41" s="69"/>
      <c r="O41" s="69"/>
      <c r="P41" s="69"/>
      <c r="Q41" s="69"/>
      <c r="R41" s="69"/>
      <c r="S41" s="50"/>
      <c r="U41" s="71" t="s">
        <v>145</v>
      </c>
      <c r="V41" s="72">
        <f>IF(R29+R30+R31&lt;0,"",R29+R30+R31)</f>
        <v>896.63459999999986</v>
      </c>
      <c r="W41" s="72" t="str">
        <f>IF(R29+R30+R31&gt;0,"",-(R29+R30+R31))</f>
        <v/>
      </c>
      <c r="X41" s="72">
        <f>IF(U29+U30+U31&lt;0,"",U29+U30+U31)</f>
        <v>566.21500000000015</v>
      </c>
      <c r="Y41" s="72" t="str">
        <f>IF(U29+U30+U31&gt;0,"",-(U29+U30+U31))</f>
        <v/>
      </c>
      <c r="Z41" s="73"/>
      <c r="AA41" s="73"/>
      <c r="AB41" s="74"/>
      <c r="AC41" s="74"/>
      <c r="AD41" s="74"/>
    </row>
    <row r="42" spans="2:31" ht="21" hidden="1" customHeight="1" thickBot="1">
      <c r="C42" s="68"/>
      <c r="D42" s="69"/>
      <c r="E42" s="69"/>
      <c r="F42" s="69"/>
      <c r="H42" s="146"/>
      <c r="I42" s="146"/>
      <c r="J42" s="69"/>
      <c r="K42" s="69"/>
      <c r="L42" s="69"/>
      <c r="M42" s="69"/>
      <c r="N42" s="69"/>
      <c r="O42" s="69"/>
      <c r="P42" s="69"/>
      <c r="Q42" s="69"/>
      <c r="R42" s="69"/>
      <c r="S42" s="50"/>
      <c r="U42" s="71" t="s">
        <v>146</v>
      </c>
      <c r="V42" s="72">
        <f>IF(R32+R33+IF(R34&lt;&gt;"",R34,0)+IF(T34&lt;&gt;"",T34,0)&lt;0,"",R32+R33+IF(R34&lt;&gt;"",R34,0)+IF(T34&lt;&gt;"",T34,0))</f>
        <v>892.41249999999991</v>
      </c>
      <c r="W42" s="72" t="str">
        <f>IF(R32+R33+IF(R34&lt;&gt;"",R34,0)+IF(T34&lt;&gt;"",T34,0)&gt;0,"",-(R32+R33+IF(R34&lt;&gt;"",R34,0)+IF(T34&lt;&gt;"",T34,0)))</f>
        <v/>
      </c>
      <c r="X42" s="72">
        <f>IF(U32+U33+U34&lt;0,"",U32+U33+U34)</f>
        <v>1432.4286999999997</v>
      </c>
      <c r="Y42" s="72" t="str">
        <f>IF(U32+U33+U34&gt;0,"",-(U32+U33+U34))</f>
        <v/>
      </c>
      <c r="Z42" s="73"/>
      <c r="AA42" s="73"/>
      <c r="AB42" s="74"/>
      <c r="AC42" s="74"/>
      <c r="AD42" s="74"/>
    </row>
    <row r="43" spans="2:31" ht="21" customHeight="1" thickBot="1">
      <c r="C43" s="151" t="s">
        <v>147</v>
      </c>
      <c r="D43" s="151"/>
      <c r="E43" s="151"/>
      <c r="F43" s="151"/>
      <c r="G43" s="151"/>
      <c r="H43" s="151"/>
      <c r="I43" s="146"/>
      <c r="J43" s="69"/>
      <c r="K43" s="69"/>
      <c r="L43" s="69"/>
      <c r="M43" s="69"/>
      <c r="N43" s="69"/>
      <c r="O43" s="69"/>
      <c r="P43" s="69"/>
      <c r="Q43" s="69"/>
      <c r="R43" s="69"/>
      <c r="S43" s="50"/>
      <c r="U43" s="71"/>
      <c r="V43" s="72"/>
      <c r="W43" s="72"/>
      <c r="X43" s="72"/>
      <c r="Y43" s="72"/>
      <c r="Z43" s="73"/>
      <c r="AA43" s="73"/>
      <c r="AB43" s="74"/>
      <c r="AC43" s="74"/>
      <c r="AD43" s="74"/>
    </row>
    <row r="44" spans="2:31" ht="21" customHeight="1" thickBot="1">
      <c r="C44" s="68"/>
      <c r="D44" s="152" t="s">
        <v>118</v>
      </c>
      <c r="E44" s="152"/>
      <c r="F44" s="153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50"/>
    </row>
    <row r="45" spans="2:31" ht="32.25" customHeight="1">
      <c r="C45" s="68"/>
      <c r="D45" s="75" t="s">
        <v>148</v>
      </c>
      <c r="E45" s="76" t="s">
        <v>149</v>
      </c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50"/>
    </row>
    <row r="46" spans="2:31">
      <c r="C46" s="77" t="s">
        <v>143</v>
      </c>
      <c r="D46" s="78">
        <f t="shared" ref="D46:E49" si="10">IF(Mode_calcul=1,V39,X39)</f>
        <v>436.10820000000001</v>
      </c>
      <c r="E46" s="78" t="str">
        <f t="shared" si="10"/>
        <v/>
      </c>
      <c r="O46" s="15"/>
      <c r="P46" s="15"/>
      <c r="Q46" s="15"/>
      <c r="R46" s="15"/>
    </row>
    <row r="47" spans="2:31">
      <c r="C47" s="77" t="s">
        <v>144</v>
      </c>
      <c r="D47" s="78">
        <f t="shared" si="10"/>
        <v>900.86040000000003</v>
      </c>
      <c r="E47" s="78" t="str">
        <f t="shared" si="10"/>
        <v/>
      </c>
      <c r="O47" s="15"/>
      <c r="P47" s="15"/>
      <c r="Q47" s="15"/>
      <c r="R47" s="15"/>
    </row>
    <row r="48" spans="2:31">
      <c r="C48" s="77" t="s">
        <v>145</v>
      </c>
      <c r="D48" s="78">
        <f t="shared" si="10"/>
        <v>896.63459999999986</v>
      </c>
      <c r="E48" s="78" t="str">
        <f t="shared" si="10"/>
        <v/>
      </c>
      <c r="O48" s="15"/>
      <c r="P48" s="15"/>
      <c r="Q48" s="15"/>
      <c r="R48" s="15"/>
    </row>
    <row r="49" spans="3:19" ht="14.25" thickBot="1">
      <c r="C49" s="77" t="s">
        <v>146</v>
      </c>
      <c r="D49" s="79">
        <f t="shared" si="10"/>
        <v>892.41249999999991</v>
      </c>
      <c r="E49" s="79" t="str">
        <f t="shared" si="10"/>
        <v/>
      </c>
      <c r="O49" s="15"/>
      <c r="P49" s="15"/>
      <c r="Q49" s="15"/>
      <c r="R49" s="15"/>
    </row>
    <row r="50" spans="3:19" ht="14.25" thickBot="1">
      <c r="C50" s="62" t="s">
        <v>138</v>
      </c>
      <c r="D50" s="154">
        <f>+SUM(D46:D49)-SUM(E46:E49)</f>
        <v>3126.0156999999999</v>
      </c>
      <c r="E50" s="154"/>
      <c r="K50" s="80"/>
      <c r="L50" s="80"/>
      <c r="M50" s="80"/>
      <c r="N50" s="80"/>
      <c r="S50" s="51"/>
    </row>
    <row r="51" spans="3:19">
      <c r="K51" s="80"/>
      <c r="L51" s="80"/>
      <c r="M51" s="80"/>
      <c r="N51" s="80"/>
      <c r="S51" s="51"/>
    </row>
    <row r="52" spans="3:19">
      <c r="C52" s="81"/>
      <c r="D52" s="82"/>
      <c r="E52" s="82"/>
      <c r="F52" s="82"/>
      <c r="G52" s="82"/>
      <c r="H52" s="82"/>
      <c r="I52" s="82"/>
      <c r="K52" s="80"/>
      <c r="L52" s="80"/>
      <c r="M52" s="80"/>
      <c r="N52" s="80"/>
      <c r="S52" s="51"/>
    </row>
    <row r="53" spans="3:19">
      <c r="K53" s="80"/>
      <c r="L53" s="80"/>
      <c r="M53" s="80"/>
      <c r="N53" s="80"/>
      <c r="S53" s="51"/>
    </row>
    <row r="54" spans="3:19">
      <c r="K54" s="80"/>
      <c r="L54" s="80"/>
      <c r="M54" s="80"/>
      <c r="N54" s="80"/>
      <c r="S54" s="51"/>
    </row>
    <row r="55" spans="3:19">
      <c r="K55" s="80"/>
      <c r="L55" s="80"/>
      <c r="M55" s="80"/>
      <c r="N55" s="80"/>
      <c r="S55" s="51"/>
    </row>
    <row r="56" spans="3:19">
      <c r="K56" s="80"/>
      <c r="L56" s="80"/>
      <c r="M56" s="80"/>
      <c r="N56" s="80"/>
      <c r="S56" s="51"/>
    </row>
    <row r="57" spans="3:19">
      <c r="K57" s="80"/>
      <c r="L57" s="80"/>
      <c r="M57" s="80"/>
      <c r="N57" s="80"/>
      <c r="S57" s="51"/>
    </row>
    <row r="58" spans="3:19">
      <c r="K58" s="80"/>
      <c r="L58" s="80"/>
      <c r="M58" s="80"/>
      <c r="N58" s="80"/>
      <c r="S58" s="51"/>
    </row>
    <row r="59" spans="3:19">
      <c r="K59" s="80"/>
      <c r="L59" s="80"/>
      <c r="M59" s="80"/>
      <c r="N59" s="80"/>
      <c r="S59" s="51"/>
    </row>
    <row r="60" spans="3:19">
      <c r="K60" s="80"/>
      <c r="L60" s="80"/>
      <c r="M60" s="80"/>
      <c r="N60" s="80"/>
      <c r="S60" s="51"/>
    </row>
    <row r="61" spans="3:19">
      <c r="K61" s="80"/>
      <c r="L61" s="80"/>
      <c r="M61" s="80"/>
      <c r="N61" s="80"/>
      <c r="S61" s="51"/>
    </row>
    <row r="63" spans="3:19">
      <c r="G63" s="83"/>
      <c r="H63" s="83"/>
      <c r="I63" s="83"/>
    </row>
    <row r="65" spans="2:14"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84"/>
      <c r="M65" s="84"/>
      <c r="N65" s="84"/>
    </row>
    <row r="67" spans="2:14"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84"/>
      <c r="M67" s="84"/>
      <c r="N67" s="84"/>
    </row>
    <row r="69" spans="2:14"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84"/>
      <c r="M69" s="84"/>
      <c r="N69" s="84"/>
    </row>
  </sheetData>
  <mergeCells count="13">
    <mergeCell ref="B69:K69"/>
    <mergeCell ref="X37:Y37"/>
    <mergeCell ref="C43:H43"/>
    <mergeCell ref="D44:F44"/>
    <mergeCell ref="D50:E50"/>
    <mergeCell ref="B65:K65"/>
    <mergeCell ref="B67:K67"/>
    <mergeCell ref="B1:W1"/>
    <mergeCell ref="G21:H21"/>
    <mergeCell ref="V21:W21"/>
    <mergeCell ref="S22:T22"/>
    <mergeCell ref="V35:W35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Option Button 1">
              <controlPr defaultSize="0" autoFill="0" autoLine="0" autoPict="0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704850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Option Button 2">
              <controlPr defaultSize="0" autoFill="0" autoLine="0" autoPict="0">
                <anchor moveWithCells="1" sizeWithCells="1">
                  <from>
                    <xdr:col>2</xdr:col>
                    <xdr:colOff>28575</xdr:colOff>
                    <xdr:row>4</xdr:row>
                    <xdr:rowOff>66675</xdr:rowOff>
                  </from>
                  <to>
                    <xdr:col>3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Group Box 3">
              <controlPr defaultSize="0" autoFill="0" autoPict="0">
                <anchor moveWithCells="1" sizeWithCells="1">
                  <from>
                    <xdr:col>2</xdr:col>
                    <xdr:colOff>0</xdr:colOff>
                    <xdr:row>3</xdr:row>
                    <xdr:rowOff>228600</xdr:rowOff>
                  </from>
                  <to>
                    <xdr:col>5</xdr:col>
                    <xdr:colOff>314325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Group Box 4">
              <controlPr defaultSize="0" autoFill="0" autoPict="0">
                <anchor moveWithCells="1">
                  <from>
                    <xdr:col>2</xdr:col>
                    <xdr:colOff>0</xdr:colOff>
                    <xdr:row>8</xdr:row>
                    <xdr:rowOff>114300</xdr:rowOff>
                  </from>
                  <to>
                    <xdr:col>4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Option Button 5">
              <controlPr defaultSize="0" autoFill="0" autoLine="0" autoPict="0">
                <anchor moveWithCells="1">
                  <from>
                    <xdr:col>3</xdr:col>
                    <xdr:colOff>190500</xdr:colOff>
                    <xdr:row>9</xdr:row>
                    <xdr:rowOff>57150</xdr:rowOff>
                  </from>
                  <to>
                    <xdr:col>4</xdr:col>
                    <xdr:colOff>28575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Option Button 6">
              <controlPr defaultSize="0" autoFill="0" autoLine="0" autoPict="0">
                <anchor moveWithCells="1" sizeWithCells="1">
                  <from>
                    <xdr:col>3</xdr:col>
                    <xdr:colOff>28575</xdr:colOff>
                    <xdr:row>4</xdr:row>
                    <xdr:rowOff>66675</xdr:rowOff>
                  </from>
                  <to>
                    <xdr:col>5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E69"/>
  <sheetViews>
    <sheetView showGridLines="0" showRowColHeaders="0" workbookViewId="0">
      <selection activeCell="C3" sqref="C3"/>
    </sheetView>
  </sheetViews>
  <sheetFormatPr baseColWidth="10" defaultColWidth="0" defaultRowHeight="13.5"/>
  <cols>
    <col min="1" max="1" width="2.7109375" style="15" customWidth="1"/>
    <col min="2" max="2" width="25.28515625" style="15" customWidth="1"/>
    <col min="3" max="9" width="13.5703125" style="15" customWidth="1"/>
    <col min="10" max="14" width="12.7109375" style="15" hidden="1" customWidth="1"/>
    <col min="15" max="16" width="10.85546875" style="16" hidden="1" customWidth="1"/>
    <col min="17" max="17" width="12.7109375" style="16" hidden="1" customWidth="1"/>
    <col min="18" max="18" width="11.28515625" style="16" hidden="1" customWidth="1"/>
    <col min="19" max="19" width="14.7109375" style="16" hidden="1" customWidth="1"/>
    <col min="20" max="20" width="14.7109375" style="15" hidden="1" customWidth="1"/>
    <col min="21" max="21" width="14.28515625" style="15" hidden="1" customWidth="1"/>
    <col min="22" max="23" width="15.7109375" style="15" customWidth="1"/>
    <col min="24" max="24" width="2.5703125" style="15" customWidth="1"/>
    <col min="25" max="33" width="10.28515625" style="15" hidden="1" customWidth="1"/>
    <col min="34" max="16384" width="10.28515625" style="15" hidden="1"/>
  </cols>
  <sheetData>
    <row r="1" spans="2:23" ht="25.5" customHeight="1">
      <c r="B1" s="155" t="s">
        <v>102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</row>
    <row r="2" spans="2:23" ht="14.25" thickBot="1"/>
    <row r="3" spans="2:23" ht="21.75" customHeight="1" thickBot="1">
      <c r="B3" s="17" t="s">
        <v>103</v>
      </c>
      <c r="C3" s="18">
        <v>2013</v>
      </c>
      <c r="H3" s="19" t="s">
        <v>104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2:23" ht="20.25" customHeight="1">
      <c r="B4" s="21"/>
      <c r="H4" s="19" t="s">
        <v>105</v>
      </c>
      <c r="I4" s="22"/>
    </row>
    <row r="5" spans="2:23" ht="27" customHeight="1">
      <c r="B5" s="23" t="s">
        <v>107</v>
      </c>
      <c r="H5" s="15" t="s">
        <v>179</v>
      </c>
    </row>
    <row r="6" spans="2:23" ht="9.75" customHeight="1">
      <c r="B6" s="24"/>
    </row>
    <row r="7" spans="2:23" hidden="1">
      <c r="B7" s="24"/>
      <c r="C7" s="25">
        <v>1</v>
      </c>
    </row>
    <row r="8" spans="2:23" ht="5.25" customHeight="1">
      <c r="B8" s="24"/>
    </row>
    <row r="9" spans="2:23" ht="15" customHeight="1">
      <c r="B9" s="24"/>
    </row>
    <row r="10" spans="2:23" ht="29.25" customHeight="1">
      <c r="B10" s="23" t="s">
        <v>108</v>
      </c>
    </row>
    <row r="11" spans="2:23" ht="15" hidden="1" customHeight="1">
      <c r="B11" s="24"/>
      <c r="C11" s="25">
        <v>1</v>
      </c>
    </row>
    <row r="12" spans="2:23" ht="15" customHeight="1" thickBot="1">
      <c r="B12" s="24"/>
    </row>
    <row r="13" spans="2:23" ht="15.75" thickBot="1">
      <c r="B13" s="23" t="s">
        <v>109</v>
      </c>
      <c r="C13" s="26">
        <v>151.66999999999999</v>
      </c>
      <c r="G13" s="27"/>
    </row>
    <row r="14" spans="2:23" ht="14.25" thickBot="1">
      <c r="B14" s="24"/>
    </row>
    <row r="15" spans="2:23" ht="14.25" thickBot="1">
      <c r="B15" s="23" t="s">
        <v>110</v>
      </c>
      <c r="C15" s="28">
        <f>IF(C7=1,0.281,0.26)</f>
        <v>0.28100000000000003</v>
      </c>
      <c r="G15" s="27"/>
    </row>
    <row r="16" spans="2:23" s="29" customFormat="1" ht="15" customHeight="1">
      <c r="B16" s="24"/>
      <c r="S16" s="30"/>
    </row>
    <row r="17" spans="2:23" s="29" customFormat="1" ht="15" customHeight="1" thickBot="1">
      <c r="B17" s="23" t="s">
        <v>111</v>
      </c>
      <c r="S17" s="30"/>
      <c r="U17" s="31"/>
    </row>
    <row r="18" spans="2:23" s="29" customFormat="1" ht="15" customHeight="1" thickBot="1">
      <c r="B18" s="32" t="s">
        <v>112</v>
      </c>
      <c r="C18" s="26">
        <v>35</v>
      </c>
      <c r="D18" s="33" t="s">
        <v>113</v>
      </c>
      <c r="E18" s="16" t="str">
        <f>IF(AND(C19&lt;&gt;"",OR(C18="",C18=0)),"&lt;&lt;&lt;&lt;&lt; info à compléter","")</f>
        <v/>
      </c>
      <c r="S18" s="30"/>
      <c r="U18" s="31"/>
    </row>
    <row r="19" spans="2:23" s="29" customFormat="1" ht="15" customHeight="1" thickBot="1">
      <c r="B19" s="32" t="s">
        <v>114</v>
      </c>
      <c r="C19" s="26">
        <v>35</v>
      </c>
      <c r="D19" s="33" t="s">
        <v>115</v>
      </c>
      <c r="E19" s="16" t="str">
        <f>IF(AND(C18&lt;&gt;"",OR(C19="",C19=0)),"&lt;&lt;&lt;&lt;&lt; info à compléter","")</f>
        <v/>
      </c>
      <c r="S19" s="30"/>
      <c r="U19" s="31"/>
    </row>
    <row r="20" spans="2:23" s="29" customFormat="1" ht="15" customHeight="1">
      <c r="B20" s="34"/>
      <c r="S20" s="30"/>
      <c r="U20" s="31"/>
    </row>
    <row r="21" spans="2:23" s="29" customFormat="1" ht="14.25" customHeight="1" thickBot="1">
      <c r="B21" s="34"/>
      <c r="C21" s="34"/>
      <c r="D21" s="34"/>
      <c r="E21" s="35" t="s">
        <v>116</v>
      </c>
      <c r="F21" s="34"/>
      <c r="G21" s="156" t="s">
        <v>117</v>
      </c>
      <c r="H21" s="157"/>
      <c r="I21" s="36"/>
      <c r="U21" s="31"/>
      <c r="V21" s="158" t="s">
        <v>118</v>
      </c>
      <c r="W21" s="159"/>
    </row>
    <row r="22" spans="2:23" s="29" customFormat="1" ht="27" customHeight="1" thickBot="1">
      <c r="C22" s="37" t="s">
        <v>119</v>
      </c>
      <c r="D22" s="147" t="s">
        <v>120</v>
      </c>
      <c r="E22" s="39" t="s">
        <v>121</v>
      </c>
      <c r="F22" s="40" t="s">
        <v>122</v>
      </c>
      <c r="G22" s="41" t="s">
        <v>123</v>
      </c>
      <c r="H22" s="39" t="s">
        <v>124</v>
      </c>
      <c r="I22" s="36"/>
      <c r="J22" s="30" t="s">
        <v>125</v>
      </c>
      <c r="K22" s="30" t="s">
        <v>126</v>
      </c>
      <c r="L22" s="30" t="s">
        <v>127</v>
      </c>
      <c r="M22" s="30" t="s">
        <v>128</v>
      </c>
      <c r="N22" s="30" t="s">
        <v>129</v>
      </c>
      <c r="O22" s="30" t="s">
        <v>130</v>
      </c>
      <c r="P22" s="30" t="s">
        <v>131</v>
      </c>
      <c r="Q22" s="30" t="s">
        <v>132</v>
      </c>
      <c r="R22" s="30" t="s">
        <v>133</v>
      </c>
      <c r="S22" s="150" t="s">
        <v>134</v>
      </c>
      <c r="T22" s="150"/>
      <c r="U22" s="42" t="s">
        <v>135</v>
      </c>
      <c r="V22" s="43" t="s">
        <v>136</v>
      </c>
      <c r="W22" s="44" t="s">
        <v>137</v>
      </c>
    </row>
    <row r="23" spans="2:23" ht="15">
      <c r="B23" s="45" t="s">
        <v>36</v>
      </c>
      <c r="C23" s="46">
        <f>SMIC!B4</f>
        <v>9.5299999999999994</v>
      </c>
      <c r="D23" s="12">
        <v>1001</v>
      </c>
      <c r="E23" s="47"/>
      <c r="F23" s="48"/>
      <c r="G23" s="49">
        <f>IF(AND($C$18&lt;&gt;0,$C$18&lt;&gt;""),$C$18,"")</f>
        <v>35</v>
      </c>
      <c r="H23" s="49">
        <f>IF(AND($C$19&lt;&gt;0,$C$19&lt;&gt;""),$C$19,"")</f>
        <v>35</v>
      </c>
      <c r="I23" s="45" t="s">
        <v>36</v>
      </c>
      <c r="J23" s="50">
        <f>IF(Salaire_brut_janvier="",0,(Horaire_collectif_mensuel*C23*IF(G23&lt;&gt;"",G23,Salaire_brut_janvier)/IF(H23&lt;&gt;"",H23,IF(E23&lt;&gt;"",E23,Salaire_brut_janvier))))</f>
        <v>1445.4150999999997</v>
      </c>
      <c r="K23" s="50">
        <f t="shared" ref="K23:K34" si="0">D23</f>
        <v>1001</v>
      </c>
      <c r="L23" s="50">
        <f>J23</f>
        <v>1445.4150999999997</v>
      </c>
      <c r="M23" s="50">
        <f>C23*F23</f>
        <v>0</v>
      </c>
      <c r="N23" s="50">
        <f>D23</f>
        <v>1001</v>
      </c>
      <c r="O23" s="51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0.28100000000000003</v>
      </c>
      <c r="P23" s="51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0.28100000000000003</v>
      </c>
      <c r="Q23" s="50">
        <f>IF(ISERR(N23*O23),0,N23*O23)</f>
        <v>281.28100000000001</v>
      </c>
      <c r="R23" s="50">
        <f>IF(ISERR(Salaire_brut_janvier*O23),0,Salaire_brut_janvier*O23)</f>
        <v>281.28100000000001</v>
      </c>
      <c r="S23" s="50">
        <f>IF(ISERR(P23),0,Salaire_brut_janvier*P23)</f>
        <v>281.28100000000001</v>
      </c>
      <c r="T23" s="50"/>
      <c r="U23" s="52">
        <f>S23</f>
        <v>281.28100000000001</v>
      </c>
      <c r="V23" s="53">
        <f t="shared" ref="V23:V34" si="2">IF(Mode_calcul=1,IF(R23&gt;0,R23,""),IF(U23&gt;0,U23,""))</f>
        <v>281.28100000000001</v>
      </c>
      <c r="W23" s="54" t="str">
        <f t="shared" ref="W23:W33" si="3">IF(Mode_calcul=1,IF(R23&lt;0,-R23,""),IF(U23&lt;0,-U23,""))</f>
        <v/>
      </c>
    </row>
    <row r="24" spans="2:23" ht="15">
      <c r="B24" s="45" t="s">
        <v>37</v>
      </c>
      <c r="C24" s="46">
        <f>SMIC!B5</f>
        <v>9.5299999999999994</v>
      </c>
      <c r="D24" s="12">
        <v>1002</v>
      </c>
      <c r="E24" s="47"/>
      <c r="F24" s="48"/>
      <c r="G24" s="55">
        <f t="shared" ref="G24:G34" si="4">IF(AND($C$18&lt;&gt;0,$C$18&lt;&gt;""),$C$18,"")</f>
        <v>35</v>
      </c>
      <c r="H24" s="55">
        <f t="shared" ref="H24:H34" si="5">IF(AND($C$19&lt;&gt;0,$C$19&lt;&gt;""),$C$19,"")</f>
        <v>35</v>
      </c>
      <c r="I24" s="45" t="s">
        <v>37</v>
      </c>
      <c r="J24" s="50">
        <f>IF(Salaire_brut_février="",0,Horaire_collectif_mensuel*C24*IF(G24&lt;&gt;"",G24,Salaire_brut_février)/IF(H24&lt;&gt;"",H24,IF(E24&lt;&gt;"",E24,Salaire_brut_février)))</f>
        <v>1445.4150999999997</v>
      </c>
      <c r="K24" s="50">
        <f t="shared" si="0"/>
        <v>1002</v>
      </c>
      <c r="L24" s="50">
        <f>L23+J24</f>
        <v>2890.8301999999994</v>
      </c>
      <c r="M24" s="50">
        <f t="shared" ref="M24:M34" si="6">M23+C24*F24</f>
        <v>0</v>
      </c>
      <c r="N24" s="50">
        <f>Salaire_brut_janvier+Salaire_brut_février</f>
        <v>2003</v>
      </c>
      <c r="O24" s="51">
        <f t="shared" si="1"/>
        <v>0.28100000000000003</v>
      </c>
      <c r="P24" s="51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0.28100000000000003</v>
      </c>
      <c r="Q24" s="50">
        <f t="shared" ref="Q24:Q33" si="7">IF(ISERR(N24*O24),0,N24*O24)</f>
        <v>562.84300000000007</v>
      </c>
      <c r="R24" s="50">
        <f>Q24-SUM(R23)</f>
        <v>281.56200000000007</v>
      </c>
      <c r="S24" s="50">
        <f>IF(ISERR(P24),0,Salaire_brut_février*P24)</f>
        <v>281.56200000000001</v>
      </c>
      <c r="T24" s="50"/>
      <c r="U24" s="50">
        <f t="shared" ref="U24:U33" si="8">S24</f>
        <v>281.56200000000001</v>
      </c>
      <c r="V24" s="53">
        <f t="shared" si="2"/>
        <v>281.56200000000007</v>
      </c>
      <c r="W24" s="56" t="str">
        <f t="shared" si="3"/>
        <v/>
      </c>
    </row>
    <row r="25" spans="2:23" ht="15">
      <c r="B25" s="45" t="s">
        <v>38</v>
      </c>
      <c r="C25" s="46">
        <f>SMIC!B6</f>
        <v>9.5299999999999994</v>
      </c>
      <c r="D25" s="12">
        <v>4004</v>
      </c>
      <c r="E25" s="47"/>
      <c r="F25" s="48"/>
      <c r="G25" s="55">
        <f t="shared" si="4"/>
        <v>35</v>
      </c>
      <c r="H25" s="55">
        <f t="shared" si="5"/>
        <v>35</v>
      </c>
      <c r="I25" s="45" t="s">
        <v>38</v>
      </c>
      <c r="J25" s="50">
        <f>IF(Salaire_brut_mars="",0,Horaire_collectif_mensuel*C25*IF(G25&lt;&gt;"",G25,Salaire_brut_mars)/IF(H25&lt;&gt;"",H25,IF(E25&lt;&gt;"",E25,Salaire_brut_mars)))</f>
        <v>1445.4150999999997</v>
      </c>
      <c r="K25" s="50">
        <f t="shared" si="0"/>
        <v>4004</v>
      </c>
      <c r="L25" s="50">
        <f t="shared" ref="L25:L34" si="9">L24+J25</f>
        <v>4336.2452999999987</v>
      </c>
      <c r="M25" s="50">
        <f t="shared" si="6"/>
        <v>0</v>
      </c>
      <c r="N25" s="50">
        <f>Salaire_brut_janvier+Salaire_brut_février+Salaire_brut_mars</f>
        <v>6007</v>
      </c>
      <c r="O25" s="51">
        <f t="shared" si="1"/>
        <v>7.2599999999999998E-2</v>
      </c>
      <c r="P25" s="51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0</v>
      </c>
      <c r="Q25" s="50">
        <f t="shared" si="7"/>
        <v>436.10820000000001</v>
      </c>
      <c r="R25" s="50">
        <f>Q25-SUM(R23:R24)</f>
        <v>-126.73480000000006</v>
      </c>
      <c r="S25" s="50">
        <f>IF(ISERR(P25),0,Salaire_brut_mars*P25)</f>
        <v>0</v>
      </c>
      <c r="T25" s="50"/>
      <c r="U25" s="50">
        <f t="shared" si="8"/>
        <v>0</v>
      </c>
      <c r="V25" s="53" t="str">
        <f t="shared" si="2"/>
        <v/>
      </c>
      <c r="W25" s="56">
        <f t="shared" si="3"/>
        <v>126.73480000000006</v>
      </c>
    </row>
    <row r="26" spans="2:23" ht="15">
      <c r="B26" s="45" t="s">
        <v>39</v>
      </c>
      <c r="C26" s="46">
        <f>SMIC!B7</f>
        <v>9.5299999999999994</v>
      </c>
      <c r="D26" s="12">
        <v>1004</v>
      </c>
      <c r="E26" s="47"/>
      <c r="F26" s="48"/>
      <c r="G26" s="55">
        <f t="shared" si="4"/>
        <v>35</v>
      </c>
      <c r="H26" s="55">
        <f t="shared" si="5"/>
        <v>35</v>
      </c>
      <c r="I26" s="45" t="s">
        <v>39</v>
      </c>
      <c r="J26" s="50">
        <f>IF(Salaire_brut_avril="",0,Horaire_collectif_mensuel*C26*IF(G26&lt;&gt;"",G26,Salaire_brut_avril)/IF(H26&lt;&gt;"",H26,IF(E26&lt;&gt;"",E26,Salaire_brut_avril)))</f>
        <v>1445.4150999999997</v>
      </c>
      <c r="K26" s="50">
        <f t="shared" si="0"/>
        <v>1004</v>
      </c>
      <c r="L26" s="50">
        <f t="shared" si="9"/>
        <v>5781.6603999999988</v>
      </c>
      <c r="M26" s="50">
        <f t="shared" si="6"/>
        <v>0</v>
      </c>
      <c r="N26" s="50">
        <f>Salaire_brut_janvier+Salaire_brut_février+Salaire_brut_mars+Salaire_brut_avril</f>
        <v>7011</v>
      </c>
      <c r="O26" s="51">
        <f t="shared" si="1"/>
        <v>0.14960000000000001</v>
      </c>
      <c r="P26" s="51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0.28100000000000003</v>
      </c>
      <c r="Q26" s="50">
        <f t="shared" si="7"/>
        <v>1048.8456000000001</v>
      </c>
      <c r="R26" s="50">
        <f>Q26-SUM(R23:R25)</f>
        <v>612.73740000000009</v>
      </c>
      <c r="S26" s="50">
        <f>IF(ISERR(P26),0,Salaire_brut_avril*P26)</f>
        <v>282.12400000000002</v>
      </c>
      <c r="T26" s="50"/>
      <c r="U26" s="50">
        <f t="shared" si="8"/>
        <v>282.12400000000002</v>
      </c>
      <c r="V26" s="53">
        <f t="shared" si="2"/>
        <v>612.73740000000009</v>
      </c>
      <c r="W26" s="56" t="str">
        <f t="shared" si="3"/>
        <v/>
      </c>
    </row>
    <row r="27" spans="2:23" ht="15">
      <c r="B27" s="45" t="s">
        <v>40</v>
      </c>
      <c r="C27" s="46">
        <f>SMIC!B8</f>
        <v>9.5299999999999994</v>
      </c>
      <c r="D27" s="12">
        <v>1005</v>
      </c>
      <c r="E27" s="47"/>
      <c r="F27" s="48"/>
      <c r="G27" s="55">
        <f t="shared" si="4"/>
        <v>35</v>
      </c>
      <c r="H27" s="55">
        <f t="shared" si="5"/>
        <v>35</v>
      </c>
      <c r="I27" s="45" t="s">
        <v>40</v>
      </c>
      <c r="J27" s="50">
        <f>IF(Salaire_brut_mai="",0,Horaire_collectif_mensuel*C27*IF(G27&lt;&gt;"",G27,Salaire_brut_mai)/IF(H27&lt;&gt;"",H27,IF(E27&lt;&gt;"",E27,Salaire_brut_mai)))</f>
        <v>1445.4150999999997</v>
      </c>
      <c r="K27" s="50">
        <f t="shared" si="0"/>
        <v>1005</v>
      </c>
      <c r="L27" s="50">
        <f t="shared" si="9"/>
        <v>7227.075499999999</v>
      </c>
      <c r="M27" s="50">
        <f t="shared" si="6"/>
        <v>0</v>
      </c>
      <c r="N27" s="50">
        <f>Salaire_brut_janvier+Salaire_brut_février+Salaire_brut_mars+Salaire_brut_avril+Salaire_brut_mai</f>
        <v>8016</v>
      </c>
      <c r="O27" s="51">
        <f t="shared" si="1"/>
        <v>0.20730000000000001</v>
      </c>
      <c r="P27" s="51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0.28100000000000003</v>
      </c>
      <c r="Q27" s="50">
        <f t="shared" si="7"/>
        <v>1661.7168000000001</v>
      </c>
      <c r="R27" s="50">
        <f>Q27-SUM(R23:R26)</f>
        <v>612.87120000000004</v>
      </c>
      <c r="S27" s="50">
        <f>IF(ISERR(P27),0,Salaire_brut_mai*P27)</f>
        <v>282.40500000000003</v>
      </c>
      <c r="T27" s="50"/>
      <c r="U27" s="50">
        <f t="shared" si="8"/>
        <v>282.40500000000003</v>
      </c>
      <c r="V27" s="53">
        <f t="shared" si="2"/>
        <v>612.87120000000004</v>
      </c>
      <c r="W27" s="56" t="str">
        <f t="shared" si="3"/>
        <v/>
      </c>
    </row>
    <row r="28" spans="2:23" ht="15">
      <c r="B28" s="45" t="s">
        <v>41</v>
      </c>
      <c r="C28" s="46">
        <f>SMIC!B9</f>
        <v>9.5299999999999994</v>
      </c>
      <c r="D28" s="12">
        <v>3006</v>
      </c>
      <c r="E28" s="47"/>
      <c r="F28" s="48"/>
      <c r="G28" s="55">
        <f t="shared" si="4"/>
        <v>35</v>
      </c>
      <c r="H28" s="55">
        <f t="shared" si="5"/>
        <v>35</v>
      </c>
      <c r="I28" s="45" t="s">
        <v>41</v>
      </c>
      <c r="J28" s="50">
        <f>IF(Salaire_brut_juin="",0,Horaire_collectif_mensuel*C28*IF(G28&lt;&gt;"",G28,Salaire_brut_juin)/IF(H28&lt;&gt;"",H28,IF(E28&lt;&gt;"",E28,Salaire_brut_juin)))</f>
        <v>1445.4150999999997</v>
      </c>
      <c r="K28" s="50">
        <f t="shared" si="0"/>
        <v>3006</v>
      </c>
      <c r="L28" s="50">
        <f t="shared" si="9"/>
        <v>8672.4905999999992</v>
      </c>
      <c r="M28" s="50">
        <f t="shared" si="6"/>
        <v>0</v>
      </c>
      <c r="N28" s="50">
        <f>Salaire_brut_janvier+Salaire_brut_février+Salaire_brut_mars+Salaire_brut_avril+Salaire_brut_mai+Salaire_brut_juin</f>
        <v>11022</v>
      </c>
      <c r="O28" s="51">
        <f t="shared" si="1"/>
        <v>0.12130000000000001</v>
      </c>
      <c r="P28" s="51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0</v>
      </c>
      <c r="Q28" s="50">
        <f t="shared" si="7"/>
        <v>1336.9686000000002</v>
      </c>
      <c r="R28" s="50">
        <f>Q28-SUM(R23:R27)</f>
        <v>-324.7482</v>
      </c>
      <c r="S28" s="50">
        <f>IF(ISERR(P28),0,Salaire_brut_juin*P28)</f>
        <v>0</v>
      </c>
      <c r="T28" s="50"/>
      <c r="U28" s="50">
        <f t="shared" si="8"/>
        <v>0</v>
      </c>
      <c r="V28" s="53" t="str">
        <f t="shared" si="2"/>
        <v/>
      </c>
      <c r="W28" s="56">
        <f t="shared" si="3"/>
        <v>324.7482</v>
      </c>
    </row>
    <row r="29" spans="2:23" ht="15">
      <c r="B29" s="45" t="s">
        <v>42</v>
      </c>
      <c r="C29" s="46">
        <f>SMIC!B10</f>
        <v>9.5299999999999994</v>
      </c>
      <c r="D29" s="12">
        <v>1007</v>
      </c>
      <c r="E29" s="47"/>
      <c r="F29" s="48"/>
      <c r="G29" s="55">
        <f t="shared" si="4"/>
        <v>35</v>
      </c>
      <c r="H29" s="55">
        <f t="shared" si="5"/>
        <v>35</v>
      </c>
      <c r="I29" s="45" t="s">
        <v>42</v>
      </c>
      <c r="J29" s="50">
        <f>IF(Salaire_brut_juillet="",0,Horaire_collectif_mensuel*C29*IF(G29&lt;&gt;"",G29,Salaire_brut_juillet)/IF(H29&lt;&gt;"",H29,IF(E29&lt;&gt;"",E29,Salaire_brut_juillet)))</f>
        <v>1445.4150999999997</v>
      </c>
      <c r="K29" s="50">
        <f t="shared" si="0"/>
        <v>1007</v>
      </c>
      <c r="L29" s="50">
        <f t="shared" si="9"/>
        <v>10117.905699999999</v>
      </c>
      <c r="M29" s="50">
        <f t="shared" si="6"/>
        <v>0</v>
      </c>
      <c r="N29" s="50">
        <f>Salaire_brut_janvier+Salaire_brut_février+Salaire_brut_mars+Salaire_brut_avril+Salaire_brut_mai+Salaire_brut_juin+Salaire_brut_juillet</f>
        <v>12029</v>
      </c>
      <c r="O29" s="51">
        <f t="shared" si="1"/>
        <v>0.16200000000000001</v>
      </c>
      <c r="P29" s="51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0.28100000000000003</v>
      </c>
      <c r="Q29" s="50">
        <f t="shared" si="7"/>
        <v>1948.6980000000001</v>
      </c>
      <c r="R29" s="50">
        <f>Q29-SUM(R23:R28)</f>
        <v>611.72939999999994</v>
      </c>
      <c r="S29" s="50">
        <f>IF(ISERR(P29),0,Salaire_brut_juillet*P29)</f>
        <v>282.96700000000004</v>
      </c>
      <c r="T29" s="50"/>
      <c r="U29" s="50">
        <f t="shared" si="8"/>
        <v>282.96700000000004</v>
      </c>
      <c r="V29" s="53">
        <f t="shared" si="2"/>
        <v>611.72939999999994</v>
      </c>
      <c r="W29" s="56" t="str">
        <f t="shared" si="3"/>
        <v/>
      </c>
    </row>
    <row r="30" spans="2:23" ht="15">
      <c r="B30" s="45" t="s">
        <v>43</v>
      </c>
      <c r="C30" s="46">
        <f>SMIC!B11</f>
        <v>9.5299999999999994</v>
      </c>
      <c r="D30" s="12">
        <v>1008</v>
      </c>
      <c r="E30" s="47"/>
      <c r="F30" s="48"/>
      <c r="G30" s="55">
        <f t="shared" si="4"/>
        <v>35</v>
      </c>
      <c r="H30" s="55">
        <f t="shared" si="5"/>
        <v>35</v>
      </c>
      <c r="I30" s="45" t="s">
        <v>43</v>
      </c>
      <c r="J30" s="50">
        <f>IF(Salaire_brut_août="",0,Horaire_collectif_mensuel*C30*IF(G30&lt;&gt;"",G30,Salaire_brut_août)/IF(H30&lt;&gt;"",H30,IF(E30&lt;&gt;"",E30,Salaire_brut_août)))</f>
        <v>1445.4150999999997</v>
      </c>
      <c r="K30" s="50">
        <f t="shared" si="0"/>
        <v>1008</v>
      </c>
      <c r="L30" s="50">
        <f t="shared" si="9"/>
        <v>11563.3208</v>
      </c>
      <c r="M30" s="50">
        <f t="shared" si="6"/>
        <v>0</v>
      </c>
      <c r="N30" s="50">
        <f>Salaire_brut_janvier+Salaire_brut_février+Salaire_brut_mars+Salaire_brut_avril+Salaire_brut_mai+Salaire_brut_juin+Salaire_brut_juillet+Salaire_brut_août</f>
        <v>13037</v>
      </c>
      <c r="O30" s="51">
        <f t="shared" si="1"/>
        <v>0.1963</v>
      </c>
      <c r="P30" s="51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0.28100000000000003</v>
      </c>
      <c r="Q30" s="50">
        <f t="shared" si="7"/>
        <v>2559.1631000000002</v>
      </c>
      <c r="R30" s="50">
        <f>Q30-SUM(R23:R29)</f>
        <v>610.46510000000012</v>
      </c>
      <c r="S30" s="50">
        <f>IF(ISERR(P30),0,Salaire_brut_août*P30)</f>
        <v>283.24800000000005</v>
      </c>
      <c r="T30" s="50"/>
      <c r="U30" s="50">
        <f t="shared" si="8"/>
        <v>283.24800000000005</v>
      </c>
      <c r="V30" s="53">
        <f t="shared" si="2"/>
        <v>610.46510000000012</v>
      </c>
      <c r="W30" s="56" t="str">
        <f t="shared" si="3"/>
        <v/>
      </c>
    </row>
    <row r="31" spans="2:23" ht="15">
      <c r="B31" s="45" t="s">
        <v>44</v>
      </c>
      <c r="C31" s="46">
        <f>SMIC!B12</f>
        <v>9.5299999999999994</v>
      </c>
      <c r="D31" s="12">
        <v>3009</v>
      </c>
      <c r="E31" s="47"/>
      <c r="F31" s="48"/>
      <c r="G31" s="55">
        <f t="shared" si="4"/>
        <v>35</v>
      </c>
      <c r="H31" s="55">
        <f t="shared" si="5"/>
        <v>35</v>
      </c>
      <c r="I31" s="45" t="s">
        <v>44</v>
      </c>
      <c r="J31" s="50">
        <f>IF(Salaire_brut_septembre="",0,Horaire_collectif_mensuel*C31*IF(G31&lt;&gt;"",G31,Salaire_brut_septembre)/IF(H31&lt;&gt;"",H31,IF(E31&lt;&gt;"",E31,Salaire_brut_septembre)))</f>
        <v>1445.4150999999997</v>
      </c>
      <c r="K31" s="50">
        <f t="shared" si="0"/>
        <v>3009</v>
      </c>
      <c r="L31" s="50">
        <f t="shared" si="9"/>
        <v>13008.7359</v>
      </c>
      <c r="M31" s="50">
        <f t="shared" si="6"/>
        <v>0</v>
      </c>
      <c r="N31" s="50">
        <f>Salaire_brut_janvier+Salaire_brut_février+Salaire_brut_mars+Salaire_brut_avril+Salaire_brut_mai+Salaire_brut_juin+Salaire_brut_juillet+Salaire_brut_août+Salaire_brut_septembre</f>
        <v>16046</v>
      </c>
      <c r="O31" s="51">
        <f t="shared" si="1"/>
        <v>0.13919999999999999</v>
      </c>
      <c r="P31" s="51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0</v>
      </c>
      <c r="Q31" s="50">
        <f t="shared" si="7"/>
        <v>2233.6032</v>
      </c>
      <c r="R31" s="50">
        <f>Q31-SUM(R23:R30)</f>
        <v>-325.5599000000002</v>
      </c>
      <c r="S31" s="50">
        <f>IF(ISERR(P31),0,Salaire_brut_septembre*P31)</f>
        <v>0</v>
      </c>
      <c r="T31" s="50"/>
      <c r="U31" s="50">
        <f t="shared" si="8"/>
        <v>0</v>
      </c>
      <c r="V31" s="53" t="str">
        <f t="shared" si="2"/>
        <v/>
      </c>
      <c r="W31" s="56">
        <f t="shared" si="3"/>
        <v>325.5599000000002</v>
      </c>
    </row>
    <row r="32" spans="2:23" ht="15">
      <c r="B32" s="45" t="s">
        <v>45</v>
      </c>
      <c r="C32" s="46">
        <f>SMIC!B13</f>
        <v>9.5299999999999994</v>
      </c>
      <c r="D32" s="12">
        <v>1010</v>
      </c>
      <c r="E32" s="47"/>
      <c r="F32" s="48"/>
      <c r="G32" s="55">
        <f t="shared" si="4"/>
        <v>35</v>
      </c>
      <c r="H32" s="55">
        <f t="shared" si="5"/>
        <v>35</v>
      </c>
      <c r="I32" s="45" t="s">
        <v>45</v>
      </c>
      <c r="J32" s="50">
        <f>IF(Salaire_brut_octobre="",0,Horaire_collectif_mensuel*C32*IF(G32&lt;&gt;"",G32,Salaire_brut_octobre)/IF(H32&lt;&gt;"",H32,IF(E32&lt;&gt;"",E32,Salaire_brut_octobre)))</f>
        <v>1445.4150999999997</v>
      </c>
      <c r="K32" s="50">
        <f t="shared" si="0"/>
        <v>1010</v>
      </c>
      <c r="L32" s="50">
        <f t="shared" si="9"/>
        <v>14454.151</v>
      </c>
      <c r="M32" s="50">
        <f t="shared" si="6"/>
        <v>0</v>
      </c>
      <c r="N32" s="50">
        <f>Salaire_brut_janvier+Salaire_brut_février+Salaire_brut_mars+Salaire_brut_avril+Salaire_brut_mai+Salaire_brut_juin+Salaire_brut_juillet+Salaire_brut_août+Salaire_brut_septembre+Salaire_brut_octobre</f>
        <v>17056</v>
      </c>
      <c r="O32" s="51">
        <f t="shared" si="1"/>
        <v>0.16669999999999999</v>
      </c>
      <c r="P32" s="51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0.28100000000000003</v>
      </c>
      <c r="Q32" s="50">
        <f t="shared" si="7"/>
        <v>2843.2351999999996</v>
      </c>
      <c r="R32" s="50">
        <f>Q32-SUM(R23:R31)</f>
        <v>609.63199999999961</v>
      </c>
      <c r="S32" s="50">
        <f>IF(ISERR(P32),0,Salaire_brut_octobre*P32)</f>
        <v>283.81</v>
      </c>
      <c r="T32" s="50"/>
      <c r="U32" s="50">
        <f t="shared" si="8"/>
        <v>283.81</v>
      </c>
      <c r="V32" s="53">
        <f t="shared" si="2"/>
        <v>609.63199999999961</v>
      </c>
      <c r="W32" s="56" t="str">
        <f t="shared" si="3"/>
        <v/>
      </c>
    </row>
    <row r="33" spans="2:31" ht="15">
      <c r="B33" s="45" t="s">
        <v>46</v>
      </c>
      <c r="C33" s="46">
        <f>SMIC!B14</f>
        <v>9.5299999999999994</v>
      </c>
      <c r="D33" s="12">
        <v>1011</v>
      </c>
      <c r="E33" s="47"/>
      <c r="F33" s="48"/>
      <c r="G33" s="55">
        <f t="shared" si="4"/>
        <v>35</v>
      </c>
      <c r="H33" s="55">
        <f t="shared" si="5"/>
        <v>35</v>
      </c>
      <c r="I33" s="45" t="s">
        <v>46</v>
      </c>
      <c r="J33" s="50">
        <f>IF(Salaire_brut_novembre="",0,Horaire_collectif_mensuel*C33*IF(G33&lt;&gt;"",G33,Salaire_brut_novembre)/IF(H33&lt;&gt;"",H33,IF(E33&lt;&gt;"",E33,Salaire_brut_novembre)))</f>
        <v>1445.4150999999997</v>
      </c>
      <c r="K33" s="50">
        <f t="shared" si="0"/>
        <v>1011</v>
      </c>
      <c r="L33" s="50">
        <f t="shared" si="9"/>
        <v>15899.5661</v>
      </c>
      <c r="M33" s="50">
        <f t="shared" si="6"/>
        <v>0</v>
      </c>
      <c r="N33" s="50">
        <f>Salaire_brut_janvier+Salaire_brut_février+Salaire_brut_mars+Salaire_brut_avril+Salaire_brut_mai+Salaire_brut_juin+Salaire_brut_juillet+Salaire_brut_août+Salaire_brut_septembre+Salaire_brut_octobre+Salaire_brut_novembre</f>
        <v>18067</v>
      </c>
      <c r="O33" s="51">
        <f t="shared" si="1"/>
        <v>0.19109999999999999</v>
      </c>
      <c r="P33" s="51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0.28100000000000003</v>
      </c>
      <c r="Q33" s="50">
        <f t="shared" si="7"/>
        <v>3452.6036999999997</v>
      </c>
      <c r="R33" s="50">
        <f>Q33-SUM(R23:R32)</f>
        <v>609.36850000000004</v>
      </c>
      <c r="S33" s="50">
        <f>IF(ISERR(P33),0,Salaire_brut_novembre*P33)</f>
        <v>284.09100000000001</v>
      </c>
      <c r="U33" s="50">
        <f t="shared" si="8"/>
        <v>284.09100000000001</v>
      </c>
      <c r="V33" s="53">
        <f t="shared" si="2"/>
        <v>609.36850000000004</v>
      </c>
      <c r="W33" s="56" t="str">
        <f t="shared" si="3"/>
        <v/>
      </c>
    </row>
    <row r="34" spans="2:31" ht="15.75" thickBot="1">
      <c r="B34" s="45" t="s">
        <v>47</v>
      </c>
      <c r="C34" s="57">
        <f>SMIC!B15</f>
        <v>9.5299999999999994</v>
      </c>
      <c r="D34" s="12">
        <v>3012</v>
      </c>
      <c r="E34" s="58"/>
      <c r="F34" s="59"/>
      <c r="G34" s="60">
        <f t="shared" si="4"/>
        <v>35</v>
      </c>
      <c r="H34" s="60">
        <f t="shared" si="5"/>
        <v>35</v>
      </c>
      <c r="I34" s="45" t="s">
        <v>47</v>
      </c>
      <c r="J34" s="50">
        <f>IF(Salaire_brut_décembre="",0,Horaire_collectif_mensuel*C34*IF(G34&lt;&gt;"",G34,Salaire_brut_décembre)/IF(H34&lt;&gt;"",H34,IF(E34&lt;&gt;"",E34,Salaire_brut_décembre)))</f>
        <v>1445.4150999999997</v>
      </c>
      <c r="K34" s="50">
        <f t="shared" si="0"/>
        <v>3012</v>
      </c>
      <c r="L34" s="50">
        <f t="shared" si="9"/>
        <v>17344.981199999998</v>
      </c>
      <c r="M34" s="50">
        <f t="shared" si="6"/>
        <v>0</v>
      </c>
      <c r="N34" s="50">
        <f>Salaire_brut_janvier+Salaire_brut_février+Salaire_brut_mars+Salaire_brut_avril+Salaire_brut_mai+Salaire_brut_juin+Salaire_brut_juillet+Salaire_brut_août+Salaire_brut_septembre+Salaire_brut_octobre+Salaire_brut_novembre+Salaire_brut_décembre</f>
        <v>21079</v>
      </c>
      <c r="O34" s="51">
        <f t="shared" si="1"/>
        <v>0.14829999999999999</v>
      </c>
      <c r="P34" s="51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0</v>
      </c>
      <c r="Q34" s="50">
        <f>IF(Salaire_brut_décembre=0,0,N34*O34)</f>
        <v>3126.0156999999999</v>
      </c>
      <c r="R34" s="50" t="str">
        <f>IF(Q34-SUM(R23:R33)&lt;0,"",Q34-SUM(R23:R33))</f>
        <v/>
      </c>
      <c r="S34" s="50">
        <f>IF(ISERR(P34),0,Salaire_brut_décembre*P34)</f>
        <v>0</v>
      </c>
      <c r="T34" s="50">
        <f>IF(Salaire_brut_décembre="",0,IF(Q34-SUM(R23:R33)&gt;0,"",Q34-SUM(R23:R33)))</f>
        <v>-326.58799999999974</v>
      </c>
      <c r="U34" s="50">
        <f>(SUM(R23:R33)+IF(R34&lt;&gt;"",R34,0)+IF(T34&lt;&gt;"",T34,0))-SUM(U23:U33)</f>
        <v>864.52769999999964</v>
      </c>
      <c r="V34" s="53" t="str">
        <f t="shared" si="2"/>
        <v/>
      </c>
      <c r="W34" s="61">
        <f>IF(Mode_calcul=1,IF(T34&lt;0,-T34,""),IF(U34&lt;0,-U34,""))</f>
        <v>326.58799999999974</v>
      </c>
    </row>
    <row r="35" spans="2:31" ht="21" customHeight="1" thickBot="1">
      <c r="B35" s="62" t="s">
        <v>138</v>
      </c>
      <c r="C35" s="63"/>
      <c r="D35" s="64">
        <f>SUM(D23:D34)</f>
        <v>21079</v>
      </c>
      <c r="E35" s="65"/>
      <c r="F35" s="66"/>
      <c r="G35" s="63"/>
      <c r="H35" s="63"/>
      <c r="I35" s="62" t="s">
        <v>138</v>
      </c>
      <c r="Q35" s="50"/>
      <c r="R35" s="67"/>
      <c r="S35" s="50">
        <f>SUM(S23:S34)</f>
        <v>2261.4880000000003</v>
      </c>
      <c r="V35" s="160">
        <f>SUM(V23:V33)+IF(V34="",0,V34)-SUM(W23:W33)-IF(W34="",0,W34)</f>
        <v>3126.0156999999999</v>
      </c>
      <c r="W35" s="161"/>
    </row>
    <row r="36" spans="2:31" ht="21" customHeight="1" thickBot="1">
      <c r="C36" s="68"/>
      <c r="F36" s="27"/>
      <c r="Q36" s="50"/>
      <c r="R36" s="67"/>
      <c r="S36" s="50"/>
    </row>
    <row r="37" spans="2:31" ht="21" hidden="1" customHeight="1">
      <c r="C37" s="68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50"/>
      <c r="V37" s="150" t="s">
        <v>139</v>
      </c>
      <c r="W37" s="150"/>
      <c r="X37" s="150" t="s">
        <v>140</v>
      </c>
      <c r="Y37" s="150"/>
    </row>
    <row r="38" spans="2:31" ht="21" hidden="1" customHeight="1">
      <c r="C38" s="68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50"/>
      <c r="V38" s="16" t="s">
        <v>141</v>
      </c>
      <c r="W38" s="16" t="s">
        <v>142</v>
      </c>
      <c r="X38" s="16" t="s">
        <v>141</v>
      </c>
      <c r="Y38" s="16" t="s">
        <v>142</v>
      </c>
      <c r="AB38" s="16"/>
      <c r="AC38" s="16"/>
      <c r="AD38" s="50"/>
      <c r="AE38" s="19"/>
    </row>
    <row r="39" spans="2:31" ht="21" hidden="1" customHeight="1">
      <c r="C39" s="68"/>
      <c r="D39" s="69"/>
      <c r="E39" s="69"/>
      <c r="F39" s="69"/>
      <c r="H39" s="146"/>
      <c r="I39" s="146"/>
      <c r="J39" s="69"/>
      <c r="K39" s="69"/>
      <c r="L39" s="69"/>
      <c r="M39" s="69"/>
      <c r="N39" s="69"/>
      <c r="O39" s="69"/>
      <c r="P39" s="69"/>
      <c r="Q39" s="69"/>
      <c r="R39" s="69"/>
      <c r="S39" s="50"/>
      <c r="U39" s="71" t="s">
        <v>143</v>
      </c>
      <c r="V39" s="72">
        <f>IF(R23+R24+R25&lt;0,"",R23+R24+R25)</f>
        <v>436.10820000000001</v>
      </c>
      <c r="W39" s="72" t="str">
        <f>IF(R23+R24+R25&gt;0,"",-(R23+R24+R25))</f>
        <v/>
      </c>
      <c r="X39" s="72">
        <f>IF(U23+U24+U25&lt;0,"",U23+U24+U25)</f>
        <v>562.84300000000007</v>
      </c>
      <c r="Y39" s="72" t="str">
        <f>IF(U23+U24+U25&gt;0,"",-(U23+U24+U25))</f>
        <v/>
      </c>
      <c r="Z39" s="73"/>
      <c r="AA39" s="73"/>
      <c r="AB39" s="74"/>
      <c r="AC39" s="74"/>
      <c r="AD39" s="74"/>
    </row>
    <row r="40" spans="2:31" ht="21" hidden="1" customHeight="1">
      <c r="C40" s="68"/>
      <c r="D40" s="69"/>
      <c r="E40" s="69"/>
      <c r="F40" s="69"/>
      <c r="H40" s="146"/>
      <c r="I40" s="146"/>
      <c r="J40" s="69"/>
      <c r="K40" s="69"/>
      <c r="L40" s="69"/>
      <c r="M40" s="69"/>
      <c r="N40" s="69"/>
      <c r="O40" s="69"/>
      <c r="P40" s="69"/>
      <c r="Q40" s="69"/>
      <c r="R40" s="69"/>
      <c r="S40" s="50"/>
      <c r="U40" s="71" t="s">
        <v>144</v>
      </c>
      <c r="V40" s="72">
        <f>IF(R26+R27+R28&lt;0,"",R26+R27+R28)</f>
        <v>900.86040000000003</v>
      </c>
      <c r="W40" s="72" t="str">
        <f>IF(R26+R27+R28&gt;0,"",-(R26+R27+R28))</f>
        <v/>
      </c>
      <c r="X40" s="72">
        <f>IF(U26+U27+U28&lt;0,"",U26+U27+U28)</f>
        <v>564.529</v>
      </c>
      <c r="Y40" s="72" t="str">
        <f>IF(U26+U27+U28&gt;0,"",-(U26+U27+U28))</f>
        <v/>
      </c>
      <c r="Z40" s="73"/>
      <c r="AA40" s="73"/>
      <c r="AB40" s="74"/>
      <c r="AC40" s="74"/>
      <c r="AD40" s="74"/>
    </row>
    <row r="41" spans="2:31" ht="21" hidden="1" customHeight="1">
      <c r="C41" s="68"/>
      <c r="D41" s="69"/>
      <c r="E41" s="69"/>
      <c r="F41" s="69"/>
      <c r="H41" s="146"/>
      <c r="I41" s="146"/>
      <c r="J41" s="69"/>
      <c r="K41" s="69"/>
      <c r="L41" s="69"/>
      <c r="M41" s="69"/>
      <c r="N41" s="69"/>
      <c r="O41" s="69"/>
      <c r="P41" s="69"/>
      <c r="Q41" s="69"/>
      <c r="R41" s="69"/>
      <c r="S41" s="50"/>
      <c r="U41" s="71" t="s">
        <v>145</v>
      </c>
      <c r="V41" s="72">
        <f>IF(R29+R30+R31&lt;0,"",R29+R30+R31)</f>
        <v>896.63459999999986</v>
      </c>
      <c r="W41" s="72" t="str">
        <f>IF(R29+R30+R31&gt;0,"",-(R29+R30+R31))</f>
        <v/>
      </c>
      <c r="X41" s="72">
        <f>IF(U29+U30+U31&lt;0,"",U29+U30+U31)</f>
        <v>566.21500000000015</v>
      </c>
      <c r="Y41" s="72" t="str">
        <f>IF(U29+U30+U31&gt;0,"",-(U29+U30+U31))</f>
        <v/>
      </c>
      <c r="Z41" s="73"/>
      <c r="AA41" s="73"/>
      <c r="AB41" s="74"/>
      <c r="AC41" s="74"/>
      <c r="AD41" s="74"/>
    </row>
    <row r="42" spans="2:31" ht="21" hidden="1" customHeight="1" thickBot="1">
      <c r="C42" s="68"/>
      <c r="D42" s="69"/>
      <c r="E42" s="69"/>
      <c r="F42" s="69"/>
      <c r="H42" s="146"/>
      <c r="I42" s="146"/>
      <c r="J42" s="69"/>
      <c r="K42" s="69"/>
      <c r="L42" s="69"/>
      <c r="M42" s="69"/>
      <c r="N42" s="69"/>
      <c r="O42" s="69"/>
      <c r="P42" s="69"/>
      <c r="Q42" s="69"/>
      <c r="R42" s="69"/>
      <c r="S42" s="50"/>
      <c r="U42" s="71" t="s">
        <v>146</v>
      </c>
      <c r="V42" s="72">
        <f>IF(R32+R33+IF(R34&lt;&gt;"",R34,0)+IF(T34&lt;&gt;"",T34,0)&lt;0,"",R32+R33+IF(R34&lt;&gt;"",R34,0)+IF(T34&lt;&gt;"",T34,0))</f>
        <v>892.41249999999991</v>
      </c>
      <c r="W42" s="72" t="str">
        <f>IF(R32+R33+IF(R34&lt;&gt;"",R34,0)+IF(T34&lt;&gt;"",T34,0)&gt;0,"",-(R32+R33+IF(R34&lt;&gt;"",R34,0)+IF(T34&lt;&gt;"",T34,0)))</f>
        <v/>
      </c>
      <c r="X42" s="72">
        <f>IF(U32+U33+U34&lt;0,"",U32+U33+U34)</f>
        <v>1432.4286999999997</v>
      </c>
      <c r="Y42" s="72" t="str">
        <f>IF(U32+U33+U34&gt;0,"",-(U32+U33+U34))</f>
        <v/>
      </c>
      <c r="Z42" s="73"/>
      <c r="AA42" s="73"/>
      <c r="AB42" s="74"/>
      <c r="AC42" s="74"/>
      <c r="AD42" s="74"/>
    </row>
    <row r="43" spans="2:31" ht="21" customHeight="1" thickBot="1">
      <c r="C43" s="151" t="s">
        <v>147</v>
      </c>
      <c r="D43" s="151"/>
      <c r="E43" s="151"/>
      <c r="F43" s="151"/>
      <c r="G43" s="151"/>
      <c r="H43" s="151"/>
      <c r="I43" s="146"/>
      <c r="J43" s="69"/>
      <c r="K43" s="69"/>
      <c r="L43" s="69"/>
      <c r="M43" s="69"/>
      <c r="N43" s="69"/>
      <c r="O43" s="69"/>
      <c r="P43" s="69"/>
      <c r="Q43" s="69"/>
      <c r="R43" s="69"/>
      <c r="S43" s="50"/>
      <c r="U43" s="71"/>
      <c r="V43" s="72"/>
      <c r="W43" s="72"/>
      <c r="X43" s="72"/>
      <c r="Y43" s="72"/>
      <c r="Z43" s="73"/>
      <c r="AA43" s="73"/>
      <c r="AB43" s="74"/>
      <c r="AC43" s="74"/>
      <c r="AD43" s="74"/>
    </row>
    <row r="44" spans="2:31" ht="21" customHeight="1" thickBot="1">
      <c r="C44" s="68"/>
      <c r="D44" s="152" t="s">
        <v>118</v>
      </c>
      <c r="E44" s="152"/>
      <c r="F44" s="153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50"/>
    </row>
    <row r="45" spans="2:31" ht="32.25" customHeight="1">
      <c r="C45" s="68"/>
      <c r="D45" s="75" t="s">
        <v>148</v>
      </c>
      <c r="E45" s="76" t="s">
        <v>149</v>
      </c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50"/>
    </row>
    <row r="46" spans="2:31">
      <c r="C46" s="77" t="s">
        <v>143</v>
      </c>
      <c r="D46" s="78">
        <f t="shared" ref="D46:E49" si="10">IF(Mode_calcul=1,V39,X39)</f>
        <v>436.10820000000001</v>
      </c>
      <c r="E46" s="78" t="str">
        <f t="shared" si="10"/>
        <v/>
      </c>
      <c r="O46" s="15"/>
      <c r="P46" s="15"/>
      <c r="Q46" s="15"/>
      <c r="R46" s="15"/>
    </row>
    <row r="47" spans="2:31">
      <c r="C47" s="77" t="s">
        <v>144</v>
      </c>
      <c r="D47" s="78">
        <f t="shared" si="10"/>
        <v>900.86040000000003</v>
      </c>
      <c r="E47" s="78" t="str">
        <f t="shared" si="10"/>
        <v/>
      </c>
      <c r="O47" s="15"/>
      <c r="P47" s="15"/>
      <c r="Q47" s="15"/>
      <c r="R47" s="15"/>
    </row>
    <row r="48" spans="2:31">
      <c r="C48" s="77" t="s">
        <v>145</v>
      </c>
      <c r="D48" s="78">
        <f t="shared" si="10"/>
        <v>896.63459999999986</v>
      </c>
      <c r="E48" s="78" t="str">
        <f t="shared" si="10"/>
        <v/>
      </c>
      <c r="O48" s="15"/>
      <c r="P48" s="15"/>
      <c r="Q48" s="15"/>
      <c r="R48" s="15"/>
    </row>
    <row r="49" spans="3:19" ht="14.25" thickBot="1">
      <c r="C49" s="77" t="s">
        <v>146</v>
      </c>
      <c r="D49" s="79">
        <f t="shared" si="10"/>
        <v>892.41249999999991</v>
      </c>
      <c r="E49" s="79" t="str">
        <f t="shared" si="10"/>
        <v/>
      </c>
      <c r="O49" s="15"/>
      <c r="P49" s="15"/>
      <c r="Q49" s="15"/>
      <c r="R49" s="15"/>
    </row>
    <row r="50" spans="3:19" ht="14.25" thickBot="1">
      <c r="C50" s="62" t="s">
        <v>138</v>
      </c>
      <c r="D50" s="154">
        <f>+SUM(D46:D49)-SUM(E46:E49)</f>
        <v>3126.0156999999999</v>
      </c>
      <c r="E50" s="154"/>
      <c r="K50" s="80"/>
      <c r="L50" s="80"/>
      <c r="M50" s="80"/>
      <c r="N50" s="80"/>
      <c r="S50" s="51"/>
    </row>
    <row r="51" spans="3:19">
      <c r="K51" s="80"/>
      <c r="L51" s="80"/>
      <c r="M51" s="80"/>
      <c r="N51" s="80"/>
      <c r="S51" s="51"/>
    </row>
    <row r="52" spans="3:19">
      <c r="C52" s="81"/>
      <c r="D52" s="82"/>
      <c r="E52" s="82"/>
      <c r="F52" s="82"/>
      <c r="G52" s="82"/>
      <c r="H52" s="82"/>
      <c r="I52" s="82"/>
      <c r="K52" s="80"/>
      <c r="L52" s="80"/>
      <c r="M52" s="80"/>
      <c r="N52" s="80"/>
      <c r="S52" s="51"/>
    </row>
    <row r="53" spans="3:19">
      <c r="K53" s="80"/>
      <c r="L53" s="80"/>
      <c r="M53" s="80"/>
      <c r="N53" s="80"/>
      <c r="S53" s="51"/>
    </row>
    <row r="54" spans="3:19">
      <c r="K54" s="80"/>
      <c r="L54" s="80"/>
      <c r="M54" s="80"/>
      <c r="N54" s="80"/>
      <c r="S54" s="51"/>
    </row>
    <row r="55" spans="3:19">
      <c r="K55" s="80"/>
      <c r="L55" s="80"/>
      <c r="M55" s="80"/>
      <c r="N55" s="80"/>
      <c r="S55" s="51"/>
    </row>
    <row r="56" spans="3:19">
      <c r="K56" s="80"/>
      <c r="L56" s="80"/>
      <c r="M56" s="80"/>
      <c r="N56" s="80"/>
      <c r="S56" s="51"/>
    </row>
    <row r="57" spans="3:19">
      <c r="K57" s="80"/>
      <c r="L57" s="80"/>
      <c r="M57" s="80"/>
      <c r="N57" s="80"/>
      <c r="S57" s="51"/>
    </row>
    <row r="58" spans="3:19">
      <c r="K58" s="80"/>
      <c r="L58" s="80"/>
      <c r="M58" s="80"/>
      <c r="N58" s="80"/>
      <c r="S58" s="51"/>
    </row>
    <row r="59" spans="3:19">
      <c r="K59" s="80"/>
      <c r="L59" s="80"/>
      <c r="M59" s="80"/>
      <c r="N59" s="80"/>
      <c r="S59" s="51"/>
    </row>
    <row r="60" spans="3:19">
      <c r="K60" s="80"/>
      <c r="L60" s="80"/>
      <c r="M60" s="80"/>
      <c r="N60" s="80"/>
      <c r="S60" s="51"/>
    </row>
    <row r="61" spans="3:19">
      <c r="K61" s="80"/>
      <c r="L61" s="80"/>
      <c r="M61" s="80"/>
      <c r="N61" s="80"/>
      <c r="S61" s="51"/>
    </row>
    <row r="63" spans="3:19">
      <c r="G63" s="83"/>
      <c r="H63" s="83"/>
      <c r="I63" s="83"/>
    </row>
    <row r="65" spans="2:14"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84"/>
      <c r="M65" s="84"/>
      <c r="N65" s="84"/>
    </row>
    <row r="67" spans="2:14"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84"/>
      <c r="M67" s="84"/>
      <c r="N67" s="84"/>
    </row>
    <row r="69" spans="2:14"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84"/>
      <c r="M69" s="84"/>
      <c r="N69" s="84"/>
    </row>
  </sheetData>
  <mergeCells count="13">
    <mergeCell ref="B69:K69"/>
    <mergeCell ref="X37:Y37"/>
    <mergeCell ref="C43:H43"/>
    <mergeCell ref="D44:F44"/>
    <mergeCell ref="D50:E50"/>
    <mergeCell ref="B65:K65"/>
    <mergeCell ref="B67:K67"/>
    <mergeCell ref="B1:W1"/>
    <mergeCell ref="G21:H21"/>
    <mergeCell ref="V21:W21"/>
    <mergeCell ref="S22:T22"/>
    <mergeCell ref="V35:W35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Option Button 1">
              <controlPr defaultSize="0" autoFill="0" autoLine="0" autoPict="0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704850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Option Button 2">
              <controlPr defaultSize="0" autoFill="0" autoLine="0" autoPict="0">
                <anchor moveWithCells="1" sizeWithCells="1">
                  <from>
                    <xdr:col>2</xdr:col>
                    <xdr:colOff>28575</xdr:colOff>
                    <xdr:row>4</xdr:row>
                    <xdr:rowOff>66675</xdr:rowOff>
                  </from>
                  <to>
                    <xdr:col>3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Group Box 3">
              <controlPr defaultSize="0" autoFill="0" autoPict="0">
                <anchor moveWithCells="1" sizeWithCells="1">
                  <from>
                    <xdr:col>2</xdr:col>
                    <xdr:colOff>0</xdr:colOff>
                    <xdr:row>3</xdr:row>
                    <xdr:rowOff>228600</xdr:rowOff>
                  </from>
                  <to>
                    <xdr:col>5</xdr:col>
                    <xdr:colOff>314325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Group Box 4">
              <controlPr defaultSize="0" autoFill="0" autoPict="0">
                <anchor moveWithCells="1">
                  <from>
                    <xdr:col>2</xdr:col>
                    <xdr:colOff>0</xdr:colOff>
                    <xdr:row>8</xdr:row>
                    <xdr:rowOff>114300</xdr:rowOff>
                  </from>
                  <to>
                    <xdr:col>4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Option Button 5">
              <controlPr defaultSize="0" autoFill="0" autoLine="0" autoPict="0">
                <anchor moveWithCells="1">
                  <from>
                    <xdr:col>3</xdr:col>
                    <xdr:colOff>190500</xdr:colOff>
                    <xdr:row>9</xdr:row>
                    <xdr:rowOff>57150</xdr:rowOff>
                  </from>
                  <to>
                    <xdr:col>4</xdr:col>
                    <xdr:colOff>28575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Option Button 6">
              <controlPr defaultSize="0" autoFill="0" autoLine="0" autoPict="0">
                <anchor moveWithCells="1" sizeWithCells="1">
                  <from>
                    <xdr:col>3</xdr:col>
                    <xdr:colOff>28575</xdr:colOff>
                    <xdr:row>4</xdr:row>
                    <xdr:rowOff>66675</xdr:rowOff>
                  </from>
                  <to>
                    <xdr:col>5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J252"/>
  <sheetViews>
    <sheetView showGridLines="0" tabSelected="1" workbookViewId="0">
      <pane xSplit="1" ySplit="12" topLeftCell="B139" activePane="bottomRight" state="frozen"/>
      <selection pane="topRight" activeCell="B1" sqref="B1"/>
      <selection pane="bottomLeft" activeCell="A11" sqref="A11"/>
      <selection pane="bottomRight" activeCell="L12" sqref="L12"/>
    </sheetView>
  </sheetViews>
  <sheetFormatPr baseColWidth="10" defaultRowHeight="15"/>
  <cols>
    <col min="1" max="1" width="35.5703125" style="86" bestFit="1" customWidth="1"/>
    <col min="2" max="3" width="21.42578125" style="115" customWidth="1"/>
    <col min="4" max="4" width="16.85546875" style="86" bestFit="1" customWidth="1"/>
    <col min="5" max="16384" width="11.42578125" style="86"/>
  </cols>
  <sheetData>
    <row r="1" spans="1:10" s="164" customFormat="1" ht="24" customHeight="1">
      <c r="A1" s="162"/>
      <c r="B1" s="163"/>
      <c r="C1" s="163"/>
      <c r="D1" s="165" t="s">
        <v>157</v>
      </c>
      <c r="E1" s="165"/>
      <c r="F1" s="165"/>
      <c r="G1" s="162"/>
      <c r="H1" s="162"/>
      <c r="I1" s="162"/>
      <c r="J1" s="162"/>
    </row>
    <row r="2" spans="1:10">
      <c r="A2" s="87" t="s">
        <v>88</v>
      </c>
      <c r="B2" s="88">
        <f>+SMIC!B4</f>
        <v>9.5299999999999994</v>
      </c>
      <c r="C2" s="88"/>
      <c r="D2" s="85"/>
      <c r="E2" s="85"/>
      <c r="F2" s="85"/>
      <c r="G2" s="85"/>
      <c r="H2" s="85"/>
      <c r="I2" s="85"/>
      <c r="J2" s="85"/>
    </row>
    <row r="3" spans="1:10">
      <c r="A3" s="87" t="s">
        <v>94</v>
      </c>
      <c r="B3" s="89">
        <f>+'DUBREUIL JEAN'!Coeff.effectif</f>
        <v>0.28100000000000003</v>
      </c>
      <c r="C3" s="89"/>
      <c r="D3" s="85"/>
      <c r="E3" s="85"/>
      <c r="F3" s="85"/>
      <c r="G3" s="85"/>
      <c r="H3" s="85"/>
      <c r="I3" s="85"/>
      <c r="J3" s="85"/>
    </row>
    <row r="4" spans="1:10">
      <c r="A4" s="87"/>
      <c r="B4" s="89"/>
      <c r="C4" s="89"/>
      <c r="D4" s="85"/>
      <c r="E4" s="85"/>
      <c r="F4" s="85"/>
      <c r="G4" s="85"/>
      <c r="H4" s="85"/>
      <c r="I4" s="85"/>
      <c r="J4" s="85"/>
    </row>
    <row r="5" spans="1:10">
      <c r="A5" s="87"/>
      <c r="B5" s="89"/>
      <c r="C5" s="89"/>
      <c r="D5" s="85"/>
      <c r="E5" s="85"/>
      <c r="F5" s="85"/>
      <c r="G5" s="85"/>
      <c r="H5" s="85"/>
      <c r="I5" s="85"/>
      <c r="J5" s="85"/>
    </row>
    <row r="6" spans="1:10">
      <c r="A6" s="87" t="s">
        <v>158</v>
      </c>
      <c r="B6" s="89"/>
      <c r="C6" s="89"/>
      <c r="D6" s="85"/>
      <c r="E6" s="85"/>
      <c r="F6" s="85"/>
      <c r="G6" s="85"/>
      <c r="H6" s="85"/>
      <c r="I6" s="85"/>
      <c r="J6" s="85"/>
    </row>
    <row r="7" spans="1:10">
      <c r="A7" s="87" t="s">
        <v>159</v>
      </c>
      <c r="B7" s="89"/>
      <c r="C7" s="89"/>
      <c r="D7" s="85"/>
      <c r="E7" s="85"/>
      <c r="F7" s="85"/>
      <c r="G7" s="85"/>
      <c r="H7" s="85"/>
      <c r="I7" s="85"/>
      <c r="J7" s="85"/>
    </row>
    <row r="8" spans="1:10">
      <c r="A8" s="87" t="s">
        <v>160</v>
      </c>
      <c r="B8" s="89"/>
      <c r="C8" s="89"/>
      <c r="D8" s="85"/>
      <c r="E8" s="85"/>
      <c r="F8" s="85"/>
      <c r="G8" s="85"/>
      <c r="H8" s="85"/>
      <c r="I8" s="85"/>
      <c r="J8" s="85"/>
    </row>
    <row r="9" spans="1:10">
      <c r="A9" s="87" t="s">
        <v>161</v>
      </c>
      <c r="B9" s="89"/>
      <c r="C9" s="89"/>
      <c r="D9" s="85"/>
      <c r="E9" s="85"/>
      <c r="F9" s="85"/>
      <c r="G9" s="85"/>
      <c r="H9" s="85"/>
      <c r="I9" s="85"/>
      <c r="J9" s="85"/>
    </row>
    <row r="10" spans="1:10">
      <c r="A10" s="87"/>
      <c r="B10" s="89"/>
      <c r="C10" s="89"/>
      <c r="D10" s="85"/>
      <c r="E10" s="85"/>
      <c r="F10" s="85"/>
      <c r="G10" s="85"/>
      <c r="H10" s="85"/>
      <c r="I10" s="85"/>
      <c r="J10" s="85"/>
    </row>
    <row r="11" spans="1:10">
      <c r="A11" s="87" t="s">
        <v>151</v>
      </c>
      <c r="B11" s="89" t="str">
        <f ca="1">INDIRECT("'"&amp;B$12&amp;"'!i$5")</f>
        <v>apprenti</v>
      </c>
      <c r="C11" s="89"/>
      <c r="D11" s="85"/>
      <c r="E11" s="85"/>
      <c r="F11" s="85"/>
      <c r="G11" s="85"/>
      <c r="H11" s="85"/>
      <c r="I11" s="85"/>
      <c r="J11" s="85"/>
    </row>
    <row r="12" spans="1:10" s="169" customFormat="1" ht="38.25" customHeight="1">
      <c r="A12" s="166" t="s">
        <v>162</v>
      </c>
      <c r="B12" s="167" t="str">
        <f>+'DUBREUIL JEAN'!I3</f>
        <v>DUBREUIL JEAN</v>
      </c>
      <c r="C12" s="167" t="s">
        <v>150</v>
      </c>
      <c r="D12" s="167" t="s">
        <v>167</v>
      </c>
      <c r="E12" s="167" t="s">
        <v>166</v>
      </c>
      <c r="F12" s="167" t="s">
        <v>93</v>
      </c>
      <c r="G12" s="168" t="s">
        <v>152</v>
      </c>
      <c r="H12" s="168" t="s">
        <v>153</v>
      </c>
      <c r="I12" s="168" t="s">
        <v>154</v>
      </c>
      <c r="J12" s="168" t="s">
        <v>169</v>
      </c>
    </row>
    <row r="13" spans="1:10">
      <c r="A13" s="90" t="s">
        <v>36</v>
      </c>
      <c r="B13" s="91" t="str">
        <f t="shared" ref="B13" ca="1" si="0">IF(B15&lt;B17,"Oui","Non")</f>
        <v>Oui</v>
      </c>
      <c r="C13" s="91"/>
      <c r="D13" s="92"/>
      <c r="E13" s="92"/>
      <c r="F13" s="92"/>
      <c r="G13" s="93"/>
      <c r="H13" s="93"/>
      <c r="I13" s="93"/>
      <c r="J13" s="94"/>
    </row>
    <row r="14" spans="1:10" s="100" customFormat="1">
      <c r="A14" s="95" t="s">
        <v>89</v>
      </c>
      <c r="B14" s="96">
        <f ca="1">+IF(B16&gt;151.67,1,B16/151.67)</f>
        <v>0.99997802246104484</v>
      </c>
      <c r="C14" s="96"/>
      <c r="D14" s="97">
        <f ca="1">+SUM(B14:C14)</f>
        <v>0.99997802246104484</v>
      </c>
      <c r="E14" s="97">
        <f ca="1">+SUMIF(B13:C13,"oui",B14:C14)</f>
        <v>0.99997802246104484</v>
      </c>
      <c r="F14" s="97"/>
      <c r="G14" s="98"/>
      <c r="H14" s="98"/>
      <c r="I14" s="98"/>
      <c r="J14" s="99"/>
    </row>
    <row r="15" spans="1:10">
      <c r="A15" s="101" t="s">
        <v>90</v>
      </c>
      <c r="B15" s="102">
        <f ca="1">INDIRECT("'"&amp;B$12&amp;"'!d$23")</f>
        <v>1001</v>
      </c>
      <c r="C15" s="102"/>
      <c r="D15" s="103">
        <f ca="1">SUM(B15:C15)</f>
        <v>1001</v>
      </c>
      <c r="E15" s="103">
        <f ca="1">+SUMIF(B13:C13,"OUI",B15:C15)</f>
        <v>1001</v>
      </c>
      <c r="F15" s="103"/>
      <c r="G15" s="104">
        <f ca="1">+SUMIF(B$11:C$11,"cadre",B15:C15)</f>
        <v>0</v>
      </c>
      <c r="H15" s="104">
        <f ca="1">+SUMIF(B$11:C$11,"non cadre",B15:C15)</f>
        <v>0</v>
      </c>
      <c r="I15" s="104">
        <f ca="1">+SUMIF(B$11:C$11,"dirigeant",B15:C15)</f>
        <v>0</v>
      </c>
      <c r="J15" s="105">
        <f ca="1">+SUMIF(B$11:C$11,"apprenti",B15:C15)</f>
        <v>1001</v>
      </c>
    </row>
    <row r="16" spans="1:10">
      <c r="A16" s="101" t="s">
        <v>91</v>
      </c>
      <c r="B16" s="106">
        <f ca="1">INDIRECT("'"&amp;B$12&amp;"'!g23")*52/12</f>
        <v>151.66666666666666</v>
      </c>
      <c r="C16" s="106"/>
      <c r="D16" s="103">
        <f ca="1">+SUM(B16:C16)</f>
        <v>151.66666666666666</v>
      </c>
      <c r="E16" s="103">
        <f ca="1">+SUMIF(B13:C13,"OUI",B16:C16)</f>
        <v>151.66666666666666</v>
      </c>
      <c r="F16" s="103"/>
      <c r="G16" s="107"/>
      <c r="H16" s="107"/>
      <c r="I16" s="107"/>
      <c r="J16" s="108"/>
    </row>
    <row r="17" spans="1:10" hidden="1">
      <c r="A17" s="101" t="s">
        <v>92</v>
      </c>
      <c r="B17" s="109">
        <f ca="1">B16*$B$2*2.5</f>
        <v>3613.458333333333</v>
      </c>
      <c r="C17" s="109"/>
      <c r="D17" s="110"/>
      <c r="E17" s="110"/>
      <c r="F17" s="110"/>
      <c r="G17" s="107"/>
      <c r="H17" s="107"/>
      <c r="I17" s="107"/>
      <c r="J17" s="108"/>
    </row>
    <row r="18" spans="1:10" s="115" customFormat="1">
      <c r="A18" s="111" t="s">
        <v>156</v>
      </c>
      <c r="B18" s="112">
        <f ca="1">INDIRECT("'"&amp;B$12&amp;"'!v$23")</f>
        <v>281.28100000000001</v>
      </c>
      <c r="C18" s="112"/>
      <c r="D18" s="103"/>
      <c r="E18" s="103"/>
      <c r="F18" s="103">
        <f ca="1">+SUM(B18:C18)</f>
        <v>281.28100000000001</v>
      </c>
      <c r="G18" s="113"/>
      <c r="H18" s="113"/>
      <c r="I18" s="113"/>
      <c r="J18" s="114"/>
    </row>
    <row r="19" spans="1:10" s="115" customFormat="1">
      <c r="A19" s="116" t="s">
        <v>155</v>
      </c>
      <c r="B19" s="117" t="str">
        <f ca="1">INDIRECT("'"&amp;B$12&amp;"'!w$23")</f>
        <v/>
      </c>
      <c r="C19" s="117"/>
      <c r="D19" s="118"/>
      <c r="E19" s="118"/>
      <c r="F19" s="103">
        <f ca="1">+SUM(B19:C19)</f>
        <v>0</v>
      </c>
      <c r="G19" s="119"/>
      <c r="H19" s="119"/>
      <c r="I19" s="119"/>
      <c r="J19" s="120"/>
    </row>
    <row r="20" spans="1:10" s="115" customFormat="1">
      <c r="A20" s="121"/>
      <c r="B20" s="109"/>
      <c r="C20" s="109"/>
      <c r="D20" s="110"/>
      <c r="E20" s="110"/>
      <c r="F20" s="110"/>
      <c r="G20" s="113"/>
      <c r="H20" s="113"/>
      <c r="I20" s="113"/>
      <c r="J20" s="113"/>
    </row>
    <row r="21" spans="1:10">
      <c r="A21" s="90" t="s">
        <v>37</v>
      </c>
      <c r="B21" s="91" t="str">
        <f t="shared" ref="B21" ca="1" si="1">IF((B23+B15)&lt;(B25),"Oui","Non")</f>
        <v>Oui</v>
      </c>
      <c r="C21" s="91"/>
      <c r="D21" s="122"/>
      <c r="E21" s="122"/>
      <c r="F21" s="122"/>
      <c r="G21" s="93"/>
      <c r="H21" s="93"/>
      <c r="I21" s="93"/>
      <c r="J21" s="94"/>
    </row>
    <row r="22" spans="1:10" s="100" customFormat="1">
      <c r="A22" s="95" t="s">
        <v>89</v>
      </c>
      <c r="B22" s="96">
        <f ca="1">+IF(B24&gt;151.67,1,B24/151.67)</f>
        <v>0.99997802246104484</v>
      </c>
      <c r="C22" s="96"/>
      <c r="D22" s="110">
        <f ca="1">SUM(B22:C22)</f>
        <v>0.99997802246104484</v>
      </c>
      <c r="E22" s="110">
        <f ca="1">+SUMIF(B21:C21,"oui",B22:C22)</f>
        <v>0.99997802246104484</v>
      </c>
      <c r="F22" s="110"/>
      <c r="G22" s="98"/>
      <c r="H22" s="98"/>
      <c r="I22" s="98"/>
      <c r="J22" s="99"/>
    </row>
    <row r="23" spans="1:10">
      <c r="A23" s="101" t="s">
        <v>90</v>
      </c>
      <c r="B23" s="102">
        <f ca="1">INDIRECT("'"&amp;B$12&amp;"'!d$24")</f>
        <v>1002</v>
      </c>
      <c r="C23" s="102"/>
      <c r="D23" s="103">
        <f ca="1">SUM(B23:C23)</f>
        <v>1002</v>
      </c>
      <c r="E23" s="103">
        <f ca="1">+SUMIF(B21:C21,"OUI",B28:C28)</f>
        <v>2003</v>
      </c>
      <c r="F23" s="103"/>
      <c r="G23" s="104">
        <f ca="1">+SUMIF(B$11:C$11,"cadre",B23:C23)</f>
        <v>0</v>
      </c>
      <c r="H23" s="104">
        <f ca="1">+SUMIF(B$11:C$11,"non cadre",B23:C23)</f>
        <v>0</v>
      </c>
      <c r="I23" s="104">
        <f ca="1">+SUMIF(B$11:C$11,"dirigeant",B23:C23)</f>
        <v>0</v>
      </c>
      <c r="J23" s="104">
        <f ca="1">+SUMIF(B11:C11,"apprenti",B23:C23)</f>
        <v>1002</v>
      </c>
    </row>
    <row r="24" spans="1:10">
      <c r="A24" s="101" t="s">
        <v>91</v>
      </c>
      <c r="B24" s="106">
        <f ca="1">INDIRECT("'"&amp;B$12&amp;"'!g24")*52/12</f>
        <v>151.66666666666666</v>
      </c>
      <c r="C24" s="106"/>
      <c r="D24" s="103">
        <f ca="1">SUM(B24:C24)</f>
        <v>151.66666666666666</v>
      </c>
      <c r="E24" s="103">
        <f ca="1">+SUMIF(B21:C21,"OUI",B29:C29)</f>
        <v>303.33333333333331</v>
      </c>
      <c r="F24" s="103"/>
      <c r="G24" s="107"/>
      <c r="H24" s="107"/>
      <c r="I24" s="107"/>
      <c r="J24" s="108"/>
    </row>
    <row r="25" spans="1:10" hidden="1">
      <c r="A25" s="101" t="s">
        <v>92</v>
      </c>
      <c r="B25" s="109">
        <f ca="1">+B29*B$2*2.5</f>
        <v>7226.9166666666661</v>
      </c>
      <c r="C25" s="109"/>
      <c r="D25" s="110"/>
      <c r="E25" s="110"/>
      <c r="F25" s="110"/>
      <c r="G25" s="107"/>
      <c r="H25" s="107"/>
      <c r="I25" s="107"/>
      <c r="J25" s="108"/>
    </row>
    <row r="26" spans="1:10" s="115" customFormat="1">
      <c r="A26" s="111" t="s">
        <v>156</v>
      </c>
      <c r="B26" s="112">
        <f ca="1">INDIRECT("'"&amp;B$12&amp;"'!v$24")</f>
        <v>281.56200000000007</v>
      </c>
      <c r="C26" s="112"/>
      <c r="D26" s="103"/>
      <c r="E26" s="103"/>
      <c r="F26" s="103">
        <f ca="1">+SUM(B26:C26)</f>
        <v>281.56200000000007</v>
      </c>
      <c r="G26" s="113"/>
      <c r="H26" s="113"/>
      <c r="I26" s="113"/>
      <c r="J26" s="114"/>
    </row>
    <row r="27" spans="1:10" s="115" customFormat="1">
      <c r="A27" s="116" t="s">
        <v>155</v>
      </c>
      <c r="B27" s="117" t="str">
        <f ca="1">INDIRECT("'"&amp;B$12&amp;"'!w$24")</f>
        <v/>
      </c>
      <c r="C27" s="117"/>
      <c r="D27" s="118"/>
      <c r="E27" s="118"/>
      <c r="F27" s="103">
        <f ca="1">+SUM(B27:C27)</f>
        <v>0</v>
      </c>
      <c r="G27" s="119"/>
      <c r="H27" s="119"/>
      <c r="I27" s="119"/>
      <c r="J27" s="120"/>
    </row>
    <row r="28" spans="1:10" s="115" customFormat="1" hidden="1">
      <c r="A28" s="121" t="s">
        <v>176</v>
      </c>
      <c r="B28" s="112">
        <f ca="1">+B23+B15</f>
        <v>2003</v>
      </c>
      <c r="C28" s="112"/>
      <c r="D28" s="103"/>
      <c r="E28" s="103"/>
      <c r="F28" s="103"/>
      <c r="G28" s="113"/>
      <c r="H28" s="113"/>
      <c r="I28" s="113"/>
      <c r="J28" s="113"/>
    </row>
    <row r="29" spans="1:10" s="115" customFormat="1" hidden="1">
      <c r="A29" s="121" t="s">
        <v>177</v>
      </c>
      <c r="B29" s="112">
        <f ca="1">+B24+B16</f>
        <v>303.33333333333331</v>
      </c>
      <c r="C29" s="112"/>
      <c r="D29" s="103"/>
      <c r="E29" s="103"/>
      <c r="F29" s="103"/>
      <c r="G29" s="113"/>
      <c r="H29" s="113"/>
      <c r="I29" s="113"/>
      <c r="J29" s="113"/>
    </row>
    <row r="30" spans="1:10" s="115" customFormat="1">
      <c r="A30" s="121"/>
      <c r="B30" s="109"/>
      <c r="C30" s="109"/>
      <c r="D30" s="110"/>
      <c r="E30" s="110"/>
      <c r="F30" s="110"/>
      <c r="G30" s="113"/>
      <c r="H30" s="113"/>
      <c r="I30" s="113"/>
      <c r="J30" s="113"/>
    </row>
    <row r="31" spans="1:10" s="115" customFormat="1">
      <c r="A31" s="121"/>
      <c r="B31" s="109"/>
      <c r="C31" s="109"/>
      <c r="D31" s="110"/>
      <c r="E31" s="110"/>
      <c r="F31" s="110"/>
      <c r="G31" s="113"/>
      <c r="H31" s="113"/>
      <c r="I31" s="113"/>
      <c r="J31" s="113"/>
    </row>
    <row r="32" spans="1:10">
      <c r="A32" s="90" t="s">
        <v>38</v>
      </c>
      <c r="B32" s="91" t="str">
        <f ca="1">IF((B23+B15+B34)&lt;B36,"Oui","Non")</f>
        <v>Oui</v>
      </c>
      <c r="C32" s="91"/>
      <c r="D32" s="122">
        <f ca="1">SUM(B32:C32)</f>
        <v>0</v>
      </c>
      <c r="E32" s="122"/>
      <c r="F32" s="122"/>
      <c r="G32" s="93"/>
      <c r="H32" s="93"/>
      <c r="I32" s="93"/>
      <c r="J32" s="94"/>
    </row>
    <row r="33" spans="1:10">
      <c r="A33" s="95" t="s">
        <v>89</v>
      </c>
      <c r="B33" s="96">
        <f ca="1">+IF(B35&gt;151.67,1,B35/151.67)</f>
        <v>0.99997802246104484</v>
      </c>
      <c r="C33" s="96"/>
      <c r="D33" s="110">
        <f ca="1">SUM(B33:C33)</f>
        <v>0.99997802246104484</v>
      </c>
      <c r="E33" s="110">
        <f ca="1">+SUMIF(B32:C32,"oui",B33:C33)</f>
        <v>0.99997802246104484</v>
      </c>
      <c r="F33" s="110"/>
      <c r="G33" s="107"/>
      <c r="H33" s="107"/>
      <c r="I33" s="107"/>
      <c r="J33" s="108"/>
    </row>
    <row r="34" spans="1:10">
      <c r="A34" s="101" t="s">
        <v>90</v>
      </c>
      <c r="B34" s="102">
        <f ca="1">INDIRECT("'"&amp;B$12&amp;"'!d$25")</f>
        <v>4004</v>
      </c>
      <c r="C34" s="102"/>
      <c r="D34" s="103">
        <f ca="1">SUM(B34:C34)</f>
        <v>4004</v>
      </c>
      <c r="E34" s="103">
        <f ca="1">+SUMIF(B32:C32,"OUI",B42:C42)</f>
        <v>6007</v>
      </c>
      <c r="F34" s="103"/>
      <c r="G34" s="104">
        <f ca="1">+SUMIF(B11:C11,"cadre",B34:C34)</f>
        <v>0</v>
      </c>
      <c r="H34" s="104">
        <f ca="1">+SUMIF(B11:C11,"non cadre",B34:C34)</f>
        <v>0</v>
      </c>
      <c r="I34" s="104">
        <f ca="1">+SUMIF(B11:C11,"dirigeant",B34:C34)</f>
        <v>0</v>
      </c>
      <c r="J34" s="105">
        <f ca="1">+SUMIF(B11:C11,"apprenti",B34:C34)</f>
        <v>4004</v>
      </c>
    </row>
    <row r="35" spans="1:10">
      <c r="A35" s="101" t="s">
        <v>91</v>
      </c>
      <c r="B35" s="106">
        <f ca="1">INDIRECT("'"&amp;B$12&amp;"'!g25")*52/12</f>
        <v>151.66666666666666</v>
      </c>
      <c r="C35" s="106"/>
      <c r="D35" s="103">
        <f ca="1">SUM(B35:C35)</f>
        <v>151.66666666666666</v>
      </c>
      <c r="E35" s="103">
        <f ca="1">+SUMIF(B32:C32,"OUI",B43:C43)</f>
        <v>455</v>
      </c>
      <c r="F35" s="103"/>
      <c r="G35" s="107"/>
      <c r="H35" s="107"/>
      <c r="I35" s="107"/>
      <c r="J35" s="108"/>
    </row>
    <row r="36" spans="1:10" hidden="1">
      <c r="A36" s="101" t="s">
        <v>92</v>
      </c>
      <c r="B36" s="109">
        <f ca="1">B35*$B$2*2.5+B25</f>
        <v>10840.375</v>
      </c>
      <c r="C36" s="109"/>
      <c r="D36" s="110"/>
      <c r="E36" s="110"/>
      <c r="F36" s="110"/>
      <c r="G36" s="107"/>
      <c r="H36" s="107"/>
      <c r="I36" s="107"/>
      <c r="J36" s="108"/>
    </row>
    <row r="37" spans="1:10" s="115" customFormat="1">
      <c r="A37" s="111" t="s">
        <v>156</v>
      </c>
      <c r="B37" s="144" t="str">
        <f ca="1">INDIRECT("'"&amp;B$12&amp;"'!v$25")</f>
        <v/>
      </c>
      <c r="C37" s="144"/>
      <c r="D37" s="103"/>
      <c r="E37" s="103"/>
      <c r="F37" s="103">
        <f ca="1">+SUM(B37:C37)</f>
        <v>0</v>
      </c>
      <c r="G37" s="113"/>
      <c r="H37" s="113"/>
      <c r="I37" s="113"/>
      <c r="J37" s="114"/>
    </row>
    <row r="38" spans="1:10" s="115" customFormat="1">
      <c r="A38" s="116" t="s">
        <v>155</v>
      </c>
      <c r="B38" s="145">
        <f ca="1">INDIRECT("'"&amp;B$12&amp;"'!w$25")</f>
        <v>126.73480000000006</v>
      </c>
      <c r="C38" s="145"/>
      <c r="D38" s="118"/>
      <c r="E38" s="118"/>
      <c r="F38" s="103">
        <f ca="1">+SUM(B38:C38)</f>
        <v>126.73480000000006</v>
      </c>
      <c r="G38" s="119"/>
      <c r="H38" s="119"/>
      <c r="I38" s="119"/>
      <c r="J38" s="120"/>
    </row>
    <row r="39" spans="1:10" s="115" customFormat="1">
      <c r="A39" s="121"/>
      <c r="B39" s="109"/>
      <c r="C39" s="109"/>
      <c r="D39" s="110"/>
      <c r="E39" s="110"/>
      <c r="F39" s="110"/>
      <c r="G39" s="113"/>
      <c r="H39" s="113"/>
      <c r="I39" s="113"/>
      <c r="J39" s="113"/>
    </row>
    <row r="40" spans="1:10" s="115" customFormat="1">
      <c r="A40" s="123" t="s">
        <v>165</v>
      </c>
      <c r="B40" s="124"/>
      <c r="C40" s="124"/>
      <c r="D40" s="125"/>
      <c r="E40" s="125"/>
      <c r="F40" s="125"/>
      <c r="G40" s="126"/>
      <c r="H40" s="126"/>
      <c r="I40" s="126"/>
      <c r="J40" s="127"/>
    </row>
    <row r="41" spans="1:10" s="115" customFormat="1">
      <c r="A41" s="128" t="s">
        <v>89</v>
      </c>
      <c r="B41" s="109">
        <f ca="1">+(B33+B22+B14)/3</f>
        <v>0.99997802246104472</v>
      </c>
      <c r="C41" s="109"/>
      <c r="D41" s="110">
        <f ca="1">SUM(B41:C41)</f>
        <v>0.99997802246104472</v>
      </c>
      <c r="E41" s="110"/>
      <c r="F41" s="110"/>
      <c r="G41" s="113"/>
      <c r="H41" s="113"/>
      <c r="I41" s="113"/>
      <c r="J41" s="114"/>
    </row>
    <row r="42" spans="1:10" s="115" customFormat="1">
      <c r="A42" s="129" t="s">
        <v>90</v>
      </c>
      <c r="B42" s="130">
        <f ca="1">+(B34+B23+B15)</f>
        <v>6007</v>
      </c>
      <c r="C42" s="130"/>
      <c r="D42" s="103">
        <f ca="1">SUM(B42:C42)</f>
        <v>6007</v>
      </c>
      <c r="E42" s="103">
        <f ca="1">+E34</f>
        <v>6007</v>
      </c>
      <c r="F42" s="103"/>
      <c r="G42" s="131">
        <f ca="1">+G34+G23+G15</f>
        <v>0</v>
      </c>
      <c r="H42" s="131">
        <f ca="1">+H34+H23+H15</f>
        <v>0</v>
      </c>
      <c r="I42" s="131">
        <f ca="1">+I34+I23+I15</f>
        <v>0</v>
      </c>
      <c r="J42" s="131">
        <f ca="1">+J34+J23+J15</f>
        <v>6007</v>
      </c>
    </row>
    <row r="43" spans="1:10" s="115" customFormat="1">
      <c r="A43" s="129" t="s">
        <v>91</v>
      </c>
      <c r="B43" s="130">
        <f ca="1">+(B35+B24+B16)</f>
        <v>455</v>
      </c>
      <c r="C43" s="130"/>
      <c r="D43" s="103">
        <f ca="1">SUM(B43:C43)</f>
        <v>455</v>
      </c>
      <c r="E43" s="103">
        <f ca="1">+E35</f>
        <v>455</v>
      </c>
      <c r="F43" s="103"/>
      <c r="G43" s="113"/>
      <c r="H43" s="113"/>
      <c r="I43" s="113"/>
      <c r="J43" s="114"/>
    </row>
    <row r="44" spans="1:10" s="115" customFormat="1">
      <c r="A44" s="121" t="s">
        <v>156</v>
      </c>
      <c r="B44" s="144">
        <f ca="1">INDIRECT("'"&amp;B$12&amp;"'!d$46")</f>
        <v>436.10820000000001</v>
      </c>
      <c r="C44" s="144"/>
      <c r="D44" s="103"/>
      <c r="E44" s="103"/>
      <c r="F44" s="103">
        <f ca="1">+F37+F26+F18</f>
        <v>562.84300000000007</v>
      </c>
      <c r="G44" s="113"/>
      <c r="H44" s="113"/>
      <c r="I44" s="113"/>
      <c r="J44" s="114"/>
    </row>
    <row r="45" spans="1:10" s="115" customFormat="1">
      <c r="A45" s="121" t="s">
        <v>155</v>
      </c>
      <c r="B45" s="144" t="str">
        <f ca="1">INDIRECT("'"&amp;B$12&amp;"'!e$46")</f>
        <v/>
      </c>
      <c r="C45" s="144"/>
      <c r="D45" s="103"/>
      <c r="E45" s="103"/>
      <c r="F45" s="103">
        <f ca="1">+F38+F27+F19</f>
        <v>126.73480000000006</v>
      </c>
      <c r="G45" s="113"/>
      <c r="H45" s="113"/>
      <c r="I45" s="113"/>
      <c r="J45" s="114"/>
    </row>
    <row r="46" spans="1:10" s="115" customFormat="1" ht="15.75" thickBot="1">
      <c r="A46" s="132"/>
      <c r="B46" s="133"/>
      <c r="C46" s="133"/>
      <c r="D46" s="134"/>
      <c r="E46" s="134"/>
      <c r="F46" s="134"/>
      <c r="G46" s="135"/>
      <c r="H46" s="135"/>
      <c r="I46" s="135"/>
      <c r="J46" s="136"/>
    </row>
    <row r="47" spans="1:10" s="115" customFormat="1" ht="15.75" thickTop="1">
      <c r="A47" s="121"/>
      <c r="B47" s="109"/>
      <c r="C47" s="109"/>
      <c r="D47" s="110"/>
      <c r="E47" s="110"/>
      <c r="F47" s="110"/>
      <c r="G47" s="113"/>
      <c r="H47" s="113"/>
      <c r="I47" s="113"/>
      <c r="J47" s="113"/>
    </row>
    <row r="48" spans="1:10" s="115" customFormat="1">
      <c r="A48" s="121"/>
      <c r="B48" s="109"/>
      <c r="C48" s="109"/>
      <c r="D48" s="110"/>
      <c r="E48" s="110"/>
      <c r="F48" s="110"/>
      <c r="G48" s="113"/>
      <c r="H48" s="113"/>
      <c r="I48" s="113"/>
      <c r="J48" s="113"/>
    </row>
    <row r="49" spans="1:10">
      <c r="A49" s="137"/>
      <c r="B49" s="141"/>
      <c r="C49" s="141"/>
      <c r="D49" s="97"/>
      <c r="E49" s="97"/>
      <c r="F49" s="97"/>
      <c r="G49" s="107"/>
      <c r="H49" s="107"/>
      <c r="I49" s="107"/>
      <c r="J49" s="107"/>
    </row>
    <row r="50" spans="1:10" s="100" customFormat="1">
      <c r="A50" s="128"/>
      <c r="B50" s="142"/>
      <c r="C50" s="142"/>
      <c r="D50" s="97"/>
      <c r="E50" s="97"/>
      <c r="F50" s="97"/>
      <c r="G50" s="98"/>
      <c r="H50" s="98"/>
      <c r="I50" s="98"/>
      <c r="J50" s="98"/>
    </row>
    <row r="51" spans="1:10">
      <c r="A51" s="129"/>
      <c r="B51" s="143"/>
      <c r="C51" s="143"/>
      <c r="D51" s="110"/>
      <c r="E51" s="110"/>
      <c r="F51" s="110"/>
      <c r="G51" s="107"/>
      <c r="H51" s="107"/>
      <c r="I51" s="107"/>
      <c r="J51" s="107"/>
    </row>
    <row r="52" spans="1:10">
      <c r="A52" s="90" t="s">
        <v>39</v>
      </c>
      <c r="B52" s="91" t="str">
        <f t="shared" ref="B52" ca="1" si="2">IF(B54&lt;B56,"Oui","Non")</f>
        <v>Oui</v>
      </c>
      <c r="C52" s="91"/>
      <c r="D52" s="92"/>
      <c r="E52" s="92"/>
      <c r="F52" s="92"/>
      <c r="G52" s="93"/>
      <c r="H52" s="93"/>
      <c r="I52" s="93"/>
      <c r="J52" s="94"/>
    </row>
    <row r="53" spans="1:10">
      <c r="A53" s="95" t="s">
        <v>89</v>
      </c>
      <c r="B53" s="96">
        <f ca="1">+IF(B55&gt;151.67,1,B55/151.67)</f>
        <v>0.99997802246104484</v>
      </c>
      <c r="C53" s="96"/>
      <c r="D53" s="97">
        <f ca="1">+SUM(B53:C53)</f>
        <v>0.99997802246104484</v>
      </c>
      <c r="E53" s="97">
        <f ca="1">+SUMIF(B52:C52,"oui",B53:C53)</f>
        <v>0.99997802246104484</v>
      </c>
      <c r="F53" s="97"/>
      <c r="G53" s="98"/>
      <c r="H53" s="98"/>
      <c r="I53" s="98"/>
      <c r="J53" s="99"/>
    </row>
    <row r="54" spans="1:10" s="115" customFormat="1">
      <c r="A54" s="101" t="s">
        <v>90</v>
      </c>
      <c r="B54" s="102">
        <f ca="1">INDIRECT("'"&amp;B$12&amp;"'!d$26")</f>
        <v>1004</v>
      </c>
      <c r="C54" s="102"/>
      <c r="D54" s="103">
        <f ca="1">SUM(B54:C54)</f>
        <v>1004</v>
      </c>
      <c r="E54" s="103">
        <f ca="1">+SUMIF(B52:C52,"OUI",B54:C54)</f>
        <v>1004</v>
      </c>
      <c r="F54" s="103"/>
      <c r="G54" s="104">
        <f ca="1">+SUMIF(B11:C11,"cadre",B54:C54)</f>
        <v>0</v>
      </c>
      <c r="H54" s="104">
        <f ca="1">+SUMIF(B11:C11,"non cadre",B54:C54)</f>
        <v>0</v>
      </c>
      <c r="I54" s="104">
        <f ca="1">+SUMIF(B11:C11,"dirigeant",B54:C54)</f>
        <v>0</v>
      </c>
      <c r="J54" s="105">
        <f ca="1">+SUMIF(B11:C11,"apprenti",B54:C54)</f>
        <v>1004</v>
      </c>
    </row>
    <row r="55" spans="1:10" s="115" customFormat="1">
      <c r="A55" s="101" t="s">
        <v>91</v>
      </c>
      <c r="B55" s="106">
        <f ca="1">INDIRECT("'"&amp;B$12&amp;"'!g26")*52/12</f>
        <v>151.66666666666666</v>
      </c>
      <c r="C55" s="106"/>
      <c r="D55" s="103">
        <f ca="1">+SUM(B55:C55)</f>
        <v>151.66666666666666</v>
      </c>
      <c r="E55" s="103">
        <f ca="1">+SUMIF(B52:C52,"OUI",B55:C55)</f>
        <v>151.66666666666666</v>
      </c>
      <c r="F55" s="103"/>
      <c r="G55" s="107"/>
      <c r="H55" s="107"/>
      <c r="I55" s="107"/>
      <c r="J55" s="108"/>
    </row>
    <row r="56" spans="1:10" s="115" customFormat="1" hidden="1">
      <c r="A56" s="101" t="s">
        <v>92</v>
      </c>
      <c r="B56" s="109">
        <f ca="1">B55*$B$2*2.5</f>
        <v>3613.458333333333</v>
      </c>
      <c r="C56" s="109"/>
      <c r="D56" s="110"/>
      <c r="E56" s="110"/>
      <c r="F56" s="110"/>
      <c r="G56" s="107"/>
      <c r="H56" s="107"/>
      <c r="I56" s="107"/>
      <c r="J56" s="108"/>
    </row>
    <row r="57" spans="1:10" s="115" customFormat="1">
      <c r="A57" s="111" t="s">
        <v>156</v>
      </c>
      <c r="B57" s="112">
        <f ca="1">INDIRECT("'"&amp;B$12&amp;"'!v$26")</f>
        <v>612.73740000000009</v>
      </c>
      <c r="C57" s="112"/>
      <c r="D57" s="103"/>
      <c r="E57" s="103"/>
      <c r="F57" s="103">
        <f ca="1">+SUM(B57:C57)</f>
        <v>612.73740000000009</v>
      </c>
      <c r="G57" s="113"/>
      <c r="H57" s="113"/>
      <c r="I57" s="113"/>
      <c r="J57" s="114"/>
    </row>
    <row r="58" spans="1:10">
      <c r="A58" s="116" t="s">
        <v>155</v>
      </c>
      <c r="B58" s="117" t="str">
        <f ca="1">INDIRECT("'"&amp;B$12&amp;"'!w$26")</f>
        <v/>
      </c>
      <c r="C58" s="117"/>
      <c r="D58" s="118"/>
      <c r="E58" s="118"/>
      <c r="F58" s="103">
        <f ca="1">+SUM(B58:C58)</f>
        <v>0</v>
      </c>
      <c r="G58" s="119"/>
      <c r="H58" s="119"/>
      <c r="I58" s="119"/>
      <c r="J58" s="120"/>
    </row>
    <row r="59" spans="1:10" s="100" customFormat="1">
      <c r="A59" s="121"/>
      <c r="B59" s="109"/>
      <c r="C59" s="109"/>
      <c r="D59" s="110"/>
      <c r="E59" s="110"/>
      <c r="F59" s="110"/>
      <c r="G59" s="113"/>
      <c r="H59" s="113"/>
      <c r="I59" s="113"/>
      <c r="J59" s="113"/>
    </row>
    <row r="60" spans="1:10">
      <c r="A60" s="90" t="s">
        <v>40</v>
      </c>
      <c r="B60" s="91" t="str">
        <f t="shared" ref="B60" ca="1" si="3">IF((B62+B54)&lt;(B64),"Oui","Non")</f>
        <v>Oui</v>
      </c>
      <c r="C60" s="91"/>
      <c r="D60" s="122"/>
      <c r="E60" s="122"/>
      <c r="F60" s="122"/>
      <c r="G60" s="93"/>
      <c r="H60" s="93"/>
      <c r="I60" s="93"/>
      <c r="J60" s="94"/>
    </row>
    <row r="61" spans="1:10">
      <c r="A61" s="95" t="s">
        <v>89</v>
      </c>
      <c r="B61" s="96">
        <f ca="1">+IF(B63&gt;151.67,1,B63/151.67)</f>
        <v>0.99997802246104484</v>
      </c>
      <c r="C61" s="96"/>
      <c r="D61" s="110">
        <f ca="1">SUM(B61:C61)</f>
        <v>0.99997802246104484</v>
      </c>
      <c r="E61" s="110">
        <f ca="1">+SUMIF(B60:C60,"oui",B61:C61)</f>
        <v>0.99997802246104484</v>
      </c>
      <c r="F61" s="110"/>
      <c r="G61" s="98"/>
      <c r="H61" s="98"/>
      <c r="I61" s="98"/>
      <c r="J61" s="99"/>
    </row>
    <row r="62" spans="1:10">
      <c r="A62" s="101" t="s">
        <v>90</v>
      </c>
      <c r="B62" s="102">
        <f ca="1">INDIRECT("'"&amp;B$12&amp;"'!d$27")</f>
        <v>1005</v>
      </c>
      <c r="C62" s="102"/>
      <c r="D62" s="103">
        <f ca="1">SUM(B62:C62)</f>
        <v>1005</v>
      </c>
      <c r="E62" s="103">
        <f ca="1">+SUMIF(B60:C60,"OUI",B62:C62)</f>
        <v>1005</v>
      </c>
      <c r="F62" s="103"/>
      <c r="G62" s="104">
        <f ca="1">+SUMIF(B11:C11,"cadre",B62:C62)</f>
        <v>0</v>
      </c>
      <c r="H62" s="104">
        <f ca="1">+SUMIF(B11:C11,"non cadre",D62:D62)</f>
        <v>0</v>
      </c>
      <c r="I62" s="104">
        <f ca="1">+SUMIF(B11:C11,"dirigeant",D62:E62)</f>
        <v>0</v>
      </c>
      <c r="J62" s="104">
        <f ca="1">+SUMIF(B11:C11,"apprenti",E62:F62)</f>
        <v>1005</v>
      </c>
    </row>
    <row r="63" spans="1:10" s="115" customFormat="1">
      <c r="A63" s="101" t="s">
        <v>91</v>
      </c>
      <c r="B63" s="106">
        <f ca="1">INDIRECT("'"&amp;B$12&amp;"'!g27")*52/12</f>
        <v>151.66666666666666</v>
      </c>
      <c r="C63" s="106"/>
      <c r="D63" s="103">
        <f ca="1">SUM(B63:C63)</f>
        <v>151.66666666666666</v>
      </c>
      <c r="E63" s="103">
        <f ca="1">+SUMIF(B60:C60,"OUI",B63:C63)</f>
        <v>151.66666666666666</v>
      </c>
      <c r="F63" s="103"/>
      <c r="G63" s="107"/>
      <c r="H63" s="107"/>
      <c r="I63" s="107"/>
      <c r="J63" s="108"/>
    </row>
    <row r="64" spans="1:10" s="115" customFormat="1" hidden="1">
      <c r="A64" s="101" t="s">
        <v>92</v>
      </c>
      <c r="B64" s="109">
        <f ca="1">B63*$B$2*2.5+B56</f>
        <v>7226.9166666666661</v>
      </c>
      <c r="C64" s="109"/>
      <c r="D64" s="110"/>
      <c r="E64" s="110"/>
      <c r="F64" s="110"/>
      <c r="G64" s="107"/>
      <c r="H64" s="107"/>
      <c r="I64" s="107"/>
      <c r="J64" s="108"/>
    </row>
    <row r="65" spans="1:10" s="115" customFormat="1">
      <c r="A65" s="111" t="s">
        <v>156</v>
      </c>
      <c r="B65" s="112">
        <f ca="1">INDIRECT("'"&amp;B$12&amp;"'!v$27")</f>
        <v>612.87120000000004</v>
      </c>
      <c r="C65" s="112"/>
      <c r="D65" s="103"/>
      <c r="E65" s="103"/>
      <c r="F65" s="103">
        <f ca="1">+SUM(B65:C65)</f>
        <v>612.87120000000004</v>
      </c>
      <c r="G65" s="113"/>
      <c r="H65" s="113"/>
      <c r="I65" s="113"/>
      <c r="J65" s="114"/>
    </row>
    <row r="66" spans="1:10" s="115" customFormat="1">
      <c r="A66" s="116" t="s">
        <v>155</v>
      </c>
      <c r="B66" s="117" t="str">
        <f ca="1">INDIRECT("'"&amp;B$12&amp;"'!w$27")</f>
        <v/>
      </c>
      <c r="C66" s="117"/>
      <c r="D66" s="118"/>
      <c r="E66" s="118"/>
      <c r="F66" s="103">
        <f ca="1">+SUM(B66:C66)</f>
        <v>0</v>
      </c>
      <c r="G66" s="119"/>
      <c r="H66" s="119"/>
      <c r="I66" s="119"/>
      <c r="J66" s="120"/>
    </row>
    <row r="67" spans="1:10">
      <c r="A67" s="121"/>
      <c r="B67" s="109"/>
      <c r="C67" s="109"/>
      <c r="D67" s="110"/>
      <c r="E67" s="110"/>
      <c r="F67" s="110"/>
      <c r="G67" s="113"/>
      <c r="H67" s="113"/>
      <c r="I67" s="113"/>
      <c r="J67" s="113"/>
    </row>
    <row r="68" spans="1:10">
      <c r="A68" s="121"/>
      <c r="B68" s="109"/>
      <c r="C68" s="109"/>
      <c r="D68" s="110"/>
      <c r="E68" s="110"/>
      <c r="F68" s="110"/>
      <c r="G68" s="113"/>
      <c r="H68" s="113"/>
      <c r="I68" s="113"/>
      <c r="J68" s="113"/>
    </row>
    <row r="69" spans="1:10">
      <c r="A69" s="90" t="s">
        <v>41</v>
      </c>
      <c r="B69" s="91" t="str">
        <f ca="1">IF((B62+B54+B71)&lt;B73,"Oui","Non")</f>
        <v>Oui</v>
      </c>
      <c r="C69" s="91"/>
      <c r="D69" s="122">
        <f ca="1">SUM(B69:C69)</f>
        <v>0</v>
      </c>
      <c r="E69" s="122"/>
      <c r="F69" s="122"/>
      <c r="G69" s="93"/>
      <c r="H69" s="93"/>
      <c r="I69" s="93"/>
      <c r="J69" s="94"/>
    </row>
    <row r="70" spans="1:10">
      <c r="A70" s="95" t="s">
        <v>89</v>
      </c>
      <c r="B70" s="96">
        <f ca="1">+IF(B72&gt;151.67,1,B72/151.67)</f>
        <v>0.99997802246104484</v>
      </c>
      <c r="C70" s="96"/>
      <c r="D70" s="110">
        <f ca="1">SUM(B70:C70)</f>
        <v>0.99997802246104484</v>
      </c>
      <c r="E70" s="110">
        <f ca="1">+SUMIF(B69:C69,"oui",B70:C70)</f>
        <v>0.99997802246104484</v>
      </c>
      <c r="F70" s="110"/>
      <c r="G70" s="107"/>
      <c r="H70" s="107"/>
      <c r="I70" s="107"/>
      <c r="J70" s="108"/>
    </row>
    <row r="71" spans="1:10">
      <c r="A71" s="101" t="s">
        <v>90</v>
      </c>
      <c r="B71" s="102">
        <f ca="1">INDIRECT("'"&amp;B$12&amp;"'!d$28")</f>
        <v>3006</v>
      </c>
      <c r="C71" s="102"/>
      <c r="D71" s="103">
        <f ca="1">SUM(B71:C71)</f>
        <v>3006</v>
      </c>
      <c r="E71" s="103">
        <f ca="1">+SUMIF(B69:C69,"OUI",B77:C77)</f>
        <v>0</v>
      </c>
      <c r="F71" s="103"/>
      <c r="G71" s="104">
        <f ca="1">+SUMIF(B11:C11,"cadre",B71:C71)</f>
        <v>0</v>
      </c>
      <c r="H71" s="104">
        <f ca="1">+SUMIF(B11:C11,"non cadre",D71:D71)</f>
        <v>0</v>
      </c>
      <c r="I71" s="104">
        <f ca="1">+SUMIF(B11:C11,"dirigeant",D71:E71)</f>
        <v>0</v>
      </c>
      <c r="J71" s="105">
        <f ca="1">+SUMIF(B11:C11,"apprenti",E71:F71)</f>
        <v>0</v>
      </c>
    </row>
    <row r="72" spans="1:10" s="115" customFormat="1">
      <c r="A72" s="101" t="s">
        <v>91</v>
      </c>
      <c r="B72" s="106">
        <f ca="1">INDIRECT("'"&amp;B$12&amp;"'!g28")*52/12</f>
        <v>151.66666666666666</v>
      </c>
      <c r="C72" s="106"/>
      <c r="D72" s="103">
        <f ca="1">SUM(B72:C72)</f>
        <v>151.66666666666666</v>
      </c>
      <c r="E72" s="103">
        <f ca="1">+SUMIF(B69:C69,"OUI",B72:C72)</f>
        <v>151.66666666666666</v>
      </c>
      <c r="F72" s="103"/>
      <c r="G72" s="107"/>
      <c r="H72" s="107"/>
      <c r="I72" s="107"/>
      <c r="J72" s="108"/>
    </row>
    <row r="73" spans="1:10" s="115" customFormat="1" hidden="1">
      <c r="A73" s="101" t="s">
        <v>92</v>
      </c>
      <c r="B73" s="109">
        <f ca="1">B72*$B$2*2.5+B64</f>
        <v>10840.375</v>
      </c>
      <c r="C73" s="109"/>
      <c r="D73" s="110"/>
      <c r="E73" s="110"/>
      <c r="F73" s="110"/>
      <c r="G73" s="107"/>
      <c r="H73" s="107"/>
      <c r="I73" s="107"/>
      <c r="J73" s="108"/>
    </row>
    <row r="74" spans="1:10" s="115" customFormat="1">
      <c r="A74" s="111" t="s">
        <v>156</v>
      </c>
      <c r="B74" s="112" t="str">
        <f ca="1">INDIRECT("'"&amp;B$12&amp;"'!v$28")</f>
        <v/>
      </c>
      <c r="C74" s="112"/>
      <c r="D74" s="103"/>
      <c r="E74" s="103"/>
      <c r="F74" s="103">
        <f ca="1">+SUM(B74:C74)</f>
        <v>0</v>
      </c>
      <c r="G74" s="113"/>
      <c r="H74" s="113"/>
      <c r="I74" s="113"/>
      <c r="J74" s="114"/>
    </row>
    <row r="75" spans="1:10" s="115" customFormat="1">
      <c r="A75" s="116" t="s">
        <v>155</v>
      </c>
      <c r="B75" s="117">
        <f ca="1">INDIRECT("'"&amp;B$12&amp;"'!w$28")</f>
        <v>324.7482</v>
      </c>
      <c r="C75" s="117"/>
      <c r="D75" s="118"/>
      <c r="E75" s="118"/>
      <c r="F75" s="103">
        <f ca="1">+SUM(B75:C75)</f>
        <v>324.7482</v>
      </c>
      <c r="G75" s="119"/>
      <c r="H75" s="119"/>
      <c r="I75" s="119"/>
      <c r="J75" s="120"/>
    </row>
    <row r="76" spans="1:10" s="115" customFormat="1">
      <c r="A76" s="121"/>
      <c r="B76" s="109"/>
      <c r="C76" s="109"/>
      <c r="D76" s="110"/>
      <c r="E76" s="110"/>
      <c r="F76" s="110"/>
      <c r="G76" s="113"/>
      <c r="H76" s="113"/>
      <c r="I76" s="113"/>
      <c r="J76" s="113"/>
    </row>
    <row r="77" spans="1:10" s="115" customFormat="1">
      <c r="A77" s="123" t="s">
        <v>170</v>
      </c>
      <c r="B77" s="124"/>
      <c r="C77" s="124"/>
      <c r="D77" s="125"/>
      <c r="E77" s="125"/>
      <c r="F77" s="125"/>
      <c r="G77" s="126"/>
      <c r="H77" s="126"/>
      <c r="I77" s="126"/>
      <c r="J77" s="127"/>
    </row>
    <row r="78" spans="1:10" s="115" customFormat="1">
      <c r="A78" s="128" t="s">
        <v>89</v>
      </c>
      <c r="B78" s="109">
        <f ca="1">+(B70+B61+B53)/3</f>
        <v>0.99997802246104472</v>
      </c>
      <c r="C78" s="109"/>
      <c r="D78" s="110">
        <f ca="1">SUM(B78:C78)</f>
        <v>0.99997802246104472</v>
      </c>
      <c r="E78" s="110"/>
      <c r="F78" s="110"/>
      <c r="G78" s="113"/>
      <c r="H78" s="113"/>
      <c r="I78" s="113"/>
      <c r="J78" s="114"/>
    </row>
    <row r="79" spans="1:10" s="115" customFormat="1">
      <c r="A79" s="129" t="s">
        <v>90</v>
      </c>
      <c r="B79" s="130">
        <f ca="1">+(B71+B62+B54)</f>
        <v>5015</v>
      </c>
      <c r="C79" s="130"/>
      <c r="D79" s="103">
        <f ca="1">SUM(B79:C79)</f>
        <v>5015</v>
      </c>
      <c r="E79" s="103">
        <f ca="1">+E71</f>
        <v>0</v>
      </c>
      <c r="F79" s="103"/>
      <c r="G79" s="131">
        <f ca="1">+G71+G62+G54</f>
        <v>0</v>
      </c>
      <c r="H79" s="131">
        <f t="shared" ref="H79:J79" ca="1" si="4">+H71+H62+H54</f>
        <v>0</v>
      </c>
      <c r="I79" s="131">
        <f t="shared" ca="1" si="4"/>
        <v>0</v>
      </c>
      <c r="J79" s="131">
        <f t="shared" ca="1" si="4"/>
        <v>2009</v>
      </c>
    </row>
    <row r="80" spans="1:10" s="115" customFormat="1">
      <c r="A80" s="129" t="s">
        <v>91</v>
      </c>
      <c r="B80" s="130">
        <f ca="1">+(B72+B63+B55)</f>
        <v>455</v>
      </c>
      <c r="C80" s="130"/>
      <c r="D80" s="103">
        <f ca="1">SUM(B80:C80)</f>
        <v>455</v>
      </c>
      <c r="E80" s="103">
        <f ca="1">+E72</f>
        <v>151.66666666666666</v>
      </c>
      <c r="F80" s="103"/>
      <c r="G80" s="113"/>
      <c r="H80" s="113"/>
      <c r="I80" s="113"/>
      <c r="J80" s="114"/>
    </row>
    <row r="81" spans="1:10" s="115" customFormat="1">
      <c r="A81" s="121" t="s">
        <v>156</v>
      </c>
      <c r="B81" s="144" t="str">
        <f ca="1">+IF(ISERROR(B74+B65+B57),"",(B74+B65+B57))</f>
        <v/>
      </c>
      <c r="C81" s="144"/>
      <c r="D81" s="103"/>
      <c r="E81" s="103"/>
      <c r="F81" s="103">
        <f ca="1">+F74+F65+F57</f>
        <v>1225.6086</v>
      </c>
      <c r="G81" s="113"/>
      <c r="H81" s="113"/>
      <c r="I81" s="113"/>
      <c r="J81" s="114"/>
    </row>
    <row r="82" spans="1:10">
      <c r="A82" s="121" t="s">
        <v>155</v>
      </c>
      <c r="B82" s="144" t="str">
        <f ca="1">+IF(ISERROR(B75+B66+B58),"",(B75+B66+B58))</f>
        <v/>
      </c>
      <c r="C82" s="144"/>
      <c r="D82" s="103"/>
      <c r="E82" s="103"/>
      <c r="F82" s="103">
        <f ca="1">+F75+F66+F58</f>
        <v>324.7482</v>
      </c>
      <c r="G82" s="113"/>
      <c r="H82" s="113"/>
      <c r="I82" s="113"/>
      <c r="J82" s="114"/>
    </row>
    <row r="83" spans="1:10" s="100" customFormat="1" ht="15.75" thickBot="1">
      <c r="A83" s="132"/>
      <c r="B83" s="133"/>
      <c r="C83" s="133"/>
      <c r="D83" s="134"/>
      <c r="E83" s="134"/>
      <c r="F83" s="134"/>
      <c r="G83" s="135"/>
      <c r="H83" s="135"/>
      <c r="I83" s="135"/>
      <c r="J83" s="136"/>
    </row>
    <row r="84" spans="1:10" ht="15.75" thickTop="1">
      <c r="A84" s="129"/>
      <c r="B84" s="143"/>
      <c r="C84" s="143"/>
      <c r="D84" s="110"/>
      <c r="E84" s="110"/>
      <c r="F84" s="110"/>
      <c r="G84" s="107"/>
      <c r="H84" s="107"/>
      <c r="I84" s="107"/>
      <c r="J84" s="107"/>
    </row>
    <row r="85" spans="1:10">
      <c r="A85" s="129"/>
      <c r="B85" s="141"/>
      <c r="C85" s="141"/>
      <c r="D85" s="110"/>
      <c r="E85" s="110"/>
      <c r="F85" s="110"/>
      <c r="G85" s="107"/>
      <c r="H85" s="107"/>
      <c r="I85" s="107"/>
      <c r="J85" s="107"/>
    </row>
    <row r="86" spans="1:10">
      <c r="A86" s="121"/>
      <c r="B86" s="109"/>
      <c r="C86" s="109"/>
      <c r="D86" s="110"/>
      <c r="E86" s="110"/>
      <c r="F86" s="110"/>
      <c r="G86" s="113"/>
      <c r="H86" s="113"/>
      <c r="I86" s="113"/>
      <c r="J86" s="113"/>
    </row>
    <row r="87" spans="1:10" s="115" customFormat="1">
      <c r="A87" s="121"/>
      <c r="B87" s="109"/>
      <c r="C87" s="109"/>
      <c r="D87" s="110"/>
      <c r="E87" s="110"/>
      <c r="F87" s="110"/>
      <c r="G87" s="113"/>
      <c r="H87" s="113"/>
      <c r="I87" s="113"/>
      <c r="J87" s="113"/>
    </row>
    <row r="88" spans="1:10" s="115" customFormat="1">
      <c r="A88" s="121"/>
      <c r="B88" s="109"/>
      <c r="C88" s="109"/>
      <c r="D88" s="110"/>
      <c r="E88" s="110"/>
      <c r="F88" s="110"/>
      <c r="G88" s="113"/>
      <c r="H88" s="113"/>
      <c r="I88" s="113"/>
      <c r="J88" s="113"/>
    </row>
    <row r="89" spans="1:10" s="115" customFormat="1">
      <c r="A89" s="90" t="s">
        <v>42</v>
      </c>
      <c r="B89" s="91" t="str">
        <f t="shared" ref="B89" ca="1" si="5">IF(B91&lt;B93,"Oui","Non")</f>
        <v>Oui</v>
      </c>
      <c r="C89" s="91"/>
      <c r="D89" s="92"/>
      <c r="E89" s="92"/>
      <c r="F89" s="92"/>
      <c r="G89" s="93"/>
      <c r="H89" s="93"/>
      <c r="I89" s="93"/>
      <c r="J89" s="94"/>
    </row>
    <row r="90" spans="1:10" s="115" customFormat="1">
      <c r="A90" s="95" t="s">
        <v>89</v>
      </c>
      <c r="B90" s="96">
        <f ca="1">+IF(B92&gt;151.67,1,B92/151.67)</f>
        <v>0.99997802246104484</v>
      </c>
      <c r="C90" s="96"/>
      <c r="D90" s="97">
        <f ca="1">+SUM(B90:C90)</f>
        <v>0.99997802246104484</v>
      </c>
      <c r="E90" s="97">
        <f ca="1">+SUMIF(B89:C89,"oui",B90:C90)</f>
        <v>0.99997802246104484</v>
      </c>
      <c r="F90" s="97"/>
      <c r="G90" s="98"/>
      <c r="H90" s="98"/>
      <c r="I90" s="98"/>
      <c r="J90" s="99"/>
    </row>
    <row r="91" spans="1:10" s="115" customFormat="1">
      <c r="A91" s="101" t="s">
        <v>90</v>
      </c>
      <c r="B91" s="102">
        <f ca="1">INDIRECT("'"&amp;B$12&amp;"'!d$29")</f>
        <v>1007</v>
      </c>
      <c r="C91" s="102"/>
      <c r="D91" s="103">
        <f ca="1">SUM(B91:C91)</f>
        <v>1007</v>
      </c>
      <c r="E91" s="103">
        <f ca="1">+SUMIF(B89:C89,"OUI",B91:C91)</f>
        <v>1007</v>
      </c>
      <c r="F91" s="103"/>
      <c r="G91" s="104">
        <f ca="1">+SUMIF(B11:C11,"cadre",B91:C91)</f>
        <v>0</v>
      </c>
      <c r="H91" s="104">
        <f ca="1">+SUMIF(B11:C11,"non cadre",B91:C91)</f>
        <v>0</v>
      </c>
      <c r="I91" s="104">
        <f ca="1">+SUMIF(B11:C11,"dirigeant",B91:C91)</f>
        <v>0</v>
      </c>
      <c r="J91" s="105">
        <f ca="1">+SUMIF(B11:C11,"apprenti",B91:C91)</f>
        <v>1007</v>
      </c>
    </row>
    <row r="92" spans="1:10">
      <c r="A92" s="101" t="s">
        <v>91</v>
      </c>
      <c r="B92" s="106">
        <f ca="1">INDIRECT("'"&amp;B$12&amp;"'!g29")*52/12</f>
        <v>151.66666666666666</v>
      </c>
      <c r="C92" s="106"/>
      <c r="D92" s="103">
        <f ca="1">+SUM(B92:C92)</f>
        <v>151.66666666666666</v>
      </c>
      <c r="E92" s="103">
        <f ca="1">+SUMIF(B89:C89,"OUI",B92:C92)</f>
        <v>151.66666666666666</v>
      </c>
      <c r="F92" s="103"/>
      <c r="G92" s="107"/>
      <c r="H92" s="107"/>
      <c r="I92" s="107"/>
      <c r="J92" s="108"/>
    </row>
    <row r="93" spans="1:10" s="100" customFormat="1" hidden="1">
      <c r="A93" s="101" t="s">
        <v>92</v>
      </c>
      <c r="B93" s="109">
        <f ca="1">B92*$B$2*2.5</f>
        <v>3613.458333333333</v>
      </c>
      <c r="C93" s="109"/>
      <c r="D93" s="110"/>
      <c r="E93" s="110"/>
      <c r="F93" s="110"/>
      <c r="G93" s="107"/>
      <c r="H93" s="107"/>
      <c r="I93" s="107"/>
      <c r="J93" s="108"/>
    </row>
    <row r="94" spans="1:10">
      <c r="A94" s="111" t="s">
        <v>156</v>
      </c>
      <c r="B94" s="112">
        <f ca="1">INDIRECT("'"&amp;B$12&amp;"'!v$29")</f>
        <v>611.72939999999994</v>
      </c>
      <c r="C94" s="112"/>
      <c r="D94" s="103"/>
      <c r="E94" s="103"/>
      <c r="F94" s="103">
        <f ca="1">+SUM(B94:C94)</f>
        <v>611.72939999999994</v>
      </c>
      <c r="G94" s="113"/>
      <c r="H94" s="113"/>
      <c r="I94" s="113"/>
      <c r="J94" s="114"/>
    </row>
    <row r="95" spans="1:10">
      <c r="A95" s="116" t="s">
        <v>155</v>
      </c>
      <c r="B95" s="117" t="str">
        <f ca="1">INDIRECT("'"&amp;B$12&amp;"'!w$29")</f>
        <v/>
      </c>
      <c r="C95" s="117"/>
      <c r="D95" s="118"/>
      <c r="E95" s="118"/>
      <c r="F95" s="103">
        <f ca="1">+SUM(B95:C95)</f>
        <v>0</v>
      </c>
      <c r="G95" s="119"/>
      <c r="H95" s="119"/>
      <c r="I95" s="119"/>
      <c r="J95" s="120"/>
    </row>
    <row r="96" spans="1:10">
      <c r="A96" s="121"/>
      <c r="B96" s="109"/>
      <c r="C96" s="109"/>
      <c r="D96" s="110"/>
      <c r="E96" s="110"/>
      <c r="F96" s="110"/>
      <c r="G96" s="113"/>
      <c r="H96" s="113"/>
      <c r="I96" s="113"/>
      <c r="J96" s="113"/>
    </row>
    <row r="97" spans="1:10" s="115" customFormat="1">
      <c r="A97" s="90" t="s">
        <v>171</v>
      </c>
      <c r="B97" s="91" t="str">
        <f t="shared" ref="B97" ca="1" si="6">IF((B99+B91)&lt;(B101),"Oui","Non")</f>
        <v>Oui</v>
      </c>
      <c r="C97" s="91"/>
      <c r="D97" s="122"/>
      <c r="E97" s="122"/>
      <c r="F97" s="122"/>
      <c r="G97" s="93"/>
      <c r="H97" s="93"/>
      <c r="I97" s="93"/>
      <c r="J97" s="94"/>
    </row>
    <row r="98" spans="1:10" s="115" customFormat="1">
      <c r="A98" s="95" t="s">
        <v>89</v>
      </c>
      <c r="B98" s="96">
        <f ca="1">+IF(B100&gt;151.67,1,B100/151.67)</f>
        <v>0.99997802246104484</v>
      </c>
      <c r="C98" s="96"/>
      <c r="D98" s="110">
        <f ca="1">SUM(B98:C98)</f>
        <v>0.99997802246104484</v>
      </c>
      <c r="E98" s="110">
        <f ca="1">+SUMIF(B97:C97,"oui",B98:C98)</f>
        <v>0.99997802246104484</v>
      </c>
      <c r="F98" s="110"/>
      <c r="G98" s="98"/>
      <c r="H98" s="98"/>
      <c r="I98" s="98"/>
      <c r="J98" s="99"/>
    </row>
    <row r="99" spans="1:10" s="115" customFormat="1">
      <c r="A99" s="101" t="s">
        <v>90</v>
      </c>
      <c r="B99" s="102">
        <f ca="1">INDIRECT("'"&amp;B$12&amp;"'!d$30")</f>
        <v>1008</v>
      </c>
      <c r="C99" s="102"/>
      <c r="D99" s="103">
        <f ca="1">SUM(B99:C99)</f>
        <v>1008</v>
      </c>
      <c r="E99" s="103">
        <f ca="1">+SUMIF(B97:C97,"OUI",B99:C99)</f>
        <v>1008</v>
      </c>
      <c r="F99" s="103"/>
      <c r="G99" s="104">
        <f ca="1">+SUMIF(B11:C11,"cadre",B99:C99)</f>
        <v>0</v>
      </c>
      <c r="H99" s="104">
        <f ca="1">+SUMIF(B11:C11,"non cadre",D99:D99)</f>
        <v>0</v>
      </c>
      <c r="I99" s="104">
        <f ca="1">+SUMIF(B11:C11,"dirigeant",D99:E99)</f>
        <v>0</v>
      </c>
      <c r="J99" s="104">
        <f ca="1">+SUMIF(B11:C11,"apprenti",E99:F99)</f>
        <v>1008</v>
      </c>
    </row>
    <row r="100" spans="1:10" s="115" customFormat="1">
      <c r="A100" s="101" t="s">
        <v>91</v>
      </c>
      <c r="B100" s="106">
        <f ca="1">INDIRECT("'"&amp;B$12&amp;"'!g30")*52/12</f>
        <v>151.66666666666666</v>
      </c>
      <c r="C100" s="106"/>
      <c r="D100" s="103">
        <f ca="1">SUM(B100:C100)</f>
        <v>151.66666666666666</v>
      </c>
      <c r="E100" s="103">
        <f ca="1">+SUMIF(B97:C97,"OUI",B100:C100)</f>
        <v>151.66666666666666</v>
      </c>
      <c r="F100" s="103"/>
      <c r="G100" s="107"/>
      <c r="H100" s="107"/>
      <c r="I100" s="107"/>
      <c r="J100" s="108"/>
    </row>
    <row r="101" spans="1:10" s="115" customFormat="1" hidden="1">
      <c r="A101" s="101" t="s">
        <v>92</v>
      </c>
      <c r="B101" s="109">
        <f ca="1">B100*$B$2*2.5+B93</f>
        <v>7226.9166666666661</v>
      </c>
      <c r="C101" s="109"/>
      <c r="D101" s="110"/>
      <c r="E101" s="110"/>
      <c r="F101" s="110"/>
      <c r="G101" s="107"/>
      <c r="H101" s="107"/>
      <c r="I101" s="107"/>
      <c r="J101" s="108"/>
    </row>
    <row r="102" spans="1:10">
      <c r="A102" s="111" t="s">
        <v>156</v>
      </c>
      <c r="B102" s="112">
        <f ca="1">INDIRECT("'"&amp;B$12&amp;"'!v$30")</f>
        <v>610.46510000000012</v>
      </c>
      <c r="C102" s="112"/>
      <c r="D102" s="103"/>
      <c r="E102" s="103"/>
      <c r="F102" s="103">
        <f ca="1">+SUM(B102:C102)</f>
        <v>610.46510000000012</v>
      </c>
      <c r="G102" s="113"/>
      <c r="H102" s="113"/>
      <c r="I102" s="113"/>
      <c r="J102" s="114"/>
    </row>
    <row r="103" spans="1:10">
      <c r="A103" s="116" t="s">
        <v>155</v>
      </c>
      <c r="B103" s="117" t="str">
        <f ca="1">INDIRECT("'"&amp;B$12&amp;"'!w$30")</f>
        <v/>
      </c>
      <c r="C103" s="117"/>
      <c r="D103" s="118"/>
      <c r="E103" s="118"/>
      <c r="F103" s="103">
        <f ca="1">+SUM(B103:C103)</f>
        <v>0</v>
      </c>
      <c r="G103" s="119"/>
      <c r="H103" s="119"/>
      <c r="I103" s="119"/>
      <c r="J103" s="120"/>
    </row>
    <row r="104" spans="1:10">
      <c r="A104" s="121"/>
      <c r="B104" s="109"/>
      <c r="C104" s="109"/>
      <c r="D104" s="110"/>
      <c r="E104" s="110"/>
      <c r="F104" s="110"/>
      <c r="G104" s="113"/>
      <c r="H104" s="113"/>
      <c r="I104" s="113"/>
      <c r="J104" s="113"/>
    </row>
    <row r="105" spans="1:10">
      <c r="A105" s="121"/>
      <c r="B105" s="109"/>
      <c r="C105" s="109"/>
      <c r="D105" s="110"/>
      <c r="E105" s="110"/>
      <c r="F105" s="110"/>
      <c r="G105" s="113"/>
      <c r="H105" s="113"/>
      <c r="I105" s="113"/>
      <c r="J105" s="113"/>
    </row>
    <row r="106" spans="1:10">
      <c r="A106" s="90" t="s">
        <v>44</v>
      </c>
      <c r="B106" s="91" t="str">
        <f ca="1">IF((B99+B91+B108)&lt;B110,"Oui","Non")</f>
        <v>Oui</v>
      </c>
      <c r="C106" s="91"/>
      <c r="D106" s="122">
        <f ca="1">SUM(B106:C106)</f>
        <v>0</v>
      </c>
      <c r="E106" s="122"/>
      <c r="F106" s="122"/>
      <c r="G106" s="93"/>
      <c r="H106" s="93"/>
      <c r="I106" s="93"/>
      <c r="J106" s="94"/>
    </row>
    <row r="107" spans="1:10" s="115" customFormat="1">
      <c r="A107" s="95" t="s">
        <v>89</v>
      </c>
      <c r="B107" s="96">
        <f ca="1">+IF(B109&gt;151.67,1,B109/151.67)</f>
        <v>0.99997802246104484</v>
      </c>
      <c r="C107" s="96"/>
      <c r="D107" s="110">
        <f ca="1">SUM(B107:C107)</f>
        <v>0.99997802246104484</v>
      </c>
      <c r="E107" s="110">
        <f ca="1">+SUMIF(B106:C106,"oui",B107:C107)</f>
        <v>0.99997802246104484</v>
      </c>
      <c r="F107" s="110"/>
      <c r="G107" s="107"/>
      <c r="H107" s="107"/>
      <c r="I107" s="107"/>
      <c r="J107" s="108"/>
    </row>
    <row r="108" spans="1:10" s="115" customFormat="1">
      <c r="A108" s="101" t="s">
        <v>90</v>
      </c>
      <c r="B108" s="102">
        <f ca="1">INDIRECT("'"&amp;B$12&amp;"'!d$31")</f>
        <v>3009</v>
      </c>
      <c r="C108" s="102"/>
      <c r="D108" s="103">
        <f ca="1">SUM(B108:C108)</f>
        <v>3009</v>
      </c>
      <c r="E108" s="103">
        <f ca="1">+SUMIF(B106:C106,"OUI",B114:C114)</f>
        <v>0</v>
      </c>
      <c r="F108" s="103"/>
      <c r="G108" s="104">
        <f ca="1">+SUMIF(B11:C11,"cadre",B108:C108)</f>
        <v>0</v>
      </c>
      <c r="H108" s="104">
        <f ca="1">+SUMIF(B11:C11,"non cadre",D108:D108)</f>
        <v>0</v>
      </c>
      <c r="I108" s="104">
        <f ca="1">+SUMIF(B11:C11,"dirigeant",D108:E108)</f>
        <v>0</v>
      </c>
      <c r="J108" s="105">
        <f ca="1">+SUMIF(B11:C11,"apprenti",E108:F108)</f>
        <v>0</v>
      </c>
    </row>
    <row r="109" spans="1:10" s="115" customFormat="1">
      <c r="A109" s="101" t="s">
        <v>91</v>
      </c>
      <c r="B109" s="106">
        <f ca="1">INDIRECT("'"&amp;B$12&amp;"'!g31")*52/12</f>
        <v>151.66666666666666</v>
      </c>
      <c r="C109" s="106"/>
      <c r="D109" s="103">
        <f ca="1">SUM(B109:C109)</f>
        <v>151.66666666666666</v>
      </c>
      <c r="E109" s="103">
        <f ca="1">+SUMIF(B106:C106,"OUI",B109:C109)</f>
        <v>151.66666666666666</v>
      </c>
      <c r="F109" s="103"/>
      <c r="G109" s="107"/>
      <c r="H109" s="107"/>
      <c r="I109" s="107"/>
      <c r="J109" s="108"/>
    </row>
    <row r="110" spans="1:10" s="115" customFormat="1" hidden="1">
      <c r="A110" s="101" t="s">
        <v>92</v>
      </c>
      <c r="B110" s="109">
        <f ca="1">B109*$B$2*2.5+B101</f>
        <v>10840.375</v>
      </c>
      <c r="C110" s="109"/>
      <c r="D110" s="110"/>
      <c r="E110" s="110"/>
      <c r="F110" s="110"/>
      <c r="G110" s="107"/>
      <c r="H110" s="107"/>
      <c r="I110" s="107"/>
      <c r="J110" s="108"/>
    </row>
    <row r="111" spans="1:10" s="115" customFormat="1">
      <c r="A111" s="111" t="s">
        <v>156</v>
      </c>
      <c r="B111" s="112" t="str">
        <f ca="1">INDIRECT("'"&amp;B$12&amp;"'!v$25")</f>
        <v/>
      </c>
      <c r="C111" s="112"/>
      <c r="D111" s="103"/>
      <c r="E111" s="103"/>
      <c r="F111" s="103">
        <f ca="1">+SUM(B111:C111)</f>
        <v>0</v>
      </c>
      <c r="G111" s="113"/>
      <c r="H111" s="113"/>
      <c r="I111" s="113"/>
      <c r="J111" s="114"/>
    </row>
    <row r="112" spans="1:10" s="115" customFormat="1">
      <c r="A112" s="116" t="s">
        <v>155</v>
      </c>
      <c r="B112" s="117">
        <f ca="1">INDIRECT("'"&amp;B$12&amp;"'!w$31")</f>
        <v>325.5599000000002</v>
      </c>
      <c r="C112" s="117"/>
      <c r="D112" s="118"/>
      <c r="E112" s="118"/>
      <c r="F112" s="103">
        <f ca="1">+SUM(B112:C112)</f>
        <v>325.5599000000002</v>
      </c>
      <c r="G112" s="119"/>
      <c r="H112" s="119"/>
      <c r="I112" s="119"/>
      <c r="J112" s="120"/>
    </row>
    <row r="113" spans="1:10" s="115" customFormat="1">
      <c r="A113" s="121"/>
      <c r="B113" s="109"/>
      <c r="C113" s="109"/>
      <c r="D113" s="110"/>
      <c r="E113" s="110"/>
      <c r="F113" s="110"/>
      <c r="G113" s="113"/>
      <c r="H113" s="113"/>
      <c r="I113" s="113"/>
      <c r="J113" s="113"/>
    </row>
    <row r="114" spans="1:10" s="115" customFormat="1">
      <c r="A114" s="123" t="s">
        <v>172</v>
      </c>
      <c r="B114" s="124"/>
      <c r="C114" s="124"/>
      <c r="D114" s="125"/>
      <c r="E114" s="125"/>
      <c r="F114" s="125"/>
      <c r="G114" s="126"/>
      <c r="H114" s="126"/>
      <c r="I114" s="126"/>
      <c r="J114" s="127"/>
    </row>
    <row r="115" spans="1:10" s="115" customFormat="1">
      <c r="A115" s="128" t="s">
        <v>89</v>
      </c>
      <c r="B115" s="109">
        <f ca="1">+(B107+B98+B90)/3</f>
        <v>0.99997802246104472</v>
      </c>
      <c r="C115" s="109"/>
      <c r="D115" s="110">
        <f ca="1">SUM(B115:C115)</f>
        <v>0.99997802246104472</v>
      </c>
      <c r="E115" s="110"/>
      <c r="F115" s="110"/>
      <c r="G115" s="113"/>
      <c r="H115" s="113"/>
      <c r="I115" s="113"/>
      <c r="J115" s="114"/>
    </row>
    <row r="116" spans="1:10">
      <c r="A116" s="129" t="s">
        <v>90</v>
      </c>
      <c r="B116" s="130">
        <f ca="1">+(B108+B99+B91)</f>
        <v>5024</v>
      </c>
      <c r="C116" s="130"/>
      <c r="D116" s="103">
        <f ca="1">SUM(B116:C116)</f>
        <v>5024</v>
      </c>
      <c r="E116" s="103">
        <f ca="1">+E108</f>
        <v>0</v>
      </c>
      <c r="F116" s="103"/>
      <c r="G116" s="131">
        <f ca="1">+G108+G99+G91</f>
        <v>0</v>
      </c>
      <c r="H116" s="131">
        <f t="shared" ref="H116:J116" ca="1" si="7">+H108+H99+H91</f>
        <v>0</v>
      </c>
      <c r="I116" s="131">
        <f t="shared" ca="1" si="7"/>
        <v>0</v>
      </c>
      <c r="J116" s="131">
        <f t="shared" ca="1" si="7"/>
        <v>2015</v>
      </c>
    </row>
    <row r="117" spans="1:10" s="100" customFormat="1">
      <c r="A117" s="129" t="s">
        <v>91</v>
      </c>
      <c r="B117" s="130">
        <f ca="1">+(B109+B100+B92)</f>
        <v>455</v>
      </c>
      <c r="C117" s="130"/>
      <c r="D117" s="103">
        <f ca="1">SUM(B117:C117)</f>
        <v>455</v>
      </c>
      <c r="E117" s="103">
        <f ca="1">+E109</f>
        <v>151.66666666666666</v>
      </c>
      <c r="F117" s="103"/>
      <c r="G117" s="113"/>
      <c r="H117" s="113"/>
      <c r="I117" s="113"/>
      <c r="J117" s="114"/>
    </row>
    <row r="118" spans="1:10">
      <c r="A118" s="121" t="s">
        <v>156</v>
      </c>
      <c r="B118" s="144" t="str">
        <f ca="1">+IF(ISERROR(B111+B102+B94),"",(B111+B102+B94))</f>
        <v/>
      </c>
      <c r="C118" s="144"/>
      <c r="D118" s="103"/>
      <c r="E118" s="103"/>
      <c r="F118" s="103">
        <f ca="1">+F111+F102+F94</f>
        <v>1222.1945000000001</v>
      </c>
      <c r="G118" s="113"/>
      <c r="H118" s="113"/>
      <c r="I118" s="113"/>
      <c r="J118" s="114"/>
    </row>
    <row r="119" spans="1:10">
      <c r="A119" s="121" t="s">
        <v>155</v>
      </c>
      <c r="B119" s="144" t="str">
        <f ca="1">+IF(ISERROR(B112+B103+B95),"",(B112+B103+B95))</f>
        <v/>
      </c>
      <c r="C119" s="144"/>
      <c r="D119" s="103"/>
      <c r="E119" s="103"/>
      <c r="F119" s="103">
        <f ca="1">+F112+F103+F95</f>
        <v>325.5599000000002</v>
      </c>
      <c r="G119" s="113"/>
      <c r="H119" s="113"/>
      <c r="I119" s="113"/>
      <c r="J119" s="114"/>
    </row>
    <row r="120" spans="1:10" ht="15.75" thickBot="1">
      <c r="A120" s="132"/>
      <c r="B120" s="133"/>
      <c r="C120" s="133"/>
      <c r="D120" s="134"/>
      <c r="E120" s="134"/>
      <c r="F120" s="134"/>
      <c r="G120" s="135"/>
      <c r="H120" s="135"/>
      <c r="I120" s="135"/>
      <c r="J120" s="136"/>
    </row>
    <row r="121" spans="1:10" s="115" customFormat="1" ht="15.75" thickTop="1">
      <c r="A121" s="121"/>
      <c r="B121" s="109"/>
      <c r="C121" s="109"/>
      <c r="D121" s="110"/>
      <c r="E121" s="110"/>
      <c r="F121" s="110"/>
      <c r="G121" s="113"/>
      <c r="H121" s="113"/>
      <c r="I121" s="113"/>
      <c r="J121" s="113"/>
    </row>
    <row r="122" spans="1:10" s="115" customFormat="1">
      <c r="A122" s="137"/>
      <c r="B122" s="109"/>
      <c r="C122" s="109"/>
      <c r="D122" s="110"/>
      <c r="E122" s="110"/>
      <c r="F122" s="110"/>
      <c r="G122" s="107"/>
      <c r="H122" s="107"/>
      <c r="I122" s="107"/>
      <c r="J122" s="107"/>
    </row>
    <row r="123" spans="1:10" s="115" customFormat="1">
      <c r="A123" s="128"/>
      <c r="B123" s="96"/>
      <c r="C123" s="96"/>
      <c r="D123" s="110"/>
      <c r="E123" s="110"/>
      <c r="F123" s="110"/>
      <c r="G123" s="98"/>
      <c r="H123" s="98"/>
      <c r="I123" s="98"/>
      <c r="J123" s="98"/>
    </row>
    <row r="124" spans="1:10" s="115" customFormat="1">
      <c r="A124" s="129"/>
      <c r="B124" s="109"/>
      <c r="C124" s="109"/>
      <c r="D124" s="110"/>
      <c r="E124" s="110"/>
      <c r="F124" s="110"/>
      <c r="G124" s="107"/>
      <c r="H124" s="107"/>
      <c r="I124" s="107"/>
      <c r="J124" s="107"/>
    </row>
    <row r="125" spans="1:10" s="115" customFormat="1">
      <c r="A125" s="129"/>
      <c r="B125" s="109"/>
      <c r="C125" s="109"/>
      <c r="D125" s="110"/>
      <c r="E125" s="110"/>
      <c r="F125" s="110"/>
      <c r="G125" s="107"/>
      <c r="H125" s="107"/>
      <c r="I125" s="107"/>
      <c r="J125" s="107"/>
    </row>
    <row r="126" spans="1:10">
      <c r="A126" s="90" t="s">
        <v>45</v>
      </c>
      <c r="B126" s="91" t="str">
        <f t="shared" ref="B126" ca="1" si="8">IF(B128&lt;B130,"Oui","Non")</f>
        <v>Oui</v>
      </c>
      <c r="C126" s="91"/>
      <c r="D126" s="92"/>
      <c r="E126" s="92"/>
      <c r="F126" s="92"/>
      <c r="G126" s="93"/>
      <c r="H126" s="93"/>
      <c r="I126" s="93"/>
      <c r="J126" s="94"/>
    </row>
    <row r="127" spans="1:10" s="100" customFormat="1">
      <c r="A127" s="95" t="s">
        <v>89</v>
      </c>
      <c r="B127" s="96">
        <f ca="1">+IF(B129&gt;151.67,1,B129/151.67)</f>
        <v>0.99997802246104484</v>
      </c>
      <c r="C127" s="96"/>
      <c r="D127" s="97">
        <f ca="1">+SUM(B127:C127)</f>
        <v>0.99997802246104484</v>
      </c>
      <c r="E127" s="97">
        <f ca="1">+SUMIF(B126:C126,"oui",B127:C127)</f>
        <v>0.99997802246104484</v>
      </c>
      <c r="F127" s="97"/>
      <c r="G127" s="98"/>
      <c r="H127" s="98"/>
      <c r="I127" s="98"/>
      <c r="J127" s="99"/>
    </row>
    <row r="128" spans="1:10">
      <c r="A128" s="101" t="s">
        <v>90</v>
      </c>
      <c r="B128" s="102">
        <f ca="1">INDIRECT("'"&amp;B$12&amp;"'!d$32")</f>
        <v>1010</v>
      </c>
      <c r="C128" s="102"/>
      <c r="D128" s="103">
        <f ca="1">SUM(B128:C128)</f>
        <v>1010</v>
      </c>
      <c r="E128" s="103">
        <f ca="1">+SUMIF(B126:C126,"OUI",B128:C128)</f>
        <v>1010</v>
      </c>
      <c r="F128" s="103"/>
      <c r="G128" s="104">
        <f ca="1">+SUMIF(B11:C11,"cadre",B128:C128)</f>
        <v>0</v>
      </c>
      <c r="H128" s="104">
        <f ca="1">+SUMIF(B11:C11,"non cadre",B128:C128)</f>
        <v>0</v>
      </c>
      <c r="I128" s="104">
        <f ca="1">+SUMIF(B11:C11,"dirigeant",B128:C128)</f>
        <v>0</v>
      </c>
      <c r="J128" s="105">
        <f ca="1">+SUMIF(B11:C11,"apprenti",B128:C128)</f>
        <v>1010</v>
      </c>
    </row>
    <row r="129" spans="1:10">
      <c r="A129" s="101" t="s">
        <v>91</v>
      </c>
      <c r="B129" s="106">
        <f ca="1">INDIRECT("'"&amp;B$12&amp;"'!g32")*52/12</f>
        <v>151.66666666666666</v>
      </c>
      <c r="C129" s="106"/>
      <c r="D129" s="103">
        <f ca="1">+SUM(B129:C129)</f>
        <v>151.66666666666666</v>
      </c>
      <c r="E129" s="103">
        <f ca="1">+SUMIF(B126:C126,"OUI",B129:C129)</f>
        <v>151.66666666666666</v>
      </c>
      <c r="F129" s="103"/>
      <c r="G129" s="107"/>
      <c r="H129" s="107"/>
      <c r="I129" s="107"/>
      <c r="J129" s="108"/>
    </row>
    <row r="130" spans="1:10" hidden="1">
      <c r="A130" s="101" t="s">
        <v>92</v>
      </c>
      <c r="B130" s="109">
        <f ca="1">B129*$B$2*2.5</f>
        <v>3613.458333333333</v>
      </c>
      <c r="C130" s="109"/>
      <c r="D130" s="110"/>
      <c r="E130" s="110"/>
      <c r="F130" s="110"/>
      <c r="G130" s="107"/>
      <c r="H130" s="107"/>
      <c r="I130" s="107"/>
      <c r="J130" s="108"/>
    </row>
    <row r="131" spans="1:10" s="115" customFormat="1">
      <c r="A131" s="111" t="s">
        <v>156</v>
      </c>
      <c r="B131" s="112">
        <f ca="1">INDIRECT("'"&amp;B$12&amp;"'!v$32")</f>
        <v>609.63199999999961</v>
      </c>
      <c r="C131" s="112"/>
      <c r="D131" s="103"/>
      <c r="E131" s="103"/>
      <c r="F131" s="103">
        <f ca="1">+SUM(B131:C131)</f>
        <v>609.63199999999961</v>
      </c>
      <c r="G131" s="113"/>
      <c r="H131" s="113"/>
      <c r="I131" s="113"/>
      <c r="J131" s="114"/>
    </row>
    <row r="132" spans="1:10" s="115" customFormat="1">
      <c r="A132" s="116" t="s">
        <v>155</v>
      </c>
      <c r="B132" s="117" t="str">
        <f ca="1">INDIRECT("'"&amp;B$12&amp;"'!w$32")</f>
        <v/>
      </c>
      <c r="C132" s="117"/>
      <c r="D132" s="118"/>
      <c r="E132" s="118"/>
      <c r="F132" s="103">
        <f ca="1">+SUM(B132:C132)</f>
        <v>0</v>
      </c>
      <c r="G132" s="119"/>
      <c r="H132" s="119"/>
      <c r="I132" s="119"/>
      <c r="J132" s="120"/>
    </row>
    <row r="133" spans="1:10" s="115" customFormat="1">
      <c r="A133" s="121"/>
      <c r="B133" s="109"/>
      <c r="C133" s="109"/>
      <c r="D133" s="110"/>
      <c r="E133" s="110"/>
      <c r="F133" s="110"/>
      <c r="G133" s="113"/>
      <c r="H133" s="113"/>
      <c r="I133" s="113"/>
      <c r="J133" s="113"/>
    </row>
    <row r="134" spans="1:10" s="115" customFormat="1">
      <c r="A134" s="90" t="s">
        <v>46</v>
      </c>
      <c r="B134" s="91" t="str">
        <f t="shared" ref="B134" ca="1" si="9">IF((B136+B128)&lt;(B138),"Oui","Non")</f>
        <v>Oui</v>
      </c>
      <c r="C134" s="91"/>
      <c r="D134" s="122"/>
      <c r="E134" s="122"/>
      <c r="F134" s="122"/>
      <c r="G134" s="93"/>
      <c r="H134" s="93"/>
      <c r="I134" s="93"/>
      <c r="J134" s="94"/>
    </row>
    <row r="135" spans="1:10" s="115" customFormat="1">
      <c r="A135" s="95" t="s">
        <v>89</v>
      </c>
      <c r="B135" s="96">
        <f ca="1">+IF(B137&gt;151.67,1,B137/151.67)</f>
        <v>0.99997802246104484</v>
      </c>
      <c r="C135" s="96"/>
      <c r="D135" s="110">
        <f ca="1">SUM(B135:C135)</f>
        <v>0.99997802246104484</v>
      </c>
      <c r="E135" s="110">
        <f ca="1">+SUMIF(B134:C134,"oui",B135:C135)</f>
        <v>0.99997802246104484</v>
      </c>
      <c r="F135" s="110"/>
      <c r="G135" s="98"/>
      <c r="H135" s="98"/>
      <c r="I135" s="98"/>
      <c r="J135" s="99"/>
    </row>
    <row r="136" spans="1:10">
      <c r="A136" s="101" t="s">
        <v>90</v>
      </c>
      <c r="B136" s="102">
        <f ca="1">INDIRECT("'"&amp;B$12&amp;"'!d$33")</f>
        <v>1011</v>
      </c>
      <c r="C136" s="102"/>
      <c r="D136" s="103">
        <f ca="1">SUM(B136:C136)</f>
        <v>1011</v>
      </c>
      <c r="E136" s="103">
        <f ca="1">+SUMIF(B134:C134,"OUI",B136:C136)</f>
        <v>1011</v>
      </c>
      <c r="F136" s="103"/>
      <c r="G136" s="104">
        <f ca="1">+SUMIF(B11:C11,"cadre",B136:C136)</f>
        <v>0</v>
      </c>
      <c r="H136" s="104">
        <f ca="1">+SUMIF(B11:C11,"non cadre",D136:D136)</f>
        <v>0</v>
      </c>
      <c r="I136" s="104">
        <f ca="1">+SUMIF(B11:C11,"dirigeant",D136:E136)</f>
        <v>0</v>
      </c>
      <c r="J136" s="104">
        <f ca="1">+SUMIF(B11:C114,"apprenti",E136:F136)</f>
        <v>1011</v>
      </c>
    </row>
    <row r="137" spans="1:10">
      <c r="A137" s="101" t="s">
        <v>91</v>
      </c>
      <c r="B137" s="106">
        <f ca="1">INDIRECT("'"&amp;B$12&amp;"'!g33")*52/12</f>
        <v>151.66666666666666</v>
      </c>
      <c r="C137" s="106"/>
      <c r="D137" s="103">
        <f ca="1">SUM(B137:C137)</f>
        <v>151.66666666666666</v>
      </c>
      <c r="E137" s="103">
        <f ca="1">+SUMIF(B134:C134,"OUI",B137:C137)</f>
        <v>151.66666666666666</v>
      </c>
      <c r="F137" s="103"/>
      <c r="G137" s="107"/>
      <c r="H137" s="107"/>
      <c r="I137" s="107"/>
      <c r="J137" s="108"/>
    </row>
    <row r="138" spans="1:10" hidden="1">
      <c r="A138" s="101" t="s">
        <v>92</v>
      </c>
      <c r="B138" s="109">
        <f ca="1">B137*$B$2*2.5+B130</f>
        <v>7226.9166666666661</v>
      </c>
      <c r="C138" s="109"/>
      <c r="D138" s="110"/>
      <c r="E138" s="110"/>
      <c r="F138" s="110"/>
      <c r="G138" s="107"/>
      <c r="H138" s="107"/>
      <c r="I138" s="107"/>
      <c r="J138" s="108"/>
    </row>
    <row r="139" spans="1:10">
      <c r="A139" s="111" t="s">
        <v>156</v>
      </c>
      <c r="B139" s="112">
        <f ca="1">INDIRECT("'"&amp;B$12&amp;"'!v$33")</f>
        <v>609.36850000000004</v>
      </c>
      <c r="C139" s="112"/>
      <c r="D139" s="103"/>
      <c r="E139" s="103"/>
      <c r="F139" s="103">
        <f ca="1">+SUM(B139:C139)</f>
        <v>609.36850000000004</v>
      </c>
      <c r="G139" s="113"/>
      <c r="H139" s="113"/>
      <c r="I139" s="113"/>
      <c r="J139" s="114"/>
    </row>
    <row r="140" spans="1:10">
      <c r="A140" s="116" t="s">
        <v>155</v>
      </c>
      <c r="B140" s="117" t="str">
        <f ca="1">INDIRECT("'"&amp;B$12&amp;"'!w$33")</f>
        <v/>
      </c>
      <c r="C140" s="117"/>
      <c r="D140" s="118"/>
      <c r="E140" s="118"/>
      <c r="F140" s="103">
        <f ca="1">+SUM(B140:C140)</f>
        <v>0</v>
      </c>
      <c r="G140" s="119"/>
      <c r="H140" s="119"/>
      <c r="I140" s="119"/>
      <c r="J140" s="120"/>
    </row>
    <row r="141" spans="1:10" s="115" customFormat="1">
      <c r="A141" s="121"/>
      <c r="B141" s="109"/>
      <c r="C141" s="109"/>
      <c r="D141" s="110"/>
      <c r="E141" s="110"/>
      <c r="F141" s="110"/>
      <c r="G141" s="113"/>
      <c r="H141" s="113"/>
      <c r="I141" s="113"/>
      <c r="J141" s="113"/>
    </row>
    <row r="142" spans="1:10" s="115" customFormat="1">
      <c r="A142" s="121"/>
      <c r="B142" s="109"/>
      <c r="C142" s="109"/>
      <c r="D142" s="110"/>
      <c r="E142" s="110"/>
      <c r="F142" s="110"/>
      <c r="G142" s="113"/>
      <c r="H142" s="113"/>
      <c r="I142" s="113"/>
      <c r="J142" s="113"/>
    </row>
    <row r="143" spans="1:10" s="115" customFormat="1">
      <c r="A143" s="90" t="s">
        <v>173</v>
      </c>
      <c r="B143" s="91" t="str">
        <f ca="1">IF((B136+B128+B145)&lt;B147,"Oui","Non")</f>
        <v>Oui</v>
      </c>
      <c r="C143" s="91"/>
      <c r="D143" s="122">
        <f ca="1">SUM(B143:C143)</f>
        <v>0</v>
      </c>
      <c r="E143" s="122"/>
      <c r="F143" s="122"/>
      <c r="G143" s="93"/>
      <c r="H143" s="93"/>
      <c r="I143" s="93"/>
      <c r="J143" s="94"/>
    </row>
    <row r="144" spans="1:10" s="115" customFormat="1">
      <c r="A144" s="95" t="s">
        <v>89</v>
      </c>
      <c r="B144" s="96">
        <f ca="1">+IF(B146&gt;151.67,1,B146/151.67)</f>
        <v>0.99997802246104484</v>
      </c>
      <c r="C144" s="96"/>
      <c r="D144" s="110">
        <f ca="1">SUM(B144:C144)</f>
        <v>0.99997802246104484</v>
      </c>
      <c r="E144" s="110">
        <f ca="1">+SUMIF(B143:C143,"oui",B144:C144)</f>
        <v>0.99997802246104484</v>
      </c>
      <c r="F144" s="110"/>
      <c r="G144" s="107"/>
      <c r="H144" s="107"/>
      <c r="I144" s="107"/>
      <c r="J144" s="108"/>
    </row>
    <row r="145" spans="1:10" s="115" customFormat="1">
      <c r="A145" s="101" t="s">
        <v>90</v>
      </c>
      <c r="B145" s="102">
        <f ca="1">INDIRECT("'"&amp;B$12&amp;"'!d$34")</f>
        <v>3012</v>
      </c>
      <c r="C145" s="102"/>
      <c r="D145" s="103">
        <f ca="1">SUM(B145:C145)</f>
        <v>3012</v>
      </c>
      <c r="E145" s="103">
        <f ca="1">+SUMIF(B143:C143,"OUI",B151:C151)</f>
        <v>0</v>
      </c>
      <c r="F145" s="103"/>
      <c r="G145" s="104">
        <f ca="1">+SUMIF(B11:C11,"cadre",B145:C145)</f>
        <v>0</v>
      </c>
      <c r="H145" s="104">
        <f ca="1">+SUMIF(B11:C11,"non cadre",D145:D145)</f>
        <v>0</v>
      </c>
      <c r="I145" s="104">
        <f ca="1">+SUMIF(B11:C11,"dirigeant",D145:E145)</f>
        <v>0</v>
      </c>
      <c r="J145" s="105">
        <f ca="1">+SUMIF(B11:C11,"apprenti",E145:F145)</f>
        <v>0</v>
      </c>
    </row>
    <row r="146" spans="1:10" s="115" customFormat="1">
      <c r="A146" s="101" t="s">
        <v>91</v>
      </c>
      <c r="B146" s="106">
        <f ca="1">INDIRECT("'"&amp;B$12&amp;"'!g34")*52/12</f>
        <v>151.66666666666666</v>
      </c>
      <c r="C146" s="106"/>
      <c r="D146" s="103">
        <f ca="1">SUM(B146:C146)</f>
        <v>151.66666666666666</v>
      </c>
      <c r="E146" s="103">
        <f ca="1">+SUMIF(B143:C143,"OUI",B146:C146)</f>
        <v>151.66666666666666</v>
      </c>
      <c r="F146" s="103"/>
      <c r="G146" s="107"/>
      <c r="H146" s="107"/>
      <c r="I146" s="107"/>
      <c r="J146" s="108"/>
    </row>
    <row r="147" spans="1:10" s="115" customFormat="1" hidden="1">
      <c r="A147" s="101" t="s">
        <v>92</v>
      </c>
      <c r="B147" s="109">
        <f ca="1">B146*$B$2*2.5+B138</f>
        <v>10840.375</v>
      </c>
      <c r="C147" s="109"/>
      <c r="D147" s="110"/>
      <c r="E147" s="110"/>
      <c r="F147" s="110"/>
      <c r="G147" s="107"/>
      <c r="H147" s="107"/>
      <c r="I147" s="107"/>
      <c r="J147" s="108"/>
    </row>
    <row r="148" spans="1:10">
      <c r="A148" s="111" t="s">
        <v>156</v>
      </c>
      <c r="B148" s="112" t="str">
        <f ca="1">INDIRECT("'"&amp;B$12&amp;"'!v$34")</f>
        <v/>
      </c>
      <c r="C148" s="112"/>
      <c r="D148" s="103"/>
      <c r="E148" s="103"/>
      <c r="F148" s="103">
        <f ca="1">+SUM(B148:C148)</f>
        <v>0</v>
      </c>
      <c r="G148" s="113"/>
      <c r="H148" s="113"/>
      <c r="I148" s="113"/>
      <c r="J148" s="114"/>
    </row>
    <row r="149" spans="1:10">
      <c r="A149" s="116" t="s">
        <v>155</v>
      </c>
      <c r="B149" s="117">
        <f ca="1">INDIRECT("'"&amp;B$12&amp;"'!w$34")</f>
        <v>326.58799999999974</v>
      </c>
      <c r="C149" s="117"/>
      <c r="D149" s="118"/>
      <c r="E149" s="118"/>
      <c r="F149" s="103">
        <f ca="1">+SUM(B149:C149)</f>
        <v>326.58799999999974</v>
      </c>
      <c r="G149" s="119"/>
      <c r="H149" s="119"/>
      <c r="I149" s="119"/>
      <c r="J149" s="120"/>
    </row>
    <row r="150" spans="1:10">
      <c r="A150" s="121"/>
      <c r="B150" s="109"/>
      <c r="C150" s="109"/>
      <c r="D150" s="110"/>
      <c r="E150" s="110"/>
      <c r="F150" s="110"/>
      <c r="G150" s="113"/>
      <c r="H150" s="113"/>
      <c r="I150" s="113"/>
      <c r="J150" s="113"/>
    </row>
    <row r="151" spans="1:10">
      <c r="A151" s="123" t="s">
        <v>174</v>
      </c>
      <c r="B151" s="124"/>
      <c r="C151" s="124"/>
      <c r="D151" s="125"/>
      <c r="E151" s="125"/>
      <c r="F151" s="125"/>
      <c r="G151" s="126"/>
      <c r="H151" s="126"/>
      <c r="I151" s="126"/>
      <c r="J151" s="127"/>
    </row>
    <row r="152" spans="1:10">
      <c r="A152" s="128" t="s">
        <v>89</v>
      </c>
      <c r="B152" s="109">
        <f ca="1">+(B144+B135+B127)/3</f>
        <v>0.99997802246104472</v>
      </c>
      <c r="C152" s="109"/>
      <c r="D152" s="110">
        <f ca="1">SUM(B152:C152)</f>
        <v>0.99997802246104472</v>
      </c>
      <c r="E152" s="110"/>
      <c r="F152" s="110"/>
      <c r="G152" s="113"/>
      <c r="H152" s="113"/>
      <c r="I152" s="113"/>
      <c r="J152" s="114"/>
    </row>
    <row r="153" spans="1:10">
      <c r="A153" s="129" t="s">
        <v>90</v>
      </c>
      <c r="B153" s="130">
        <f ca="1">+(B145+B136+B128)</f>
        <v>5033</v>
      </c>
      <c r="C153" s="130"/>
      <c r="D153" s="103">
        <f ca="1">SUM(B153:C153)</f>
        <v>5033</v>
      </c>
      <c r="E153" s="103">
        <f ca="1">+E145</f>
        <v>0</v>
      </c>
      <c r="F153" s="103"/>
      <c r="G153" s="131">
        <f ca="1">+G145+G136+G128</f>
        <v>0</v>
      </c>
      <c r="H153" s="131">
        <f t="shared" ref="H153:J153" ca="1" si="10">+H145+H136+H128</f>
        <v>0</v>
      </c>
      <c r="I153" s="131">
        <f t="shared" ca="1" si="10"/>
        <v>0</v>
      </c>
      <c r="J153" s="131">
        <f t="shared" ca="1" si="10"/>
        <v>2021</v>
      </c>
    </row>
    <row r="154" spans="1:10">
      <c r="A154" s="129" t="s">
        <v>91</v>
      </c>
      <c r="B154" s="130">
        <f ca="1">+(B146+B137+B129)</f>
        <v>455</v>
      </c>
      <c r="C154" s="130"/>
      <c r="D154" s="103">
        <f ca="1">SUM(B154:C154)</f>
        <v>455</v>
      </c>
      <c r="E154" s="103">
        <f ca="1">+E146</f>
        <v>151.66666666666666</v>
      </c>
      <c r="F154" s="103"/>
      <c r="G154" s="113"/>
      <c r="H154" s="113"/>
      <c r="I154" s="113"/>
      <c r="J154" s="114"/>
    </row>
    <row r="155" spans="1:10">
      <c r="A155" s="121" t="s">
        <v>156</v>
      </c>
      <c r="B155" s="144" t="str">
        <f ca="1">+IF(ISERROR(B148+B139+B131),"",(B148+B139+B131))</f>
        <v/>
      </c>
      <c r="C155" s="144"/>
      <c r="D155" s="103"/>
      <c r="E155" s="103"/>
      <c r="F155" s="103">
        <f ca="1">+F148+F139+F131</f>
        <v>1219.0004999999996</v>
      </c>
      <c r="G155" s="113"/>
      <c r="H155" s="113"/>
      <c r="I155" s="113"/>
      <c r="J155" s="114"/>
    </row>
    <row r="156" spans="1:10">
      <c r="A156" s="121" t="s">
        <v>155</v>
      </c>
      <c r="B156" s="144" t="str">
        <f ca="1">+IF(ISERROR(B149+B140+B132),"",(B149+B140+B132))</f>
        <v/>
      </c>
      <c r="C156" s="144"/>
      <c r="D156" s="103"/>
      <c r="E156" s="103"/>
      <c r="F156" s="103">
        <f ca="1">+F149+F140+F132</f>
        <v>326.58799999999974</v>
      </c>
      <c r="G156" s="113"/>
      <c r="H156" s="113"/>
      <c r="I156" s="113"/>
      <c r="J156" s="114"/>
    </row>
    <row r="157" spans="1:10" ht="15.75" thickBot="1">
      <c r="A157" s="132"/>
      <c r="B157" s="133"/>
      <c r="C157" s="133"/>
      <c r="D157" s="134"/>
      <c r="E157" s="134"/>
      <c r="F157" s="134"/>
      <c r="G157" s="135"/>
      <c r="H157" s="135"/>
      <c r="I157" s="135"/>
      <c r="J157" s="136"/>
    </row>
    <row r="158" spans="1:10" ht="15.75" thickTop="1">
      <c r="A158" s="129"/>
      <c r="B158" s="109"/>
      <c r="C158" s="109"/>
      <c r="D158" s="110"/>
      <c r="E158" s="110"/>
      <c r="F158" s="110"/>
      <c r="G158" s="107"/>
      <c r="H158" s="107"/>
      <c r="I158" s="107"/>
      <c r="J158" s="107"/>
    </row>
    <row r="159" spans="1:10">
      <c r="A159" s="121"/>
      <c r="B159" s="109"/>
      <c r="C159" s="109"/>
      <c r="D159" s="110"/>
      <c r="E159" s="110"/>
      <c r="F159" s="110"/>
      <c r="G159" s="113"/>
      <c r="H159" s="113"/>
      <c r="I159" s="113"/>
      <c r="J159" s="113"/>
    </row>
    <row r="160" spans="1:10">
      <c r="A160" s="121"/>
      <c r="B160" s="109"/>
      <c r="C160" s="109"/>
      <c r="D160" s="110"/>
      <c r="E160" s="110"/>
      <c r="F160" s="110"/>
      <c r="G160" s="113"/>
      <c r="H160" s="113"/>
      <c r="I160" s="113"/>
      <c r="J160" s="113"/>
    </row>
    <row r="161" spans="1:10">
      <c r="A161" s="121"/>
      <c r="B161" s="109"/>
      <c r="C161" s="109"/>
      <c r="D161" s="110"/>
      <c r="E161" s="110"/>
      <c r="F161" s="110"/>
      <c r="G161" s="113"/>
      <c r="H161" s="113"/>
      <c r="I161" s="113"/>
      <c r="J161" s="113"/>
    </row>
    <row r="162" spans="1:10">
      <c r="A162" s="123" t="s">
        <v>175</v>
      </c>
      <c r="B162" s="124"/>
      <c r="C162" s="124"/>
      <c r="D162" s="125"/>
      <c r="E162" s="125"/>
      <c r="F162" s="125"/>
      <c r="G162" s="126"/>
      <c r="H162" s="126"/>
      <c r="I162" s="126"/>
      <c r="J162" s="127"/>
    </row>
    <row r="163" spans="1:10">
      <c r="A163" s="128" t="s">
        <v>89</v>
      </c>
      <c r="B163" s="109">
        <f ca="1">+(B152+B115+B78+B41)/4</f>
        <v>0.99997802246104472</v>
      </c>
      <c r="C163" s="109"/>
      <c r="D163" s="109">
        <f ca="1">+(D152+D115+D78+D41)/4</f>
        <v>0.99997802246104472</v>
      </c>
      <c r="E163" s="110"/>
      <c r="F163" s="110"/>
      <c r="G163" s="113"/>
      <c r="H163" s="113"/>
      <c r="I163" s="113"/>
      <c r="J163" s="114"/>
    </row>
    <row r="164" spans="1:10">
      <c r="A164" s="129" t="s">
        <v>90</v>
      </c>
      <c r="B164" s="130">
        <f ca="1">+B153+B116+B79+B42</f>
        <v>21079</v>
      </c>
      <c r="C164" s="130"/>
      <c r="D164" s="103">
        <f ca="1">SUM(B164:C164)</f>
        <v>21079</v>
      </c>
      <c r="E164" s="103">
        <f>+E156</f>
        <v>0</v>
      </c>
      <c r="F164" s="103"/>
      <c r="G164" s="131">
        <f ca="1">+G153+G116+G79+G42</f>
        <v>0</v>
      </c>
      <c r="H164" s="131">
        <f t="shared" ref="H164:J164" ca="1" si="11">+H153+H116+H79+H42</f>
        <v>0</v>
      </c>
      <c r="I164" s="131">
        <f t="shared" ca="1" si="11"/>
        <v>0</v>
      </c>
      <c r="J164" s="131">
        <f t="shared" ca="1" si="11"/>
        <v>12052</v>
      </c>
    </row>
    <row r="165" spans="1:10">
      <c r="A165" s="129" t="s">
        <v>91</v>
      </c>
      <c r="B165" s="130">
        <f t="shared" ref="B165" ca="1" si="12">+B154+B117+B80+B43</f>
        <v>1820</v>
      </c>
      <c r="C165" s="130"/>
      <c r="D165" s="103">
        <f ca="1">SUM(B165:C165)</f>
        <v>1820</v>
      </c>
      <c r="E165" s="103">
        <f>+E157</f>
        <v>0</v>
      </c>
      <c r="F165" s="103"/>
      <c r="G165" s="113"/>
      <c r="H165" s="113"/>
      <c r="I165" s="113"/>
      <c r="J165" s="114"/>
    </row>
    <row r="166" spans="1:10">
      <c r="A166" s="121" t="s">
        <v>156</v>
      </c>
      <c r="B166" s="112" t="str">
        <f ca="1">IF(ISERROR(B155+B118+B81+B44),"",(B155+B118+B81+B44))</f>
        <v/>
      </c>
      <c r="C166" s="112"/>
      <c r="D166" s="103"/>
      <c r="E166" s="103"/>
      <c r="F166" s="103">
        <f ca="1">+IF(ISERROR(F155+F118+F81+F44),"",F155+F118+F81+F44)</f>
        <v>4229.6466</v>
      </c>
      <c r="G166" s="113"/>
      <c r="H166" s="113"/>
      <c r="I166" s="113"/>
      <c r="J166" s="114"/>
    </row>
    <row r="167" spans="1:10">
      <c r="A167" s="121" t="s">
        <v>155</v>
      </c>
      <c r="B167" s="112" t="str">
        <f ca="1">IF(ISERROR(B156+B119+B82+B45),"",(B156+B119+B82+B45))</f>
        <v/>
      </c>
      <c r="C167" s="112"/>
      <c r="D167" s="103"/>
      <c r="E167" s="103"/>
      <c r="F167" s="103">
        <f ca="1">+IF(ISERROR(F156+F119+F82+F45),"",F156+F119+F82+F45)</f>
        <v>1103.6309000000001</v>
      </c>
      <c r="G167" s="113"/>
      <c r="H167" s="113"/>
      <c r="I167" s="113"/>
      <c r="J167" s="114"/>
    </row>
    <row r="168" spans="1:10" ht="15.75" thickBot="1">
      <c r="A168" s="132"/>
      <c r="B168" s="133"/>
      <c r="C168" s="133"/>
      <c r="D168" s="136"/>
    </row>
    <row r="169" spans="1:10" ht="15.75" thickTop="1">
      <c r="A169" s="121"/>
      <c r="B169" s="109"/>
      <c r="C169" s="109"/>
      <c r="D169" s="113"/>
    </row>
    <row r="170" spans="1:10">
      <c r="A170" s="137"/>
      <c r="B170" s="109"/>
      <c r="C170" s="109"/>
      <c r="D170" s="107"/>
    </row>
    <row r="171" spans="1:10">
      <c r="A171" s="128"/>
      <c r="B171" s="96"/>
      <c r="C171" s="96"/>
      <c r="D171" s="107"/>
    </row>
    <row r="172" spans="1:10">
      <c r="A172" s="129"/>
      <c r="B172" s="109"/>
      <c r="C172" s="109"/>
      <c r="D172" s="107"/>
    </row>
    <row r="173" spans="1:10">
      <c r="A173" s="129"/>
      <c r="B173" s="109"/>
      <c r="C173" s="109"/>
      <c r="D173" s="107"/>
    </row>
    <row r="174" spans="1:10">
      <c r="A174" s="129"/>
      <c r="B174" s="109"/>
      <c r="C174" s="109"/>
      <c r="D174" s="107"/>
    </row>
    <row r="175" spans="1:10">
      <c r="A175" s="121"/>
      <c r="B175" s="109"/>
      <c r="C175" s="109"/>
      <c r="D175" s="113"/>
    </row>
    <row r="176" spans="1:10">
      <c r="A176" s="121"/>
      <c r="B176" s="109"/>
      <c r="C176" s="109"/>
      <c r="D176" s="113"/>
    </row>
    <row r="177" spans="1:4">
      <c r="A177" s="121"/>
      <c r="B177" s="109"/>
      <c r="C177" s="109"/>
      <c r="D177" s="113"/>
    </row>
    <row r="178" spans="1:4">
      <c r="A178" s="121"/>
      <c r="B178" s="109"/>
      <c r="C178" s="109"/>
      <c r="D178" s="113"/>
    </row>
    <row r="179" spans="1:4">
      <c r="A179" s="121"/>
      <c r="B179" s="109"/>
      <c r="C179" s="109"/>
      <c r="D179" s="113"/>
    </row>
    <row r="180" spans="1:4">
      <c r="A180" s="121"/>
      <c r="B180" s="109"/>
      <c r="C180" s="109"/>
      <c r="D180" s="113"/>
    </row>
    <row r="181" spans="1:4">
      <c r="A181" s="121"/>
      <c r="B181" s="109"/>
      <c r="C181" s="109"/>
      <c r="D181" s="113"/>
    </row>
    <row r="182" spans="1:4">
      <c r="A182" s="121"/>
      <c r="B182" s="109"/>
      <c r="C182" s="109"/>
      <c r="D182" s="113"/>
    </row>
    <row r="183" spans="1:4">
      <c r="A183" s="121"/>
      <c r="B183" s="109"/>
      <c r="C183" s="109"/>
      <c r="D183" s="113"/>
    </row>
    <row r="184" spans="1:4">
      <c r="A184" s="121"/>
      <c r="B184" s="109"/>
      <c r="C184" s="109"/>
      <c r="D184" s="113"/>
    </row>
    <row r="185" spans="1:4">
      <c r="A185" s="137"/>
      <c r="B185" s="109"/>
      <c r="C185" s="109"/>
      <c r="D185" s="107"/>
    </row>
    <row r="186" spans="1:4">
      <c r="A186" s="128"/>
      <c r="B186" s="96"/>
      <c r="C186" s="96"/>
      <c r="D186" s="98"/>
    </row>
    <row r="187" spans="1:4">
      <c r="A187" s="129"/>
      <c r="B187" s="109"/>
      <c r="C187" s="109"/>
      <c r="D187" s="107"/>
    </row>
    <row r="188" spans="1:4">
      <c r="A188" s="129"/>
      <c r="B188" s="109"/>
      <c r="C188" s="109"/>
      <c r="D188" s="107"/>
    </row>
    <row r="189" spans="1:4">
      <c r="A189" s="129"/>
      <c r="B189" s="109"/>
      <c r="C189" s="109"/>
      <c r="D189" s="107"/>
    </row>
    <row r="190" spans="1:4">
      <c r="A190" s="121"/>
      <c r="B190" s="109"/>
      <c r="C190" s="109"/>
      <c r="D190" s="113"/>
    </row>
    <row r="191" spans="1:4">
      <c r="A191" s="121"/>
      <c r="B191" s="109"/>
      <c r="C191" s="109"/>
      <c r="D191" s="113"/>
    </row>
    <row r="192" spans="1:4">
      <c r="A192" s="121"/>
      <c r="B192" s="109"/>
      <c r="C192" s="109"/>
      <c r="D192" s="113"/>
    </row>
    <row r="193" spans="1:4">
      <c r="A193" s="121"/>
      <c r="B193" s="109"/>
      <c r="C193" s="109"/>
      <c r="D193" s="113"/>
    </row>
    <row r="194" spans="1:4">
      <c r="A194" s="121"/>
      <c r="B194" s="109"/>
      <c r="C194" s="109"/>
      <c r="D194" s="113"/>
    </row>
    <row r="195" spans="1:4">
      <c r="A195" s="137"/>
      <c r="B195" s="109"/>
      <c r="C195" s="109"/>
      <c r="D195" s="107"/>
    </row>
    <row r="196" spans="1:4">
      <c r="A196" s="128"/>
      <c r="B196" s="96"/>
      <c r="C196" s="96"/>
      <c r="D196" s="98"/>
    </row>
    <row r="197" spans="1:4">
      <c r="A197" s="129"/>
      <c r="B197" s="109"/>
      <c r="C197" s="109"/>
      <c r="D197" s="107"/>
    </row>
    <row r="198" spans="1:4">
      <c r="A198" s="129"/>
      <c r="B198" s="109"/>
      <c r="C198" s="109"/>
      <c r="D198" s="107"/>
    </row>
    <row r="199" spans="1:4">
      <c r="A199" s="129"/>
      <c r="B199" s="109"/>
      <c r="C199" s="109"/>
      <c r="D199" s="107"/>
    </row>
    <row r="200" spans="1:4">
      <c r="A200" s="121"/>
      <c r="B200" s="109"/>
      <c r="C200" s="109"/>
      <c r="D200" s="113"/>
    </row>
    <row r="201" spans="1:4">
      <c r="A201" s="121"/>
      <c r="B201" s="109"/>
      <c r="C201" s="109"/>
      <c r="D201" s="113"/>
    </row>
    <row r="202" spans="1:4">
      <c r="A202" s="121"/>
      <c r="B202" s="109"/>
      <c r="C202" s="109"/>
      <c r="D202" s="113"/>
    </row>
    <row r="203" spans="1:4">
      <c r="A203" s="121"/>
      <c r="B203" s="109"/>
      <c r="C203" s="109"/>
      <c r="D203" s="113"/>
    </row>
    <row r="204" spans="1:4">
      <c r="A204" s="121"/>
      <c r="B204" s="109"/>
      <c r="C204" s="109"/>
      <c r="D204" s="113"/>
    </row>
    <row r="205" spans="1:4">
      <c r="A205" s="137"/>
      <c r="B205" s="109"/>
      <c r="C205" s="109"/>
      <c r="D205" s="107"/>
    </row>
    <row r="206" spans="1:4">
      <c r="A206" s="128"/>
      <c r="B206" s="96"/>
      <c r="C206" s="96"/>
      <c r="D206" s="107"/>
    </row>
    <row r="207" spans="1:4">
      <c r="A207" s="129"/>
      <c r="B207" s="109"/>
      <c r="C207" s="109"/>
      <c r="D207" s="107"/>
    </row>
    <row r="208" spans="1:4">
      <c r="A208" s="129"/>
      <c r="B208" s="109"/>
      <c r="C208" s="109"/>
      <c r="D208" s="107"/>
    </row>
    <row r="209" spans="1:4">
      <c r="A209" s="129"/>
      <c r="B209" s="109"/>
      <c r="C209" s="109"/>
      <c r="D209" s="107"/>
    </row>
    <row r="210" spans="1:4">
      <c r="A210" s="121"/>
      <c r="B210" s="109"/>
      <c r="C210" s="109"/>
      <c r="D210" s="113"/>
    </row>
    <row r="211" spans="1:4">
      <c r="A211" s="121"/>
      <c r="B211" s="109"/>
      <c r="C211" s="109"/>
      <c r="D211" s="113"/>
    </row>
    <row r="212" spans="1:4">
      <c r="A212" s="121"/>
      <c r="B212" s="109"/>
      <c r="C212" s="109"/>
      <c r="D212" s="113"/>
    </row>
    <row r="213" spans="1:4">
      <c r="A213" s="121"/>
      <c r="B213" s="109"/>
      <c r="C213" s="109"/>
      <c r="D213" s="113"/>
    </row>
    <row r="214" spans="1:4">
      <c r="A214" s="121"/>
      <c r="B214" s="109"/>
      <c r="C214" s="109"/>
      <c r="D214" s="113"/>
    </row>
    <row r="215" spans="1:4">
      <c r="A215" s="121"/>
      <c r="B215" s="109"/>
      <c r="C215" s="109"/>
      <c r="D215" s="113"/>
    </row>
    <row r="216" spans="1:4">
      <c r="A216" s="121"/>
      <c r="B216" s="109"/>
      <c r="C216" s="109"/>
      <c r="D216" s="113"/>
    </row>
    <row r="217" spans="1:4">
      <c r="A217" s="121"/>
      <c r="B217" s="109"/>
      <c r="C217" s="109"/>
      <c r="D217" s="113"/>
    </row>
    <row r="218" spans="1:4">
      <c r="A218" s="121"/>
      <c r="B218" s="109"/>
      <c r="C218" s="109"/>
      <c r="D218" s="113"/>
    </row>
    <row r="219" spans="1:4">
      <c r="A219" s="137"/>
      <c r="B219" s="109"/>
      <c r="C219" s="109"/>
      <c r="D219" s="107"/>
    </row>
    <row r="220" spans="1:4">
      <c r="A220" s="128"/>
      <c r="B220" s="96"/>
      <c r="C220" s="96"/>
      <c r="D220" s="98"/>
    </row>
    <row r="221" spans="1:4">
      <c r="A221" s="129"/>
      <c r="B221" s="109"/>
      <c r="C221" s="109"/>
      <c r="D221" s="107"/>
    </row>
    <row r="222" spans="1:4">
      <c r="A222" s="129"/>
      <c r="B222" s="109"/>
      <c r="C222" s="109"/>
      <c r="D222" s="107"/>
    </row>
    <row r="223" spans="1:4">
      <c r="A223" s="129"/>
      <c r="B223" s="109"/>
      <c r="C223" s="109"/>
      <c r="D223" s="107"/>
    </row>
    <row r="224" spans="1:4">
      <c r="A224" s="121"/>
      <c r="B224" s="109"/>
      <c r="C224" s="109"/>
      <c r="D224" s="113"/>
    </row>
    <row r="225" spans="1:4">
      <c r="A225" s="121"/>
      <c r="B225" s="109"/>
      <c r="C225" s="109"/>
      <c r="D225" s="113"/>
    </row>
    <row r="226" spans="1:4">
      <c r="A226" s="121"/>
      <c r="B226" s="109"/>
      <c r="C226" s="109"/>
      <c r="D226" s="113"/>
    </row>
    <row r="227" spans="1:4">
      <c r="A227" s="121"/>
      <c r="B227" s="109"/>
      <c r="C227" s="109"/>
      <c r="D227" s="113"/>
    </row>
    <row r="228" spans="1:4">
      <c r="A228" s="121"/>
      <c r="B228" s="109"/>
      <c r="C228" s="109"/>
      <c r="D228" s="113"/>
    </row>
    <row r="229" spans="1:4">
      <c r="A229" s="137"/>
      <c r="B229" s="109"/>
      <c r="C229" s="109"/>
      <c r="D229" s="107"/>
    </row>
    <row r="230" spans="1:4">
      <c r="A230" s="128"/>
      <c r="B230" s="96"/>
      <c r="C230" s="96"/>
      <c r="D230" s="98"/>
    </row>
    <row r="231" spans="1:4">
      <c r="A231" s="129"/>
      <c r="B231" s="109"/>
      <c r="C231" s="109"/>
      <c r="D231" s="107"/>
    </row>
    <row r="232" spans="1:4">
      <c r="A232" s="129"/>
      <c r="B232" s="109"/>
      <c r="C232" s="109"/>
      <c r="D232" s="107"/>
    </row>
    <row r="233" spans="1:4">
      <c r="A233" s="129"/>
      <c r="B233" s="109"/>
      <c r="C233" s="109"/>
      <c r="D233" s="107"/>
    </row>
    <row r="234" spans="1:4">
      <c r="A234" s="121"/>
      <c r="B234" s="109"/>
      <c r="C234" s="109"/>
      <c r="D234" s="113"/>
    </row>
    <row r="235" spans="1:4">
      <c r="A235" s="121"/>
      <c r="B235" s="109"/>
      <c r="C235" s="109"/>
      <c r="D235" s="113"/>
    </row>
    <row r="236" spans="1:4">
      <c r="A236" s="121"/>
      <c r="B236" s="109"/>
      <c r="C236" s="109"/>
      <c r="D236" s="113"/>
    </row>
    <row r="237" spans="1:4">
      <c r="A237" s="121"/>
      <c r="B237" s="109"/>
      <c r="C237" s="109"/>
      <c r="D237" s="113"/>
    </row>
    <row r="238" spans="1:4">
      <c r="A238" s="121"/>
      <c r="B238" s="109"/>
      <c r="C238" s="109"/>
      <c r="D238" s="113"/>
    </row>
    <row r="239" spans="1:4">
      <c r="A239" s="137"/>
      <c r="B239" s="109"/>
      <c r="C239" s="109"/>
      <c r="D239" s="107"/>
    </row>
    <row r="240" spans="1:4">
      <c r="A240" s="128"/>
      <c r="B240" s="96"/>
      <c r="C240" s="96"/>
      <c r="D240" s="107"/>
    </row>
    <row r="241" spans="1:4">
      <c r="A241" s="129"/>
      <c r="B241" s="109"/>
      <c r="C241" s="109"/>
      <c r="D241" s="107"/>
    </row>
    <row r="242" spans="1:4">
      <c r="A242" s="129"/>
      <c r="B242" s="109"/>
      <c r="C242" s="109"/>
      <c r="D242" s="107"/>
    </row>
    <row r="243" spans="1:4">
      <c r="A243" s="129"/>
      <c r="B243" s="109"/>
      <c r="C243" s="109"/>
      <c r="D243" s="107"/>
    </row>
    <row r="244" spans="1:4">
      <c r="A244" s="121"/>
      <c r="B244" s="109"/>
      <c r="C244" s="109"/>
      <c r="D244" s="113"/>
    </row>
    <row r="245" spans="1:4">
      <c r="A245" s="121"/>
      <c r="B245" s="109"/>
      <c r="C245" s="109"/>
      <c r="D245" s="113"/>
    </row>
    <row r="246" spans="1:4">
      <c r="A246" s="121"/>
      <c r="B246" s="109"/>
      <c r="C246" s="109"/>
      <c r="D246" s="113"/>
    </row>
    <row r="247" spans="1:4">
      <c r="A247" s="121"/>
      <c r="B247" s="109"/>
      <c r="C247" s="109"/>
      <c r="D247" s="113"/>
    </row>
    <row r="248" spans="1:4">
      <c r="A248" s="121"/>
      <c r="B248" s="109"/>
      <c r="C248" s="109"/>
      <c r="D248" s="113"/>
    </row>
    <row r="249" spans="1:4">
      <c r="A249" s="121"/>
      <c r="B249" s="109"/>
      <c r="C249" s="109"/>
      <c r="D249" s="113"/>
    </row>
    <row r="250" spans="1:4">
      <c r="A250" s="121"/>
      <c r="B250" s="109"/>
      <c r="C250" s="109"/>
      <c r="D250" s="113"/>
    </row>
    <row r="251" spans="1:4">
      <c r="A251" s="138"/>
      <c r="B251" s="113"/>
      <c r="C251" s="113"/>
      <c r="D251" s="107"/>
    </row>
    <row r="252" spans="1:4">
      <c r="B252" s="139"/>
      <c r="C252" s="139"/>
      <c r="D252" s="140"/>
    </row>
  </sheetData>
  <printOptions horizontalCentered="1"/>
  <pageMargins left="0.11811023622047245" right="0.11811023622047245" top="0.74803149606299213" bottom="0.74803149606299213" header="0.31496062992125984" footer="0.31496062992125984"/>
  <pageSetup paperSize="256" scale="32" orientation="portrait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Base de données sociale</vt:lpstr>
      <vt:lpstr>suivi bulletins</vt:lpstr>
      <vt:lpstr>SMIC</vt:lpstr>
      <vt:lpstr>DUBREUIL JEAN</vt:lpstr>
      <vt:lpstr>ROBERT DUVERGNE</vt:lpstr>
      <vt:lpstr>Modèle</vt:lpstr>
      <vt:lpstr>Controle des charges</vt:lpstr>
      <vt:lpstr>'DUBREUIL JEAN'!Coeff.effectif</vt:lpstr>
      <vt:lpstr>Modèle!Coeff.effectif</vt:lpstr>
      <vt:lpstr>'ROBERT DUVERGNE'!Coeff.effectif</vt:lpstr>
      <vt:lpstr>'DUBREUIL JEAN'!Horaire_collectif_mensuel</vt:lpstr>
      <vt:lpstr>Modèle!Horaire_collectif_mensuel</vt:lpstr>
      <vt:lpstr>'ROBERT DUVERGNE'!Horaire_collectif_mensuel</vt:lpstr>
      <vt:lpstr>Modèle!Mode_calcul</vt:lpstr>
      <vt:lpstr>'ROBERT DUVERGNE'!Mode_calcul</vt:lpstr>
      <vt:lpstr>Mode_calcul</vt:lpstr>
      <vt:lpstr>Modèle!Salaire_brut_août</vt:lpstr>
      <vt:lpstr>'ROBERT DUVERGNE'!Salaire_brut_août</vt:lpstr>
      <vt:lpstr>Salaire_brut_août</vt:lpstr>
      <vt:lpstr>Modèle!Salaire_brut_avril</vt:lpstr>
      <vt:lpstr>'ROBERT DUVERGNE'!Salaire_brut_avril</vt:lpstr>
      <vt:lpstr>Salaire_brut_avril</vt:lpstr>
      <vt:lpstr>Modèle!Salaire_brut_décembre</vt:lpstr>
      <vt:lpstr>'ROBERT DUVERGNE'!Salaire_brut_décembre</vt:lpstr>
      <vt:lpstr>Salaire_brut_décembre</vt:lpstr>
      <vt:lpstr>Modèle!Salaire_brut_février</vt:lpstr>
      <vt:lpstr>'ROBERT DUVERGNE'!Salaire_brut_février</vt:lpstr>
      <vt:lpstr>Salaire_brut_février</vt:lpstr>
      <vt:lpstr>Modèle!Salaire_brut_janvier</vt:lpstr>
      <vt:lpstr>'ROBERT DUVERGNE'!Salaire_brut_janvier</vt:lpstr>
      <vt:lpstr>Salaire_brut_janvier</vt:lpstr>
      <vt:lpstr>Modèle!Salaire_brut_juillet</vt:lpstr>
      <vt:lpstr>'ROBERT DUVERGNE'!Salaire_brut_juillet</vt:lpstr>
      <vt:lpstr>Salaire_brut_juillet</vt:lpstr>
      <vt:lpstr>Modèle!Salaire_brut_juin</vt:lpstr>
      <vt:lpstr>'ROBERT DUVERGNE'!Salaire_brut_juin</vt:lpstr>
      <vt:lpstr>Salaire_brut_juin</vt:lpstr>
      <vt:lpstr>Modèle!Salaire_brut_mai</vt:lpstr>
      <vt:lpstr>'ROBERT DUVERGNE'!Salaire_brut_mai</vt:lpstr>
      <vt:lpstr>Salaire_brut_mai</vt:lpstr>
      <vt:lpstr>Modèle!Salaire_brut_mars</vt:lpstr>
      <vt:lpstr>'ROBERT DUVERGNE'!Salaire_brut_mars</vt:lpstr>
      <vt:lpstr>Salaire_brut_mars</vt:lpstr>
      <vt:lpstr>Modèle!Salaire_brut_novembre</vt:lpstr>
      <vt:lpstr>'ROBERT DUVERGNE'!Salaire_brut_novembre</vt:lpstr>
      <vt:lpstr>Salaire_brut_novembre</vt:lpstr>
      <vt:lpstr>Modèle!Salaire_brut_octobre</vt:lpstr>
      <vt:lpstr>'ROBERT DUVERGNE'!Salaire_brut_octobre</vt:lpstr>
      <vt:lpstr>Salaire_brut_octobre</vt:lpstr>
      <vt:lpstr>Modèle!Salaire_brut_septembre</vt:lpstr>
      <vt:lpstr>'ROBERT DUVERGNE'!Salaire_brut_septembre</vt:lpstr>
      <vt:lpstr>Salaire_brut_septembre</vt:lpstr>
      <vt:lpstr>'DUBREUIL JEAN'!Zone_d_impression</vt:lpstr>
      <vt:lpstr>Modèle!Zone_d_impression</vt:lpstr>
      <vt:lpstr>'ROBERT DUVERGNE'!Zone_d_impression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Guy Blancher</cp:lastModifiedBy>
  <cp:lastPrinted>2014-07-07T11:09:40Z</cp:lastPrinted>
  <dcterms:created xsi:type="dcterms:W3CDTF">2014-07-03T21:35:31Z</dcterms:created>
  <dcterms:modified xsi:type="dcterms:W3CDTF">2014-07-07T11:10:14Z</dcterms:modified>
</cp:coreProperties>
</file>