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drawings/drawing1.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defaultThemeVersion="124226"/>
  <bookViews>
    <workbookView xWindow="0" yWindow="0" windowWidth="15360" windowHeight="7755" tabRatio="844" firstSheet="2" activeTab="2"/>
  </bookViews>
  <sheets>
    <sheet name="TDB F+D" sheetId="5" r:id="rId1"/>
    <sheet name="Tableau de bord direkt HDL" sheetId="27" r:id="rId2"/>
    <sheet name="Niiiiice" sheetId="30" r:id="rId3"/>
    <sheet name="RL Ziele" sheetId="20" r:id="rId4"/>
  </sheets>
  <externalReferences>
    <externalReference r:id="rId5"/>
    <externalReference r:id="rId6"/>
  </externalReferences>
  <definedNames>
    <definedName name="_xlnm._FilterDatabase" localSheetId="0" hidden="1">'TDB F+D'!$Q$17:$Q$171</definedName>
    <definedName name="DC_ACCESSOIRES">#REF!</definedName>
    <definedName name="DC_PIECES">#REF!</definedName>
    <definedName name="DC_ROUES">#REF!</definedName>
    <definedName name="DC_TEILE">#REF!</definedName>
    <definedName name="DC_WKR">#REF!</definedName>
    <definedName name="DC_ZUBEHOER">#REF!</definedName>
    <definedName name="Zone_1">#REF!</definedName>
    <definedName name="Zone_2">#REF!</definedName>
    <definedName name="Zone_3">#REF!</definedName>
    <definedName name="_xlnm.Print_Area" localSheetId="1">'Tableau de bord direkt HDL'!$A$1:$K$33</definedName>
    <definedName name="_xlnm.Print_Area" localSheetId="0">'TDB F+D'!$A$1:$L$33</definedName>
    <definedName name="Zone19">Niiiiice!$63:$90</definedName>
    <definedName name="Zone32">Niiiiice!$93:$118</definedName>
    <definedName name="Zone40">Niiiiice!$121:$152</definedName>
  </definedNames>
  <calcPr calcId="145621"/>
</workbook>
</file>

<file path=xl/calcChain.xml><?xml version="1.0" encoding="utf-8"?>
<calcChain xmlns="http://schemas.openxmlformats.org/spreadsheetml/2006/main">
  <c r="E151" i="30" l="1"/>
  <c r="D151" i="30"/>
  <c r="E150" i="30"/>
  <c r="D150" i="30"/>
  <c r="E149" i="30"/>
  <c r="D149" i="30"/>
  <c r="E148" i="30"/>
  <c r="D148" i="30"/>
  <c r="E147" i="30"/>
  <c r="D147" i="30"/>
  <c r="E146" i="30"/>
  <c r="D146" i="30"/>
  <c r="E145" i="30"/>
  <c r="D145" i="30"/>
  <c r="E144" i="30"/>
  <c r="D144" i="30"/>
  <c r="E143" i="30"/>
  <c r="D143" i="30"/>
  <c r="E142" i="30"/>
  <c r="D142" i="30"/>
  <c r="E141" i="30"/>
  <c r="D141" i="30"/>
  <c r="E140" i="30"/>
  <c r="E152" i="30" s="1"/>
  <c r="D140" i="30"/>
  <c r="D152" i="30" s="1"/>
  <c r="F136" i="30"/>
  <c r="E136" i="30" s="1"/>
  <c r="D136" i="30"/>
  <c r="F135" i="30"/>
  <c r="E135" i="30" s="1"/>
  <c r="D135" i="30"/>
  <c r="F134" i="30"/>
  <c r="E134" i="30" s="1"/>
  <c r="D134" i="30"/>
  <c r="F133" i="30"/>
  <c r="D133" i="30"/>
  <c r="F132" i="30"/>
  <c r="E132" i="30" s="1"/>
  <c r="D132" i="30"/>
  <c r="F131" i="30"/>
  <c r="D131" i="30"/>
  <c r="F130" i="30"/>
  <c r="E130" i="30" s="1"/>
  <c r="D130" i="30"/>
  <c r="F129" i="30"/>
  <c r="E129" i="30" s="1"/>
  <c r="D129" i="30"/>
  <c r="F128" i="30"/>
  <c r="E128" i="30" s="1"/>
  <c r="D128" i="30"/>
  <c r="F127" i="30"/>
  <c r="E127" i="30" s="1"/>
  <c r="D127" i="30"/>
  <c r="F126" i="30"/>
  <c r="E126" i="30" s="1"/>
  <c r="D126" i="30"/>
  <c r="F125" i="30"/>
  <c r="F137" i="30" s="1"/>
  <c r="D125" i="30"/>
  <c r="D137" i="30" s="1"/>
  <c r="H122" i="30"/>
  <c r="G122" i="30"/>
  <c r="E117" i="30"/>
  <c r="D117" i="30"/>
  <c r="E116" i="30"/>
  <c r="D116" i="30"/>
  <c r="E115" i="30"/>
  <c r="D115" i="30"/>
  <c r="E114" i="30"/>
  <c r="D114" i="30"/>
  <c r="E113" i="30"/>
  <c r="D113" i="30"/>
  <c r="E112" i="30"/>
  <c r="D112" i="30"/>
  <c r="E111" i="30"/>
  <c r="D111" i="30"/>
  <c r="E110" i="30"/>
  <c r="D110" i="30"/>
  <c r="E109" i="30"/>
  <c r="E118" i="30" s="1"/>
  <c r="D109" i="30"/>
  <c r="D118" i="30" s="1"/>
  <c r="F105" i="30"/>
  <c r="E105" i="30" s="1"/>
  <c r="D105" i="30"/>
  <c r="F104" i="30"/>
  <c r="E104" i="30" s="1"/>
  <c r="D104" i="30"/>
  <c r="F103" i="30"/>
  <c r="E103" i="30" s="1"/>
  <c r="D103" i="30"/>
  <c r="F102" i="30"/>
  <c r="E102" i="30" s="1"/>
  <c r="D102" i="30"/>
  <c r="F101" i="30"/>
  <c r="E101" i="30" s="1"/>
  <c r="D101" i="30"/>
  <c r="F100" i="30"/>
  <c r="E100" i="30" s="1"/>
  <c r="D100" i="30"/>
  <c r="F99" i="30"/>
  <c r="E99" i="30" s="1"/>
  <c r="D99" i="30"/>
  <c r="F98" i="30"/>
  <c r="E98" i="30" s="1"/>
  <c r="D98" i="30"/>
  <c r="F97" i="30"/>
  <c r="F106" i="30" s="1"/>
  <c r="D97" i="30"/>
  <c r="D106" i="30" s="1"/>
  <c r="H94" i="30"/>
  <c r="G94" i="30"/>
  <c r="E89" i="30"/>
  <c r="D89" i="30"/>
  <c r="E88" i="30"/>
  <c r="D88" i="30"/>
  <c r="E87" i="30"/>
  <c r="D87" i="30"/>
  <c r="E86" i="30"/>
  <c r="D86" i="30"/>
  <c r="E85" i="30"/>
  <c r="D85" i="30"/>
  <c r="E84" i="30"/>
  <c r="D84" i="30"/>
  <c r="E83" i="30"/>
  <c r="D83" i="30"/>
  <c r="E82" i="30"/>
  <c r="D82" i="30"/>
  <c r="E81" i="30"/>
  <c r="D81" i="30"/>
  <c r="E80" i="30"/>
  <c r="E90" i="30" s="1"/>
  <c r="D80" i="30"/>
  <c r="D90" i="30" s="1"/>
  <c r="F76" i="30"/>
  <c r="E76" i="30" s="1"/>
  <c r="D76" i="30"/>
  <c r="F75" i="30"/>
  <c r="E75" i="30" s="1"/>
  <c r="D75" i="30"/>
  <c r="F74" i="30"/>
  <c r="E74" i="30" s="1"/>
  <c r="D74" i="30"/>
  <c r="F73" i="30"/>
  <c r="E73" i="30" s="1"/>
  <c r="D73" i="30"/>
  <c r="F72" i="30"/>
  <c r="D72" i="30"/>
  <c r="F71" i="30"/>
  <c r="E71" i="30" s="1"/>
  <c r="D71" i="30"/>
  <c r="F70" i="30"/>
  <c r="E70" i="30" s="1"/>
  <c r="D70" i="30"/>
  <c r="F69" i="30"/>
  <c r="E69" i="30" s="1"/>
  <c r="D69" i="30"/>
  <c r="F68" i="30"/>
  <c r="E68" i="30" s="1"/>
  <c r="D68" i="30"/>
  <c r="F67" i="30"/>
  <c r="F77" i="30" s="1"/>
  <c r="D67" i="30"/>
  <c r="H64" i="30"/>
  <c r="G64" i="30"/>
  <c r="D16" i="30"/>
  <c r="C38" i="30"/>
  <c r="C26" i="30"/>
  <c r="C25" i="30"/>
  <c r="C24" i="30"/>
  <c r="C23" i="30"/>
  <c r="C22" i="30"/>
  <c r="C34" i="30"/>
  <c r="C33" i="30"/>
  <c r="C32" i="30"/>
  <c r="C31" i="30"/>
  <c r="C30" i="30"/>
  <c r="C46" i="30"/>
  <c r="C49" i="30"/>
  <c r="C48" i="30"/>
  <c r="C47" i="30"/>
  <c r="G86" i="30" l="1"/>
  <c r="G68" i="30"/>
  <c r="G71" i="30"/>
  <c r="G74" i="30"/>
  <c r="G76" i="30"/>
  <c r="G82" i="30"/>
  <c r="H72" i="30"/>
  <c r="G84" i="30"/>
  <c r="G87" i="30"/>
  <c r="G114" i="30"/>
  <c r="G127" i="30"/>
  <c r="H133" i="30"/>
  <c r="G142" i="30"/>
  <c r="G145" i="30"/>
  <c r="G102" i="30"/>
  <c r="G129" i="30"/>
  <c r="G135" i="30"/>
  <c r="G147" i="30"/>
  <c r="G150" i="30"/>
  <c r="G98" i="30"/>
  <c r="G101" i="30"/>
  <c r="G110" i="30"/>
  <c r="G113" i="30"/>
  <c r="H131" i="30"/>
  <c r="G146" i="30"/>
  <c r="H102" i="30"/>
  <c r="H99" i="30"/>
  <c r="E131" i="30"/>
  <c r="G131" i="30" s="1"/>
  <c r="H75" i="30"/>
  <c r="H134" i="30"/>
  <c r="E72" i="30"/>
  <c r="G72" i="30" s="1"/>
  <c r="H76" i="30"/>
  <c r="H104" i="30"/>
  <c r="E125" i="30"/>
  <c r="E137" i="30" s="1"/>
  <c r="G137" i="30" s="1"/>
  <c r="H129" i="30"/>
  <c r="H105" i="30"/>
  <c r="H67" i="30"/>
  <c r="G70" i="30"/>
  <c r="H100" i="30"/>
  <c r="G126" i="30"/>
  <c r="H69" i="30"/>
  <c r="H73" i="30"/>
  <c r="H68" i="30"/>
  <c r="H126" i="30"/>
  <c r="H130" i="30"/>
  <c r="G132" i="30"/>
  <c r="H135" i="30"/>
  <c r="H74" i="30"/>
  <c r="G104" i="30"/>
  <c r="H127" i="30"/>
  <c r="G136" i="30"/>
  <c r="H101" i="30"/>
  <c r="G128" i="30"/>
  <c r="E133" i="30"/>
  <c r="G133" i="30" s="1"/>
  <c r="G141" i="30"/>
  <c r="G83" i="30"/>
  <c r="G85" i="30"/>
  <c r="G111" i="30"/>
  <c r="G143" i="30"/>
  <c r="G89" i="30"/>
  <c r="G81" i="30"/>
  <c r="G88" i="30"/>
  <c r="G117" i="30"/>
  <c r="G149" i="30"/>
  <c r="G115" i="30"/>
  <c r="G112" i="30"/>
  <c r="G90" i="30"/>
  <c r="G116" i="30"/>
  <c r="G144" i="30"/>
  <c r="G151" i="30"/>
  <c r="G148" i="30"/>
  <c r="H137" i="30"/>
  <c r="G152" i="30"/>
  <c r="G134" i="30"/>
  <c r="H132" i="30"/>
  <c r="H128" i="30"/>
  <c r="H136" i="30"/>
  <c r="G140" i="30"/>
  <c r="H125" i="30"/>
  <c r="G130" i="30"/>
  <c r="G103" i="30"/>
  <c r="G118" i="30"/>
  <c r="H106" i="30"/>
  <c r="E97" i="30"/>
  <c r="E106" i="30" s="1"/>
  <c r="G106" i="30" s="1"/>
  <c r="H98" i="30"/>
  <c r="G100" i="30"/>
  <c r="G105" i="30"/>
  <c r="H103" i="30"/>
  <c r="H97" i="30"/>
  <c r="G109" i="30"/>
  <c r="G99" i="30"/>
  <c r="G69" i="30"/>
  <c r="H71" i="30"/>
  <c r="E67" i="30"/>
  <c r="E77" i="30" s="1"/>
  <c r="G73" i="30"/>
  <c r="G80" i="30"/>
  <c r="H70" i="30"/>
  <c r="G75" i="30"/>
  <c r="D77" i="30"/>
  <c r="C50" i="30"/>
  <c r="D41" i="30"/>
  <c r="G125" i="30" l="1"/>
  <c r="G97" i="30"/>
  <c r="G67" i="30"/>
  <c r="G77" i="30"/>
  <c r="H77" i="30"/>
  <c r="D38" i="30"/>
  <c r="D39" i="30"/>
  <c r="D40" i="30"/>
  <c r="D42" i="30" l="1"/>
  <c r="D33" i="30" l="1"/>
  <c r="D25" i="30"/>
  <c r="D32" i="30"/>
  <c r="D24" i="30"/>
  <c r="D31" i="30"/>
  <c r="D23" i="30"/>
  <c r="C56" i="30"/>
  <c r="C57" i="30" s="1"/>
  <c r="C58" i="30" s="1"/>
  <c r="D49" i="30" l="1"/>
  <c r="D48" i="30"/>
  <c r="D47" i="30"/>
  <c r="D46" i="30"/>
  <c r="C42" i="30"/>
  <c r="E25" i="30" l="1"/>
  <c r="E24" i="30"/>
  <c r="D50" i="30"/>
  <c r="E38" i="30"/>
  <c r="D34" i="30"/>
  <c r="C17" i="30" l="1"/>
  <c r="C15" i="30"/>
  <c r="E34" i="30"/>
  <c r="D26" i="30"/>
  <c r="D58" i="30"/>
  <c r="D57" i="30"/>
  <c r="D56" i="30"/>
  <c r="D55" i="30"/>
  <c r="E55" i="30" s="1"/>
  <c r="E58" i="30"/>
  <c r="E57" i="30"/>
  <c r="E56" i="30"/>
  <c r="U6" i="30"/>
  <c r="D17" i="30" s="1"/>
  <c r="U5" i="30"/>
  <c r="D15" i="30" s="1"/>
  <c r="U4" i="30"/>
  <c r="D14" i="30" s="1"/>
  <c r="C14" i="30" l="1"/>
  <c r="E26" i="30"/>
  <c r="G14" i="30"/>
  <c r="E17" i="30"/>
  <c r="G17" i="30"/>
  <c r="G15" i="30"/>
  <c r="E15" i="30"/>
  <c r="E14" i="30" l="1"/>
  <c r="V1" i="30"/>
  <c r="T9" i="30"/>
  <c r="V3" i="30"/>
  <c r="F5" i="30" s="1"/>
  <c r="O16" i="30" l="1"/>
  <c r="O17" i="30"/>
  <c r="O21" i="30"/>
  <c r="M19" i="30"/>
  <c r="O19" i="30" s="1"/>
  <c r="M9" i="30"/>
  <c r="O9" i="30" s="1"/>
  <c r="I36" i="30"/>
  <c r="I28" i="30"/>
  <c r="I20" i="30"/>
  <c r="I12" i="30"/>
  <c r="M18" i="30"/>
  <c r="O18" i="30" s="1"/>
  <c r="M8" i="30"/>
  <c r="O8" i="30" s="1"/>
  <c r="I35" i="30"/>
  <c r="I27" i="30"/>
  <c r="I19" i="30"/>
  <c r="I11" i="30"/>
  <c r="M15" i="30"/>
  <c r="O15" i="30" s="1"/>
  <c r="M7" i="30"/>
  <c r="O7" i="30" s="1"/>
  <c r="I34" i="30"/>
  <c r="I26" i="30"/>
  <c r="I18" i="30"/>
  <c r="I10" i="30"/>
  <c r="A48" i="30"/>
  <c r="A47" i="30"/>
  <c r="D45" i="30"/>
  <c r="M25" i="30"/>
  <c r="O25" i="30" s="1"/>
  <c r="M14" i="30"/>
  <c r="O14" i="30" s="1"/>
  <c r="M6" i="30"/>
  <c r="O6" i="30" s="1"/>
  <c r="I33" i="30"/>
  <c r="I25" i="30"/>
  <c r="I17" i="30"/>
  <c r="I9" i="30"/>
  <c r="M24" i="30"/>
  <c r="O24" i="30" s="1"/>
  <c r="M13" i="30"/>
  <c r="O13" i="30" s="1"/>
  <c r="M5" i="30"/>
  <c r="O5" i="30" s="1"/>
  <c r="I32" i="30"/>
  <c r="I24" i="30"/>
  <c r="I16" i="30"/>
  <c r="I8" i="30"/>
  <c r="A46" i="30"/>
  <c r="I5" i="30"/>
  <c r="A49" i="30"/>
  <c r="M23" i="30"/>
  <c r="O23" i="30" s="1"/>
  <c r="M12" i="30"/>
  <c r="O12" i="30" s="1"/>
  <c r="I39" i="30"/>
  <c r="I31" i="30"/>
  <c r="I23" i="30"/>
  <c r="I15" i="30"/>
  <c r="I7" i="30"/>
  <c r="A45" i="30"/>
  <c r="M22" i="30"/>
  <c r="O22" i="30" s="1"/>
  <c r="M11" i="30"/>
  <c r="O11" i="30" s="1"/>
  <c r="I38" i="30"/>
  <c r="I30" i="30"/>
  <c r="I22" i="30"/>
  <c r="I14" i="30"/>
  <c r="I6" i="30"/>
  <c r="M20" i="30"/>
  <c r="O20" i="30" s="1"/>
  <c r="M10" i="30"/>
  <c r="O10" i="30" s="1"/>
  <c r="I37" i="30"/>
  <c r="I29" i="30"/>
  <c r="I21" i="30"/>
  <c r="I13" i="30"/>
  <c r="C54" i="30"/>
  <c r="A37" i="30"/>
  <c r="A31" i="30"/>
  <c r="A41" i="30"/>
  <c r="A40" i="30"/>
  <c r="A39" i="30"/>
  <c r="A38" i="30"/>
  <c r="A25" i="30"/>
  <c r="A32" i="30"/>
  <c r="A24" i="30"/>
  <c r="A33" i="30"/>
  <c r="A23" i="30"/>
  <c r="A30" i="30"/>
  <c r="A18" i="30"/>
  <c r="A16" i="30"/>
  <c r="C37" i="30"/>
  <c r="A61" i="30"/>
  <c r="I1" i="30"/>
  <c r="M29" i="30"/>
  <c r="N29" i="30" s="1"/>
  <c r="M27" i="30"/>
  <c r="M3" i="30"/>
  <c r="I3" i="30"/>
  <c r="A20" i="30"/>
  <c r="A29" i="30"/>
  <c r="E54" i="30"/>
  <c r="E45" i="30"/>
  <c r="D54" i="30"/>
  <c r="A53" i="30"/>
  <c r="C45" i="30"/>
  <c r="E37" i="30"/>
  <c r="A58" i="30"/>
  <c r="A57" i="30"/>
  <c r="A44" i="30"/>
  <c r="D37" i="30"/>
  <c r="A56" i="30"/>
  <c r="A36" i="30"/>
  <c r="A28" i="30"/>
  <c r="E29" i="30"/>
  <c r="C29" i="30"/>
  <c r="A54" i="30"/>
  <c r="A55" i="30"/>
  <c r="D29" i="30"/>
  <c r="D21" i="30"/>
  <c r="C13" i="30"/>
  <c r="E21" i="30"/>
  <c r="C21" i="30"/>
  <c r="A22" i="30"/>
  <c r="A14" i="30"/>
  <c r="E13" i="30"/>
  <c r="A21" i="30"/>
  <c r="A15" i="30"/>
  <c r="A17" i="30"/>
  <c r="A12" i="30"/>
  <c r="D13" i="30"/>
  <c r="K34" i="30" l="1"/>
  <c r="J34" i="30"/>
  <c r="K12" i="30"/>
  <c r="J12" i="30"/>
  <c r="N12" i="30"/>
  <c r="J37" i="30"/>
  <c r="K37" i="30"/>
  <c r="K20" i="30"/>
  <c r="J20" i="30"/>
  <c r="N20" i="30"/>
  <c r="N6" i="30"/>
  <c r="J6" i="30"/>
  <c r="K6" i="30"/>
  <c r="J7" i="30"/>
  <c r="N7" i="30"/>
  <c r="K7" i="30"/>
  <c r="N5" i="30"/>
  <c r="J5" i="30"/>
  <c r="K5" i="30"/>
  <c r="N14" i="30"/>
  <c r="J14" i="30"/>
  <c r="K14" i="30"/>
  <c r="J15" i="30"/>
  <c r="K15" i="30"/>
  <c r="N15" i="30"/>
  <c r="N9" i="30"/>
  <c r="K9" i="30"/>
  <c r="J9" i="30"/>
  <c r="K11" i="30"/>
  <c r="J11" i="30"/>
  <c r="N11" i="30"/>
  <c r="K28" i="30"/>
  <c r="J28" i="30"/>
  <c r="K32" i="30"/>
  <c r="J32" i="30"/>
  <c r="K26" i="30"/>
  <c r="J26" i="30"/>
  <c r="K13" i="30"/>
  <c r="J13" i="30"/>
  <c r="N13" i="30"/>
  <c r="N22" i="30"/>
  <c r="J22" i="30"/>
  <c r="K22" i="30"/>
  <c r="J23" i="30"/>
  <c r="N23" i="30"/>
  <c r="K23" i="30"/>
  <c r="N8" i="30"/>
  <c r="J8" i="30"/>
  <c r="K8" i="30"/>
  <c r="N17" i="30"/>
  <c r="K17" i="30"/>
  <c r="J17" i="30"/>
  <c r="K19" i="30"/>
  <c r="N19" i="30"/>
  <c r="J19" i="30"/>
  <c r="K36" i="30"/>
  <c r="J36" i="30"/>
  <c r="J21" i="30"/>
  <c r="K21" i="30"/>
  <c r="N21" i="30"/>
  <c r="J30" i="30"/>
  <c r="K30" i="30"/>
  <c r="J31" i="30"/>
  <c r="K31" i="30"/>
  <c r="J16" i="30"/>
  <c r="N16" i="30"/>
  <c r="K16" i="30"/>
  <c r="N25" i="30"/>
  <c r="K25" i="30"/>
  <c r="J25" i="30"/>
  <c r="J10" i="30"/>
  <c r="K10" i="30"/>
  <c r="N10" i="30"/>
  <c r="K27" i="30"/>
  <c r="J27" i="30"/>
  <c r="K29" i="30"/>
  <c r="J29" i="30"/>
  <c r="J38" i="30"/>
  <c r="K38" i="30"/>
  <c r="J39" i="30"/>
  <c r="K39" i="30"/>
  <c r="N24" i="30"/>
  <c r="K24" i="30"/>
  <c r="J24" i="30"/>
  <c r="K33" i="30"/>
  <c r="J33" i="30"/>
  <c r="K18" i="30"/>
  <c r="J18" i="30"/>
  <c r="N18" i="30"/>
  <c r="K35" i="30"/>
  <c r="J35" i="30"/>
  <c r="O29" i="30"/>
  <c r="E39" i="30" l="1"/>
  <c r="E40" i="30"/>
  <c r="E41" i="30" l="1"/>
  <c r="F4" i="30"/>
  <c r="A9" i="30"/>
  <c r="A7" i="30"/>
  <c r="A1" i="30"/>
  <c r="C7" i="30" l="1"/>
  <c r="E42" i="30" l="1"/>
  <c r="C16" i="30"/>
  <c r="E16" i="30" s="1"/>
  <c r="D12" i="5" l="1"/>
  <c r="A10" i="5" l="1"/>
  <c r="D10" i="5"/>
  <c r="D8" i="5"/>
  <c r="A8" i="5" l="1"/>
  <c r="M3" i="5" l="1"/>
  <c r="A34" i="5"/>
  <c r="A32" i="5"/>
  <c r="A31" i="5"/>
  <c r="A30" i="5"/>
  <c r="A29" i="5"/>
  <c r="A28" i="5"/>
  <c r="A27" i="5"/>
  <c r="A19" i="5"/>
  <c r="A18" i="5"/>
  <c r="A23" i="5"/>
  <c r="A22" i="5"/>
  <c r="A21" i="5"/>
  <c r="A20" i="5"/>
  <c r="J25" i="5"/>
  <c r="H25" i="5"/>
  <c r="G25" i="5"/>
  <c r="F25" i="5"/>
  <c r="E25" i="5"/>
  <c r="J16" i="5"/>
  <c r="H16" i="5"/>
  <c r="G16" i="5"/>
  <c r="F16" i="5"/>
  <c r="E16" i="5"/>
  <c r="A25" i="5"/>
  <c r="A16" i="5"/>
  <c r="J12" i="5"/>
  <c r="G12" i="5"/>
  <c r="A14" i="5"/>
  <c r="A6" i="5"/>
  <c r="J4" i="5"/>
  <c r="H4" i="5"/>
  <c r="F4" i="5"/>
  <c r="D4" i="5"/>
  <c r="K1" i="5"/>
  <c r="A2" i="5"/>
  <c r="A1" i="5" l="1"/>
  <c r="E27" i="5" l="1"/>
  <c r="F27" i="27" l="1"/>
  <c r="F26" i="27" l="1"/>
  <c r="H13" i="27" s="1"/>
  <c r="I2" i="27"/>
  <c r="E1" i="27"/>
  <c r="F18" i="27"/>
  <c r="E30" i="27"/>
  <c r="J30" i="27" s="1"/>
  <c r="D17" i="27"/>
  <c r="N2" i="27" s="1"/>
  <c r="K2" i="27"/>
  <c r="D8" i="27" l="1"/>
  <c r="D10" i="27"/>
  <c r="E26" i="27"/>
  <c r="D13" i="27" s="1"/>
  <c r="B26" i="27"/>
  <c r="B17" i="27"/>
  <c r="E19" i="27"/>
  <c r="H19" i="27" s="1"/>
  <c r="J21" i="27"/>
  <c r="E28" i="27"/>
  <c r="J28" i="27" s="1"/>
  <c r="E22" i="27"/>
  <c r="H22" i="27" s="1"/>
  <c r="E31" i="27"/>
  <c r="J31" i="27" s="1"/>
  <c r="H30" i="27"/>
  <c r="J19" i="27"/>
  <c r="E29" i="27"/>
  <c r="J29" i="27" s="1"/>
  <c r="E20" i="27"/>
  <c r="H20" i="27" s="1"/>
  <c r="J22" i="27"/>
  <c r="H6" i="27"/>
  <c r="F17" i="27"/>
  <c r="J20" i="27"/>
  <c r="E21" i="27"/>
  <c r="H21" i="27" s="1"/>
  <c r="E17" i="27" l="1"/>
  <c r="D6" i="27" s="1"/>
  <c r="G26" i="27"/>
  <c r="G27" i="27" s="1"/>
  <c r="E27" i="27" s="1"/>
  <c r="H27" i="27" s="1"/>
  <c r="H28" i="27"/>
  <c r="H29" i="27"/>
  <c r="F6" i="27"/>
  <c r="H31" i="27"/>
  <c r="H17" i="27" l="1"/>
  <c r="G17" i="27"/>
  <c r="J6" i="27" s="1"/>
  <c r="J13" i="27"/>
  <c r="I26" i="27"/>
  <c r="I27" i="27" s="1"/>
  <c r="J27" i="27" s="1"/>
  <c r="I17" i="27" l="1"/>
  <c r="J17" i="27" s="1"/>
  <c r="G18" i="27"/>
  <c r="I18" i="27" s="1"/>
  <c r="J18" i="27" s="1"/>
  <c r="J26" i="27"/>
  <c r="E18" i="5" l="1"/>
  <c r="E18" i="27"/>
  <c r="H18" i="27" s="1"/>
  <c r="F19" i="5" l="1"/>
  <c r="I2" i="5"/>
  <c r="D6" i="5" l="1"/>
  <c r="D14" i="5"/>
  <c r="O3" i="5"/>
  <c r="K2" i="5" s="1"/>
  <c r="F27" i="5"/>
  <c r="G14" i="5" s="1"/>
  <c r="E23" i="5"/>
  <c r="D2" i="5"/>
  <c r="E1" i="5"/>
  <c r="F28" i="5"/>
  <c r="E31" i="5" s="1"/>
  <c r="H23" i="5" l="1"/>
  <c r="G27" i="5"/>
  <c r="G28" i="5" s="1"/>
  <c r="E28" i="5" s="1"/>
  <c r="J23" i="5"/>
  <c r="E21" i="5"/>
  <c r="H21" i="5" s="1"/>
  <c r="B27" i="5"/>
  <c r="B18" i="5"/>
  <c r="J20" i="5"/>
  <c r="E20" i="5"/>
  <c r="H20" i="5" s="1"/>
  <c r="H6" i="5"/>
  <c r="J22" i="5"/>
  <c r="J21" i="5"/>
  <c r="E22" i="5"/>
  <c r="H22" i="5" s="1"/>
  <c r="J31" i="5"/>
  <c r="H31" i="5"/>
  <c r="E32" i="5"/>
  <c r="E29" i="5"/>
  <c r="E30" i="5"/>
  <c r="J14" i="5" l="1"/>
  <c r="I27" i="5"/>
  <c r="I28" i="5" s="1"/>
  <c r="J28" i="5" s="1"/>
  <c r="H29" i="5"/>
  <c r="J29" i="5"/>
  <c r="J32" i="5"/>
  <c r="H32" i="5"/>
  <c r="H28" i="5"/>
  <c r="H30" i="5"/>
  <c r="J30" i="5"/>
  <c r="E46" i="30" l="1"/>
  <c r="E30" i="30"/>
  <c r="E22" i="30"/>
  <c r="J27" i="5"/>
  <c r="E50" i="30" l="1"/>
  <c r="E47" i="30" l="1"/>
  <c r="E23" i="30"/>
  <c r="E31" i="30"/>
  <c r="E32" i="30" l="1"/>
  <c r="E48" i="30"/>
  <c r="E49" i="30" l="1"/>
  <c r="E33" i="30"/>
  <c r="D18" i="5"/>
  <c r="N4" i="5" l="1"/>
  <c r="F18" i="5"/>
  <c r="F6" i="5" l="1"/>
  <c r="H18" i="5"/>
  <c r="G18" i="5"/>
  <c r="I18" i="5" l="1"/>
  <c r="J18" i="5" s="1"/>
  <c r="G19" i="5"/>
  <c r="J6" i="5"/>
  <c r="I19" i="5" l="1"/>
  <c r="J19" i="5" s="1"/>
  <c r="E19" i="5"/>
  <c r="H19" i="5" s="1"/>
</calcChain>
</file>

<file path=xl/connections.xml><?xml version="1.0" encoding="utf-8"?>
<connections xmlns="http://schemas.openxmlformats.org/spreadsheetml/2006/main">
  <connection id="1" sourceFile="D:\Users\Patrice\Documents\NISSAN\Meldungen RL FY12.xls" keepAlive="1" name="Meldungen RL FY12" type="5" refreshedVersion="0" new="1" background="1" saveData="1">
    <dbPr connection="Provider=Microsoft.ACE.OLEDB.12.0;Password=&quot;&quot;;User ID=Admin;Data Source=D:\Users\Patrice\Documents\NISSAN\Meldungen RL FY12.xls;Mode=Share Deny Write;Extended Properties=&quot;HDR=YES;&quot;;Jet OLEDB:System database=&quot;&quot;;Jet OLEDB:Registry Path=&quot;&quot;;Jet OLEDB:Database Password=&quot;&quot;;Jet OLEDB:Engine Type=35;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Jet OLEDB:Limited DB Caching=False;Jet OLEDB:Bypass ChoiceField Validation=False" command="TOTAL$" commandType="3"/>
  </connection>
</connections>
</file>

<file path=xl/sharedStrings.xml><?xml version="1.0" encoding="utf-8"?>
<sst xmlns="http://schemas.openxmlformats.org/spreadsheetml/2006/main" count="383" uniqueCount="107">
  <si>
    <t>P5 - 2012</t>
  </si>
  <si>
    <t>%
Bonus</t>
  </si>
  <si>
    <t>Colonne1</t>
  </si>
  <si>
    <t>CA total
(Bonus 3.2)</t>
  </si>
  <si>
    <t>Saiso.</t>
  </si>
  <si>
    <t>Mois:</t>
  </si>
  <si>
    <t>Accessoires</t>
  </si>
  <si>
    <t>TOTAL ZONE</t>
  </si>
  <si>
    <t>Kumuliert FY12</t>
  </si>
  <si>
    <t>Ziel Ende Monat</t>
  </si>
  <si>
    <t>Ziel FY12</t>
  </si>
  <si>
    <t>Real. Saiso.</t>
  </si>
  <si>
    <t>Real. FY</t>
  </si>
  <si>
    <t>Realisiert FY11 (gleiche Periode)</t>
  </si>
  <si>
    <t>Wachstum</t>
  </si>
  <si>
    <t>Teile &amp; Zubehör (Bonus 3.1)</t>
  </si>
  <si>
    <t>Umsatz netto (Bonus 3.2)</t>
  </si>
  <si>
    <t>Pièces</t>
  </si>
  <si>
    <t>HARDTOP</t>
  </si>
  <si>
    <t>OFFROAD</t>
  </si>
  <si>
    <t>Roues</t>
  </si>
  <si>
    <t>Revente</t>
  </si>
  <si>
    <t>Zubehör</t>
  </si>
  <si>
    <t>Date</t>
  </si>
  <si>
    <t>HDL (#/Name)</t>
  </si>
  <si>
    <t>Am</t>
  </si>
  <si>
    <t>Monat:</t>
  </si>
  <si>
    <t>Realisiert FY12</t>
  </si>
  <si>
    <t>Ziel zur Ende Monat</t>
  </si>
  <si>
    <t>Budget FY12</t>
  </si>
  <si>
    <t>% realisiert</t>
  </si>
  <si>
    <t>Konk. Teile und Zubehör
(Bonus 3.1)</t>
  </si>
  <si>
    <t>Ist FY11, gleiche Periode</t>
  </si>
  <si>
    <t>% Entwicklung</t>
  </si>
  <si>
    <t>BONUS 3.1
(Konk. Teile und Zubehör)</t>
  </si>
  <si>
    <t>Saisonalität</t>
  </si>
  <si>
    <t>Umsatz realisiert</t>
  </si>
  <si>
    <t>Umsatz Ziel</t>
  </si>
  <si>
    <t>%
real.</t>
  </si>
  <si>
    <t>bleibt übrig</t>
  </si>
  <si>
    <t>Planzahl Bonus</t>
  </si>
  <si>
    <t>Ist am</t>
  </si>
  <si>
    <t>Planzahl am</t>
  </si>
  <si>
    <t>Real. 95% am</t>
  </si>
  <si>
    <t>Real. 100% am</t>
  </si>
  <si>
    <t>Real. 105% am</t>
  </si>
  <si>
    <t>Real. 110% am</t>
  </si>
  <si>
    <t>BONUS 3.2
(Umsatzwachstum)</t>
  </si>
  <si>
    <t>Total Umsatz netto</t>
  </si>
  <si>
    <t>Umsatz J-1</t>
  </si>
  <si>
    <t>%
Entwicklung
J-1</t>
  </si>
  <si>
    <t>* Für 0.25% am</t>
  </si>
  <si>
    <t>* Für 0.5% am</t>
  </si>
  <si>
    <t>* Für 0.75% am</t>
  </si>
  <si>
    <t>* Für 1.25% am</t>
  </si>
  <si>
    <t>*Umsatz Planzahl für x Rückvergütung am</t>
  </si>
  <si>
    <t>Total</t>
  </si>
  <si>
    <t>Langue/Sprache</t>
  </si>
  <si>
    <t>F</t>
  </si>
  <si>
    <t>D</t>
  </si>
  <si>
    <t>3.1</t>
  </si>
  <si>
    <t>3.2</t>
  </si>
  <si>
    <t>% bonus</t>
  </si>
  <si>
    <t>Konkurrenzierte Teile</t>
  </si>
  <si>
    <t>Langue</t>
  </si>
  <si>
    <t>Bonus %</t>
  </si>
  <si>
    <t>Description</t>
  </si>
  <si>
    <t>CA FY13</t>
  </si>
  <si>
    <t>CA FY12</t>
  </si>
  <si>
    <t>INTERIEUR</t>
  </si>
  <si>
    <t>Saiso access.</t>
  </si>
  <si>
    <t>Saiso revente</t>
  </si>
  <si>
    <t>Saiso pièces</t>
  </si>
  <si>
    <t>*</t>
  </si>
  <si>
    <t>Client 1</t>
  </si>
  <si>
    <t>Client 2</t>
  </si>
  <si>
    <t>Client 3</t>
  </si>
  <si>
    <t>Client 4</t>
  </si>
  <si>
    <t>Client 5</t>
  </si>
  <si>
    <t>Client 6</t>
  </si>
  <si>
    <t>Client 7</t>
  </si>
  <si>
    <t>Client 8</t>
  </si>
  <si>
    <t>Client 9</t>
  </si>
  <si>
    <t>Client 10</t>
  </si>
  <si>
    <t>Client 11</t>
  </si>
  <si>
    <t>Client 12</t>
  </si>
  <si>
    <t>Client 13</t>
  </si>
  <si>
    <t>Client 14</t>
  </si>
  <si>
    <t>Client</t>
  </si>
  <si>
    <t>Agents client 19</t>
  </si>
  <si>
    <t>Agent 1</t>
  </si>
  <si>
    <t>Agent 2</t>
  </si>
  <si>
    <t>Agent 3</t>
  </si>
  <si>
    <t>Agent 4</t>
  </si>
  <si>
    <t>Agent 5</t>
  </si>
  <si>
    <t>Agent 6</t>
  </si>
  <si>
    <t>Agent 7</t>
  </si>
  <si>
    <t>Agent 8</t>
  </si>
  <si>
    <t>Agent 9</t>
  </si>
  <si>
    <t>Agent 10</t>
  </si>
  <si>
    <t>Agents client 32</t>
  </si>
  <si>
    <t>Agents client 40</t>
  </si>
  <si>
    <t>Agent 11</t>
  </si>
  <si>
    <t>Agent 12</t>
  </si>
  <si>
    <t>Section 19</t>
  </si>
  <si>
    <t>Section 32</t>
  </si>
  <si>
    <t>Section 40</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</si>
</sst>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quot;CHF&quot;\ #,##0;\-&quot;CHF&quot;\ #,##0"/>
    <numFmt numFmtId="165" formatCode="_-&quot;CHF&quot;\ * #,##0.00_-;\-&quot;CHF&quot;\ * #,##0.00_-;_-&quot;CHF&quot;\ * &quot;-&quot;??_-;_-@_-"/>
    <numFmt numFmtId="166" formatCode="_ &quot;fr.&quot;\ * #,##0.00_ ;_ &quot;fr.&quot;\ * \-#,##0.00_ ;_ &quot;fr.&quot;\ * &quot;-&quot;??_ ;_ @_ "/>
    <numFmt numFmtId="167" formatCode=";;;"/>
    <numFmt numFmtId="168" formatCode="0.0%"/>
    <numFmt numFmtId="169" formatCode="dd/mm/yy;@"/>
    <numFmt numFmtId="170" formatCode="0\60000"/>
    <numFmt numFmtId="171" formatCode="&quot;CHF&quot;\ #,##0.00"/>
    <numFmt numFmtId="172" formatCode="_-&quot;CHF&quot;\ * #,##0_-;\-&quot;CHF&quot;\ * #,##0_-;_-&quot;CHF&quot;\ * &quot;-&quot;??_-;_-@_-"/>
    <numFmt numFmtId="173" formatCode="&quot;CHF&quot;\ #,##0"/>
    <numFmt numFmtId="174" formatCode="_-&quot;CHF&quot;\ * #,##0_-;\-&quot;CHF&quot;\ * #,##0_-;_-&quot;CHF&quot;\ * &quot;-&quot;?_-;_-@_-"/>
  </numFmts>
  <fonts count="30" x14ac:knownFonts="1">
    <font>
      <sz val="10"/>
      <name val="Arial"/>
    </font>
    <font>
      <sz val="10"/>
      <name val="Arial"/>
      <family val="2"/>
    </font>
    <font>
      <b/>
      <sz val="10"/>
      <name val="Verdana"/>
      <family val="2"/>
    </font>
    <font>
      <sz val="10"/>
      <name val="Verdana"/>
      <family val="2"/>
    </font>
    <font>
      <sz val="10"/>
      <color indexed="8"/>
      <name val="Arial"/>
      <family val="2"/>
    </font>
    <font>
      <sz val="8"/>
      <name val="Arial"/>
      <family val="2"/>
    </font>
    <font>
      <sz val="7"/>
      <name val="Verdana"/>
      <family val="2"/>
    </font>
    <font>
      <b/>
      <sz val="8"/>
      <name val="Verdana"/>
      <family val="2"/>
    </font>
    <font>
      <sz val="8"/>
      <name val="Verdana"/>
      <family val="2"/>
    </font>
    <font>
      <b/>
      <sz val="8"/>
      <color indexed="9"/>
      <name val="Verdana"/>
      <family val="2"/>
    </font>
    <font>
      <b/>
      <sz val="8"/>
      <color indexed="43"/>
      <name val="Verdana"/>
      <family val="2"/>
    </font>
    <font>
      <b/>
      <sz val="8"/>
      <color indexed="41"/>
      <name val="Verdana"/>
      <family val="2"/>
    </font>
    <font>
      <b/>
      <sz val="8"/>
      <color indexed="22"/>
      <name val="Verdana"/>
      <family val="2"/>
    </font>
    <font>
      <sz val="8"/>
      <color indexed="9"/>
      <name val="Verdana"/>
      <family val="2"/>
    </font>
    <font>
      <b/>
      <sz val="11"/>
      <name val="Verdana"/>
      <family val="2"/>
    </font>
    <font>
      <b/>
      <sz val="8"/>
      <color theme="8" tint="0.59999389629810485"/>
      <name val="Verdana"/>
      <family val="2"/>
    </font>
    <font>
      <b/>
      <sz val="11"/>
      <color rgb="FF3F3F3F"/>
      <name val="Calibri"/>
      <family val="2"/>
      <scheme val="minor"/>
    </font>
    <font>
      <b/>
      <sz val="11"/>
      <color theme="0"/>
      <name val="Calibri"/>
      <family val="2"/>
      <scheme val="minor"/>
    </font>
    <font>
      <b/>
      <sz val="14"/>
      <name val="Verdana"/>
      <family val="2"/>
    </font>
    <font>
      <sz val="10"/>
      <name val="Verdana"/>
      <family val="2"/>
    </font>
    <font>
      <b/>
      <sz val="8"/>
      <color indexed="10"/>
      <name val="Verdana"/>
      <family val="2"/>
    </font>
    <font>
      <b/>
      <sz val="8"/>
      <name val="Arial"/>
      <family val="2"/>
    </font>
    <font>
      <b/>
      <sz val="10"/>
      <name val="Arial"/>
      <family val="2"/>
    </font>
    <font>
      <b/>
      <sz val="12"/>
      <name val="Verdana"/>
      <family val="2"/>
    </font>
    <font>
      <sz val="10"/>
      <color rgb="FFFF0000"/>
      <name val="Verdana"/>
      <family val="2"/>
    </font>
    <font>
      <b/>
      <sz val="10"/>
      <color theme="0"/>
      <name val="Verdana"/>
      <family val="2"/>
    </font>
    <font>
      <b/>
      <sz val="7.5"/>
      <name val="Verdana"/>
      <family val="2"/>
    </font>
    <font>
      <sz val="7.5"/>
      <name val="Verdana"/>
      <family val="2"/>
    </font>
    <font>
      <sz val="11"/>
      <name val="Calibri"/>
      <family val="2"/>
    </font>
    <font>
      <sz val="22"/>
      <name val="Verdana"/>
      <family val="2"/>
    </font>
  </fonts>
  <fills count="13">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22"/>
        <bgColor indexed="64"/>
      </patternFill>
    </fill>
    <fill>
      <patternFill patternType="solid">
        <fgColor indexed="41"/>
        <bgColor indexed="64"/>
      </patternFill>
    </fill>
    <fill>
      <patternFill patternType="solid">
        <fgColor indexed="55"/>
        <bgColor indexed="64"/>
      </patternFill>
    </fill>
    <fill>
      <patternFill patternType="solid">
        <fgColor theme="0"/>
        <bgColor indexed="64"/>
      </patternFill>
    </fill>
    <fill>
      <patternFill patternType="solid">
        <fgColor rgb="FFF2F2F2"/>
      </patternFill>
    </fill>
    <fill>
      <patternFill patternType="solid">
        <fgColor rgb="FFA5A5A5"/>
      </patternFill>
    </fill>
    <fill>
      <patternFill patternType="solid">
        <fgColor theme="4" tint="0.79998168889431442"/>
        <bgColor indexed="64"/>
      </patternFill>
    </fill>
    <fill>
      <patternFill patternType="solid">
        <fgColor theme="4" tint="-0.499984740745262"/>
        <bgColor indexed="64"/>
      </patternFill>
    </fill>
    <fill>
      <patternFill patternType="solid">
        <fgColor theme="4" tint="0.39997558519241921"/>
        <bgColor indexed="64"/>
      </patternFill>
    </fill>
  </fills>
  <borders count="92">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bottom/>
      <diagonal/>
    </border>
    <border>
      <left style="thin">
        <color indexed="64"/>
      </left>
      <right style="hair">
        <color indexed="64"/>
      </right>
      <top style="hair">
        <color indexed="64"/>
      </top>
      <bottom style="hair">
        <color indexed="64"/>
      </bottom>
      <diagonal/>
    </border>
    <border>
      <left style="hair">
        <color indexed="64"/>
      </left>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style="thin">
        <color indexed="64"/>
      </bottom>
      <diagonal/>
    </border>
    <border>
      <left/>
      <right style="thin">
        <color indexed="64"/>
      </right>
      <top style="hair">
        <color indexed="64"/>
      </top>
      <bottom style="thin">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hair">
        <color indexed="64"/>
      </top>
      <bottom style="hair">
        <color indexed="64"/>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right/>
      <top/>
      <bottom style="hair">
        <color indexed="64"/>
      </bottom>
      <diagonal/>
    </border>
    <border>
      <left/>
      <right style="thin">
        <color indexed="64"/>
      </right>
      <top/>
      <bottom style="hair">
        <color indexed="64"/>
      </bottom>
      <diagonal/>
    </border>
    <border>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3F3F3F"/>
      </left>
      <right/>
      <top style="thin">
        <color rgb="FF3F3F3F"/>
      </top>
      <bottom style="thin">
        <color rgb="FF3F3F3F"/>
      </bottom>
      <diagonal/>
    </border>
    <border>
      <left/>
      <right style="medium">
        <color indexed="64"/>
      </right>
      <top style="thin">
        <color indexed="64"/>
      </top>
      <bottom style="medium">
        <color indexed="64"/>
      </bottom>
      <diagonal/>
    </border>
    <border>
      <left/>
      <right/>
      <top style="dashed">
        <color auto="1"/>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bottom/>
      <diagonal/>
    </border>
    <border>
      <left/>
      <right style="hair">
        <color indexed="64"/>
      </right>
      <top style="thin">
        <color indexed="64"/>
      </top>
      <bottom style="hair">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theme="3" tint="-0.24994659260841701"/>
      </right>
      <top/>
      <bottom style="thin">
        <color theme="3" tint="-0.24994659260841701"/>
      </bottom>
      <diagonal/>
    </border>
    <border>
      <left style="thin">
        <color theme="3" tint="-0.24994659260841701"/>
      </left>
      <right style="thin">
        <color theme="3" tint="-0.24994659260841701"/>
      </right>
      <top/>
      <bottom style="thin">
        <color theme="3" tint="-0.24994659260841701"/>
      </bottom>
      <diagonal/>
    </border>
    <border>
      <left style="thin">
        <color theme="3" tint="-0.24994659260841701"/>
      </left>
      <right/>
      <top/>
      <bottom style="thin">
        <color theme="3" tint="-0.24994659260841701"/>
      </bottom>
      <diagonal/>
    </border>
    <border>
      <left/>
      <right style="thin">
        <color theme="3" tint="-0.24994659260841701"/>
      </right>
      <top style="thin">
        <color theme="3" tint="-0.24994659260841701"/>
      </top>
      <bottom style="thin">
        <color theme="3" tint="-0.24994659260841701"/>
      </bottom>
      <diagonal/>
    </border>
    <border>
      <left style="thin">
        <color theme="3" tint="-0.24994659260841701"/>
      </left>
      <right style="thin">
        <color theme="3" tint="-0.24994659260841701"/>
      </right>
      <top style="thin">
        <color theme="3" tint="-0.24994659260841701"/>
      </top>
      <bottom style="thin">
        <color theme="3" tint="-0.24994659260841701"/>
      </bottom>
      <diagonal/>
    </border>
    <border>
      <left style="thin">
        <color theme="3" tint="-0.24994659260841701"/>
      </left>
      <right/>
      <top style="thin">
        <color theme="3" tint="-0.24994659260841701"/>
      </top>
      <bottom style="thin">
        <color theme="3" tint="-0.24994659260841701"/>
      </bottom>
      <diagonal/>
    </border>
    <border>
      <left/>
      <right style="thin">
        <color theme="3" tint="-0.24994659260841701"/>
      </right>
      <top style="thin">
        <color theme="3" tint="-0.24994659260841701"/>
      </top>
      <bottom/>
      <diagonal/>
    </border>
    <border>
      <left style="thin">
        <color theme="3" tint="-0.24994659260841701"/>
      </left>
      <right/>
      <top style="thin">
        <color theme="3" tint="-0.24994659260841701"/>
      </top>
      <bottom/>
      <diagonal/>
    </border>
    <border>
      <left/>
      <right style="thin">
        <color theme="3" tint="-0.24994659260841701"/>
      </right>
      <top style="thin">
        <color theme="3" tint="-0.24994659260841701"/>
      </top>
      <bottom style="thin">
        <color auto="1"/>
      </bottom>
      <diagonal/>
    </border>
    <border>
      <left style="thin">
        <color theme="3" tint="-0.24994659260841701"/>
      </left>
      <right/>
      <top style="thin">
        <color theme="3" tint="-0.24994659260841701"/>
      </top>
      <bottom style="thin">
        <color auto="1"/>
      </bottom>
      <diagonal/>
    </border>
    <border>
      <left/>
      <right style="thin">
        <color theme="3" tint="-0.24994659260841701"/>
      </right>
      <top/>
      <bottom/>
      <diagonal/>
    </border>
    <border>
      <left/>
      <right style="thin">
        <color theme="3" tint="-0.24994659260841701"/>
      </right>
      <top/>
      <bottom style="thin">
        <color auto="1"/>
      </bottom>
      <diagonal/>
    </border>
    <border>
      <left style="thin">
        <color theme="3" tint="-0.24994659260841701"/>
      </left>
      <right style="thin">
        <color theme="3" tint="-0.24994659260841701"/>
      </right>
      <top/>
      <bottom/>
      <diagonal/>
    </border>
    <border>
      <left style="thin">
        <color theme="3" tint="-0.24994659260841701"/>
      </left>
      <right style="thin">
        <color theme="3" tint="-0.24994659260841701"/>
      </right>
      <top/>
      <bottom style="thin">
        <color auto="1"/>
      </bottom>
      <diagonal/>
    </border>
    <border>
      <left style="thin">
        <color theme="3" tint="-0.24994659260841701"/>
      </left>
      <right/>
      <top/>
      <bottom style="thin">
        <color auto="1"/>
      </bottom>
      <diagonal/>
    </border>
    <border>
      <left/>
      <right style="thin">
        <color theme="3" tint="-0.24994659260841701"/>
      </right>
      <top style="thin">
        <color theme="3" tint="-0.24994659260841701"/>
      </top>
      <bottom style="medium">
        <color theme="3" tint="-0.24994659260841701"/>
      </bottom>
      <diagonal/>
    </border>
    <border>
      <left style="thin">
        <color theme="3" tint="-0.24994659260841701"/>
      </left>
      <right style="thin">
        <color theme="3" tint="-0.24994659260841701"/>
      </right>
      <top style="thin">
        <color theme="3" tint="-0.24994659260841701"/>
      </top>
      <bottom style="medium">
        <color theme="3" tint="-0.24994659260841701"/>
      </bottom>
      <diagonal/>
    </border>
    <border>
      <left style="thin">
        <color theme="3" tint="-0.24994659260841701"/>
      </left>
      <right/>
      <top style="thin">
        <color theme="3" tint="-0.24994659260841701"/>
      </top>
      <bottom style="medium">
        <color theme="3" tint="-0.24994659260841701"/>
      </bottom>
      <diagonal/>
    </border>
    <border>
      <left style="thin">
        <color indexed="64"/>
      </left>
      <right/>
      <top/>
      <bottom style="medium">
        <color theme="3" tint="-0.24994659260841701"/>
      </bottom>
      <diagonal/>
    </border>
    <border>
      <left/>
      <right/>
      <top/>
      <bottom style="medium">
        <color theme="3" tint="-0.24994659260841701"/>
      </bottom>
      <diagonal/>
    </border>
    <border>
      <left/>
      <right style="thin">
        <color theme="3" tint="-0.24994659260841701"/>
      </right>
      <top/>
      <bottom style="medium">
        <color theme="3" tint="-0.24994659260841701"/>
      </bottom>
      <diagonal/>
    </border>
    <border>
      <left style="double">
        <color rgb="FF3F3F3F"/>
      </left>
      <right/>
      <top style="double">
        <color rgb="FF3F3F3F"/>
      </top>
      <bottom style="double">
        <color rgb="FF3F3F3F"/>
      </bottom>
      <diagonal/>
    </border>
  </borders>
  <cellStyleXfs count="7">
    <xf numFmtId="0" fontId="0" fillId="0" borderId="0"/>
    <xf numFmtId="166" fontId="1" fillId="0" borderId="0" applyFont="0" applyFill="0" applyBorder="0" applyAlignment="0" applyProtection="0"/>
    <xf numFmtId="9" fontId="1" fillId="0" borderId="0" applyFont="0" applyFill="0" applyBorder="0" applyAlignment="0" applyProtection="0"/>
    <xf numFmtId="0" fontId="4" fillId="0" borderId="0"/>
    <xf numFmtId="0" fontId="16" fillId="8" borderId="54" applyNumberFormat="0" applyAlignment="0" applyProtection="0"/>
    <xf numFmtId="0" fontId="17" fillId="9" borderId="55" applyNumberFormat="0" applyAlignment="0" applyProtection="0"/>
    <xf numFmtId="0" fontId="19" fillId="0" borderId="0"/>
  </cellStyleXfs>
  <cellXfs count="457">
    <xf numFmtId="0" fontId="0" fillId="0" borderId="0" xfId="0"/>
    <xf numFmtId="0" fontId="3" fillId="0" borderId="0" xfId="0" applyFont="1"/>
    <xf numFmtId="0" fontId="6" fillId="2" borderId="0" xfId="0" applyFont="1" applyFill="1" applyAlignment="1">
      <alignment vertical="center"/>
    </xf>
    <xf numFmtId="0" fontId="6" fillId="2" borderId="0" xfId="0" applyFont="1" applyFill="1" applyAlignment="1">
      <alignment horizontal="center" vertical="center"/>
    </xf>
    <xf numFmtId="4" fontId="6" fillId="2" borderId="0" xfId="0" applyNumberFormat="1" applyFont="1" applyFill="1" applyAlignment="1">
      <alignment horizontal="center"/>
    </xf>
    <xf numFmtId="2" fontId="7" fillId="2" borderId="0" xfId="0" applyNumberFormat="1" applyFont="1" applyFill="1" applyBorder="1" applyAlignment="1">
      <alignment horizontal="center" vertical="center"/>
    </xf>
    <xf numFmtId="0" fontId="7" fillId="2" borderId="0" xfId="0" applyFont="1" applyFill="1" applyAlignment="1">
      <alignment vertical="center"/>
    </xf>
    <xf numFmtId="0" fontId="7" fillId="2" borderId="0" xfId="0" applyFont="1" applyFill="1" applyAlignment="1">
      <alignment horizontal="center" vertical="center"/>
    </xf>
    <xf numFmtId="167" fontId="7" fillId="2" borderId="0" xfId="0" applyNumberFormat="1" applyFont="1" applyFill="1" applyAlignment="1">
      <alignment vertical="center"/>
    </xf>
    <xf numFmtId="167" fontId="7" fillId="2" borderId="0" xfId="0" applyNumberFormat="1" applyFont="1" applyFill="1" applyAlignment="1">
      <alignment horizontal="center" vertical="center"/>
    </xf>
    <xf numFmtId="0" fontId="7" fillId="2" borderId="5" xfId="0" applyFont="1" applyFill="1" applyBorder="1" applyAlignment="1">
      <alignment horizontal="center" vertical="center"/>
    </xf>
    <xf numFmtId="0" fontId="7" fillId="2" borderId="5" xfId="0" applyNumberFormat="1" applyFont="1" applyFill="1" applyBorder="1" applyAlignment="1">
      <alignment horizontal="center" vertical="center"/>
    </xf>
    <xf numFmtId="0" fontId="8" fillId="2" borderId="0" xfId="0" applyFont="1" applyFill="1" applyAlignment="1">
      <alignment vertical="center"/>
    </xf>
    <xf numFmtId="0" fontId="8" fillId="2" borderId="0" xfId="0" applyFont="1" applyFill="1" applyAlignment="1">
      <alignment horizontal="center" vertical="center"/>
    </xf>
    <xf numFmtId="0" fontId="8" fillId="2" borderId="0" xfId="0" applyFont="1" applyFill="1" applyBorder="1" applyAlignment="1">
      <alignment horizontal="center" vertical="center"/>
    </xf>
    <xf numFmtId="168" fontId="7" fillId="2" borderId="5" xfId="2" applyNumberFormat="1" applyFont="1" applyFill="1" applyBorder="1" applyAlignment="1">
      <alignment horizontal="center" vertical="center"/>
    </xf>
    <xf numFmtId="0" fontId="3" fillId="2" borderId="0" xfId="0" applyFont="1" applyFill="1"/>
    <xf numFmtId="0" fontId="8" fillId="2" borderId="0" xfId="0" applyFont="1" applyFill="1" applyBorder="1" applyAlignment="1">
      <alignment vertical="center"/>
    </xf>
    <xf numFmtId="0" fontId="7" fillId="2" borderId="0" xfId="0" applyFont="1" applyFill="1" applyBorder="1" applyAlignment="1">
      <alignment horizontal="center" vertical="center"/>
    </xf>
    <xf numFmtId="168" fontId="8" fillId="2" borderId="0" xfId="2" applyNumberFormat="1" applyFont="1" applyFill="1" applyAlignment="1">
      <alignment vertical="center"/>
    </xf>
    <xf numFmtId="3" fontId="8" fillId="2" borderId="0" xfId="0" applyNumberFormat="1" applyFont="1" applyFill="1" applyAlignment="1">
      <alignment vertical="center"/>
    </xf>
    <xf numFmtId="0" fontId="10" fillId="2" borderId="0" xfId="0" applyFont="1" applyFill="1" applyBorder="1" applyAlignment="1">
      <alignment horizontal="center" vertical="center" wrapText="1"/>
    </xf>
    <xf numFmtId="171" fontId="7" fillId="2" borderId="6" xfId="1" applyNumberFormat="1" applyFont="1" applyFill="1" applyBorder="1" applyAlignment="1">
      <alignment horizontal="center" vertical="center"/>
    </xf>
    <xf numFmtId="171" fontId="7" fillId="2" borderId="0" xfId="1" applyNumberFormat="1" applyFont="1" applyFill="1" applyBorder="1" applyAlignment="1">
      <alignment vertical="center"/>
    </xf>
    <xf numFmtId="3" fontId="8" fillId="2" borderId="0" xfId="0" applyNumberFormat="1" applyFont="1" applyFill="1" applyBorder="1" applyAlignment="1">
      <alignment vertical="center"/>
    </xf>
    <xf numFmtId="168" fontId="8" fillId="2" borderId="1" xfId="0" applyNumberFormat="1" applyFont="1" applyFill="1" applyBorder="1" applyAlignment="1">
      <alignment horizontal="center" vertical="center"/>
    </xf>
    <xf numFmtId="3" fontId="8" fillId="2" borderId="0" xfId="0" applyNumberFormat="1" applyFont="1" applyFill="1" applyBorder="1" applyAlignment="1">
      <alignment horizontal="center" vertical="center"/>
    </xf>
    <xf numFmtId="0" fontId="7" fillId="2" borderId="0" xfId="0" applyFont="1" applyFill="1" applyBorder="1" applyAlignment="1">
      <alignment horizontal="center" vertical="center" wrapText="1"/>
    </xf>
    <xf numFmtId="10" fontId="8" fillId="2" borderId="0" xfId="2" applyNumberFormat="1" applyFont="1" applyFill="1" applyAlignment="1">
      <alignment vertical="center"/>
    </xf>
    <xf numFmtId="4" fontId="3" fillId="2" borderId="0" xfId="0" applyNumberFormat="1" applyFont="1" applyFill="1"/>
    <xf numFmtId="171" fontId="8" fillId="2" borderId="0" xfId="0" applyNumberFormat="1" applyFont="1" applyFill="1" applyAlignment="1">
      <alignment horizontal="center" vertical="center"/>
    </xf>
    <xf numFmtId="0" fontId="7" fillId="0" borderId="7" xfId="0" applyFont="1" applyBorder="1" applyAlignment="1">
      <alignment vertical="center"/>
    </xf>
    <xf numFmtId="169" fontId="7" fillId="0" borderId="8" xfId="0" applyNumberFormat="1" applyFont="1" applyBorder="1" applyAlignment="1">
      <alignment horizontal="center" vertical="center"/>
    </xf>
    <xf numFmtId="168" fontId="7" fillId="0" borderId="9" xfId="0" applyNumberFormat="1" applyFont="1" applyBorder="1" applyAlignment="1">
      <alignment horizontal="center" vertical="center"/>
    </xf>
    <xf numFmtId="168" fontId="7" fillId="3" borderId="11" xfId="0" applyNumberFormat="1" applyFont="1" applyFill="1" applyBorder="1" applyAlignment="1">
      <alignment horizontal="center" vertical="center"/>
    </xf>
    <xf numFmtId="9" fontId="8" fillId="2" borderId="0" xfId="0" applyNumberFormat="1" applyFont="1" applyFill="1" applyBorder="1" applyAlignment="1">
      <alignment horizontal="center" vertical="center"/>
    </xf>
    <xf numFmtId="10" fontId="8" fillId="2" borderId="0" xfId="0" applyNumberFormat="1" applyFont="1" applyFill="1" applyBorder="1" applyAlignment="1">
      <alignment horizontal="center" vertical="center"/>
    </xf>
    <xf numFmtId="0" fontId="8" fillId="0" borderId="3" xfId="0" applyFont="1" applyBorder="1" applyAlignment="1">
      <alignment vertical="center"/>
    </xf>
    <xf numFmtId="0" fontId="8" fillId="2" borderId="0" xfId="0" quotePrefix="1" applyFont="1" applyFill="1" applyBorder="1" applyAlignment="1">
      <alignment horizontal="center" vertical="center"/>
    </xf>
    <xf numFmtId="168" fontId="8" fillId="0" borderId="12" xfId="0" applyNumberFormat="1" applyFont="1" applyBorder="1" applyAlignment="1">
      <alignment horizontal="center" vertical="center"/>
    </xf>
    <xf numFmtId="0" fontId="8" fillId="0" borderId="13" xfId="0" applyFont="1" applyBorder="1" applyAlignment="1">
      <alignment vertical="center"/>
    </xf>
    <xf numFmtId="168" fontId="8" fillId="0" borderId="15" xfId="0" applyNumberFormat="1" applyFont="1" applyBorder="1" applyAlignment="1">
      <alignment horizontal="center" vertical="center"/>
    </xf>
    <xf numFmtId="170" fontId="2" fillId="4" borderId="0" xfId="0" applyNumberFormat="1" applyFont="1" applyFill="1" applyBorder="1"/>
    <xf numFmtId="0" fontId="8" fillId="0" borderId="16" xfId="0" applyFont="1" applyBorder="1" applyAlignment="1">
      <alignment vertical="center"/>
    </xf>
    <xf numFmtId="168" fontId="8" fillId="0" borderId="18" xfId="0" applyNumberFormat="1" applyFont="1" applyBorder="1" applyAlignment="1">
      <alignment horizontal="center" vertical="center"/>
    </xf>
    <xf numFmtId="0" fontId="8" fillId="0" borderId="19" xfId="0" applyFont="1" applyBorder="1" applyAlignment="1">
      <alignment vertical="center"/>
    </xf>
    <xf numFmtId="168" fontId="8" fillId="0" borderId="21" xfId="0" applyNumberFormat="1" applyFont="1" applyBorder="1" applyAlignment="1">
      <alignment horizontal="center" vertical="center"/>
    </xf>
    <xf numFmtId="168" fontId="8" fillId="2" borderId="0" xfId="0" quotePrefix="1" applyNumberFormat="1" applyFont="1" applyFill="1" applyBorder="1" applyAlignment="1">
      <alignment horizontal="center" vertical="center"/>
    </xf>
    <xf numFmtId="168" fontId="8" fillId="2" borderId="0" xfId="0" applyNumberFormat="1" applyFont="1" applyFill="1" applyBorder="1" applyAlignment="1">
      <alignment horizontal="center" vertical="center"/>
    </xf>
    <xf numFmtId="4" fontId="8" fillId="2" borderId="0" xfId="0" applyNumberFormat="1" applyFont="1" applyFill="1" applyBorder="1" applyAlignment="1">
      <alignment horizontal="center" vertical="center"/>
    </xf>
    <xf numFmtId="0" fontId="12" fillId="0" borderId="22" xfId="0" applyFont="1" applyBorder="1" applyAlignment="1">
      <alignment horizontal="center" vertical="center" wrapText="1"/>
    </xf>
    <xf numFmtId="0" fontId="7" fillId="0" borderId="9" xfId="0" applyFont="1" applyBorder="1" applyAlignment="1">
      <alignment vertical="center"/>
    </xf>
    <xf numFmtId="168" fontId="12" fillId="2" borderId="22" xfId="0" applyNumberFormat="1" applyFont="1" applyFill="1" applyBorder="1" applyAlignment="1">
      <alignment horizontal="center" vertical="center"/>
    </xf>
    <xf numFmtId="168" fontId="7" fillId="5" borderId="8" xfId="0" applyNumberFormat="1" applyFont="1" applyFill="1" applyBorder="1" applyAlignment="1">
      <alignment horizontal="center" vertical="center"/>
    </xf>
    <xf numFmtId="10" fontId="7" fillId="0" borderId="9" xfId="0" applyNumberFormat="1" applyFont="1" applyBorder="1" applyAlignment="1">
      <alignment horizontal="center" vertical="center"/>
    </xf>
    <xf numFmtId="168" fontId="7" fillId="0" borderId="12" xfId="0" applyNumberFormat="1" applyFont="1" applyFill="1" applyBorder="1" applyAlignment="1">
      <alignment horizontal="center" vertical="center"/>
    </xf>
    <xf numFmtId="168" fontId="7" fillId="0" borderId="18" xfId="0" applyNumberFormat="1" applyFont="1" applyFill="1" applyBorder="1" applyAlignment="1">
      <alignment horizontal="center" vertical="center"/>
    </xf>
    <xf numFmtId="10" fontId="8" fillId="2" borderId="0" xfId="0" applyNumberFormat="1" applyFont="1" applyFill="1" applyAlignment="1">
      <alignment vertical="center"/>
    </xf>
    <xf numFmtId="0" fontId="8" fillId="0" borderId="23" xfId="0" applyFont="1" applyBorder="1" applyAlignment="1">
      <alignment vertical="center"/>
    </xf>
    <xf numFmtId="168" fontId="7" fillId="0" borderId="21" xfId="0" applyNumberFormat="1" applyFont="1" applyFill="1" applyBorder="1" applyAlignment="1">
      <alignment horizontal="center" vertical="center"/>
    </xf>
    <xf numFmtId="0" fontId="8" fillId="2" borderId="0" xfId="0" applyFont="1" applyFill="1" applyAlignment="1">
      <alignment horizontal="right" vertical="center"/>
    </xf>
    <xf numFmtId="14" fontId="8" fillId="2" borderId="0" xfId="0" applyNumberFormat="1" applyFont="1" applyFill="1" applyAlignment="1">
      <alignment vertical="center"/>
    </xf>
    <xf numFmtId="0" fontId="6" fillId="2" borderId="0" xfId="0" applyFont="1" applyFill="1" applyBorder="1" applyAlignment="1">
      <alignment vertical="center"/>
    </xf>
    <xf numFmtId="0" fontId="13" fillId="2" borderId="0" xfId="0" applyFont="1" applyFill="1" applyAlignment="1">
      <alignment vertical="center"/>
    </xf>
    <xf numFmtId="0" fontId="13" fillId="2" borderId="0" xfId="0" applyFont="1" applyFill="1" applyBorder="1" applyAlignment="1">
      <alignment vertical="center"/>
    </xf>
    <xf numFmtId="168" fontId="3" fillId="2" borderId="0" xfId="2" applyNumberFormat="1" applyFont="1" applyFill="1"/>
    <xf numFmtId="168" fontId="3" fillId="2" borderId="0" xfId="0" applyNumberFormat="1" applyFont="1" applyFill="1"/>
    <xf numFmtId="9" fontId="7" fillId="0" borderId="9" xfId="0" applyNumberFormat="1" applyFont="1" applyFill="1" applyBorder="1" applyAlignment="1">
      <alignment horizontal="center" vertical="center"/>
    </xf>
    <xf numFmtId="9" fontId="8" fillId="0" borderId="28" xfId="0" applyNumberFormat="1" applyFont="1" applyFill="1" applyBorder="1" applyAlignment="1">
      <alignment horizontal="center" vertical="center"/>
    </xf>
    <xf numFmtId="168" fontId="8" fillId="0" borderId="29" xfId="0" applyNumberFormat="1" applyFont="1" applyFill="1" applyBorder="1" applyAlignment="1">
      <alignment horizontal="center" vertical="center"/>
    </xf>
    <xf numFmtId="168" fontId="8" fillId="0" borderId="23" xfId="0" applyNumberFormat="1" applyFont="1" applyFill="1" applyBorder="1" applyAlignment="1">
      <alignment horizontal="center" vertical="center"/>
    </xf>
    <xf numFmtId="168" fontId="8" fillId="0" borderId="30" xfId="0" applyNumberFormat="1" applyFont="1" applyFill="1" applyBorder="1" applyAlignment="1">
      <alignment horizontal="center" vertical="center"/>
    </xf>
    <xf numFmtId="10" fontId="8" fillId="0" borderId="28" xfId="0" applyNumberFormat="1" applyFont="1" applyBorder="1" applyAlignment="1">
      <alignment horizontal="center" vertical="center"/>
    </xf>
    <xf numFmtId="10" fontId="8" fillId="0" borderId="23" xfId="0" applyNumberFormat="1" applyFont="1" applyBorder="1" applyAlignment="1">
      <alignment horizontal="center" vertical="center"/>
    </xf>
    <xf numFmtId="10" fontId="8" fillId="0" borderId="31" xfId="0" applyNumberFormat="1" applyFont="1" applyBorder="1" applyAlignment="1">
      <alignment horizontal="center" vertical="center"/>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4" xfId="0" applyFont="1" applyFill="1" applyBorder="1" applyAlignment="1">
      <alignment horizontal="center" vertical="center" wrapText="1"/>
    </xf>
    <xf numFmtId="0" fontId="7" fillId="0" borderId="9" xfId="0" applyFont="1" applyFill="1" applyBorder="1" applyAlignment="1">
      <alignment horizontal="center" vertical="center" wrapText="1"/>
    </xf>
    <xf numFmtId="170" fontId="7" fillId="0" borderId="7" xfId="0" applyNumberFormat="1" applyFont="1" applyFill="1" applyBorder="1" applyAlignment="1">
      <alignment horizontal="center" vertical="center"/>
    </xf>
    <xf numFmtId="3" fontId="7" fillId="0" borderId="4" xfId="0" applyNumberFormat="1" applyFont="1" applyFill="1" applyBorder="1" applyAlignment="1">
      <alignment horizontal="center" vertical="center"/>
    </xf>
    <xf numFmtId="169" fontId="7" fillId="0" borderId="4" xfId="0" applyNumberFormat="1" applyFont="1" applyFill="1" applyBorder="1" applyAlignment="1">
      <alignment horizontal="center" vertical="center"/>
    </xf>
    <xf numFmtId="0" fontId="9" fillId="4" borderId="5" xfId="0" applyFont="1" applyFill="1" applyBorder="1" applyAlignment="1">
      <alignment horizontal="center" vertical="center"/>
    </xf>
    <xf numFmtId="0" fontId="3" fillId="7" borderId="0" xfId="0" applyFont="1" applyFill="1" applyBorder="1"/>
    <xf numFmtId="0" fontId="8" fillId="7" borderId="0" xfId="0" applyFont="1" applyFill="1" applyAlignment="1">
      <alignment vertical="center"/>
    </xf>
    <xf numFmtId="0" fontId="8" fillId="7" borderId="0" xfId="0" applyFont="1" applyFill="1" applyBorder="1" applyAlignment="1">
      <alignment horizontal="center" vertical="center"/>
    </xf>
    <xf numFmtId="0" fontId="8" fillId="7" borderId="0" xfId="0" applyFont="1" applyFill="1" applyBorder="1" applyAlignment="1">
      <alignment vertical="center"/>
    </xf>
    <xf numFmtId="0" fontId="10" fillId="7" borderId="0" xfId="0" applyFont="1" applyFill="1" applyBorder="1" applyAlignment="1">
      <alignment horizontal="center" vertical="center" wrapText="1"/>
    </xf>
    <xf numFmtId="0" fontId="9" fillId="6" borderId="5" xfId="0" applyFont="1" applyFill="1" applyBorder="1" applyAlignment="1">
      <alignment vertical="center"/>
    </xf>
    <xf numFmtId="0" fontId="9" fillId="6" borderId="5" xfId="0" applyFont="1" applyFill="1" applyBorder="1" applyAlignment="1">
      <alignment horizontal="center" vertical="center"/>
    </xf>
    <xf numFmtId="0" fontId="9" fillId="7" borderId="0" xfId="0" applyFont="1" applyFill="1" applyBorder="1" applyAlignment="1">
      <alignment vertical="center"/>
    </xf>
    <xf numFmtId="0" fontId="8" fillId="7" borderId="0" xfId="0" applyFont="1" applyFill="1" applyBorder="1" applyAlignment="1">
      <alignment horizontal="left"/>
    </xf>
    <xf numFmtId="0" fontId="7" fillId="7" borderId="0" xfId="0" applyFont="1" applyFill="1" applyBorder="1" applyAlignment="1">
      <alignment horizontal="left"/>
    </xf>
    <xf numFmtId="10" fontId="17" fillId="9" borderId="55" xfId="5" applyNumberFormat="1" applyAlignment="1">
      <alignment horizontal="center" vertical="center"/>
    </xf>
    <xf numFmtId="170" fontId="16" fillId="8" borderId="54" xfId="4" applyNumberFormat="1" applyAlignment="1">
      <alignment horizontal="right"/>
    </xf>
    <xf numFmtId="0" fontId="16" fillId="8" borderId="54" xfId="4"/>
    <xf numFmtId="10" fontId="16" fillId="8" borderId="54" xfId="4" applyNumberFormat="1" applyAlignment="1">
      <alignment horizontal="center" vertical="center"/>
    </xf>
    <xf numFmtId="0" fontId="17" fillId="9" borderId="55" xfId="5" applyAlignment="1">
      <alignment vertical="center"/>
    </xf>
    <xf numFmtId="10" fontId="16" fillId="8" borderId="54" xfId="4" applyNumberFormat="1" applyAlignment="1">
      <alignment vertical="center"/>
    </xf>
    <xf numFmtId="10" fontId="17" fillId="9" borderId="55" xfId="5" applyNumberFormat="1" applyAlignment="1">
      <alignment vertical="center"/>
    </xf>
    <xf numFmtId="170" fontId="3" fillId="0" borderId="0" xfId="0" applyNumberFormat="1" applyFont="1"/>
    <xf numFmtId="165" fontId="0" fillId="0" borderId="0" xfId="1" applyNumberFormat="1" applyFont="1"/>
    <xf numFmtId="0" fontId="0" fillId="0" borderId="0" xfId="0" applyNumberFormat="1"/>
    <xf numFmtId="165" fontId="0" fillId="0" borderId="0" xfId="0" applyNumberFormat="1"/>
    <xf numFmtId="0" fontId="0" fillId="0" borderId="0" xfId="1" applyNumberFormat="1" applyFont="1"/>
    <xf numFmtId="0" fontId="8" fillId="2" borderId="58" xfId="0" applyFont="1" applyFill="1" applyBorder="1" applyAlignment="1">
      <alignment horizontal="center" vertical="center"/>
    </xf>
    <xf numFmtId="0" fontId="8" fillId="7" borderId="58" xfId="0" applyFont="1" applyFill="1" applyBorder="1" applyAlignment="1">
      <alignment horizontal="center" vertical="center"/>
    </xf>
    <xf numFmtId="0" fontId="8" fillId="2" borderId="58" xfId="0" applyFont="1" applyFill="1" applyBorder="1" applyAlignment="1">
      <alignment vertical="center"/>
    </xf>
    <xf numFmtId="170" fontId="3" fillId="7" borderId="0" xfId="0" applyNumberFormat="1" applyFont="1" applyFill="1"/>
    <xf numFmtId="0" fontId="7" fillId="0" borderId="59" xfId="0" applyFont="1" applyFill="1" applyBorder="1" applyAlignment="1">
      <alignment horizontal="center" vertical="center"/>
    </xf>
    <xf numFmtId="0" fontId="8" fillId="4" borderId="5" xfId="0" applyFont="1" applyFill="1" applyBorder="1" applyAlignment="1">
      <alignment horizontal="center" vertical="center"/>
    </xf>
    <xf numFmtId="0" fontId="8" fillId="2" borderId="5" xfId="0" applyNumberFormat="1" applyFont="1" applyFill="1" applyBorder="1" applyAlignment="1">
      <alignment horizontal="center" vertical="center"/>
    </xf>
    <xf numFmtId="0" fontId="21" fillId="2" borderId="0" xfId="0" applyFont="1" applyFill="1" applyAlignment="1">
      <alignment vertical="center"/>
    </xf>
    <xf numFmtId="3" fontId="7" fillId="0" borderId="60" xfId="0" applyNumberFormat="1" applyFont="1" applyFill="1" applyBorder="1" applyAlignment="1">
      <alignment horizontal="center" vertical="center"/>
    </xf>
    <xf numFmtId="169" fontId="7" fillId="0" borderId="60" xfId="0" applyNumberFormat="1" applyFont="1" applyFill="1" applyBorder="1" applyAlignment="1">
      <alignment horizontal="center" vertical="center"/>
    </xf>
    <xf numFmtId="0" fontId="0" fillId="2" borderId="0" xfId="0" applyFill="1"/>
    <xf numFmtId="167" fontId="21" fillId="2" borderId="0" xfId="0" applyNumberFormat="1" applyFont="1" applyFill="1" applyAlignment="1">
      <alignment vertical="center"/>
    </xf>
    <xf numFmtId="0" fontId="5" fillId="2" borderId="0" xfId="0" applyFont="1" applyFill="1" applyAlignment="1">
      <alignment vertical="center"/>
    </xf>
    <xf numFmtId="0" fontId="5" fillId="2" borderId="22" xfId="0" applyFont="1" applyFill="1" applyBorder="1" applyAlignment="1">
      <alignment vertical="center"/>
    </xf>
    <xf numFmtId="0" fontId="5" fillId="2" borderId="0" xfId="0" applyFont="1" applyFill="1" applyBorder="1" applyAlignment="1">
      <alignment vertical="center"/>
    </xf>
    <xf numFmtId="0" fontId="5" fillId="2" borderId="61" xfId="0" applyFont="1" applyFill="1" applyBorder="1" applyAlignment="1">
      <alignment vertical="center"/>
    </xf>
    <xf numFmtId="0" fontId="7" fillId="0" borderId="11"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5" fillId="2" borderId="0" xfId="0" applyFont="1" applyFill="1" applyAlignment="1">
      <alignment horizontal="center" vertical="center"/>
    </xf>
    <xf numFmtId="9" fontId="7" fillId="0" borderId="10" xfId="0" applyNumberFormat="1" applyFont="1" applyFill="1" applyBorder="1" applyAlignment="1">
      <alignment horizontal="center" vertical="center"/>
    </xf>
    <xf numFmtId="9" fontId="8" fillId="0" borderId="12" xfId="0" applyNumberFormat="1" applyFont="1" applyFill="1" applyBorder="1" applyAlignment="1">
      <alignment horizontal="center" vertical="center"/>
    </xf>
    <xf numFmtId="170" fontId="22" fillId="2" borderId="0" xfId="0" applyNumberFormat="1" applyFont="1" applyFill="1" applyBorder="1"/>
    <xf numFmtId="168" fontId="8" fillId="0" borderId="14" xfId="0" applyNumberFormat="1" applyFont="1" applyFill="1" applyBorder="1" applyAlignment="1">
      <alignment horizontal="center" vertical="center"/>
    </xf>
    <xf numFmtId="168" fontId="8" fillId="0" borderId="17" xfId="0" applyNumberFormat="1" applyFont="1" applyFill="1" applyBorder="1" applyAlignment="1">
      <alignment horizontal="center" vertical="center"/>
    </xf>
    <xf numFmtId="168" fontId="8" fillId="0" borderId="20" xfId="0" applyNumberFormat="1" applyFont="1" applyFill="1" applyBorder="1" applyAlignment="1">
      <alignment horizontal="center" vertical="center"/>
    </xf>
    <xf numFmtId="168" fontId="7" fillId="5" borderId="24" xfId="0" applyNumberFormat="1" applyFont="1" applyFill="1" applyBorder="1" applyAlignment="1">
      <alignment horizontal="center" vertical="center"/>
    </xf>
    <xf numFmtId="10" fontId="7" fillId="0" borderId="10" xfId="0" applyNumberFormat="1" applyFont="1" applyBorder="1" applyAlignment="1">
      <alignment horizontal="center" vertical="center"/>
    </xf>
    <xf numFmtId="0" fontId="7" fillId="0" borderId="44" xfId="0" applyFont="1" applyBorder="1" applyAlignment="1">
      <alignment vertical="center"/>
    </xf>
    <xf numFmtId="168" fontId="7" fillId="5" borderId="12" xfId="0" applyNumberFormat="1" applyFont="1" applyFill="1" applyBorder="1" applyAlignment="1">
      <alignment horizontal="center" vertical="center"/>
    </xf>
    <xf numFmtId="10" fontId="8" fillId="0" borderId="12" xfId="0" applyNumberFormat="1" applyFont="1" applyBorder="1" applyAlignment="1">
      <alignment horizontal="center" vertical="center"/>
    </xf>
    <xf numFmtId="10" fontId="8" fillId="0" borderId="18" xfId="0" applyNumberFormat="1" applyFont="1" applyBorder="1" applyAlignment="1">
      <alignment horizontal="center" vertical="center"/>
    </xf>
    <xf numFmtId="10" fontId="8" fillId="0" borderId="43" xfId="0" applyNumberFormat="1" applyFont="1" applyBorder="1" applyAlignment="1">
      <alignment horizontal="center" vertical="center"/>
    </xf>
    <xf numFmtId="0" fontId="5" fillId="2" borderId="0" xfId="0" applyFont="1" applyFill="1" applyBorder="1" applyAlignment="1">
      <alignment horizontal="center" vertical="center"/>
    </xf>
    <xf numFmtId="168" fontId="5" fillId="2" borderId="0" xfId="0" quotePrefix="1" applyNumberFormat="1" applyFont="1" applyFill="1" applyBorder="1" applyAlignment="1">
      <alignment horizontal="center" vertical="center"/>
    </xf>
    <xf numFmtId="3" fontId="5" fillId="2" borderId="0" xfId="0" applyNumberFormat="1" applyFont="1" applyFill="1" applyBorder="1" applyAlignment="1">
      <alignment horizontal="center" vertical="center"/>
    </xf>
    <xf numFmtId="168" fontId="5" fillId="2" borderId="0" xfId="0" applyNumberFormat="1" applyFont="1" applyFill="1" applyBorder="1" applyAlignment="1">
      <alignment horizontal="center" vertical="center"/>
    </xf>
    <xf numFmtId="4" fontId="5" fillId="2" borderId="0" xfId="0" applyNumberFormat="1" applyFont="1" applyFill="1" applyBorder="1" applyAlignment="1">
      <alignment horizontal="center" vertical="center"/>
    </xf>
    <xf numFmtId="49" fontId="7" fillId="0" borderId="0" xfId="0" applyNumberFormat="1" applyFont="1" applyFill="1" applyBorder="1" applyAlignment="1">
      <alignment vertical="center"/>
    </xf>
    <xf numFmtId="49" fontId="7" fillId="0" borderId="5" xfId="0" applyNumberFormat="1" applyFont="1" applyFill="1" applyBorder="1" applyAlignment="1">
      <alignment vertical="center"/>
    </xf>
    <xf numFmtId="0" fontId="7" fillId="7" borderId="0" xfId="0" applyFont="1" applyFill="1" applyBorder="1" applyAlignment="1">
      <alignment horizontal="center" vertical="center"/>
    </xf>
    <xf numFmtId="169" fontId="7" fillId="7" borderId="0" xfId="0" applyNumberFormat="1" applyFont="1" applyFill="1" applyBorder="1" applyAlignment="1">
      <alignment horizontal="center" vertical="center"/>
    </xf>
    <xf numFmtId="0" fontId="9" fillId="7" borderId="0" xfId="0" applyFont="1" applyFill="1" applyBorder="1" applyAlignment="1">
      <alignment horizontal="center" vertical="center"/>
    </xf>
    <xf numFmtId="168" fontId="7" fillId="7" borderId="0" xfId="2" applyNumberFormat="1" applyFont="1" applyFill="1" applyBorder="1" applyAlignment="1">
      <alignment horizontal="center" vertical="center"/>
    </xf>
    <xf numFmtId="3" fontId="8" fillId="7" borderId="0" xfId="0" applyNumberFormat="1" applyFont="1" applyFill="1" applyBorder="1" applyAlignment="1">
      <alignment vertical="center"/>
    </xf>
    <xf numFmtId="168" fontId="8" fillId="7" borderId="0" xfId="0" applyNumberFormat="1" applyFont="1" applyFill="1" applyBorder="1" applyAlignment="1">
      <alignment horizontal="center" vertical="center"/>
    </xf>
    <xf numFmtId="0" fontId="7" fillId="7" borderId="0" xfId="0" applyFont="1" applyFill="1" applyBorder="1" applyAlignment="1">
      <alignment horizontal="center" vertical="center" wrapText="1"/>
    </xf>
    <xf numFmtId="3" fontId="7" fillId="7" borderId="0" xfId="0" applyNumberFormat="1" applyFont="1" applyFill="1" applyBorder="1" applyAlignment="1">
      <alignment horizontal="right" vertical="center" indent="5"/>
    </xf>
    <xf numFmtId="3" fontId="8" fillId="7" borderId="0" xfId="0" applyNumberFormat="1" applyFont="1" applyFill="1" applyBorder="1" applyAlignment="1">
      <alignment horizontal="right" vertical="center" indent="5"/>
    </xf>
    <xf numFmtId="4" fontId="8" fillId="7" borderId="0" xfId="0" applyNumberFormat="1" applyFont="1" applyFill="1" applyBorder="1" applyAlignment="1">
      <alignment horizontal="center" vertical="center"/>
    </xf>
    <xf numFmtId="4" fontId="5" fillId="7" borderId="0" xfId="0" applyNumberFormat="1" applyFont="1" applyFill="1" applyBorder="1" applyAlignment="1">
      <alignment horizontal="center" vertical="center"/>
    </xf>
    <xf numFmtId="0" fontId="5" fillId="7" borderId="0" xfId="0" applyFont="1" applyFill="1" applyBorder="1" applyAlignment="1">
      <alignment vertical="center"/>
    </xf>
    <xf numFmtId="0" fontId="20" fillId="2" borderId="35" xfId="0" applyFont="1" applyFill="1" applyBorder="1" applyAlignment="1">
      <alignment horizontal="center" vertical="center"/>
    </xf>
    <xf numFmtId="168" fontId="8" fillId="2" borderId="35" xfId="2" applyNumberFormat="1" applyFont="1" applyFill="1" applyBorder="1" applyAlignment="1">
      <alignment horizontal="center" vertical="center"/>
    </xf>
    <xf numFmtId="0" fontId="3" fillId="0" borderId="0" xfId="0" applyNumberFormat="1" applyFont="1"/>
    <xf numFmtId="0" fontId="7" fillId="0" borderId="7" xfId="0" applyNumberFormat="1" applyFont="1" applyFill="1" applyBorder="1" applyAlignment="1">
      <alignment horizontal="center" vertical="center"/>
    </xf>
    <xf numFmtId="49" fontId="7" fillId="7" borderId="0" xfId="0" applyNumberFormat="1" applyFont="1" applyFill="1" applyBorder="1" applyAlignment="1">
      <alignment vertical="center"/>
    </xf>
    <xf numFmtId="0" fontId="6" fillId="7" borderId="0" xfId="0" applyFont="1" applyFill="1" applyBorder="1" applyAlignment="1">
      <alignment vertical="center"/>
    </xf>
    <xf numFmtId="170" fontId="7" fillId="7" borderId="0" xfId="0" applyNumberFormat="1" applyFont="1" applyFill="1" applyBorder="1" applyAlignment="1">
      <alignment horizontal="center" vertical="center"/>
    </xf>
    <xf numFmtId="0" fontId="6" fillId="7" borderId="0" xfId="0" applyFont="1" applyFill="1" applyBorder="1" applyAlignment="1">
      <alignment horizontal="center" vertical="center"/>
    </xf>
    <xf numFmtId="0" fontId="7" fillId="5" borderId="7" xfId="0" applyFont="1" applyFill="1" applyBorder="1" applyAlignment="1">
      <alignment horizontal="center" vertical="center" wrapText="1"/>
    </xf>
    <xf numFmtId="0" fontId="10" fillId="6" borderId="7"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11" fillId="6" borderId="7" xfId="0" applyFont="1" applyFill="1" applyBorder="1" applyAlignment="1">
      <alignment horizontal="center" vertical="center" wrapText="1"/>
    </xf>
    <xf numFmtId="170" fontId="8" fillId="2" borderId="0" xfId="0" applyNumberFormat="1" applyFont="1" applyFill="1" applyAlignment="1">
      <alignment horizontal="center" vertical="center"/>
    </xf>
    <xf numFmtId="165" fontId="8" fillId="2" borderId="0" xfId="0" applyNumberFormat="1" applyFont="1" applyFill="1" applyBorder="1" applyAlignment="1">
      <alignment horizontal="center" vertical="center"/>
    </xf>
    <xf numFmtId="165" fontId="7" fillId="0" borderId="24" xfId="0" applyNumberFormat="1" applyFont="1" applyFill="1" applyBorder="1" applyAlignment="1">
      <alignment horizontal="center" vertical="center" wrapText="1"/>
    </xf>
    <xf numFmtId="165" fontId="7" fillId="0" borderId="1" xfId="0" applyNumberFormat="1" applyFont="1" applyFill="1" applyBorder="1" applyAlignment="1">
      <alignment horizontal="center" vertical="center"/>
    </xf>
    <xf numFmtId="0" fontId="9" fillId="4" borderId="5" xfId="0" applyNumberFormat="1" applyFont="1" applyFill="1" applyBorder="1" applyAlignment="1">
      <alignment vertical="center"/>
    </xf>
    <xf numFmtId="49" fontId="10" fillId="6" borderId="35" xfId="0" applyNumberFormat="1" applyFont="1" applyFill="1" applyBorder="1" applyAlignment="1">
      <alignment horizontal="center" vertical="center" wrapText="1"/>
    </xf>
    <xf numFmtId="49" fontId="11" fillId="6" borderId="35" xfId="0" applyNumberFormat="1" applyFont="1" applyFill="1" applyBorder="1" applyAlignment="1">
      <alignment horizontal="center" vertical="center" wrapText="1"/>
    </xf>
    <xf numFmtId="49" fontId="7" fillId="3" borderId="35" xfId="0" applyNumberFormat="1" applyFont="1" applyFill="1" applyBorder="1" applyAlignment="1">
      <alignment horizontal="center" vertical="center"/>
    </xf>
    <xf numFmtId="49" fontId="7" fillId="5" borderId="35" xfId="0" applyNumberFormat="1" applyFont="1" applyFill="1" applyBorder="1" applyAlignment="1">
      <alignment horizontal="center" vertical="center"/>
    </xf>
    <xf numFmtId="0" fontId="8" fillId="0" borderId="13" xfId="0" quotePrefix="1" applyFont="1" applyBorder="1" applyAlignment="1">
      <alignment vertical="center"/>
    </xf>
    <xf numFmtId="0" fontId="8" fillId="2" borderId="0" xfId="0" applyFont="1" applyFill="1" applyAlignment="1">
      <alignment horizontal="left" vertical="center"/>
    </xf>
    <xf numFmtId="170" fontId="2" fillId="0" borderId="0" xfId="0" applyNumberFormat="1" applyFont="1"/>
    <xf numFmtId="172" fontId="7" fillId="3" borderId="10" xfId="0" applyNumberFormat="1" applyFont="1" applyFill="1" applyBorder="1" applyAlignment="1">
      <alignment horizontal="center" vertical="center"/>
    </xf>
    <xf numFmtId="172" fontId="7" fillId="5" borderId="10" xfId="1" applyNumberFormat="1" applyFont="1" applyFill="1" applyBorder="1" applyAlignment="1">
      <alignment horizontal="center" vertical="center"/>
    </xf>
    <xf numFmtId="170" fontId="3" fillId="0" borderId="0" xfId="0" applyNumberFormat="1" applyFont="1" applyFill="1"/>
    <xf numFmtId="168" fontId="8" fillId="7" borderId="0" xfId="0" quotePrefix="1" applyNumberFormat="1" applyFont="1" applyFill="1" applyBorder="1" applyAlignment="1">
      <alignment horizontal="center" vertical="center"/>
    </xf>
    <xf numFmtId="165" fontId="8" fillId="7" borderId="0" xfId="0" applyNumberFormat="1" applyFont="1" applyFill="1" applyBorder="1" applyAlignment="1">
      <alignment horizontal="center" vertical="center"/>
    </xf>
    <xf numFmtId="9" fontId="8" fillId="7" borderId="0" xfId="0" applyNumberFormat="1" applyFont="1" applyFill="1" applyBorder="1" applyAlignment="1">
      <alignment horizontal="center" vertical="center"/>
    </xf>
    <xf numFmtId="10" fontId="8" fillId="7" borderId="0" xfId="0" applyNumberFormat="1" applyFont="1" applyFill="1" applyBorder="1" applyAlignment="1">
      <alignment horizontal="center" vertical="center"/>
    </xf>
    <xf numFmtId="172" fontId="7" fillId="0" borderId="11" xfId="0" applyNumberFormat="1" applyFont="1" applyBorder="1" applyAlignment="1">
      <alignment horizontal="center" vertical="center"/>
    </xf>
    <xf numFmtId="172" fontId="7" fillId="0" borderId="24" xfId="0" applyNumberFormat="1" applyFont="1" applyFill="1" applyBorder="1" applyAlignment="1">
      <alignment horizontal="center" vertical="center"/>
    </xf>
    <xf numFmtId="172" fontId="8" fillId="0" borderId="25" xfId="0" applyNumberFormat="1" applyFont="1" applyBorder="1" applyAlignment="1">
      <alignment horizontal="center" vertical="center"/>
    </xf>
    <xf numFmtId="172" fontId="8" fillId="0" borderId="26" xfId="0" applyNumberFormat="1" applyFont="1" applyBorder="1" applyAlignment="1">
      <alignment horizontal="center" vertical="center"/>
    </xf>
    <xf numFmtId="172" fontId="8" fillId="0" borderId="27" xfId="0" applyNumberFormat="1" applyFont="1" applyBorder="1" applyAlignment="1">
      <alignment horizontal="center" vertical="center"/>
    </xf>
    <xf numFmtId="172" fontId="8" fillId="0" borderId="12" xfId="0" applyNumberFormat="1" applyFont="1" applyBorder="1" applyAlignment="1">
      <alignment horizontal="center" vertical="center"/>
    </xf>
    <xf numFmtId="172" fontId="8" fillId="0" borderId="14" xfId="0" applyNumberFormat="1" applyFont="1" applyBorder="1" applyAlignment="1">
      <alignment horizontal="center" vertical="center"/>
    </xf>
    <xf numFmtId="172" fontId="8" fillId="0" borderId="17" xfId="0" applyNumberFormat="1" applyFont="1" applyBorder="1" applyAlignment="1">
      <alignment horizontal="center" vertical="center"/>
    </xf>
    <xf numFmtId="172" fontId="8" fillId="0" borderId="20" xfId="0" applyNumberFormat="1" applyFont="1" applyBorder="1" applyAlignment="1">
      <alignment horizontal="center" vertical="center"/>
    </xf>
    <xf numFmtId="172" fontId="8" fillId="0" borderId="12" xfId="1" applyNumberFormat="1" applyFont="1" applyFill="1" applyBorder="1" applyAlignment="1">
      <alignment horizontal="center" vertical="center"/>
    </xf>
    <xf numFmtId="172" fontId="8" fillId="0" borderId="18" xfId="1" applyNumberFormat="1" applyFont="1" applyFill="1" applyBorder="1" applyAlignment="1">
      <alignment horizontal="center" vertical="center"/>
    </xf>
    <xf numFmtId="172" fontId="8" fillId="0" borderId="21" xfId="1" applyNumberFormat="1" applyFont="1" applyFill="1" applyBorder="1" applyAlignment="1">
      <alignment horizontal="center" vertical="center"/>
    </xf>
    <xf numFmtId="172" fontId="8" fillId="0" borderId="25" xfId="0" applyNumberFormat="1" applyFont="1" applyFill="1" applyBorder="1" applyAlignment="1">
      <alignment horizontal="center" vertical="center"/>
    </xf>
    <xf numFmtId="172" fontId="8" fillId="0" borderId="26" xfId="0" applyNumberFormat="1" applyFont="1" applyFill="1" applyBorder="1" applyAlignment="1">
      <alignment horizontal="center" vertical="center"/>
    </xf>
    <xf numFmtId="172" fontId="8" fillId="0" borderId="27" xfId="0" applyNumberFormat="1" applyFont="1" applyFill="1" applyBorder="1" applyAlignment="1">
      <alignment horizontal="center" vertical="center"/>
    </xf>
    <xf numFmtId="171" fontId="7" fillId="2" borderId="0" xfId="1" applyNumberFormat="1" applyFont="1" applyFill="1" applyBorder="1" applyAlignment="1">
      <alignment horizontal="center" vertical="center"/>
    </xf>
    <xf numFmtId="171" fontId="7" fillId="2" borderId="63" xfId="1" applyNumberFormat="1" applyFont="1" applyFill="1" applyBorder="1" applyAlignment="1">
      <alignment horizontal="center" vertical="center"/>
    </xf>
    <xf numFmtId="171" fontId="7" fillId="2" borderId="64" xfId="1" applyNumberFormat="1" applyFont="1" applyFill="1" applyBorder="1" applyAlignment="1">
      <alignment horizontal="center" vertical="center"/>
    </xf>
    <xf numFmtId="171" fontId="7" fillId="2" borderId="52" xfId="1" applyNumberFormat="1" applyFont="1" applyFill="1" applyBorder="1" applyAlignment="1">
      <alignment horizontal="center" vertical="center"/>
    </xf>
    <xf numFmtId="171" fontId="7" fillId="2" borderId="53" xfId="1" applyNumberFormat="1" applyFont="1" applyFill="1" applyBorder="1" applyAlignment="1">
      <alignment horizontal="center" vertical="center"/>
    </xf>
    <xf numFmtId="172" fontId="7" fillId="3" borderId="10" xfId="1" applyNumberFormat="1" applyFont="1" applyFill="1" applyBorder="1" applyAlignment="1">
      <alignment horizontal="center" vertical="center"/>
    </xf>
    <xf numFmtId="172" fontId="7" fillId="0" borderId="11" xfId="1" applyNumberFormat="1" applyFont="1" applyBorder="1" applyAlignment="1">
      <alignment horizontal="center" vertical="center"/>
    </xf>
    <xf numFmtId="172" fontId="8" fillId="0" borderId="14" xfId="1" applyNumberFormat="1" applyFont="1" applyBorder="1" applyAlignment="1">
      <alignment horizontal="center" vertical="center"/>
    </xf>
    <xf numFmtId="172" fontId="8" fillId="0" borderId="17" xfId="1" applyNumberFormat="1" applyFont="1" applyBorder="1" applyAlignment="1">
      <alignment horizontal="center" vertical="center"/>
    </xf>
    <xf numFmtId="172" fontId="8" fillId="0" borderId="20" xfId="1" applyNumberFormat="1" applyFont="1" applyBorder="1" applyAlignment="1">
      <alignment horizontal="center" vertical="center"/>
    </xf>
    <xf numFmtId="172" fontId="7" fillId="0" borderId="11" xfId="0" applyNumberFormat="1" applyFont="1" applyFill="1" applyBorder="1" applyAlignment="1">
      <alignment horizontal="center" vertical="center"/>
    </xf>
    <xf numFmtId="172" fontId="8" fillId="0" borderId="18" xfId="0" applyNumberFormat="1" applyFont="1" applyBorder="1" applyAlignment="1">
      <alignment horizontal="center" vertical="center"/>
    </xf>
    <xf numFmtId="172" fontId="8" fillId="0" borderId="21" xfId="0" applyNumberFormat="1" applyFont="1" applyBorder="1" applyAlignment="1">
      <alignment horizontal="center" vertical="center"/>
    </xf>
    <xf numFmtId="172" fontId="7" fillId="5" borderId="10" xfId="0" applyNumberFormat="1" applyFont="1" applyFill="1" applyBorder="1" applyAlignment="1">
      <alignment horizontal="center" vertical="center"/>
    </xf>
    <xf numFmtId="172" fontId="7" fillId="5" borderId="11" xfId="0" applyNumberFormat="1" applyFont="1" applyFill="1" applyBorder="1" applyAlignment="1">
      <alignment horizontal="center" vertical="center"/>
    </xf>
    <xf numFmtId="172" fontId="8" fillId="0" borderId="62" xfId="0" applyNumberFormat="1" applyFont="1" applyFill="1" applyBorder="1" applyAlignment="1">
      <alignment horizontal="center" vertical="center"/>
    </xf>
    <xf numFmtId="172" fontId="8" fillId="0" borderId="17" xfId="0" applyNumberFormat="1" applyFont="1" applyFill="1" applyBorder="1" applyAlignment="1">
      <alignment horizontal="center" vertical="center"/>
    </xf>
    <xf numFmtId="172" fontId="8" fillId="0" borderId="20" xfId="0" applyNumberFormat="1" applyFont="1" applyFill="1" applyBorder="1" applyAlignment="1">
      <alignment horizontal="center" vertical="center"/>
    </xf>
    <xf numFmtId="165" fontId="8" fillId="0" borderId="12" xfId="0" applyNumberFormat="1" applyFont="1" applyFill="1" applyBorder="1" applyAlignment="1">
      <alignment horizontal="center" vertical="center"/>
    </xf>
    <xf numFmtId="165" fontId="8" fillId="0" borderId="18" xfId="0" applyNumberFormat="1" applyFont="1" applyFill="1" applyBorder="1" applyAlignment="1">
      <alignment horizontal="center" vertical="center"/>
    </xf>
    <xf numFmtId="165" fontId="8" fillId="0" borderId="21" xfId="0" applyNumberFormat="1" applyFont="1" applyFill="1" applyBorder="1" applyAlignment="1">
      <alignment horizontal="center" vertical="center"/>
    </xf>
    <xf numFmtId="170" fontId="2" fillId="4" borderId="0" xfId="0" applyNumberFormat="1" applyFont="1" applyFill="1" applyBorder="1" applyAlignment="1">
      <alignment vertical="center"/>
    </xf>
    <xf numFmtId="172" fontId="7" fillId="5" borderId="11" xfId="1" applyNumberFormat="1" applyFont="1" applyFill="1" applyBorder="1" applyAlignment="1">
      <alignment horizontal="center" vertical="center"/>
    </xf>
    <xf numFmtId="173" fontId="17" fillId="9" borderId="55" xfId="5" applyNumberFormat="1" applyAlignment="1">
      <alignment vertical="center"/>
    </xf>
    <xf numFmtId="164" fontId="16" fillId="8" borderId="54" xfId="4" applyNumberFormat="1" applyAlignment="1">
      <alignment vertical="center"/>
    </xf>
    <xf numFmtId="164" fontId="17" fillId="9" borderId="55" xfId="5" applyNumberFormat="1" applyAlignment="1">
      <alignment vertical="center"/>
    </xf>
    <xf numFmtId="0" fontId="7" fillId="7" borderId="0" xfId="0" applyFont="1" applyFill="1" applyBorder="1" applyAlignment="1">
      <alignment horizontal="center" vertical="center"/>
    </xf>
    <xf numFmtId="173" fontId="23" fillId="7" borderId="0" xfId="1" applyNumberFormat="1" applyFont="1" applyFill="1" applyBorder="1" applyAlignment="1">
      <alignment horizontal="center" vertical="center"/>
    </xf>
    <xf numFmtId="171" fontId="7" fillId="7" borderId="0" xfId="1" applyNumberFormat="1" applyFont="1" applyFill="1" applyBorder="1" applyAlignment="1">
      <alignment horizontal="center" vertical="center"/>
    </xf>
    <xf numFmtId="171" fontId="7" fillId="7" borderId="0" xfId="1" applyNumberFormat="1" applyFont="1" applyFill="1" applyBorder="1" applyAlignment="1">
      <alignment vertical="center"/>
    </xf>
    <xf numFmtId="0" fontId="8" fillId="7" borderId="0" xfId="0" applyFont="1" applyFill="1" applyAlignment="1">
      <alignment horizontal="center" vertical="center"/>
    </xf>
    <xf numFmtId="0" fontId="3" fillId="7" borderId="0" xfId="0" applyFont="1" applyFill="1"/>
    <xf numFmtId="0" fontId="1" fillId="0" borderId="0" xfId="0" applyFont="1"/>
    <xf numFmtId="0" fontId="3" fillId="0" borderId="0" xfId="0" applyFont="1" applyAlignment="1">
      <alignment horizontal="left"/>
    </xf>
    <xf numFmtId="0" fontId="18" fillId="0" borderId="0" xfId="0" applyFont="1" applyAlignment="1"/>
    <xf numFmtId="0" fontId="3" fillId="10" borderId="68" xfId="0" applyFont="1" applyFill="1" applyBorder="1"/>
    <xf numFmtId="0" fontId="3" fillId="10" borderId="6" xfId="0" applyFont="1" applyFill="1" applyBorder="1"/>
    <xf numFmtId="0" fontId="3" fillId="10" borderId="69" xfId="0" applyFont="1" applyFill="1" applyBorder="1"/>
    <xf numFmtId="0" fontId="3" fillId="10" borderId="61" xfId="0" applyFont="1" applyFill="1" applyBorder="1"/>
    <xf numFmtId="0" fontId="3" fillId="10" borderId="0" xfId="0" applyFont="1" applyFill="1" applyBorder="1"/>
    <xf numFmtId="0" fontId="3" fillId="10" borderId="22" xfId="0" applyFont="1" applyFill="1" applyBorder="1"/>
    <xf numFmtId="0" fontId="24" fillId="10" borderId="0" xfId="0" applyFont="1" applyFill="1" applyBorder="1"/>
    <xf numFmtId="0" fontId="3" fillId="10" borderId="19" xfId="0" applyFont="1" applyFill="1" applyBorder="1"/>
    <xf numFmtId="0" fontId="3" fillId="10" borderId="1" xfId="0" applyFont="1" applyFill="1" applyBorder="1"/>
    <xf numFmtId="0" fontId="3" fillId="10" borderId="48" xfId="0" applyFont="1" applyFill="1" applyBorder="1"/>
    <xf numFmtId="0" fontId="3" fillId="7" borderId="0" xfId="0" applyFont="1" applyFill="1" applyBorder="1" applyAlignment="1">
      <alignment horizontal="left"/>
    </xf>
    <xf numFmtId="0" fontId="24" fillId="10" borderId="0" xfId="0" applyFont="1" applyFill="1" applyBorder="1" applyAlignment="1">
      <alignment horizontal="left"/>
    </xf>
    <xf numFmtId="0" fontId="3" fillId="10" borderId="6" xfId="0" applyFont="1" applyFill="1" applyBorder="1" applyAlignment="1">
      <alignment horizontal="center" vertical="center"/>
    </xf>
    <xf numFmtId="0" fontId="3" fillId="10" borderId="68" xfId="0" applyFont="1" applyFill="1" applyBorder="1" applyAlignment="1">
      <alignment horizontal="center" vertical="center"/>
    </xf>
    <xf numFmtId="0" fontId="3" fillId="10" borderId="6" xfId="0" applyFont="1" applyFill="1" applyBorder="1" applyAlignment="1">
      <alignment horizontal="center"/>
    </xf>
    <xf numFmtId="172" fontId="3" fillId="7" borderId="70" xfId="0" applyNumberFormat="1" applyFont="1" applyFill="1" applyBorder="1" applyAlignment="1">
      <alignment horizontal="center"/>
    </xf>
    <xf numFmtId="174" fontId="3" fillId="7" borderId="71" xfId="0" applyNumberFormat="1" applyFont="1" applyFill="1" applyBorder="1" applyAlignment="1">
      <alignment horizontal="center"/>
    </xf>
    <xf numFmtId="172" fontId="3" fillId="7" borderId="73" xfId="0" applyNumberFormat="1" applyFont="1" applyFill="1" applyBorder="1" applyAlignment="1">
      <alignment horizontal="center"/>
    </xf>
    <xf numFmtId="174" fontId="3" fillId="7" borderId="74" xfId="0" applyNumberFormat="1" applyFont="1" applyFill="1" applyBorder="1" applyAlignment="1">
      <alignment horizontal="center"/>
    </xf>
    <xf numFmtId="0" fontId="3" fillId="7" borderId="73" xfId="0" applyNumberFormat="1" applyFont="1" applyFill="1" applyBorder="1" applyAlignment="1">
      <alignment horizontal="center"/>
    </xf>
    <xf numFmtId="172" fontId="3" fillId="7" borderId="76" xfId="0" applyNumberFormat="1" applyFont="1" applyFill="1" applyBorder="1" applyAlignment="1">
      <alignment horizontal="center"/>
    </xf>
    <xf numFmtId="10" fontId="3" fillId="7" borderId="71" xfId="2" applyNumberFormat="1" applyFont="1" applyFill="1" applyBorder="1" applyAlignment="1">
      <alignment horizontal="center"/>
    </xf>
    <xf numFmtId="0" fontId="3" fillId="7" borderId="72" xfId="0" applyFont="1" applyFill="1" applyBorder="1"/>
    <xf numFmtId="10" fontId="3" fillId="7" borderId="74" xfId="2" applyNumberFormat="1" applyFont="1" applyFill="1" applyBorder="1" applyAlignment="1">
      <alignment horizontal="center"/>
    </xf>
    <xf numFmtId="0" fontId="3" fillId="7" borderId="75" xfId="0" applyFont="1" applyFill="1" applyBorder="1"/>
    <xf numFmtId="0" fontId="3" fillId="7" borderId="79" xfId="0" applyFont="1" applyFill="1" applyBorder="1"/>
    <xf numFmtId="0" fontId="3" fillId="12" borderId="6" xfId="0" applyFont="1" applyFill="1" applyBorder="1"/>
    <xf numFmtId="0" fontId="3" fillId="12" borderId="0" xfId="0" applyFont="1" applyFill="1" applyBorder="1"/>
    <xf numFmtId="0" fontId="3" fillId="12" borderId="1" xfId="0" applyFont="1" applyFill="1" applyBorder="1"/>
    <xf numFmtId="0" fontId="3" fillId="12" borderId="68" xfId="0" applyFont="1" applyFill="1" applyBorder="1"/>
    <xf numFmtId="0" fontId="3" fillId="12" borderId="6" xfId="0" applyFont="1" applyFill="1" applyBorder="1" applyAlignment="1">
      <alignment horizontal="center" vertical="center"/>
    </xf>
    <xf numFmtId="0" fontId="3" fillId="12" borderId="6" xfId="0" applyFont="1" applyFill="1" applyBorder="1" applyAlignment="1">
      <alignment horizontal="center" vertical="center" wrapText="1"/>
    </xf>
    <xf numFmtId="0" fontId="3" fillId="12" borderId="61" xfId="0" applyFont="1" applyFill="1" applyBorder="1"/>
    <xf numFmtId="1" fontId="3" fillId="7" borderId="71" xfId="0" applyNumberFormat="1" applyFont="1" applyFill="1" applyBorder="1" applyAlignment="1">
      <alignment horizontal="center"/>
    </xf>
    <xf numFmtId="1" fontId="3" fillId="7" borderId="74" xfId="0" applyNumberFormat="1" applyFont="1" applyFill="1" applyBorder="1" applyAlignment="1">
      <alignment horizontal="center"/>
    </xf>
    <xf numFmtId="174" fontId="3" fillId="7" borderId="70" xfId="0" applyNumberFormat="1" applyFont="1" applyFill="1" applyBorder="1" applyAlignment="1">
      <alignment horizontal="center"/>
    </xf>
    <xf numFmtId="174" fontId="3" fillId="7" borderId="73" xfId="0" applyNumberFormat="1" applyFont="1" applyFill="1" applyBorder="1" applyAlignment="1">
      <alignment horizontal="center"/>
    </xf>
    <xf numFmtId="174" fontId="3" fillId="7" borderId="78" xfId="0" applyNumberFormat="1" applyFont="1" applyFill="1" applyBorder="1" applyAlignment="1">
      <alignment horizontal="center"/>
    </xf>
    <xf numFmtId="0" fontId="8" fillId="0" borderId="0" xfId="0" applyFont="1"/>
    <xf numFmtId="0" fontId="3" fillId="0" borderId="0" xfId="0" applyFont="1" applyAlignment="1">
      <alignment horizontal="right"/>
    </xf>
    <xf numFmtId="0" fontId="8" fillId="0" borderId="0" xfId="0" applyFont="1" applyAlignment="1">
      <alignment horizontal="right"/>
    </xf>
    <xf numFmtId="0" fontId="18" fillId="0" borderId="0" xfId="0" applyFont="1" applyFill="1" applyAlignment="1">
      <alignment horizontal="center" vertical="center"/>
    </xf>
    <xf numFmtId="0" fontId="3" fillId="0" borderId="0" xfId="0" applyFont="1" applyFill="1"/>
    <xf numFmtId="0" fontId="25" fillId="0" borderId="0" xfId="0" applyFont="1" applyFill="1" applyBorder="1" applyAlignment="1">
      <alignment horizontal="center" vertical="center"/>
    </xf>
    <xf numFmtId="14" fontId="25" fillId="0" borderId="0" xfId="0" applyNumberFormat="1" applyFont="1" applyFill="1" applyBorder="1" applyAlignment="1">
      <alignment horizontal="center"/>
    </xf>
    <xf numFmtId="0" fontId="3" fillId="0" borderId="0" xfId="0" applyFont="1" applyFill="1" applyBorder="1"/>
    <xf numFmtId="168" fontId="25" fillId="0" borderId="0" xfId="0" applyNumberFormat="1" applyFont="1" applyFill="1" applyBorder="1" applyAlignment="1">
      <alignment horizontal="center"/>
    </xf>
    <xf numFmtId="0" fontId="2" fillId="0" borderId="0" xfId="0" applyFont="1" applyAlignment="1">
      <alignment horizontal="center"/>
    </xf>
    <xf numFmtId="0" fontId="26" fillId="0" borderId="0" xfId="0" applyFont="1"/>
    <xf numFmtId="0" fontId="27" fillId="0" borderId="0" xfId="0" applyFont="1" applyAlignment="1">
      <alignment horizontal="center"/>
    </xf>
    <xf numFmtId="0" fontId="27" fillId="0" borderId="0" xfId="0" applyFont="1"/>
    <xf numFmtId="172" fontId="27" fillId="0" borderId="0" xfId="0" applyNumberFormat="1" applyFont="1" applyAlignment="1">
      <alignment horizontal="right"/>
    </xf>
    <xf numFmtId="0" fontId="9" fillId="6" borderId="7" xfId="0" applyFont="1" applyFill="1" applyBorder="1" applyAlignment="1">
      <alignment horizontal="center" vertical="center"/>
    </xf>
    <xf numFmtId="164" fontId="16" fillId="8" borderId="54" xfId="4" applyNumberFormat="1" applyAlignment="1">
      <alignment horizontal="center" vertical="center"/>
    </xf>
    <xf numFmtId="164" fontId="17" fillId="9" borderId="55" xfId="5" applyNumberFormat="1" applyAlignment="1">
      <alignment horizontal="center" vertical="center"/>
    </xf>
    <xf numFmtId="173" fontId="16" fillId="8" borderId="54" xfId="4" applyNumberFormat="1" applyAlignment="1">
      <alignment horizontal="center" vertical="center"/>
    </xf>
    <xf numFmtId="0" fontId="3" fillId="7" borderId="71" xfId="0" applyNumberFormat="1" applyFont="1" applyFill="1" applyBorder="1" applyAlignment="1">
      <alignment horizontal="center"/>
    </xf>
    <xf numFmtId="0" fontId="25" fillId="11" borderId="1" xfId="0" applyFont="1" applyFill="1" applyBorder="1" applyAlignment="1"/>
    <xf numFmtId="0" fontId="25" fillId="11" borderId="48" xfId="0" applyFont="1" applyFill="1" applyBorder="1" applyAlignment="1">
      <alignment horizontal="center"/>
    </xf>
    <xf numFmtId="0" fontId="3" fillId="12" borderId="0" xfId="0" quotePrefix="1" applyFont="1" applyFill="1" applyBorder="1"/>
    <xf numFmtId="0" fontId="6" fillId="12" borderId="19" xfId="0" applyFont="1" applyFill="1" applyBorder="1"/>
    <xf numFmtId="174" fontId="3" fillId="7" borderId="82" xfId="0" applyNumberFormat="1" applyFont="1" applyFill="1" applyBorder="1" applyAlignment="1">
      <alignment horizontal="center"/>
    </xf>
    <xf numFmtId="174" fontId="2" fillId="7" borderId="81" xfId="0" applyNumberFormat="1" applyFont="1" applyFill="1" applyBorder="1" applyAlignment="1">
      <alignment horizontal="center"/>
    </xf>
    <xf numFmtId="174" fontId="2" fillId="7" borderId="83" xfId="0" applyNumberFormat="1" applyFont="1" applyFill="1" applyBorder="1" applyAlignment="1">
      <alignment horizontal="center"/>
    </xf>
    <xf numFmtId="174" fontId="3" fillId="7" borderId="83" xfId="0" applyNumberFormat="1" applyFont="1" applyFill="1" applyBorder="1" applyAlignment="1">
      <alignment horizontal="center"/>
    </xf>
    <xf numFmtId="174" fontId="3" fillId="7" borderId="84" xfId="0" applyNumberFormat="1" applyFont="1" applyFill="1" applyBorder="1" applyAlignment="1">
      <alignment horizontal="center"/>
    </xf>
    <xf numFmtId="174" fontId="3" fillId="7" borderId="85" xfId="0" applyNumberFormat="1" applyFont="1" applyFill="1" applyBorder="1" applyAlignment="1">
      <alignment horizontal="center"/>
    </xf>
    <xf numFmtId="174" fontId="3" fillId="7" borderId="86" xfId="0" applyNumberFormat="1" applyFont="1" applyFill="1" applyBorder="1" applyAlignment="1">
      <alignment horizontal="center"/>
    </xf>
    <xf numFmtId="174" fontId="3" fillId="7" borderId="87" xfId="0" applyNumberFormat="1" applyFont="1" applyFill="1" applyBorder="1" applyAlignment="1">
      <alignment horizontal="center"/>
    </xf>
    <xf numFmtId="0" fontId="3" fillId="10" borderId="88" xfId="0" applyFont="1" applyFill="1" applyBorder="1"/>
    <xf numFmtId="0" fontId="3" fillId="10" borderId="89" xfId="0" applyFont="1" applyFill="1" applyBorder="1"/>
    <xf numFmtId="172" fontId="3" fillId="7" borderId="85" xfId="0" applyNumberFormat="1" applyFont="1" applyFill="1" applyBorder="1" applyAlignment="1">
      <alignment horizontal="center"/>
    </xf>
    <xf numFmtId="0" fontId="3" fillId="7" borderId="87" xfId="0" applyFont="1" applyFill="1" applyBorder="1"/>
    <xf numFmtId="1" fontId="3" fillId="7" borderId="86" xfId="0" applyNumberFormat="1" applyFont="1" applyFill="1" applyBorder="1" applyAlignment="1">
      <alignment horizontal="center"/>
    </xf>
    <xf numFmtId="0" fontId="2" fillId="7" borderId="81" xfId="0" applyNumberFormat="1" applyFont="1" applyFill="1" applyBorder="1" applyAlignment="1">
      <alignment horizontal="center"/>
    </xf>
    <xf numFmtId="0" fontId="2" fillId="7" borderId="83" xfId="0" applyNumberFormat="1" applyFont="1" applyFill="1" applyBorder="1" applyAlignment="1">
      <alignment horizontal="center"/>
    </xf>
    <xf numFmtId="0" fontId="2" fillId="10" borderId="6" xfId="0" applyFont="1" applyFill="1" applyBorder="1" applyAlignment="1">
      <alignment horizontal="center" vertical="center"/>
    </xf>
    <xf numFmtId="172" fontId="2" fillId="7" borderId="83" xfId="0" applyNumberFormat="1" applyFont="1" applyFill="1" applyBorder="1" applyAlignment="1">
      <alignment horizontal="center"/>
    </xf>
    <xf numFmtId="165" fontId="2" fillId="7" borderId="81" xfId="0" applyNumberFormat="1" applyFont="1" applyFill="1" applyBorder="1" applyAlignment="1">
      <alignment horizontal="center"/>
    </xf>
    <xf numFmtId="10" fontId="2" fillId="7" borderId="72" xfId="2" applyNumberFormat="1" applyFont="1" applyFill="1" applyBorder="1" applyAlignment="1">
      <alignment horizontal="center"/>
    </xf>
    <xf numFmtId="10" fontId="2" fillId="7" borderId="75" xfId="2" applyNumberFormat="1" applyFont="1" applyFill="1" applyBorder="1" applyAlignment="1">
      <alignment horizontal="center"/>
    </xf>
    <xf numFmtId="10" fontId="2" fillId="7" borderId="77" xfId="2" applyNumberFormat="1" applyFont="1" applyFill="1" applyBorder="1" applyAlignment="1">
      <alignment horizontal="center"/>
    </xf>
    <xf numFmtId="0" fontId="28" fillId="0" borderId="0" xfId="0" applyFont="1" applyAlignment="1">
      <alignment vertical="center"/>
    </xf>
    <xf numFmtId="168" fontId="25" fillId="12" borderId="69" xfId="0" applyNumberFormat="1" applyFont="1" applyFill="1" applyBorder="1" applyAlignment="1">
      <alignment horizontal="center"/>
    </xf>
    <xf numFmtId="168" fontId="25" fillId="12" borderId="22" xfId="0" applyNumberFormat="1" applyFont="1" applyFill="1" applyBorder="1" applyAlignment="1">
      <alignment horizontal="center"/>
    </xf>
    <xf numFmtId="168" fontId="25" fillId="12" borderId="48" xfId="0" applyNumberFormat="1" applyFont="1" applyFill="1" applyBorder="1" applyAlignment="1">
      <alignment horizontal="center"/>
    </xf>
    <xf numFmtId="165" fontId="0" fillId="0" borderId="0" xfId="0" applyNumberFormat="1" applyFont="1"/>
    <xf numFmtId="0" fontId="29" fillId="0" borderId="0" xfId="0" applyFont="1" applyAlignment="1">
      <alignment vertical="center" textRotation="90"/>
    </xf>
    <xf numFmtId="0" fontId="9" fillId="4" borderId="7" xfId="0" applyFont="1" applyFill="1" applyBorder="1" applyAlignment="1">
      <alignment horizontal="center" vertical="center"/>
    </xf>
    <xf numFmtId="168" fontId="7" fillId="0" borderId="19" xfId="2" applyNumberFormat="1" applyFont="1" applyFill="1" applyBorder="1" applyAlignment="1">
      <alignment horizontal="center" vertical="center"/>
    </xf>
    <xf numFmtId="10" fontId="16" fillId="8" borderId="56" xfId="4" applyNumberFormat="1" applyBorder="1" applyAlignment="1">
      <alignment horizontal="center" vertical="center"/>
    </xf>
    <xf numFmtId="10" fontId="17" fillId="9" borderId="91" xfId="5" applyNumberFormat="1" applyBorder="1" applyAlignment="1">
      <alignment horizontal="center" vertical="center"/>
    </xf>
    <xf numFmtId="169" fontId="8" fillId="0" borderId="38" xfId="0" quotePrefix="1" applyNumberFormat="1" applyFont="1" applyBorder="1" applyAlignment="1">
      <alignment horizontal="center" vertical="center"/>
    </xf>
    <xf numFmtId="0" fontId="8" fillId="0" borderId="39" xfId="0" applyFont="1" applyBorder="1" applyAlignment="1">
      <alignment horizontal="center" vertical="center"/>
    </xf>
    <xf numFmtId="0" fontId="8" fillId="0" borderId="40" xfId="0" applyFont="1" applyBorder="1" applyAlignment="1">
      <alignment horizontal="center" vertical="center"/>
    </xf>
    <xf numFmtId="168" fontId="8" fillId="0" borderId="44" xfId="0" quotePrefix="1" applyNumberFormat="1" applyFont="1" applyBorder="1" applyAlignment="1">
      <alignment horizontal="center" vertical="center"/>
    </xf>
    <xf numFmtId="168" fontId="8" fillId="0" borderId="45" xfId="0" quotePrefix="1" applyNumberFormat="1" applyFont="1" applyBorder="1" applyAlignment="1">
      <alignment horizontal="center" vertical="center"/>
    </xf>
    <xf numFmtId="168" fontId="8" fillId="0" borderId="31" xfId="0" quotePrefix="1" applyNumberFormat="1" applyFont="1" applyBorder="1" applyAlignment="1">
      <alignment horizontal="center" vertical="center"/>
    </xf>
    <xf numFmtId="0" fontId="10" fillId="6" borderId="7" xfId="0" applyFont="1" applyFill="1" applyBorder="1" applyAlignment="1">
      <alignment horizontal="center" vertical="center" wrapText="1"/>
    </xf>
    <xf numFmtId="0" fontId="10" fillId="6" borderId="35" xfId="0" applyFont="1" applyFill="1" applyBorder="1" applyAlignment="1">
      <alignment horizontal="center" vertical="center" wrapText="1"/>
    </xf>
    <xf numFmtId="172" fontId="8" fillId="0" borderId="46" xfId="0" applyNumberFormat="1" applyFont="1" applyFill="1" applyBorder="1" applyAlignment="1">
      <alignment horizontal="center" vertical="center"/>
    </xf>
    <xf numFmtId="172" fontId="8" fillId="0" borderId="47" xfId="0" applyNumberFormat="1" applyFont="1" applyFill="1" applyBorder="1" applyAlignment="1">
      <alignment horizontal="center" vertical="center"/>
    </xf>
    <xf numFmtId="172" fontId="8" fillId="0" borderId="27" xfId="0" applyNumberFormat="1" applyFont="1" applyFill="1" applyBorder="1" applyAlignment="1">
      <alignment horizontal="center" vertical="center"/>
    </xf>
    <xf numFmtId="172" fontId="8" fillId="0" borderId="32" xfId="0" applyNumberFormat="1" applyFont="1" applyFill="1" applyBorder="1" applyAlignment="1">
      <alignment horizontal="center" vertical="center"/>
    </xf>
    <xf numFmtId="172" fontId="8" fillId="0" borderId="33" xfId="0" applyNumberFormat="1" applyFont="1" applyFill="1" applyBorder="1" applyAlignment="1">
      <alignment horizontal="center" vertical="center"/>
    </xf>
    <xf numFmtId="172" fontId="8" fillId="0" borderId="34" xfId="0" applyNumberFormat="1" applyFont="1" applyFill="1" applyBorder="1" applyAlignment="1">
      <alignment horizontal="center" vertical="center"/>
    </xf>
    <xf numFmtId="173" fontId="23" fillId="3" borderId="65" xfId="1" applyNumberFormat="1" applyFont="1" applyFill="1" applyBorder="1" applyAlignment="1">
      <alignment horizontal="center" vertical="center"/>
    </xf>
    <xf numFmtId="173" fontId="23" fillId="3" borderId="66" xfId="1" applyNumberFormat="1" applyFont="1" applyFill="1" applyBorder="1" applyAlignment="1">
      <alignment horizontal="center" vertical="center"/>
    </xf>
    <xf numFmtId="173" fontId="23" fillId="3" borderId="67" xfId="1" applyNumberFormat="1" applyFont="1" applyFill="1" applyBorder="1" applyAlignment="1">
      <alignment horizontal="center" vertical="center"/>
    </xf>
    <xf numFmtId="173" fontId="23" fillId="3" borderId="57" xfId="1" applyNumberFormat="1" applyFont="1" applyFill="1" applyBorder="1" applyAlignment="1">
      <alignment horizontal="center" vertical="center"/>
    </xf>
    <xf numFmtId="168" fontId="8" fillId="2" borderId="22" xfId="0" applyNumberFormat="1" applyFont="1" applyFill="1" applyBorder="1" applyAlignment="1">
      <alignment horizontal="center" vertical="center"/>
    </xf>
    <xf numFmtId="0" fontId="7" fillId="0" borderId="36" xfId="0" applyFont="1" applyFill="1" applyBorder="1" applyAlignment="1">
      <alignment horizontal="center" vertical="center" wrapText="1"/>
    </xf>
    <xf numFmtId="0" fontId="7" fillId="0" borderId="35" xfId="0" applyFont="1" applyFill="1" applyBorder="1" applyAlignment="1">
      <alignment horizontal="center" vertical="center" wrapText="1"/>
    </xf>
    <xf numFmtId="172" fontId="7" fillId="0" borderId="25" xfId="0" applyNumberFormat="1" applyFont="1" applyFill="1" applyBorder="1" applyAlignment="1">
      <alignment horizontal="center" vertical="center"/>
    </xf>
    <xf numFmtId="172" fontId="7" fillId="0" borderId="34" xfId="0" applyNumberFormat="1" applyFont="1" applyFill="1" applyBorder="1" applyAlignment="1">
      <alignment horizontal="center" vertical="center"/>
    </xf>
    <xf numFmtId="172" fontId="8" fillId="0" borderId="41" xfId="1" applyNumberFormat="1" applyFont="1" applyBorder="1" applyAlignment="1">
      <alignment horizontal="center" vertical="center"/>
    </xf>
    <xf numFmtId="172" fontId="8" fillId="0" borderId="42" xfId="1" applyNumberFormat="1" applyFont="1" applyBorder="1" applyAlignment="1">
      <alignment horizontal="center" vertical="center"/>
    </xf>
    <xf numFmtId="172" fontId="8" fillId="0" borderId="43" xfId="1" applyNumberFormat="1" applyFont="1" applyBorder="1" applyAlignment="1">
      <alignment horizontal="center" vertical="center"/>
    </xf>
    <xf numFmtId="172" fontId="8" fillId="0" borderId="25" xfId="0" applyNumberFormat="1" applyFont="1" applyFill="1" applyBorder="1" applyAlignment="1">
      <alignment horizontal="center" vertical="center"/>
    </xf>
    <xf numFmtId="172" fontId="8" fillId="0" borderId="26" xfId="0" applyNumberFormat="1" applyFont="1" applyFill="1" applyBorder="1" applyAlignment="1">
      <alignment horizontal="center" vertical="center"/>
    </xf>
    <xf numFmtId="172" fontId="8" fillId="0" borderId="37" xfId="0" applyNumberFormat="1" applyFont="1" applyFill="1" applyBorder="1" applyAlignment="1">
      <alignment horizontal="center" vertical="center"/>
    </xf>
    <xf numFmtId="0" fontId="7" fillId="2" borderId="7" xfId="0" applyFont="1" applyFill="1" applyBorder="1" applyAlignment="1">
      <alignment horizontal="left" vertical="center"/>
    </xf>
    <xf numFmtId="0" fontId="7" fillId="2" borderId="35" xfId="0" applyFont="1" applyFill="1" applyBorder="1" applyAlignment="1">
      <alignment horizontal="left" vertical="center"/>
    </xf>
    <xf numFmtId="0" fontId="7" fillId="0" borderId="36" xfId="0" applyFont="1" applyFill="1" applyBorder="1" applyAlignment="1">
      <alignment horizontal="center" vertical="center"/>
    </xf>
    <xf numFmtId="0" fontId="7" fillId="0" borderId="35" xfId="0" applyFont="1" applyFill="1" applyBorder="1" applyAlignment="1">
      <alignment horizontal="center" vertical="center"/>
    </xf>
    <xf numFmtId="0" fontId="9" fillId="6" borderId="7" xfId="0" applyFont="1" applyFill="1" applyBorder="1" applyAlignment="1">
      <alignment horizontal="center" vertical="center"/>
    </xf>
    <xf numFmtId="0" fontId="9" fillId="6" borderId="35" xfId="0" applyFont="1" applyFill="1" applyBorder="1" applyAlignment="1">
      <alignment horizontal="center" vertical="center"/>
    </xf>
    <xf numFmtId="173" fontId="18" fillId="3" borderId="50" xfId="1" applyNumberFormat="1" applyFont="1" applyFill="1" applyBorder="1" applyAlignment="1">
      <alignment horizontal="center" vertical="center"/>
    </xf>
    <xf numFmtId="173" fontId="18" fillId="3" borderId="51" xfId="1" applyNumberFormat="1" applyFont="1" applyFill="1" applyBorder="1" applyAlignment="1">
      <alignment horizontal="center" vertical="center"/>
    </xf>
    <xf numFmtId="0" fontId="7" fillId="0" borderId="19"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8" xfId="0" applyFont="1" applyFill="1" applyBorder="1" applyAlignment="1">
      <alignment horizontal="center" vertical="center"/>
    </xf>
    <xf numFmtId="0" fontId="7" fillId="7" borderId="0" xfId="0" applyFont="1" applyFill="1" applyBorder="1" applyAlignment="1">
      <alignment horizontal="center" vertical="center"/>
    </xf>
    <xf numFmtId="168" fontId="18" fillId="3" borderId="7" xfId="2" applyNumberFormat="1" applyFont="1" applyFill="1" applyBorder="1" applyAlignment="1">
      <alignment horizontal="center" vertical="center"/>
    </xf>
    <xf numFmtId="168" fontId="18" fillId="3" borderId="35" xfId="2" applyNumberFormat="1" applyFont="1" applyFill="1" applyBorder="1" applyAlignment="1">
      <alignment horizontal="center" vertical="center"/>
    </xf>
    <xf numFmtId="0" fontId="9" fillId="6" borderId="36" xfId="0" quotePrefix="1" applyFont="1" applyFill="1" applyBorder="1" applyAlignment="1">
      <alignment horizontal="center" vertical="center"/>
    </xf>
    <xf numFmtId="0" fontId="9" fillId="6" borderId="35" xfId="0" quotePrefix="1" applyFont="1" applyFill="1" applyBorder="1" applyAlignment="1">
      <alignment horizontal="center" vertical="center"/>
    </xf>
    <xf numFmtId="173" fontId="18" fillId="3" borderId="36" xfId="1" applyNumberFormat="1" applyFont="1" applyFill="1" applyBorder="1" applyAlignment="1">
      <alignment horizontal="center" vertical="center"/>
    </xf>
    <xf numFmtId="173" fontId="18" fillId="3" borderId="35" xfId="1" applyNumberFormat="1" applyFont="1" applyFill="1" applyBorder="1" applyAlignment="1">
      <alignment horizontal="center" vertical="center"/>
    </xf>
    <xf numFmtId="173" fontId="18" fillId="3" borderId="7" xfId="1" applyNumberFormat="1" applyFont="1" applyFill="1" applyBorder="1" applyAlignment="1">
      <alignment horizontal="center" vertical="center"/>
    </xf>
    <xf numFmtId="168" fontId="18" fillId="5" borderId="7" xfId="2" applyNumberFormat="1" applyFont="1" applyFill="1" applyBorder="1" applyAlignment="1">
      <alignment horizontal="center" vertical="center"/>
    </xf>
    <xf numFmtId="168" fontId="18" fillId="5" borderId="35" xfId="2" applyNumberFormat="1" applyFont="1" applyFill="1" applyBorder="1" applyAlignment="1">
      <alignment horizontal="center" vertical="center"/>
    </xf>
    <xf numFmtId="172" fontId="8" fillId="0" borderId="41" xfId="0" applyNumberFormat="1" applyFont="1" applyBorder="1" applyAlignment="1">
      <alignment horizontal="center" vertical="center"/>
    </xf>
    <xf numFmtId="172" fontId="8" fillId="0" borderId="42" xfId="0" applyNumberFormat="1" applyFont="1" applyBorder="1" applyAlignment="1">
      <alignment horizontal="center" vertical="center"/>
    </xf>
    <xf numFmtId="172" fontId="8" fillId="0" borderId="43" xfId="0" applyNumberFormat="1" applyFont="1" applyBorder="1" applyAlignment="1">
      <alignment horizontal="center" vertical="center"/>
    </xf>
    <xf numFmtId="172" fontId="7" fillId="0" borderId="36" xfId="0" applyNumberFormat="1" applyFont="1" applyFill="1" applyBorder="1" applyAlignment="1">
      <alignment horizontal="center" vertical="center"/>
    </xf>
    <xf numFmtId="172" fontId="7" fillId="0" borderId="35" xfId="0" applyNumberFormat="1" applyFont="1" applyFill="1" applyBorder="1" applyAlignment="1">
      <alignment horizontal="center" vertical="center"/>
    </xf>
    <xf numFmtId="173" fontId="18" fillId="5" borderId="7" xfId="1" applyNumberFormat="1" applyFont="1" applyFill="1" applyBorder="1" applyAlignment="1">
      <alignment horizontal="center" vertical="center"/>
    </xf>
    <xf numFmtId="173" fontId="18" fillId="5" borderId="36" xfId="1" applyNumberFormat="1" applyFont="1" applyFill="1" applyBorder="1" applyAlignment="1">
      <alignment horizontal="center" vertical="center"/>
    </xf>
    <xf numFmtId="173" fontId="18" fillId="5" borderId="35" xfId="1" applyNumberFormat="1" applyFont="1" applyFill="1" applyBorder="1" applyAlignment="1">
      <alignment horizontal="center" vertical="center"/>
    </xf>
    <xf numFmtId="172" fontId="8" fillId="0" borderId="27" xfId="0" applyNumberFormat="1" applyFont="1" applyFill="1" applyBorder="1" applyAlignment="1">
      <alignment horizontal="right" vertical="center" indent="5"/>
    </xf>
    <xf numFmtId="172" fontId="8" fillId="0" borderId="32" xfId="0" applyNumberFormat="1" applyFont="1" applyFill="1" applyBorder="1" applyAlignment="1">
      <alignment horizontal="right" vertical="center" indent="5"/>
    </xf>
    <xf numFmtId="0" fontId="7" fillId="5" borderId="7" xfId="0" applyFont="1" applyFill="1" applyBorder="1" applyAlignment="1">
      <alignment horizontal="center" vertical="center" wrapText="1"/>
    </xf>
    <xf numFmtId="0" fontId="7" fillId="5" borderId="35" xfId="0" applyFont="1" applyFill="1" applyBorder="1" applyAlignment="1">
      <alignment horizontal="center" vertical="center"/>
    </xf>
    <xf numFmtId="172" fontId="7" fillId="0" borderId="25" xfId="0" applyNumberFormat="1" applyFont="1" applyFill="1" applyBorder="1" applyAlignment="1">
      <alignment horizontal="right" vertical="center" indent="5"/>
    </xf>
    <xf numFmtId="172" fontId="7" fillId="0" borderId="34" xfId="0" applyNumberFormat="1" applyFont="1" applyFill="1" applyBorder="1" applyAlignment="1">
      <alignment horizontal="right" vertical="center" indent="5"/>
    </xf>
    <xf numFmtId="169" fontId="8" fillId="0" borderId="39" xfId="0" quotePrefix="1" applyNumberFormat="1" applyFont="1" applyBorder="1" applyAlignment="1">
      <alignment horizontal="center" vertical="center"/>
    </xf>
    <xf numFmtId="169" fontId="8" fillId="0" borderId="40" xfId="0" quotePrefix="1" applyNumberFormat="1" applyFont="1" applyBorder="1" applyAlignment="1">
      <alignment horizontal="center" vertical="center"/>
    </xf>
    <xf numFmtId="172" fontId="8" fillId="0" borderId="25" xfId="0" applyNumberFormat="1" applyFont="1" applyFill="1" applyBorder="1" applyAlignment="1">
      <alignment horizontal="right" vertical="center" indent="5"/>
    </xf>
    <xf numFmtId="172" fontId="8" fillId="0" borderId="34" xfId="0" applyNumberFormat="1" applyFont="1" applyFill="1" applyBorder="1" applyAlignment="1">
      <alignment horizontal="right" vertical="center" indent="5"/>
    </xf>
    <xf numFmtId="172" fontId="8" fillId="0" borderId="26" xfId="0" applyNumberFormat="1" applyFont="1" applyFill="1" applyBorder="1" applyAlignment="1">
      <alignment horizontal="right" vertical="center" indent="5"/>
    </xf>
    <xf numFmtId="172" fontId="8" fillId="0" borderId="37" xfId="0" applyNumberFormat="1" applyFont="1" applyFill="1" applyBorder="1" applyAlignment="1">
      <alignment horizontal="right" vertical="center" indent="5"/>
    </xf>
    <xf numFmtId="172" fontId="7" fillId="0" borderId="36" xfId="0" applyNumberFormat="1" applyFont="1" applyFill="1" applyBorder="1" applyAlignment="1">
      <alignment horizontal="right" vertical="center" indent="5"/>
    </xf>
    <xf numFmtId="172" fontId="7" fillId="0" borderId="35" xfId="0" applyNumberFormat="1" applyFont="1" applyFill="1" applyBorder="1" applyAlignment="1">
      <alignment horizontal="right" vertical="center" indent="5"/>
    </xf>
    <xf numFmtId="172" fontId="8" fillId="0" borderId="33" xfId="0" applyNumberFormat="1" applyFont="1" applyFill="1" applyBorder="1" applyAlignment="1">
      <alignment horizontal="right" vertical="center" indent="5"/>
    </xf>
    <xf numFmtId="172" fontId="8" fillId="0" borderId="46" xfId="1" applyNumberFormat="1" applyFont="1" applyFill="1" applyBorder="1" applyAlignment="1">
      <alignment horizontal="right" vertical="center" indent="5"/>
    </xf>
    <xf numFmtId="172" fontId="8" fillId="0" borderId="47" xfId="1" applyNumberFormat="1" applyFont="1" applyFill="1" applyBorder="1" applyAlignment="1">
      <alignment horizontal="right" vertical="center" indent="5"/>
    </xf>
    <xf numFmtId="172" fontId="8" fillId="0" borderId="27" xfId="1" applyNumberFormat="1" applyFont="1" applyFill="1" applyBorder="1" applyAlignment="1">
      <alignment horizontal="right" vertical="center" indent="5"/>
    </xf>
    <xf numFmtId="172" fontId="8" fillId="0" borderId="32" xfId="1" applyNumberFormat="1" applyFont="1" applyFill="1" applyBorder="1" applyAlignment="1">
      <alignment horizontal="right" vertical="center" indent="5"/>
    </xf>
    <xf numFmtId="0" fontId="11" fillId="6" borderId="7" xfId="0" applyFont="1" applyFill="1" applyBorder="1" applyAlignment="1">
      <alignment horizontal="center" vertical="center" wrapText="1"/>
    </xf>
    <xf numFmtId="0" fontId="11" fillId="6" borderId="35" xfId="0" applyFont="1" applyFill="1" applyBorder="1" applyAlignment="1">
      <alignment horizontal="center" vertical="center" wrapText="1"/>
    </xf>
    <xf numFmtId="173" fontId="14" fillId="5" borderId="7" xfId="1" applyNumberFormat="1" applyFont="1" applyFill="1" applyBorder="1" applyAlignment="1">
      <alignment horizontal="center" vertical="center"/>
    </xf>
    <xf numFmtId="173" fontId="14" fillId="5" borderId="36" xfId="1" applyNumberFormat="1" applyFont="1" applyFill="1" applyBorder="1" applyAlignment="1">
      <alignment horizontal="center" vertical="center"/>
    </xf>
    <xf numFmtId="173" fontId="14" fillId="5" borderId="35" xfId="1" applyNumberFormat="1" applyFont="1" applyFill="1" applyBorder="1" applyAlignment="1">
      <alignment horizontal="center" vertical="center"/>
    </xf>
    <xf numFmtId="168" fontId="14" fillId="5" borderId="7" xfId="2" applyNumberFormat="1" applyFont="1" applyFill="1" applyBorder="1" applyAlignment="1">
      <alignment horizontal="center" vertical="center"/>
    </xf>
    <xf numFmtId="168" fontId="14" fillId="5" borderId="35" xfId="2" applyNumberFormat="1" applyFont="1" applyFill="1" applyBorder="1" applyAlignment="1">
      <alignment horizontal="center" vertical="center"/>
    </xf>
    <xf numFmtId="0" fontId="7" fillId="3" borderId="7" xfId="0" applyFont="1" applyFill="1" applyBorder="1" applyAlignment="1">
      <alignment horizontal="center" vertical="center" wrapText="1"/>
    </xf>
    <xf numFmtId="0" fontId="7" fillId="3" borderId="35" xfId="0" applyFont="1" applyFill="1" applyBorder="1" applyAlignment="1">
      <alignment horizontal="center" vertical="center"/>
    </xf>
    <xf numFmtId="173" fontId="14" fillId="3" borderId="50" xfId="1" applyNumberFormat="1" applyFont="1" applyFill="1" applyBorder="1" applyAlignment="1">
      <alignment horizontal="center" vertical="center"/>
    </xf>
    <xf numFmtId="173" fontId="14" fillId="3" borderId="51" xfId="1" applyNumberFormat="1" applyFont="1" applyFill="1" applyBorder="1" applyAlignment="1">
      <alignment horizontal="center" vertical="center"/>
    </xf>
    <xf numFmtId="173" fontId="14" fillId="3" borderId="36" xfId="1" applyNumberFormat="1" applyFont="1" applyFill="1" applyBorder="1" applyAlignment="1">
      <alignment horizontal="center" vertical="center"/>
    </xf>
    <xf numFmtId="173" fontId="14" fillId="3" borderId="35" xfId="1" applyNumberFormat="1" applyFont="1" applyFill="1" applyBorder="1" applyAlignment="1">
      <alignment horizontal="center" vertical="center"/>
    </xf>
    <xf numFmtId="173" fontId="14" fillId="3" borderId="7" xfId="1" applyNumberFormat="1" applyFont="1" applyFill="1" applyBorder="1" applyAlignment="1">
      <alignment horizontal="center" vertical="center"/>
    </xf>
    <xf numFmtId="168" fontId="14" fillId="3" borderId="7" xfId="2" applyNumberFormat="1" applyFont="1" applyFill="1" applyBorder="1" applyAlignment="1">
      <alignment horizontal="center" vertical="center"/>
    </xf>
    <xf numFmtId="168" fontId="14" fillId="3" borderId="35" xfId="2" applyNumberFormat="1" applyFont="1" applyFill="1" applyBorder="1" applyAlignment="1">
      <alignment horizontal="center" vertical="center"/>
    </xf>
    <xf numFmtId="0" fontId="7" fillId="0" borderId="0" xfId="0" applyFont="1" applyFill="1" applyBorder="1" applyAlignment="1">
      <alignment horizontal="center" vertical="center"/>
    </xf>
    <xf numFmtId="0" fontId="9" fillId="2" borderId="0" xfId="0" applyFont="1" applyFill="1" applyBorder="1" applyAlignment="1">
      <alignment horizontal="center" vertical="center"/>
    </xf>
    <xf numFmtId="0" fontId="9" fillId="2" borderId="0" xfId="0" quotePrefix="1" applyFont="1" applyFill="1" applyBorder="1" applyAlignment="1">
      <alignment horizontal="center" vertical="center"/>
    </xf>
    <xf numFmtId="173" fontId="17" fillId="9" borderId="55" xfId="5" applyNumberFormat="1" applyAlignment="1">
      <alignment horizontal="center" vertical="center"/>
    </xf>
    <xf numFmtId="0" fontId="29" fillId="0" borderId="2" xfId="0" applyFont="1" applyBorder="1" applyAlignment="1">
      <alignment horizontal="center" vertical="center" textRotation="90"/>
    </xf>
    <xf numFmtId="0" fontId="29" fillId="0" borderId="49" xfId="0" applyFont="1" applyBorder="1" applyAlignment="1">
      <alignment horizontal="center" vertical="center" textRotation="90"/>
    </xf>
    <xf numFmtId="0" fontId="29" fillId="0" borderId="4" xfId="0" applyFont="1" applyBorder="1" applyAlignment="1">
      <alignment horizontal="center" vertical="center" textRotation="90"/>
    </xf>
    <xf numFmtId="164" fontId="17" fillId="9" borderId="55" xfId="5" applyNumberFormat="1" applyAlignment="1">
      <alignment horizontal="center" vertical="center"/>
    </xf>
    <xf numFmtId="0" fontId="10" fillId="6" borderId="2" xfId="0" applyFont="1" applyFill="1" applyBorder="1" applyAlignment="1">
      <alignment horizontal="center" vertical="center" textRotation="90" wrapText="1"/>
    </xf>
    <xf numFmtId="0" fontId="10" fillId="6" borderId="49" xfId="0" applyFont="1" applyFill="1" applyBorder="1" applyAlignment="1">
      <alignment horizontal="center" vertical="center" textRotation="90" wrapText="1"/>
    </xf>
    <xf numFmtId="0" fontId="10" fillId="6" borderId="4" xfId="0" applyFont="1" applyFill="1" applyBorder="1" applyAlignment="1">
      <alignment horizontal="center" vertical="center" textRotation="90" wrapText="1"/>
    </xf>
    <xf numFmtId="0" fontId="15" fillId="6" borderId="2" xfId="0" applyFont="1" applyFill="1" applyBorder="1" applyAlignment="1">
      <alignment horizontal="center" vertical="center" textRotation="90" wrapText="1"/>
    </xf>
    <xf numFmtId="0" fontId="15" fillId="6" borderId="49" xfId="0" applyFont="1" applyFill="1" applyBorder="1" applyAlignment="1">
      <alignment horizontal="center" vertical="center" textRotation="90" wrapText="1"/>
    </xf>
    <xf numFmtId="0" fontId="15" fillId="6" borderId="4" xfId="0" applyFont="1" applyFill="1" applyBorder="1" applyAlignment="1">
      <alignment horizontal="center" vertical="center" textRotation="90" wrapText="1"/>
    </xf>
    <xf numFmtId="173" fontId="16" fillId="8" borderId="54" xfId="4" applyNumberFormat="1" applyAlignment="1">
      <alignment horizontal="center" vertical="center"/>
    </xf>
    <xf numFmtId="164" fontId="16" fillId="8" borderId="54" xfId="4" applyNumberFormat="1" applyAlignment="1">
      <alignment horizontal="center" vertical="center"/>
    </xf>
    <xf numFmtId="0" fontId="3" fillId="0" borderId="0" xfId="0" applyFont="1" applyAlignment="1">
      <alignment horizontal="right"/>
    </xf>
    <xf numFmtId="0" fontId="2" fillId="0" borderId="0" xfId="0" applyFont="1" applyAlignment="1">
      <alignment horizontal="center"/>
    </xf>
    <xf numFmtId="0" fontId="2" fillId="0" borderId="0" xfId="0" applyFont="1" applyAlignment="1">
      <alignment horizontal="left"/>
    </xf>
    <xf numFmtId="0" fontId="25" fillId="11" borderId="68" xfId="0" applyFont="1" applyFill="1" applyBorder="1" applyAlignment="1">
      <alignment horizontal="center" vertical="center"/>
    </xf>
    <xf numFmtId="0" fontId="25" fillId="11" borderId="69" xfId="0" applyFont="1" applyFill="1" applyBorder="1" applyAlignment="1">
      <alignment horizontal="center" vertical="center"/>
    </xf>
    <xf numFmtId="14" fontId="25" fillId="11" borderId="19" xfId="0" applyNumberFormat="1" applyFont="1" applyFill="1" applyBorder="1" applyAlignment="1">
      <alignment horizontal="center"/>
    </xf>
    <xf numFmtId="14" fontId="25" fillId="11" borderId="48" xfId="0" applyNumberFormat="1" applyFont="1" applyFill="1" applyBorder="1" applyAlignment="1">
      <alignment horizontal="center"/>
    </xf>
    <xf numFmtId="1" fontId="3" fillId="7" borderId="80" xfId="0" applyNumberFormat="1" applyFont="1" applyFill="1" applyBorder="1" applyAlignment="1">
      <alignment horizontal="center" vertical="center"/>
    </xf>
    <xf numFmtId="1" fontId="3" fillId="7" borderId="90" xfId="0" applyNumberFormat="1" applyFont="1" applyFill="1" applyBorder="1" applyAlignment="1">
      <alignment horizontal="center" vertical="center"/>
    </xf>
    <xf numFmtId="0" fontId="2" fillId="10" borderId="19" xfId="0" applyFont="1" applyFill="1" applyBorder="1" applyAlignment="1">
      <alignment horizontal="center"/>
    </xf>
    <xf numFmtId="0" fontId="2" fillId="10" borderId="1" xfId="0" applyFont="1" applyFill="1" applyBorder="1" applyAlignment="1">
      <alignment horizontal="center"/>
    </xf>
    <xf numFmtId="0" fontId="18" fillId="0" borderId="0" xfId="0" applyFont="1" applyAlignment="1">
      <alignment horizontal="center" vertical="center"/>
    </xf>
    <xf numFmtId="0" fontId="2" fillId="10" borderId="68" xfId="0" applyFont="1" applyFill="1" applyBorder="1" applyAlignment="1">
      <alignment horizontal="center" vertical="center"/>
    </xf>
    <xf numFmtId="0" fontId="2" fillId="10" borderId="6" xfId="0" applyFont="1" applyFill="1" applyBorder="1" applyAlignment="1">
      <alignment horizontal="center" vertical="center"/>
    </xf>
    <xf numFmtId="0" fontId="3" fillId="10" borderId="88" xfId="0" applyFont="1" applyFill="1" applyBorder="1" applyAlignment="1">
      <alignment horizontal="center"/>
    </xf>
    <xf numFmtId="0" fontId="3" fillId="10" borderId="89" xfId="0" applyFont="1" applyFill="1" applyBorder="1" applyAlignment="1">
      <alignment horizontal="center"/>
    </xf>
    <xf numFmtId="0" fontId="3" fillId="10" borderId="61" xfId="0" applyFont="1" applyFill="1" applyBorder="1" applyAlignment="1">
      <alignment horizontal="center"/>
    </xf>
    <xf numFmtId="0" fontId="3" fillId="10" borderId="0" xfId="0" applyFont="1" applyFill="1" applyBorder="1" applyAlignment="1">
      <alignment horizontal="center"/>
    </xf>
  </cellXfs>
  <cellStyles count="7">
    <cellStyle name="Monétaire" xfId="1" builtinId="4"/>
    <cellStyle name="Normal" xfId="0" builtinId="0"/>
    <cellStyle name="Normal 2" xfId="6"/>
    <cellStyle name="Pourcentage" xfId="2" builtinId="5"/>
    <cellStyle name="Sortie" xfId="4" builtinId="21"/>
    <cellStyle name="Standard_JAN" xfId="3"/>
    <cellStyle name="Vérification" xfId="5" builtinId="23"/>
  </cellStyles>
  <dxfs count="52">
    <dxf>
      <font>
        <b val="0"/>
        <i val="0"/>
        <strike val="0"/>
        <condense val="0"/>
        <extend val="0"/>
        <outline val="0"/>
        <shadow val="0"/>
        <u val="none"/>
        <vertAlign val="baseline"/>
        <sz val="7.5"/>
        <color auto="1"/>
        <name val="Verdana"/>
        <scheme val="none"/>
      </font>
      <numFmt numFmtId="172" formatCode="_-&quot;CHF&quot;\ * #,##0_-;\-&quot;CHF&quot;\ * #,##0_-;_-&quot;CHF&quot;\ * &quot;-&quot;??_-;_-@_-"/>
      <alignment horizontal="right" vertical="bottom" textRotation="0" wrapText="0" indent="0" justifyLastLine="0" shrinkToFit="0" readingOrder="0"/>
    </dxf>
    <dxf>
      <font>
        <b val="0"/>
        <i val="0"/>
        <strike val="0"/>
        <condense val="0"/>
        <extend val="0"/>
        <outline val="0"/>
        <shadow val="0"/>
        <u val="none"/>
        <vertAlign val="baseline"/>
        <sz val="7.5"/>
        <color auto="1"/>
        <name val="Verdana"/>
        <scheme val="none"/>
      </font>
      <numFmt numFmtId="172" formatCode="_-&quot;CHF&quot;\ * #,##0_-;\-&quot;CHF&quot;\ * #,##0_-;_-&quot;CHF&quot;\ * &quot;-&quot;??_-;_-@_-"/>
      <alignment horizontal="right" vertical="bottom" textRotation="0" wrapText="0" indent="0" justifyLastLine="0" shrinkToFit="0" readingOrder="0"/>
    </dxf>
    <dxf>
      <font>
        <b val="0"/>
        <i val="0"/>
        <strike val="0"/>
        <condense val="0"/>
        <extend val="0"/>
        <outline val="0"/>
        <shadow val="0"/>
        <u val="none"/>
        <vertAlign val="baseline"/>
        <sz val="7.5"/>
        <color auto="1"/>
        <name val="Verdana"/>
        <scheme val="none"/>
      </font>
    </dxf>
    <dxf>
      <font>
        <b val="0"/>
        <i val="0"/>
        <strike val="0"/>
        <condense val="0"/>
        <extend val="0"/>
        <outline val="0"/>
        <shadow val="0"/>
        <u val="none"/>
        <vertAlign val="baseline"/>
        <sz val="7.5"/>
        <color auto="1"/>
        <name val="Verdana"/>
        <scheme val="none"/>
      </font>
      <numFmt numFmtId="172" formatCode="_-&quot;CHF&quot;\ * #,##0_-;\-&quot;CHF&quot;\ * #,##0_-;_-&quot;CHF&quot;\ * &quot;-&quot;??_-;_-@_-"/>
      <alignment horizontal="right" vertical="bottom" textRotation="0" wrapText="0" indent="0" justifyLastLine="0" shrinkToFit="0" readingOrder="0"/>
    </dxf>
    <dxf>
      <font>
        <b val="0"/>
        <i val="0"/>
        <strike val="0"/>
        <condense val="0"/>
        <extend val="0"/>
        <outline val="0"/>
        <shadow val="0"/>
        <u val="none"/>
        <vertAlign val="baseline"/>
        <sz val="7.5"/>
        <color auto="1"/>
        <name val="Verdana"/>
        <scheme val="none"/>
      </font>
      <numFmt numFmtId="172" formatCode="_-&quot;CHF&quot;\ * #,##0_-;\-&quot;CHF&quot;\ * #,##0_-;_-&quot;CHF&quot;\ * &quot;-&quot;??_-;_-@_-"/>
      <alignment horizontal="right" vertical="bottom" textRotation="0" wrapText="0" indent="0" justifyLastLine="0" shrinkToFit="0" readingOrder="0"/>
    </dxf>
    <dxf>
      <font>
        <b val="0"/>
        <i val="0"/>
        <strike val="0"/>
        <condense val="0"/>
        <extend val="0"/>
        <outline val="0"/>
        <shadow val="0"/>
        <u val="none"/>
        <vertAlign val="baseline"/>
        <sz val="7.5"/>
        <color auto="1"/>
        <name val="Verdana"/>
        <scheme val="none"/>
      </font>
    </dxf>
    <dxf>
      <font>
        <strike val="0"/>
        <outline val="0"/>
        <shadow val="0"/>
        <u val="none"/>
        <vertAlign val="baseline"/>
        <sz val="7.5"/>
        <color auto="1"/>
        <name val="Verdana"/>
        <scheme val="none"/>
      </font>
    </dxf>
    <dxf>
      <font>
        <strike val="0"/>
        <outline val="0"/>
        <shadow val="0"/>
        <u val="none"/>
        <vertAlign val="baseline"/>
        <sz val="7.5"/>
        <color auto="1"/>
        <name val="Verdana"/>
        <scheme val="none"/>
      </font>
    </dxf>
    <dxf>
      <font>
        <b val="0"/>
        <i val="0"/>
        <strike val="0"/>
        <condense val="0"/>
        <extend val="0"/>
        <outline val="0"/>
        <shadow val="0"/>
        <u val="none"/>
        <vertAlign val="baseline"/>
        <sz val="7.5"/>
        <color auto="1"/>
        <name val="Verdana"/>
        <scheme val="none"/>
      </font>
      <numFmt numFmtId="172" formatCode="_-&quot;CHF&quot;\ * #,##0_-;\-&quot;CHF&quot;\ * #,##0_-;_-&quot;CHF&quot;\ * &quot;-&quot;??_-;_-@_-"/>
      <alignment horizontal="right" vertical="bottom" textRotation="0" wrapText="0" indent="0" justifyLastLine="0" shrinkToFit="0" readingOrder="0"/>
    </dxf>
    <dxf>
      <font>
        <b val="0"/>
        <i val="0"/>
        <strike val="0"/>
        <condense val="0"/>
        <extend val="0"/>
        <outline val="0"/>
        <shadow val="0"/>
        <u val="none"/>
        <vertAlign val="baseline"/>
        <sz val="7.5"/>
        <color auto="1"/>
        <name val="Verdana"/>
        <scheme val="none"/>
      </font>
      <numFmt numFmtId="172" formatCode="_-&quot;CHF&quot;\ * #,##0_-;\-&quot;CHF&quot;\ * #,##0_-;_-&quot;CHF&quot;\ * &quot;-&quot;??_-;_-@_-"/>
      <alignment horizontal="right" vertical="bottom" textRotation="0" wrapText="0" indent="0" justifyLastLine="0" shrinkToFit="0" readingOrder="0"/>
    </dxf>
    <dxf>
      <font>
        <b val="0"/>
        <i val="0"/>
        <strike val="0"/>
        <condense val="0"/>
        <extend val="0"/>
        <outline val="0"/>
        <shadow val="0"/>
        <u val="none"/>
        <vertAlign val="baseline"/>
        <sz val="7.5"/>
        <color auto="1"/>
        <name val="Verdana"/>
        <scheme val="none"/>
      </font>
    </dxf>
    <dxf>
      <font>
        <strike val="0"/>
        <outline val="0"/>
        <shadow val="0"/>
        <u val="none"/>
        <vertAlign val="baseline"/>
        <sz val="7.5"/>
        <color auto="1"/>
        <name val="Verdana"/>
        <scheme val="none"/>
      </font>
    </dxf>
    <dxf>
      <font>
        <strike val="0"/>
        <outline val="0"/>
        <shadow val="0"/>
        <u val="none"/>
        <vertAlign val="baseline"/>
        <sz val="7.5"/>
        <color auto="1"/>
        <name val="Verdana"/>
        <scheme val="none"/>
      </font>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ont>
        <b/>
        <i val="0"/>
        <color rgb="FFFFC000"/>
      </font>
    </dxf>
    <dxf>
      <font>
        <b/>
        <i val="0"/>
        <color rgb="FFFF0000"/>
      </font>
    </dxf>
    <dxf>
      <font>
        <b/>
        <i val="0"/>
        <color rgb="FF00B050"/>
      </font>
    </dxf>
    <dxf>
      <font>
        <b/>
        <i val="0"/>
        <color rgb="FFFFC000"/>
      </font>
    </dxf>
    <dxf>
      <font>
        <b/>
        <i val="0"/>
        <color rgb="FFFF0000"/>
      </font>
    </dxf>
    <dxf>
      <font>
        <b/>
        <i val="0"/>
        <color rgb="FF00B050"/>
      </font>
    </dxf>
    <dxf>
      <font>
        <b/>
        <i val="0"/>
        <color rgb="FFFFC000"/>
      </font>
    </dxf>
    <dxf>
      <font>
        <b/>
        <i val="0"/>
        <color rgb="FFFF0000"/>
      </font>
    </dxf>
    <dxf>
      <font>
        <b/>
        <i val="0"/>
        <color rgb="FF00B050"/>
      </font>
    </dxf>
    <dxf>
      <font>
        <b/>
        <i val="0"/>
        <color rgb="FFFFC000"/>
      </font>
    </dxf>
    <dxf>
      <font>
        <b/>
        <i val="0"/>
        <color rgb="FFFF0000"/>
      </font>
    </dxf>
    <dxf>
      <font>
        <b/>
        <i val="0"/>
        <color rgb="FF00B050"/>
      </font>
    </dxf>
    <dxf>
      <font>
        <b/>
        <i val="0"/>
        <color rgb="FFFFC000"/>
      </font>
    </dxf>
    <dxf>
      <font>
        <b/>
        <i val="0"/>
        <color rgb="FFFF0000"/>
      </font>
    </dxf>
    <dxf>
      <font>
        <b/>
        <i val="0"/>
        <color rgb="FF00B050"/>
      </font>
    </dxf>
    <dxf>
      <font>
        <b/>
        <i val="0"/>
        <color rgb="FFFF0000"/>
      </font>
    </dxf>
    <dxf>
      <font>
        <b/>
        <i val="0"/>
        <color rgb="FF00B050"/>
      </font>
    </dxf>
    <dxf>
      <font>
        <b/>
        <i val="0"/>
        <color rgb="FFFFC000"/>
      </font>
    </dxf>
    <dxf>
      <font>
        <b/>
        <i val="0"/>
        <color rgb="FFFF0000"/>
      </font>
    </dxf>
    <dxf>
      <font>
        <b/>
        <i val="0"/>
        <color rgb="FF00B050"/>
      </font>
    </dxf>
    <dxf>
      <font>
        <b val="0"/>
        <i val="0"/>
        <strike val="0"/>
        <condense val="0"/>
        <extend val="0"/>
        <outline val="0"/>
        <shadow val="0"/>
        <u val="none"/>
        <vertAlign val="baseline"/>
        <sz val="10"/>
        <color auto="1"/>
        <name val="Verdana"/>
        <scheme val="none"/>
      </font>
      <numFmt numFmtId="170" formatCode="0\60000"/>
      <fill>
        <patternFill patternType="solid">
          <fgColor indexed="64"/>
          <bgColor indexed="9"/>
        </patternFill>
      </fill>
      <alignment horizontal="general" vertical="center" textRotation="0" wrapText="0" relativeIndent="0" justifyLastLine="0" shrinkToFit="0" readingOrder="0"/>
    </dxf>
    <dxf>
      <font>
        <b val="0"/>
        <i val="0"/>
        <strike val="0"/>
        <condense val="0"/>
        <extend val="0"/>
        <outline val="0"/>
        <shadow val="0"/>
        <u val="none"/>
        <vertAlign val="baseline"/>
        <sz val="10"/>
        <color auto="1"/>
        <name val="Verdana"/>
        <scheme val="none"/>
      </font>
      <fill>
        <patternFill patternType="solid">
          <fgColor indexed="64"/>
          <bgColor indexed="9"/>
        </patternFill>
      </fill>
      <alignment horizontal="general" vertical="center" textRotation="0" wrapText="0" relativeIndent="0" justifyLastLine="0" shrinkToFit="0" readingOrder="0"/>
    </dxf>
    <dxf>
      <font>
        <b/>
        <i val="0"/>
        <strike val="0"/>
        <condense val="0"/>
        <extend val="0"/>
        <outline val="0"/>
        <shadow val="0"/>
        <u val="none"/>
        <vertAlign val="baseline"/>
        <sz val="10"/>
        <color auto="1"/>
        <name val="Arial"/>
        <scheme val="none"/>
      </font>
      <numFmt numFmtId="170" formatCode="0\60000"/>
      <fill>
        <patternFill patternType="solid">
          <fgColor indexed="64"/>
          <bgColor indexed="9"/>
        </patternFill>
      </fill>
    </dxf>
    <dxf>
      <font>
        <condense val="0"/>
        <extend val="0"/>
        <color indexed="52"/>
      </font>
    </dxf>
    <dxf>
      <font>
        <condense val="0"/>
        <extend val="0"/>
        <color indexed="57"/>
      </font>
    </dxf>
    <dxf>
      <font>
        <b val="0"/>
        <i val="0"/>
        <strike val="0"/>
        <condense val="0"/>
        <extend val="0"/>
        <outline val="0"/>
        <shadow val="0"/>
        <u val="none"/>
        <vertAlign val="baseline"/>
        <sz val="10"/>
        <color auto="1"/>
        <name val="Verdana"/>
        <scheme val="none"/>
      </font>
      <numFmt numFmtId="170" formatCode="0\60000"/>
      <fill>
        <patternFill patternType="none">
          <fgColor indexed="64"/>
          <bgColor indexed="65"/>
        </patternFill>
      </fill>
    </dxf>
    <dxf>
      <font>
        <b val="0"/>
        <i val="0"/>
        <strike val="0"/>
        <condense val="0"/>
        <extend val="0"/>
        <outline val="0"/>
        <shadow val="0"/>
        <u val="none"/>
        <vertAlign val="baseline"/>
        <sz val="10"/>
        <color auto="1"/>
        <name val="Verdana"/>
        <scheme val="none"/>
      </font>
      <fill>
        <patternFill patternType="none">
          <fgColor indexed="64"/>
          <bgColor indexed="65"/>
        </patternFill>
      </fill>
    </dxf>
    <dxf>
      <font>
        <b/>
        <i val="0"/>
        <strike val="0"/>
        <condense val="0"/>
        <extend val="0"/>
        <outline val="0"/>
        <shadow val="0"/>
        <u val="none"/>
        <vertAlign val="baseline"/>
        <sz val="10"/>
        <color auto="1"/>
        <name val="Verdana"/>
        <scheme val="none"/>
      </font>
      <numFmt numFmtId="170" formatCode="0\60000"/>
      <fill>
        <patternFill patternType="solid">
          <fgColor indexed="64"/>
          <bgColor indexed="22"/>
        </patternFill>
      </fill>
    </dxf>
    <dxf>
      <font>
        <condense val="0"/>
        <extend val="0"/>
        <color indexed="52"/>
      </font>
    </dxf>
    <dxf>
      <font>
        <condense val="0"/>
        <extend val="0"/>
        <color indexed="57"/>
      </font>
    </dxf>
  </dxfs>
  <tableStyles count="0" defaultTableStyle="TableStyleMedium2" defaultPivotStyle="PivotStyleLight16"/>
  <colors>
    <mruColors>
      <color rgb="FFF6262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onnections" Target="connections.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539750</xdr:colOff>
      <xdr:row>1</xdr:row>
      <xdr:rowOff>21168</xdr:rowOff>
    </xdr:from>
    <xdr:to>
      <xdr:col>2</xdr:col>
      <xdr:colOff>296334</xdr:colOff>
      <xdr:row>3</xdr:row>
      <xdr:rowOff>10584</xdr:rowOff>
    </xdr:to>
    <xdr:sp macro="[0]!Masquer" textlink="">
      <xdr:nvSpPr>
        <xdr:cNvPr id="2" name="ZoneTexte 1"/>
        <xdr:cNvSpPr txBox="1"/>
      </xdr:nvSpPr>
      <xdr:spPr>
        <a:xfrm>
          <a:off x="539750" y="275168"/>
          <a:ext cx="783167" cy="306916"/>
        </a:xfrm>
        <a:prstGeom prst="roundRect">
          <a:avLst/>
        </a:prstGeom>
        <a:solidFill>
          <a:schemeClr val="accent6">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Masquer</a:t>
          </a:r>
        </a:p>
      </xdr:txBody>
    </xdr:sp>
    <xdr:clientData fPrintsWithSheet="0"/>
  </xdr:twoCellAnchor>
  <xdr:twoCellAnchor>
    <xdr:from>
      <xdr:col>2</xdr:col>
      <xdr:colOff>603250</xdr:colOff>
      <xdr:row>1</xdr:row>
      <xdr:rowOff>10585</xdr:rowOff>
    </xdr:from>
    <xdr:to>
      <xdr:col>3</xdr:col>
      <xdr:colOff>476250</xdr:colOff>
      <xdr:row>3</xdr:row>
      <xdr:rowOff>1</xdr:rowOff>
    </xdr:to>
    <xdr:sp macro="[0]!Demasquer" textlink="">
      <xdr:nvSpPr>
        <xdr:cNvPr id="3" name="ZoneTexte 2"/>
        <xdr:cNvSpPr txBox="1"/>
      </xdr:nvSpPr>
      <xdr:spPr>
        <a:xfrm>
          <a:off x="1629833" y="264585"/>
          <a:ext cx="984250" cy="306916"/>
        </a:xfrm>
        <a:prstGeom prst="roundRect">
          <a:avLst/>
        </a:prstGeom>
        <a:solidFill>
          <a:schemeClr val="accent2">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Démasquer</a:t>
          </a:r>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Patrice\Documents\NISSAN\Test%20rapport\Tableau%20de%20bord%20agents%202012%20D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Patrice\Documents\NISSAN\FY13\DBCH%20extract%20FY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
      <sheetName val="Saisonalität"/>
      <sheetName val="Bonus"/>
      <sheetName val="HDL Ziele"/>
      <sheetName val="IST-Umsatz FY12"/>
      <sheetName val="Umsatz Global netto CH FY11"/>
    </sheetNames>
    <sheetDataSet>
      <sheetData sheetId="0"/>
      <sheetData sheetId="1">
        <row r="2">
          <cell r="A2">
            <v>4</v>
          </cell>
          <cell r="B2">
            <v>2012</v>
          </cell>
          <cell r="C2">
            <v>5.8999999999999997E-2</v>
          </cell>
          <cell r="D2">
            <v>5.8999999999999997E-2</v>
          </cell>
        </row>
        <row r="3">
          <cell r="A3">
            <v>5</v>
          </cell>
          <cell r="B3">
            <v>2012</v>
          </cell>
          <cell r="C3">
            <v>0.17599999999999999</v>
          </cell>
          <cell r="D3">
            <v>0.23499999999999999</v>
          </cell>
        </row>
        <row r="4">
          <cell r="A4">
            <v>6</v>
          </cell>
          <cell r="B4">
            <v>2012</v>
          </cell>
          <cell r="C4">
            <v>3.5999999999999997E-2</v>
          </cell>
          <cell r="D4">
            <v>0.27099999999999996</v>
          </cell>
        </row>
        <row r="5">
          <cell r="A5">
            <v>7</v>
          </cell>
          <cell r="B5">
            <v>2012</v>
          </cell>
          <cell r="C5">
            <v>0.113</v>
          </cell>
          <cell r="D5">
            <v>0.38399999999999995</v>
          </cell>
        </row>
        <row r="6">
          <cell r="A6">
            <v>8</v>
          </cell>
          <cell r="B6">
            <v>2012</v>
          </cell>
          <cell r="C6">
            <v>4.7E-2</v>
          </cell>
          <cell r="D6">
            <v>0.43099999999999994</v>
          </cell>
        </row>
        <row r="7">
          <cell r="A7">
            <v>9</v>
          </cell>
          <cell r="B7">
            <v>2012</v>
          </cell>
          <cell r="C7">
            <v>3.7999999999999999E-2</v>
          </cell>
          <cell r="D7">
            <v>0.46899999999999992</v>
          </cell>
        </row>
        <row r="8">
          <cell r="A8">
            <v>10</v>
          </cell>
          <cell r="B8">
            <v>2012</v>
          </cell>
          <cell r="C8">
            <v>0.17199999999999999</v>
          </cell>
          <cell r="D8">
            <v>0.6409999999999999</v>
          </cell>
        </row>
        <row r="9">
          <cell r="A9">
            <v>11</v>
          </cell>
          <cell r="B9">
            <v>2012</v>
          </cell>
          <cell r="C9">
            <v>6.2E-2</v>
          </cell>
          <cell r="D9">
            <v>0.70299999999999985</v>
          </cell>
        </row>
        <row r="10">
          <cell r="A10">
            <v>12</v>
          </cell>
          <cell r="B10">
            <v>2012</v>
          </cell>
          <cell r="C10">
            <v>5.5E-2</v>
          </cell>
          <cell r="D10">
            <v>0.7579999999999999</v>
          </cell>
        </row>
        <row r="11">
          <cell r="A11">
            <v>1</v>
          </cell>
          <cell r="B11">
            <v>2013</v>
          </cell>
          <cell r="C11">
            <v>5.5E-2</v>
          </cell>
          <cell r="D11">
            <v>0.81299999999999994</v>
          </cell>
        </row>
        <row r="12">
          <cell r="A12">
            <v>2</v>
          </cell>
          <cell r="B12">
            <v>2013</v>
          </cell>
          <cell r="C12">
            <v>0.14000000000000001</v>
          </cell>
          <cell r="D12">
            <v>0.95299999999999996</v>
          </cell>
        </row>
        <row r="13">
          <cell r="A13">
            <v>3</v>
          </cell>
          <cell r="B13">
            <v>2013</v>
          </cell>
          <cell r="C13">
            <v>4.7E-2</v>
          </cell>
          <cell r="D13">
            <v>1</v>
          </cell>
        </row>
      </sheetData>
      <sheetData sheetId="2"/>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ort"/>
      <sheetName val="Pivot groupes DR"/>
      <sheetName val="Evolution DC FY13"/>
      <sheetName val="DC FY13"/>
    </sheetNames>
    <sheetDataSet>
      <sheetData sheetId="0"/>
      <sheetData sheetId="1">
        <row r="4">
          <cell r="N4" t="str">
            <v>Trimestre 2 (avr-jun)</v>
          </cell>
          <cell r="S4" t="str">
            <v>Trimestre 3 (juil-sept)</v>
          </cell>
          <cell r="X4" t="str">
            <v>Trimestre 4 (oct-dec)</v>
          </cell>
          <cell r="AC4" t="str">
            <v>Trimestre 1 (jan-mar)</v>
          </cell>
          <cell r="AH4" t="str">
            <v>Total annuel</v>
          </cell>
        </row>
        <row r="5">
          <cell r="N5" t="str">
            <v>Pièces</v>
          </cell>
          <cell r="O5" t="str">
            <v>Accessoires</v>
          </cell>
          <cell r="P5" t="str">
            <v>Roues CA</v>
          </cell>
          <cell r="Q5" t="str">
            <v>Roues qté</v>
          </cell>
          <cell r="R5" t="str">
            <v>CA global net</v>
          </cell>
          <cell r="S5" t="str">
            <v>Pièces</v>
          </cell>
          <cell r="T5" t="str">
            <v>Accessoires</v>
          </cell>
          <cell r="U5" t="str">
            <v>Roues CA</v>
          </cell>
          <cell r="V5" t="str">
            <v>Roues qté</v>
          </cell>
          <cell r="W5" t="str">
            <v>CA global net</v>
          </cell>
          <cell r="X5" t="str">
            <v>Pièces</v>
          </cell>
          <cell r="Y5" t="str">
            <v>Accessoires</v>
          </cell>
          <cell r="Z5" t="str">
            <v>Roues CA</v>
          </cell>
          <cell r="AA5" t="str">
            <v>Roues qté</v>
          </cell>
          <cell r="AB5" t="str">
            <v>CA global net</v>
          </cell>
          <cell r="AC5" t="str">
            <v>Pièces</v>
          </cell>
          <cell r="AD5" t="str">
            <v>Accessoires</v>
          </cell>
          <cell r="AE5" t="str">
            <v>Roues CA</v>
          </cell>
          <cell r="AF5" t="str">
            <v>Roues qté</v>
          </cell>
          <cell r="AG5" t="str">
            <v>CA global net</v>
          </cell>
          <cell r="AH5" t="str">
            <v>Pièces</v>
          </cell>
          <cell r="AI5" t="str">
            <v>Accessoires</v>
          </cell>
          <cell r="AJ5" t="str">
            <v xml:space="preserve"> Roues CA</v>
          </cell>
          <cell r="AK5" t="str">
            <v>Roues qté</v>
          </cell>
          <cell r="AL5" t="str">
            <v>CA global net</v>
          </cell>
        </row>
        <row r="6">
          <cell r="M6">
            <v>19</v>
          </cell>
          <cell r="N6">
            <v>34357.35</v>
          </cell>
          <cell r="O6">
            <v>6283.8600000000024</v>
          </cell>
          <cell r="P6">
            <v>0</v>
          </cell>
          <cell r="Q6">
            <v>0</v>
          </cell>
          <cell r="R6">
            <v>109185.18000000008</v>
          </cell>
          <cell r="S6" t="e">
            <v>#REF!</v>
          </cell>
          <cell r="T6" t="e">
            <v>#REF!</v>
          </cell>
          <cell r="U6" t="e">
            <v>#REF!</v>
          </cell>
          <cell r="V6" t="e">
            <v>#REF!</v>
          </cell>
          <cell r="W6" t="e">
            <v>#REF!</v>
          </cell>
          <cell r="X6" t="e">
            <v>#REF!</v>
          </cell>
          <cell r="Y6" t="e">
            <v>#REF!</v>
          </cell>
          <cell r="Z6" t="e">
            <v>#REF!</v>
          </cell>
          <cell r="AA6" t="e">
            <v>#REF!</v>
          </cell>
          <cell r="AB6" t="e">
            <v>#REF!</v>
          </cell>
          <cell r="AC6" t="e">
            <v>#REF!</v>
          </cell>
          <cell r="AD6" t="e">
            <v>#REF!</v>
          </cell>
          <cell r="AE6" t="e">
            <v>#REF!</v>
          </cell>
          <cell r="AF6" t="e">
            <v>#REF!</v>
          </cell>
          <cell r="AG6" t="e">
            <v>#REF!</v>
          </cell>
          <cell r="AH6" t="e">
            <v>#REF!</v>
          </cell>
          <cell r="AI6" t="e">
            <v>#REF!</v>
          </cell>
          <cell r="AJ6" t="e">
            <v>#REF!</v>
          </cell>
          <cell r="AK6" t="e">
            <v>#REF!</v>
          </cell>
          <cell r="AL6" t="e">
            <v>#REF!</v>
          </cell>
        </row>
        <row r="7">
          <cell r="M7">
            <v>32</v>
          </cell>
          <cell r="N7">
            <v>27380.030000000002</v>
          </cell>
          <cell r="O7">
            <v>2999.7799999999997</v>
          </cell>
          <cell r="P7">
            <v>0</v>
          </cell>
          <cell r="Q7">
            <v>0</v>
          </cell>
          <cell r="R7">
            <v>113262.50999999989</v>
          </cell>
          <cell r="S7" t="e">
            <v>#REF!</v>
          </cell>
          <cell r="T7" t="e">
            <v>#REF!</v>
          </cell>
          <cell r="U7" t="e">
            <v>#REF!</v>
          </cell>
          <cell r="V7" t="e">
            <v>#REF!</v>
          </cell>
          <cell r="W7" t="e">
            <v>#REF!</v>
          </cell>
          <cell r="X7" t="e">
            <v>#REF!</v>
          </cell>
          <cell r="Y7" t="e">
            <v>#REF!</v>
          </cell>
          <cell r="Z7" t="e">
            <v>#REF!</v>
          </cell>
          <cell r="AA7" t="e">
            <v>#REF!</v>
          </cell>
          <cell r="AB7" t="e">
            <v>#REF!</v>
          </cell>
          <cell r="AC7" t="e">
            <v>#REF!</v>
          </cell>
          <cell r="AD7" t="e">
            <v>#REF!</v>
          </cell>
          <cell r="AE7" t="e">
            <v>#REF!</v>
          </cell>
          <cell r="AF7" t="e">
            <v>#REF!</v>
          </cell>
          <cell r="AG7" t="e">
            <v>#REF!</v>
          </cell>
          <cell r="AH7" t="e">
            <v>#REF!</v>
          </cell>
          <cell r="AI7" t="e">
            <v>#REF!</v>
          </cell>
          <cell r="AJ7" t="e">
            <v>#REF!</v>
          </cell>
          <cell r="AK7" t="e">
            <v>#REF!</v>
          </cell>
          <cell r="AL7" t="e">
            <v>#REF!</v>
          </cell>
        </row>
        <row r="8">
          <cell r="M8">
            <v>40</v>
          </cell>
          <cell r="N8">
            <v>42573.290000000008</v>
          </cell>
          <cell r="O8">
            <v>5357.880000000001</v>
          </cell>
          <cell r="P8">
            <v>0</v>
          </cell>
          <cell r="Q8">
            <v>0</v>
          </cell>
          <cell r="R8">
            <v>161339.40000000014</v>
          </cell>
          <cell r="S8" t="e">
            <v>#REF!</v>
          </cell>
          <cell r="T8" t="e">
            <v>#REF!</v>
          </cell>
          <cell r="U8" t="e">
            <v>#REF!</v>
          </cell>
          <cell r="V8" t="e">
            <v>#REF!</v>
          </cell>
          <cell r="W8" t="e">
            <v>#REF!</v>
          </cell>
          <cell r="X8" t="e">
            <v>#REF!</v>
          </cell>
          <cell r="Y8" t="e">
            <v>#REF!</v>
          </cell>
          <cell r="Z8" t="e">
            <v>#REF!</v>
          </cell>
          <cell r="AA8" t="e">
            <v>#REF!</v>
          </cell>
          <cell r="AB8" t="e">
            <v>#REF!</v>
          </cell>
          <cell r="AC8" t="e">
            <v>#REF!</v>
          </cell>
          <cell r="AD8" t="e">
            <v>#REF!</v>
          </cell>
          <cell r="AE8" t="e">
            <v>#REF!</v>
          </cell>
          <cell r="AF8" t="e">
            <v>#REF!</v>
          </cell>
          <cell r="AG8" t="e">
            <v>#REF!</v>
          </cell>
          <cell r="AH8" t="e">
            <v>#REF!</v>
          </cell>
          <cell r="AI8" t="e">
            <v>#REF!</v>
          </cell>
          <cell r="AJ8" t="e">
            <v>#REF!</v>
          </cell>
          <cell r="AK8" t="e">
            <v>#REF!</v>
          </cell>
          <cell r="AL8" t="e">
            <v>#REF!</v>
          </cell>
        </row>
        <row r="9">
          <cell r="M9">
            <v>85</v>
          </cell>
          <cell r="N9">
            <v>26998.139999999989</v>
          </cell>
          <cell r="O9">
            <v>13666.349999999995</v>
          </cell>
          <cell r="P9">
            <v>0</v>
          </cell>
          <cell r="Q9">
            <v>0</v>
          </cell>
          <cell r="R9">
            <v>143398.73000000004</v>
          </cell>
          <cell r="S9" t="e">
            <v>#REF!</v>
          </cell>
          <cell r="T9" t="e">
            <v>#REF!</v>
          </cell>
          <cell r="U9" t="e">
            <v>#REF!</v>
          </cell>
          <cell r="V9" t="e">
            <v>#REF!</v>
          </cell>
          <cell r="W9" t="e">
            <v>#REF!</v>
          </cell>
          <cell r="X9" t="e">
            <v>#REF!</v>
          </cell>
          <cell r="Y9" t="e">
            <v>#REF!</v>
          </cell>
          <cell r="Z9" t="e">
            <v>#REF!</v>
          </cell>
          <cell r="AA9" t="e">
            <v>#REF!</v>
          </cell>
          <cell r="AB9" t="e">
            <v>#REF!</v>
          </cell>
          <cell r="AC9" t="e">
            <v>#REF!</v>
          </cell>
          <cell r="AD9" t="e">
            <v>#REF!</v>
          </cell>
          <cell r="AE9" t="e">
            <v>#REF!</v>
          </cell>
          <cell r="AF9" t="e">
            <v>#REF!</v>
          </cell>
          <cell r="AG9" t="e">
            <v>#REF!</v>
          </cell>
          <cell r="AH9" t="e">
            <v>#REF!</v>
          </cell>
          <cell r="AI9" t="e">
            <v>#REF!</v>
          </cell>
          <cell r="AJ9" t="e">
            <v>#REF!</v>
          </cell>
          <cell r="AK9" t="e">
            <v>#REF!</v>
          </cell>
          <cell r="AL9" t="e">
            <v>#REF!</v>
          </cell>
        </row>
        <row r="10">
          <cell r="M10">
            <v>263</v>
          </cell>
          <cell r="N10">
            <v>21155.540000000008</v>
          </cell>
          <cell r="O10">
            <v>4273.2799999999988</v>
          </cell>
          <cell r="P10">
            <v>0</v>
          </cell>
          <cell r="Q10">
            <v>0</v>
          </cell>
          <cell r="R10">
            <v>85417.359999999986</v>
          </cell>
          <cell r="S10" t="e">
            <v>#REF!</v>
          </cell>
          <cell r="T10" t="e">
            <v>#REF!</v>
          </cell>
          <cell r="U10" t="e">
            <v>#REF!</v>
          </cell>
          <cell r="V10" t="e">
            <v>#REF!</v>
          </cell>
          <cell r="W10" t="e">
            <v>#REF!</v>
          </cell>
          <cell r="X10" t="e">
            <v>#REF!</v>
          </cell>
          <cell r="Y10" t="e">
            <v>#REF!</v>
          </cell>
          <cell r="Z10" t="e">
            <v>#REF!</v>
          </cell>
          <cell r="AA10" t="e">
            <v>#REF!</v>
          </cell>
          <cell r="AB10" t="e">
            <v>#REF!</v>
          </cell>
          <cell r="AC10" t="e">
            <v>#REF!</v>
          </cell>
          <cell r="AD10" t="e">
            <v>#REF!</v>
          </cell>
          <cell r="AE10" t="e">
            <v>#REF!</v>
          </cell>
          <cell r="AF10" t="e">
            <v>#REF!</v>
          </cell>
          <cell r="AG10" t="e">
            <v>#REF!</v>
          </cell>
          <cell r="AH10" t="e">
            <v>#REF!</v>
          </cell>
          <cell r="AI10" t="e">
            <v>#REF!</v>
          </cell>
          <cell r="AJ10" t="e">
            <v>#REF!</v>
          </cell>
          <cell r="AK10" t="e">
            <v>#REF!</v>
          </cell>
          <cell r="AL10" t="e">
            <v>#REF!</v>
          </cell>
        </row>
        <row r="11">
          <cell r="M11">
            <v>305</v>
          </cell>
          <cell r="N11">
            <v>46017.130000000048</v>
          </cell>
          <cell r="O11">
            <v>10944.039999999997</v>
          </cell>
          <cell r="P11">
            <v>0</v>
          </cell>
          <cell r="Q11">
            <v>0</v>
          </cell>
          <cell r="R11">
            <v>194833.55000000025</v>
          </cell>
          <cell r="S11" t="e">
            <v>#REF!</v>
          </cell>
          <cell r="T11" t="e">
            <v>#REF!</v>
          </cell>
          <cell r="U11" t="e">
            <v>#REF!</v>
          </cell>
          <cell r="V11" t="e">
            <v>#REF!</v>
          </cell>
          <cell r="W11" t="e">
            <v>#REF!</v>
          </cell>
          <cell r="X11" t="e">
            <v>#REF!</v>
          </cell>
          <cell r="Y11" t="e">
            <v>#REF!</v>
          </cell>
          <cell r="Z11" t="e">
            <v>#REF!</v>
          </cell>
          <cell r="AA11" t="e">
            <v>#REF!</v>
          </cell>
          <cell r="AB11" t="e">
            <v>#REF!</v>
          </cell>
          <cell r="AC11" t="e">
            <v>#REF!</v>
          </cell>
          <cell r="AD11" t="e">
            <v>#REF!</v>
          </cell>
          <cell r="AE11" t="e">
            <v>#REF!</v>
          </cell>
          <cell r="AF11" t="e">
            <v>#REF!</v>
          </cell>
          <cell r="AG11" t="e">
            <v>#REF!</v>
          </cell>
          <cell r="AH11" t="e">
            <v>#REF!</v>
          </cell>
          <cell r="AI11" t="e">
            <v>#REF!</v>
          </cell>
          <cell r="AJ11" t="e">
            <v>#REF!</v>
          </cell>
          <cell r="AK11" t="e">
            <v>#REF!</v>
          </cell>
          <cell r="AL11" t="e">
            <v>#REF!</v>
          </cell>
        </row>
        <row r="12">
          <cell r="M12">
            <v>453</v>
          </cell>
          <cell r="N12">
            <v>15125.679999999998</v>
          </cell>
          <cell r="O12">
            <v>5022.3599999999997</v>
          </cell>
          <cell r="P12">
            <v>1364</v>
          </cell>
          <cell r="Q12">
            <v>4</v>
          </cell>
          <cell r="R12">
            <v>68699.239999999991</v>
          </cell>
          <cell r="S12" t="e">
            <v>#REF!</v>
          </cell>
          <cell r="T12" t="e">
            <v>#REF!</v>
          </cell>
          <cell r="U12" t="e">
            <v>#REF!</v>
          </cell>
          <cell r="V12" t="e">
            <v>#REF!</v>
          </cell>
          <cell r="W12" t="e">
            <v>#REF!</v>
          </cell>
          <cell r="X12" t="e">
            <v>#REF!</v>
          </cell>
          <cell r="Y12" t="e">
            <v>#REF!</v>
          </cell>
          <cell r="Z12" t="e">
            <v>#REF!</v>
          </cell>
          <cell r="AA12" t="e">
            <v>#REF!</v>
          </cell>
          <cell r="AB12" t="e">
            <v>#REF!</v>
          </cell>
          <cell r="AC12" t="e">
            <v>#REF!</v>
          </cell>
          <cell r="AD12" t="e">
            <v>#REF!</v>
          </cell>
          <cell r="AE12" t="e">
            <v>#REF!</v>
          </cell>
          <cell r="AF12" t="e">
            <v>#REF!</v>
          </cell>
          <cell r="AG12" t="e">
            <v>#REF!</v>
          </cell>
          <cell r="AH12" t="e">
            <v>#REF!</v>
          </cell>
          <cell r="AI12" t="e">
            <v>#REF!</v>
          </cell>
          <cell r="AJ12" t="e">
            <v>#REF!</v>
          </cell>
          <cell r="AK12" t="e">
            <v>#REF!</v>
          </cell>
          <cell r="AL12" t="e">
            <v>#REF!</v>
          </cell>
        </row>
        <row r="13">
          <cell r="M13">
            <v>459</v>
          </cell>
          <cell r="N13">
            <v>25715.950000000019</v>
          </cell>
          <cell r="O13">
            <v>2067.62</v>
          </cell>
          <cell r="P13">
            <v>0</v>
          </cell>
          <cell r="Q13">
            <v>0</v>
          </cell>
          <cell r="R13">
            <v>99048.199999999953</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cell r="AI13" t="e">
            <v>#REF!</v>
          </cell>
          <cell r="AJ13" t="e">
            <v>#REF!</v>
          </cell>
          <cell r="AK13" t="e">
            <v>#REF!</v>
          </cell>
          <cell r="AL13" t="e">
            <v>#REF!</v>
          </cell>
        </row>
        <row r="14">
          <cell r="M14">
            <v>487</v>
          </cell>
          <cell r="N14">
            <v>27476.05000000001</v>
          </cell>
          <cell r="O14">
            <v>12339.43</v>
          </cell>
          <cell r="P14">
            <v>0</v>
          </cell>
          <cell r="Q14">
            <v>0</v>
          </cell>
          <cell r="R14">
            <v>126666.14000000001</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cell r="AI14" t="e">
            <v>#REF!</v>
          </cell>
          <cell r="AJ14" t="e">
            <v>#REF!</v>
          </cell>
          <cell r="AK14" t="e">
            <v>#REF!</v>
          </cell>
          <cell r="AL14" t="e">
            <v>#REF!</v>
          </cell>
        </row>
        <row r="15">
          <cell r="M15">
            <v>497</v>
          </cell>
          <cell r="N15">
            <v>40241.999999999985</v>
          </cell>
          <cell r="O15">
            <v>10801.499999999996</v>
          </cell>
          <cell r="P15">
            <v>784</v>
          </cell>
          <cell r="Q15">
            <v>4</v>
          </cell>
          <cell r="R15">
            <v>172873.13000000006</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cell r="AI15" t="e">
            <v>#REF!</v>
          </cell>
          <cell r="AJ15" t="e">
            <v>#REF!</v>
          </cell>
          <cell r="AK15" t="e">
            <v>#REF!</v>
          </cell>
          <cell r="AL15" t="e">
            <v>#REF!</v>
          </cell>
        </row>
        <row r="16">
          <cell r="M16">
            <v>499</v>
          </cell>
          <cell r="N16">
            <v>56423.770000000048</v>
          </cell>
          <cell r="O16">
            <v>8302.1200000000044</v>
          </cell>
          <cell r="P16">
            <v>0</v>
          </cell>
          <cell r="Q16">
            <v>0</v>
          </cell>
          <cell r="R16">
            <v>258253.2600000003</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cell r="AI16" t="e">
            <v>#REF!</v>
          </cell>
          <cell r="AJ16" t="e">
            <v>#REF!</v>
          </cell>
          <cell r="AK16" t="e">
            <v>#REF!</v>
          </cell>
          <cell r="AL16" t="e">
            <v>#REF!</v>
          </cell>
        </row>
        <row r="17">
          <cell r="M17">
            <v>541</v>
          </cell>
          <cell r="N17">
            <v>46203.769999999953</v>
          </cell>
          <cell r="O17">
            <v>17109.340000000004</v>
          </cell>
          <cell r="P17">
            <v>0</v>
          </cell>
          <cell r="Q17">
            <v>0</v>
          </cell>
          <cell r="R17">
            <v>262053.35000000044</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cell r="AI17" t="e">
            <v>#REF!</v>
          </cell>
          <cell r="AJ17" t="e">
            <v>#REF!</v>
          </cell>
          <cell r="AK17" t="e">
            <v>#REF!</v>
          </cell>
          <cell r="AL17" t="e">
            <v>#REF!</v>
          </cell>
        </row>
        <row r="18">
          <cell r="M18">
            <v>629</v>
          </cell>
          <cell r="N18">
            <v>47734.350000000028</v>
          </cell>
          <cell r="O18">
            <v>12704.630000000005</v>
          </cell>
          <cell r="P18">
            <v>0</v>
          </cell>
          <cell r="Q18">
            <v>0</v>
          </cell>
          <cell r="R18">
            <v>207412.59000000037</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cell r="AI18" t="e">
            <v>#REF!</v>
          </cell>
          <cell r="AJ18" t="e">
            <v>#REF!</v>
          </cell>
          <cell r="AK18" t="e">
            <v>#REF!</v>
          </cell>
          <cell r="AL18" t="e">
            <v>#REF!</v>
          </cell>
        </row>
        <row r="19">
          <cell r="M19">
            <v>712</v>
          </cell>
          <cell r="N19">
            <v>16485.599999999991</v>
          </cell>
          <cell r="O19">
            <v>9726.4900000000034</v>
          </cell>
          <cell r="P19">
            <v>0</v>
          </cell>
          <cell r="Q19">
            <v>0</v>
          </cell>
          <cell r="R19">
            <v>88908.919999999984</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cell r="AI19" t="e">
            <v>#REF!</v>
          </cell>
          <cell r="AJ19" t="e">
            <v>#REF!</v>
          </cell>
          <cell r="AK19" t="e">
            <v>#REF!</v>
          </cell>
          <cell r="AL19" t="e">
            <v>#REF!</v>
          </cell>
        </row>
      </sheetData>
      <sheetData sheetId="2">
        <row r="2">
          <cell r="B2">
            <v>60019</v>
          </cell>
          <cell r="C2">
            <v>60032</v>
          </cell>
          <cell r="D2">
            <v>60040</v>
          </cell>
          <cell r="E2">
            <v>60085</v>
          </cell>
          <cell r="F2">
            <v>60263</v>
          </cell>
          <cell r="G2">
            <v>60305</v>
          </cell>
          <cell r="H2">
            <v>60453</v>
          </cell>
          <cell r="I2">
            <v>60459</v>
          </cell>
          <cell r="J2">
            <v>60487</v>
          </cell>
          <cell r="K2">
            <v>60497</v>
          </cell>
          <cell r="L2">
            <v>60499</v>
          </cell>
          <cell r="M2">
            <v>60541</v>
          </cell>
          <cell r="N2">
            <v>60629</v>
          </cell>
          <cell r="O2">
            <v>60712</v>
          </cell>
          <cell r="P2" t="str">
            <v>(vide)</v>
          </cell>
        </row>
        <row r="3">
          <cell r="A3" t="str">
            <v>Pièces</v>
          </cell>
          <cell r="B3">
            <v>34357.350000000006</v>
          </cell>
          <cell r="C3">
            <v>27380.03</v>
          </cell>
          <cell r="D3">
            <v>42573.289999999994</v>
          </cell>
          <cell r="E3">
            <v>26998.140000000003</v>
          </cell>
          <cell r="F3">
            <v>21155.54</v>
          </cell>
          <cell r="G3">
            <v>46017.13</v>
          </cell>
          <cell r="H3">
            <v>15125.680000000002</v>
          </cell>
          <cell r="I3">
            <v>25715.950000000004</v>
          </cell>
          <cell r="J3">
            <v>27476.05</v>
          </cell>
          <cell r="K3">
            <v>40241.999999999993</v>
          </cell>
          <cell r="L3">
            <v>56423.77</v>
          </cell>
          <cell r="M3">
            <v>46203.76999999999</v>
          </cell>
          <cell r="N3">
            <v>47734.35</v>
          </cell>
          <cell r="O3">
            <v>16485.599999999999</v>
          </cell>
        </row>
        <row r="4">
          <cell r="A4" t="str">
            <v>ALTERNATEURS ECHANGE</v>
          </cell>
          <cell r="G4">
            <v>164.41</v>
          </cell>
          <cell r="I4">
            <v>292.36</v>
          </cell>
          <cell r="J4">
            <v>582.70000000000005</v>
          </cell>
          <cell r="L4">
            <v>426.14</v>
          </cell>
        </row>
        <row r="5">
          <cell r="A5" t="str">
            <v>AMORTISSEURS</v>
          </cell>
          <cell r="B5">
            <v>793.67000000000007</v>
          </cell>
          <cell r="C5">
            <v>3129.6599999999994</v>
          </cell>
          <cell r="D5">
            <v>1892.5500000000004</v>
          </cell>
          <cell r="E5">
            <v>1335.53</v>
          </cell>
          <cell r="F5">
            <v>1363.1499999999994</v>
          </cell>
          <cell r="G5">
            <v>715.79000000000008</v>
          </cell>
          <cell r="H5">
            <v>638.17999999999995</v>
          </cell>
          <cell r="I5">
            <v>910.20000000000016</v>
          </cell>
          <cell r="J5">
            <v>1281.6000000000001</v>
          </cell>
          <cell r="K5">
            <v>1141.01</v>
          </cell>
          <cell r="L5">
            <v>869.76</v>
          </cell>
          <cell r="M5">
            <v>3603.26</v>
          </cell>
          <cell r="N5">
            <v>869.68000000000006</v>
          </cell>
          <cell r="O5">
            <v>964.58</v>
          </cell>
        </row>
        <row r="6">
          <cell r="A6" t="str">
            <v>AMPOULES</v>
          </cell>
          <cell r="B6">
            <v>128.37</v>
          </cell>
          <cell r="C6">
            <v>272.84000000000003</v>
          </cell>
          <cell r="D6">
            <v>191.01999999999998</v>
          </cell>
          <cell r="E6">
            <v>112.79</v>
          </cell>
          <cell r="F6">
            <v>408.40999999999997</v>
          </cell>
          <cell r="G6">
            <v>226.46</v>
          </cell>
          <cell r="H6">
            <v>45.349999999999994</v>
          </cell>
          <cell r="I6">
            <v>93.97</v>
          </cell>
          <cell r="J6">
            <v>160.26</v>
          </cell>
          <cell r="K6">
            <v>-121.77</v>
          </cell>
          <cell r="L6">
            <v>400.83000000000004</v>
          </cell>
          <cell r="M6">
            <v>193.28</v>
          </cell>
          <cell r="N6">
            <v>193.35999999999999</v>
          </cell>
          <cell r="O6">
            <v>84.98</v>
          </cell>
        </row>
        <row r="7">
          <cell r="A7" t="str">
            <v>ARBRE DE TRANSMISSION ECHANGE</v>
          </cell>
          <cell r="G7">
            <v>-427.8</v>
          </cell>
        </row>
        <row r="8">
          <cell r="A8" t="str">
            <v>BALAIS ESSUIE-GLACE</v>
          </cell>
          <cell r="B8">
            <v>846.64</v>
          </cell>
          <cell r="C8">
            <v>495.61999999999995</v>
          </cell>
          <cell r="D8">
            <v>498.57000000000005</v>
          </cell>
          <cell r="E8">
            <v>573.75</v>
          </cell>
          <cell r="F8">
            <v>194.77</v>
          </cell>
          <cell r="G8">
            <v>2499.7099999999996</v>
          </cell>
          <cell r="H8">
            <v>300.82999999999993</v>
          </cell>
          <cell r="I8">
            <v>984.18</v>
          </cell>
          <cell r="J8">
            <v>1151.7000000000003</v>
          </cell>
          <cell r="K8">
            <v>2391.3400000000006</v>
          </cell>
          <cell r="L8">
            <v>2439.7199999999993</v>
          </cell>
          <cell r="M8">
            <v>1490.88</v>
          </cell>
          <cell r="N8">
            <v>736.31999999999994</v>
          </cell>
          <cell r="O8">
            <v>295.81000000000006</v>
          </cell>
        </row>
        <row r="9">
          <cell r="A9" t="str">
            <v>BATTERIES</v>
          </cell>
          <cell r="B9">
            <v>112.48</v>
          </cell>
          <cell r="C9">
            <v>1624.9099999999999</v>
          </cell>
          <cell r="D9">
            <v>1508.38</v>
          </cell>
          <cell r="E9">
            <v>286.74</v>
          </cell>
          <cell r="F9">
            <v>841.9799999999999</v>
          </cell>
          <cell r="G9">
            <v>414.41999999999996</v>
          </cell>
          <cell r="H9">
            <v>131.86000000000001</v>
          </cell>
          <cell r="J9">
            <v>1045.54</v>
          </cell>
          <cell r="K9">
            <v>572.44000000000005</v>
          </cell>
          <cell r="L9">
            <v>1621.44</v>
          </cell>
          <cell r="M9">
            <v>856.72</v>
          </cell>
          <cell r="N9">
            <v>1661.54</v>
          </cell>
          <cell r="O9">
            <v>1078.6400000000001</v>
          </cell>
        </row>
        <row r="10">
          <cell r="A10" t="str">
            <v>BOUGIES ALLUMAGE</v>
          </cell>
          <cell r="B10">
            <v>506.85</v>
          </cell>
          <cell r="D10">
            <v>323.2</v>
          </cell>
          <cell r="E10">
            <v>93.4</v>
          </cell>
          <cell r="F10">
            <v>711.30000000000007</v>
          </cell>
          <cell r="G10">
            <v>1149.71</v>
          </cell>
          <cell r="H10">
            <v>142.30000000000001</v>
          </cell>
          <cell r="J10">
            <v>651.80999999999995</v>
          </cell>
          <cell r="K10">
            <v>268.7</v>
          </cell>
          <cell r="L10">
            <v>146.81</v>
          </cell>
          <cell r="M10">
            <v>224.36</v>
          </cell>
          <cell r="N10">
            <v>1430.98</v>
          </cell>
          <cell r="O10">
            <v>42.68</v>
          </cell>
        </row>
        <row r="11">
          <cell r="A11" t="str">
            <v>COQUES RETROVISEUR PEINTES</v>
          </cell>
          <cell r="B11">
            <v>1636.6</v>
          </cell>
          <cell r="C11">
            <v>2963.4700000000003</v>
          </cell>
          <cell r="D11">
            <v>3146.4699999999993</v>
          </cell>
          <cell r="E11">
            <v>2586.04</v>
          </cell>
          <cell r="F11">
            <v>2442.3399999999997</v>
          </cell>
          <cell r="G11">
            <v>4783.87</v>
          </cell>
          <cell r="H11">
            <v>2407.0700000000002</v>
          </cell>
          <cell r="I11">
            <v>3439.5399999999991</v>
          </cell>
          <cell r="J11">
            <v>4699.2299999999996</v>
          </cell>
          <cell r="K11">
            <v>2062.5700000000002</v>
          </cell>
          <cell r="L11">
            <v>5997.8099999999986</v>
          </cell>
          <cell r="M11">
            <v>5190.2999999999993</v>
          </cell>
          <cell r="N11">
            <v>5898.11</v>
          </cell>
          <cell r="O11">
            <v>3776.5799999999981</v>
          </cell>
        </row>
        <row r="12">
          <cell r="A12" t="str">
            <v>COURROIE CRANTEE</v>
          </cell>
          <cell r="D12">
            <v>1130.0200000000002</v>
          </cell>
          <cell r="E12">
            <v>217.65</v>
          </cell>
          <cell r="G12">
            <v>312.81</v>
          </cell>
          <cell r="J12">
            <v>137.41</v>
          </cell>
          <cell r="L12">
            <v>237.26</v>
          </cell>
          <cell r="M12">
            <v>81.550000000000011</v>
          </cell>
          <cell r="N12">
            <v>51.39</v>
          </cell>
        </row>
        <row r="13">
          <cell r="A13" t="str">
            <v>COURROIES</v>
          </cell>
          <cell r="B13">
            <v>80.489999999999995</v>
          </cell>
          <cell r="C13">
            <v>312.46000000000004</v>
          </cell>
          <cell r="D13">
            <v>1413.1399999999996</v>
          </cell>
          <cell r="E13">
            <v>433.07000000000005</v>
          </cell>
          <cell r="F13">
            <v>682.05000000000018</v>
          </cell>
          <cell r="G13">
            <v>1131.43</v>
          </cell>
          <cell r="H13">
            <v>138.16</v>
          </cell>
          <cell r="I13">
            <v>13.06000000000002</v>
          </cell>
          <cell r="J13">
            <v>529.19000000000005</v>
          </cell>
          <cell r="K13">
            <v>450.38</v>
          </cell>
          <cell r="L13">
            <v>758.62999999999988</v>
          </cell>
          <cell r="M13">
            <v>546.79999999999995</v>
          </cell>
          <cell r="N13">
            <v>635.38000000000011</v>
          </cell>
          <cell r="O13">
            <v>173.75</v>
          </cell>
        </row>
        <row r="14">
          <cell r="A14" t="str">
            <v>CVT ECHANGE</v>
          </cell>
          <cell r="B14">
            <v>4857.5600000000004</v>
          </cell>
          <cell r="G14">
            <v>1844.64</v>
          </cell>
          <cell r="M14">
            <v>2075.84</v>
          </cell>
        </row>
        <row r="15">
          <cell r="A15" t="str">
            <v>DEMARREURS ECHANGE</v>
          </cell>
          <cell r="B15">
            <v>-251.28</v>
          </cell>
          <cell r="D15">
            <v>214.13</v>
          </cell>
          <cell r="G15">
            <v>178.41</v>
          </cell>
          <cell r="H15">
            <v>437.56</v>
          </cell>
          <cell r="L15">
            <v>434.08000000000004</v>
          </cell>
          <cell r="M15">
            <v>448.01</v>
          </cell>
        </row>
        <row r="16">
          <cell r="A16" t="str">
            <v>DIRECTION ASSISTEE ECHANGE</v>
          </cell>
          <cell r="C16">
            <v>818.62</v>
          </cell>
        </row>
        <row r="17">
          <cell r="A17" t="str">
            <v>DISQUES FREINS</v>
          </cell>
          <cell r="B17">
            <v>2568.21</v>
          </cell>
          <cell r="C17">
            <v>2715.62</v>
          </cell>
          <cell r="D17">
            <v>3422.55</v>
          </cell>
          <cell r="E17">
            <v>600.36</v>
          </cell>
          <cell r="F17">
            <v>1799.73</v>
          </cell>
          <cell r="G17">
            <v>2401.48</v>
          </cell>
          <cell r="H17">
            <v>573.43999999999994</v>
          </cell>
          <cell r="I17">
            <v>1713.8000000000004</v>
          </cell>
          <cell r="J17">
            <v>1532.2200000000003</v>
          </cell>
          <cell r="K17">
            <v>4432.5200000000004</v>
          </cell>
          <cell r="L17">
            <v>3014.4100000000003</v>
          </cell>
          <cell r="M17">
            <v>1423.42</v>
          </cell>
          <cell r="N17">
            <v>2963.7</v>
          </cell>
          <cell r="O17">
            <v>993.92000000000007</v>
          </cell>
        </row>
        <row r="18">
          <cell r="A18" t="str">
            <v>EMBRAYAGE</v>
          </cell>
          <cell r="B18">
            <v>1444.0300000000002</v>
          </cell>
          <cell r="C18">
            <v>1735.06</v>
          </cell>
          <cell r="D18">
            <v>3734.18</v>
          </cell>
          <cell r="E18">
            <v>3489.0099999999998</v>
          </cell>
          <cell r="F18">
            <v>1287.44</v>
          </cell>
          <cell r="G18">
            <v>5218.8</v>
          </cell>
          <cell r="H18">
            <v>1084.06</v>
          </cell>
          <cell r="I18">
            <v>2515.42</v>
          </cell>
          <cell r="J18">
            <v>2174.4599999999996</v>
          </cell>
          <cell r="K18">
            <v>2092.9000000000005</v>
          </cell>
          <cell r="L18">
            <v>2533.98</v>
          </cell>
          <cell r="M18">
            <v>1696.49</v>
          </cell>
          <cell r="N18">
            <v>3043.4000000000005</v>
          </cell>
          <cell r="O18">
            <v>574.40000000000009</v>
          </cell>
        </row>
        <row r="19">
          <cell r="A19" t="str">
            <v>FILTRES AIR</v>
          </cell>
          <cell r="B19">
            <v>238.7</v>
          </cell>
          <cell r="C19">
            <v>68</v>
          </cell>
          <cell r="D19">
            <v>147.96</v>
          </cell>
          <cell r="E19">
            <v>135.93</v>
          </cell>
          <cell r="F19">
            <v>44.8</v>
          </cell>
          <cell r="G19">
            <v>352.61</v>
          </cell>
          <cell r="H19">
            <v>35.07</v>
          </cell>
          <cell r="I19">
            <v>14.27</v>
          </cell>
          <cell r="J19">
            <v>67.36</v>
          </cell>
          <cell r="K19">
            <v>827.40000000000009</v>
          </cell>
          <cell r="L19">
            <v>335.68</v>
          </cell>
          <cell r="M19">
            <v>841.61000000000013</v>
          </cell>
          <cell r="N19">
            <v>614.1099999999999</v>
          </cell>
          <cell r="O19">
            <v>67.09</v>
          </cell>
        </row>
        <row r="20">
          <cell r="A20" t="str">
            <v>FILTRES CARBURANT</v>
          </cell>
          <cell r="B20">
            <v>53.09</v>
          </cell>
          <cell r="C20">
            <v>265.04000000000002</v>
          </cell>
          <cell r="D20">
            <v>31.67</v>
          </cell>
          <cell r="E20">
            <v>142.49</v>
          </cell>
          <cell r="F20">
            <v>164.32999999999998</v>
          </cell>
          <cell r="G20">
            <v>423.5</v>
          </cell>
          <cell r="H20">
            <v>311.63</v>
          </cell>
          <cell r="I20">
            <v>16.670000000000002</v>
          </cell>
          <cell r="J20">
            <v>367.15</v>
          </cell>
          <cell r="K20">
            <v>81.5</v>
          </cell>
          <cell r="L20">
            <v>321.62</v>
          </cell>
          <cell r="M20">
            <v>473.21999999999997</v>
          </cell>
          <cell r="O20">
            <v>80.099999999999994</v>
          </cell>
        </row>
        <row r="21">
          <cell r="A21" t="str">
            <v>FILTRES HABITACLE</v>
          </cell>
          <cell r="B21">
            <v>902.47</v>
          </cell>
          <cell r="C21">
            <v>682.31999999999994</v>
          </cell>
          <cell r="D21">
            <v>716.2</v>
          </cell>
          <cell r="E21">
            <v>284.83</v>
          </cell>
          <cell r="F21">
            <v>2034.3100000000002</v>
          </cell>
          <cell r="G21">
            <v>1590.8600000000004</v>
          </cell>
          <cell r="H21">
            <v>159.51</v>
          </cell>
          <cell r="I21">
            <v>26.86</v>
          </cell>
          <cell r="J21">
            <v>373.84999999999997</v>
          </cell>
          <cell r="K21">
            <v>5206.2400000000007</v>
          </cell>
          <cell r="L21">
            <v>697.1400000000001</v>
          </cell>
          <cell r="M21">
            <v>1474.0600000000002</v>
          </cell>
          <cell r="N21">
            <v>1126.8</v>
          </cell>
          <cell r="O21">
            <v>78.510000000000005</v>
          </cell>
        </row>
        <row r="22">
          <cell r="A22" t="str">
            <v>FILTRES HUILE</v>
          </cell>
          <cell r="B22">
            <v>442.73999999999995</v>
          </cell>
          <cell r="D22">
            <v>1012.63</v>
          </cell>
          <cell r="E22">
            <v>205.07999999999998</v>
          </cell>
          <cell r="F22">
            <v>80.28</v>
          </cell>
          <cell r="G22">
            <v>668.25000000000011</v>
          </cell>
          <cell r="H22">
            <v>121.06</v>
          </cell>
          <cell r="I22">
            <v>29.36</v>
          </cell>
          <cell r="J22">
            <v>152.05000000000001</v>
          </cell>
          <cell r="K22">
            <v>987.16000000000008</v>
          </cell>
          <cell r="L22">
            <v>507.80000000000007</v>
          </cell>
          <cell r="M22">
            <v>434.89</v>
          </cell>
          <cell r="N22">
            <v>980.8</v>
          </cell>
          <cell r="O22">
            <v>433.22</v>
          </cell>
        </row>
        <row r="23">
          <cell r="A23" t="str">
            <v>GARNITURE FREINAGE</v>
          </cell>
          <cell r="B23">
            <v>162.87</v>
          </cell>
          <cell r="C23">
            <v>190.71</v>
          </cell>
          <cell r="D23">
            <v>358.74</v>
          </cell>
          <cell r="E23">
            <v>318.19</v>
          </cell>
          <cell r="G23">
            <v>242.83</v>
          </cell>
          <cell r="H23">
            <v>53.02</v>
          </cell>
          <cell r="I23">
            <v>557.58000000000004</v>
          </cell>
          <cell r="J23">
            <v>166.66</v>
          </cell>
          <cell r="K23">
            <v>250.94</v>
          </cell>
          <cell r="L23">
            <v>1069.25</v>
          </cell>
          <cell r="M23">
            <v>163.44</v>
          </cell>
          <cell r="N23">
            <v>-108.12</v>
          </cell>
          <cell r="O23">
            <v>133.01</v>
          </cell>
        </row>
        <row r="24">
          <cell r="A24" t="str">
            <v>HUILES</v>
          </cell>
          <cell r="B24">
            <v>570.20000000000005</v>
          </cell>
          <cell r="C24">
            <v>307.26</v>
          </cell>
          <cell r="D24">
            <v>307.85000000000002</v>
          </cell>
          <cell r="E24">
            <v>770.42</v>
          </cell>
          <cell r="F24">
            <v>220.38</v>
          </cell>
          <cell r="G24">
            <v>2872.76</v>
          </cell>
          <cell r="H24">
            <v>13.66</v>
          </cell>
          <cell r="I24">
            <v>172.78</v>
          </cell>
          <cell r="J24">
            <v>634.65000000000009</v>
          </cell>
          <cell r="K24">
            <v>946</v>
          </cell>
          <cell r="L24">
            <v>7624.1299999999992</v>
          </cell>
          <cell r="M24">
            <v>536.38</v>
          </cell>
          <cell r="N24">
            <v>6441.6999999999989</v>
          </cell>
        </row>
        <row r="25">
          <cell r="A25" t="str">
            <v>INJECTEUR ECHANGE</v>
          </cell>
          <cell r="B25">
            <v>86.76</v>
          </cell>
        </row>
        <row r="26">
          <cell r="A26" t="str">
            <v>JOINT ETANCHEITE PARE-BRISE</v>
          </cell>
          <cell r="E26">
            <v>125.16</v>
          </cell>
          <cell r="F26">
            <v>-62.6</v>
          </cell>
          <cell r="J26">
            <v>92.89</v>
          </cell>
          <cell r="L26">
            <v>62.09</v>
          </cell>
          <cell r="M26">
            <v>1.41</v>
          </cell>
        </row>
        <row r="27">
          <cell r="A27" t="str">
            <v>LAVE-GLACE CONCENTRE</v>
          </cell>
          <cell r="J27">
            <v>16.420000000000002</v>
          </cell>
          <cell r="N27">
            <v>196.8</v>
          </cell>
        </row>
        <row r="28">
          <cell r="A28" t="str">
            <v>LIQUIDE FREINS</v>
          </cell>
          <cell r="F28">
            <v>10.85</v>
          </cell>
          <cell r="G28">
            <v>10.85</v>
          </cell>
          <cell r="I28">
            <v>11.02</v>
          </cell>
          <cell r="J28">
            <v>10.85</v>
          </cell>
          <cell r="M28">
            <v>54.42</v>
          </cell>
        </row>
        <row r="29">
          <cell r="A29" t="str">
            <v>LIQUIDE REFROIDISSEMENT</v>
          </cell>
          <cell r="G29">
            <v>1539.86</v>
          </cell>
          <cell r="J29">
            <v>781.86</v>
          </cell>
          <cell r="L29">
            <v>6.01</v>
          </cell>
          <cell r="M29">
            <v>126.23</v>
          </cell>
          <cell r="N29">
            <v>521.07999999999993</v>
          </cell>
        </row>
        <row r="30">
          <cell r="A30" t="str">
            <v>MOTEUR ECHANGE</v>
          </cell>
          <cell r="B30">
            <v>4330.5200000000004</v>
          </cell>
          <cell r="D30">
            <v>4103.4399999999996</v>
          </cell>
          <cell r="J30">
            <v>716.77</v>
          </cell>
        </row>
        <row r="31">
          <cell r="A31" t="str">
            <v>PARE-BRISE</v>
          </cell>
          <cell r="B31">
            <v>462.64</v>
          </cell>
          <cell r="C31">
            <v>1156.48</v>
          </cell>
          <cell r="D31">
            <v>1801.4499999999998</v>
          </cell>
          <cell r="E31">
            <v>3805.9900000000007</v>
          </cell>
          <cell r="F31">
            <v>780.2</v>
          </cell>
          <cell r="G31">
            <v>2258.86</v>
          </cell>
          <cell r="H31">
            <v>363.71000000000004</v>
          </cell>
          <cell r="I31">
            <v>914.02</v>
          </cell>
          <cell r="J31">
            <v>969.68000000000006</v>
          </cell>
          <cell r="K31">
            <v>493.01</v>
          </cell>
          <cell r="L31">
            <v>1335.53</v>
          </cell>
          <cell r="M31">
            <v>3826.19</v>
          </cell>
          <cell r="N31">
            <v>1259.8499999999999</v>
          </cell>
          <cell r="O31">
            <v>920.81000000000006</v>
          </cell>
        </row>
        <row r="32">
          <cell r="A32" t="str">
            <v>PARE-CHOCS</v>
          </cell>
          <cell r="B32">
            <v>10799.490000000002</v>
          </cell>
          <cell r="C32">
            <v>6698.0499999999993</v>
          </cell>
          <cell r="D32">
            <v>11891.88</v>
          </cell>
          <cell r="E32">
            <v>5028.91</v>
          </cell>
          <cell r="F32">
            <v>5060.3900000000003</v>
          </cell>
          <cell r="G32">
            <v>10423.469999999999</v>
          </cell>
          <cell r="H32">
            <v>5542.8600000000015</v>
          </cell>
          <cell r="I32">
            <v>7058.8499999999995</v>
          </cell>
          <cell r="J32">
            <v>6253.86</v>
          </cell>
          <cell r="K32">
            <v>12154.729999999998</v>
          </cell>
          <cell r="L32">
            <v>17294.220000000005</v>
          </cell>
          <cell r="M32">
            <v>13707.220000000001</v>
          </cell>
          <cell r="N32">
            <v>14684.970000000003</v>
          </cell>
          <cell r="O32">
            <v>3264.3399999999997</v>
          </cell>
        </row>
        <row r="33">
          <cell r="A33" t="str">
            <v>PIECES DIRECTION</v>
          </cell>
          <cell r="B33">
            <v>412.19000000000005</v>
          </cell>
          <cell r="C33">
            <v>113.08</v>
          </cell>
          <cell r="D33">
            <v>490.23999999999995</v>
          </cell>
          <cell r="E33">
            <v>591.19999999999993</v>
          </cell>
          <cell r="F33">
            <v>41.35</v>
          </cell>
          <cell r="G33">
            <v>446.84999999999997</v>
          </cell>
          <cell r="H33">
            <v>139.19999999999999</v>
          </cell>
          <cell r="I33">
            <v>281.88</v>
          </cell>
          <cell r="J33">
            <v>132.74</v>
          </cell>
          <cell r="L33">
            <v>524.1</v>
          </cell>
          <cell r="M33">
            <v>383.71000000000004</v>
          </cell>
          <cell r="N33">
            <v>128.10999999999999</v>
          </cell>
          <cell r="O33">
            <v>102.28999999999999</v>
          </cell>
        </row>
        <row r="34">
          <cell r="A34" t="str">
            <v>PLAQUETTES FREINS</v>
          </cell>
          <cell r="B34">
            <v>2064.4399999999996</v>
          </cell>
          <cell r="C34">
            <v>551.34999999999991</v>
          </cell>
          <cell r="D34">
            <v>705.08</v>
          </cell>
          <cell r="E34">
            <v>618.55999999999995</v>
          </cell>
          <cell r="F34">
            <v>692.88</v>
          </cell>
          <cell r="G34">
            <v>2102.3100000000004</v>
          </cell>
          <cell r="H34">
            <v>236.24</v>
          </cell>
          <cell r="I34">
            <v>1082.17</v>
          </cell>
          <cell r="J34">
            <v>953.5</v>
          </cell>
          <cell r="K34">
            <v>2619.35</v>
          </cell>
          <cell r="L34">
            <v>1756.78</v>
          </cell>
          <cell r="M34">
            <v>1387.7</v>
          </cell>
          <cell r="N34">
            <v>730.36000000000013</v>
          </cell>
          <cell r="O34">
            <v>720.92</v>
          </cell>
        </row>
        <row r="35">
          <cell r="A35" t="str">
            <v>SUSPENSION</v>
          </cell>
          <cell r="B35">
            <v>1002.05</v>
          </cell>
          <cell r="C35">
            <v>1232.8500000000001</v>
          </cell>
          <cell r="D35">
            <v>911.7</v>
          </cell>
          <cell r="E35">
            <v>545.99</v>
          </cell>
          <cell r="F35">
            <v>1055.25</v>
          </cell>
          <cell r="G35">
            <v>1285.24</v>
          </cell>
          <cell r="I35">
            <v>1130.74</v>
          </cell>
          <cell r="J35">
            <v>1134.94</v>
          </cell>
          <cell r="K35">
            <v>725.56999999999994</v>
          </cell>
          <cell r="L35">
            <v>584.1400000000001</v>
          </cell>
          <cell r="M35">
            <v>1089.17</v>
          </cell>
          <cell r="N35">
            <v>1282.92</v>
          </cell>
          <cell r="O35">
            <v>245.08</v>
          </cell>
        </row>
        <row r="36">
          <cell r="A36" t="str">
            <v>TAMBOURS FREINS</v>
          </cell>
          <cell r="C36">
            <v>735.2</v>
          </cell>
          <cell r="D36">
            <v>127.42</v>
          </cell>
          <cell r="E36">
            <v>367.6</v>
          </cell>
          <cell r="G36">
            <v>164.74</v>
          </cell>
          <cell r="I36">
            <v>127.42</v>
          </cell>
          <cell r="K36">
            <v>-131.26</v>
          </cell>
          <cell r="L36">
            <v>100.8</v>
          </cell>
        </row>
        <row r="37">
          <cell r="A37" t="str">
            <v>TURBO ECHANGE</v>
          </cell>
          <cell r="E37">
            <v>979.12</v>
          </cell>
          <cell r="I37">
            <v>977.63</v>
          </cell>
          <cell r="K37">
            <v>2027.5</v>
          </cell>
          <cell r="L37">
            <v>611.95000000000005</v>
          </cell>
          <cell r="O37">
            <v>560.77</v>
          </cell>
        </row>
        <row r="38">
          <cell r="A38" t="str">
            <v>TUYAUX ECHAPPEMENT</v>
          </cell>
          <cell r="B38">
            <v>105.57000000000005</v>
          </cell>
          <cell r="C38">
            <v>1311.4299999999998</v>
          </cell>
          <cell r="D38">
            <v>2492.8200000000002</v>
          </cell>
          <cell r="E38">
            <v>3350.3300000000004</v>
          </cell>
          <cell r="F38">
            <v>1301.9499999999998</v>
          </cell>
          <cell r="G38">
            <v>1020.0000000000001</v>
          </cell>
          <cell r="H38">
            <v>2250.91</v>
          </cell>
          <cell r="I38">
            <v>3352.17</v>
          </cell>
          <cell r="J38">
            <v>704.7</v>
          </cell>
          <cell r="K38">
            <v>763.77</v>
          </cell>
          <cell r="L38">
            <v>4711.6600000000008</v>
          </cell>
          <cell r="M38">
            <v>3873.2099999999996</v>
          </cell>
          <cell r="N38">
            <v>2391.1099999999997</v>
          </cell>
          <cell r="O38">
            <v>1894.1200000000001</v>
          </cell>
        </row>
        <row r="39">
          <cell r="A39" t="str">
            <v>Accessoires</v>
          </cell>
          <cell r="B39">
            <v>6283.8599999999988</v>
          </cell>
          <cell r="C39">
            <v>2999.7799999999997</v>
          </cell>
          <cell r="D39">
            <v>5357.8799999999992</v>
          </cell>
          <cell r="E39">
            <v>13666.349999999999</v>
          </cell>
          <cell r="F39">
            <v>4273.28</v>
          </cell>
          <cell r="G39">
            <v>10944.040000000003</v>
          </cell>
          <cell r="H39">
            <v>5022.3600000000006</v>
          </cell>
          <cell r="I39">
            <v>2067.6200000000008</v>
          </cell>
          <cell r="J39">
            <v>12339.430000000002</v>
          </cell>
          <cell r="K39">
            <v>10801.499999999996</v>
          </cell>
          <cell r="L39">
            <v>8302.119999999999</v>
          </cell>
          <cell r="M39">
            <v>17109.340000000004</v>
          </cell>
          <cell r="N39">
            <v>12704.63</v>
          </cell>
          <cell r="O39">
            <v>9726.4900000000016</v>
          </cell>
        </row>
        <row r="40">
          <cell r="A40" t="str">
            <v>ACCESSOIRES STYLING</v>
          </cell>
          <cell r="B40">
            <v>309.84000000000003</v>
          </cell>
          <cell r="C40">
            <v>106.87</v>
          </cell>
          <cell r="F40">
            <v>98.98</v>
          </cell>
          <cell r="H40">
            <v>287.42</v>
          </cell>
          <cell r="J40">
            <v>126.09</v>
          </cell>
          <cell r="K40">
            <v>1159.69</v>
          </cell>
          <cell r="L40">
            <v>107.17</v>
          </cell>
          <cell r="M40">
            <v>185.56</v>
          </cell>
          <cell r="N40">
            <v>191.99</v>
          </cell>
        </row>
        <row r="41">
          <cell r="A41" t="str">
            <v>AIDE PARCAGE</v>
          </cell>
          <cell r="B41">
            <v>297.05</v>
          </cell>
          <cell r="C41">
            <v>162.5</v>
          </cell>
          <cell r="D41">
            <v>253.61</v>
          </cell>
          <cell r="F41">
            <v>252.26</v>
          </cell>
          <cell r="G41">
            <v>578.61</v>
          </cell>
          <cell r="I41">
            <v>162.5</v>
          </cell>
          <cell r="J41">
            <v>131.94999999999999</v>
          </cell>
          <cell r="L41">
            <v>162.5</v>
          </cell>
          <cell r="M41">
            <v>193.81</v>
          </cell>
          <cell r="N41">
            <v>14.1</v>
          </cell>
        </row>
        <row r="42">
          <cell r="A42" t="str">
            <v>ATTELAGES REMORQUE</v>
          </cell>
          <cell r="B42">
            <v>1094.73</v>
          </cell>
          <cell r="C42">
            <v>910.10000000000014</v>
          </cell>
          <cell r="D42">
            <v>1722.39</v>
          </cell>
          <cell r="E42">
            <v>2757.7799999999997</v>
          </cell>
          <cell r="F42">
            <v>403</v>
          </cell>
          <cell r="G42">
            <v>1779.96</v>
          </cell>
          <cell r="H42">
            <v>1241.68</v>
          </cell>
          <cell r="I42">
            <v>1612.97</v>
          </cell>
          <cell r="J42">
            <v>1429.64</v>
          </cell>
          <cell r="K42">
            <v>1747.5399999999997</v>
          </cell>
          <cell r="L42">
            <v>793.88000000000011</v>
          </cell>
          <cell r="M42">
            <v>4407.9600000000009</v>
          </cell>
          <cell r="N42">
            <v>1152.75</v>
          </cell>
          <cell r="O42">
            <v>3510.6100000000006</v>
          </cell>
        </row>
        <row r="43">
          <cell r="A43" t="str">
            <v>AUTRES ACCESSOIRES</v>
          </cell>
          <cell r="B43">
            <v>602.63</v>
          </cell>
          <cell r="C43">
            <v>306.78000000000003</v>
          </cell>
          <cell r="D43">
            <v>251.62</v>
          </cell>
          <cell r="E43">
            <v>1112.2499999999998</v>
          </cell>
          <cell r="F43">
            <v>609.34999999999991</v>
          </cell>
          <cell r="G43">
            <v>1309.6300000000003</v>
          </cell>
          <cell r="H43">
            <v>83.16</v>
          </cell>
          <cell r="I43">
            <v>657.37</v>
          </cell>
          <cell r="J43">
            <v>1506.2399999999998</v>
          </cell>
          <cell r="K43">
            <v>252.12</v>
          </cell>
          <cell r="L43">
            <v>836.13</v>
          </cell>
          <cell r="M43">
            <v>1071.1299999999999</v>
          </cell>
          <cell r="N43">
            <v>1130.74</v>
          </cell>
          <cell r="O43">
            <v>419.62999999999994</v>
          </cell>
        </row>
        <row r="44">
          <cell r="A44" t="str">
            <v>BACS BEINE</v>
          </cell>
          <cell r="C44">
            <v>1200.6600000000001</v>
          </cell>
          <cell r="F44">
            <v>99.72</v>
          </cell>
          <cell r="I44">
            <v>-355.45</v>
          </cell>
          <cell r="J44">
            <v>438.5</v>
          </cell>
          <cell r="K44">
            <v>683.55</v>
          </cell>
          <cell r="L44">
            <v>-328.52</v>
          </cell>
          <cell r="M44">
            <v>895.82999999999993</v>
          </cell>
          <cell r="N44">
            <v>1971.4</v>
          </cell>
          <cell r="O44">
            <v>579.73</v>
          </cell>
        </row>
        <row r="45">
          <cell r="A45" t="str">
            <v>BAVETTE</v>
          </cell>
          <cell r="B45">
            <v>399.03</v>
          </cell>
          <cell r="C45">
            <v>352.15999999999997</v>
          </cell>
          <cell r="D45">
            <v>224.23000000000002</v>
          </cell>
          <cell r="E45">
            <v>276.02999999999997</v>
          </cell>
          <cell r="F45">
            <v>120.04</v>
          </cell>
          <cell r="G45">
            <v>514.19000000000005</v>
          </cell>
          <cell r="H45">
            <v>119.02</v>
          </cell>
          <cell r="I45">
            <v>404.32</v>
          </cell>
          <cell r="J45">
            <v>115.06</v>
          </cell>
          <cell r="K45">
            <v>291.76</v>
          </cell>
          <cell r="L45">
            <v>254.57999999999998</v>
          </cell>
          <cell r="M45">
            <v>341.69</v>
          </cell>
          <cell r="N45">
            <v>216.61</v>
          </cell>
          <cell r="O45">
            <v>73.260000000000005</v>
          </cell>
        </row>
        <row r="46">
          <cell r="A46" t="str">
            <v>COFFRES TOIT</v>
          </cell>
          <cell r="B46">
            <v>-2.9799999999999898</v>
          </cell>
          <cell r="C46">
            <v>1022.8299999999999</v>
          </cell>
          <cell r="D46">
            <v>1030.5</v>
          </cell>
          <cell r="E46">
            <v>585.78</v>
          </cell>
          <cell r="G46">
            <v>1058.76</v>
          </cell>
          <cell r="H46">
            <v>1113.06</v>
          </cell>
          <cell r="I46">
            <v>160.97999999999999</v>
          </cell>
          <cell r="J46">
            <v>382.65</v>
          </cell>
          <cell r="K46">
            <v>465.49</v>
          </cell>
          <cell r="L46">
            <v>177.72</v>
          </cell>
          <cell r="M46">
            <v>903.42000000000007</v>
          </cell>
          <cell r="N46">
            <v>187.1</v>
          </cell>
          <cell r="O46">
            <v>536.38</v>
          </cell>
        </row>
        <row r="47">
          <cell r="A47" t="str">
            <v>DECORATION CHROME</v>
          </cell>
          <cell r="B47">
            <v>268.62</v>
          </cell>
          <cell r="E47">
            <v>442.29999999999995</v>
          </cell>
          <cell r="J47">
            <v>176.26</v>
          </cell>
          <cell r="K47">
            <v>268.62</v>
          </cell>
          <cell r="L47">
            <v>8.94</v>
          </cell>
          <cell r="M47">
            <v>131.55000000000001</v>
          </cell>
        </row>
        <row r="48">
          <cell r="A48" t="str">
            <v>FAISCEAUX ATTELAGE</v>
          </cell>
          <cell r="B48">
            <v>417.42999999999995</v>
          </cell>
          <cell r="C48">
            <v>299.81</v>
          </cell>
          <cell r="D48">
            <v>295.56</v>
          </cell>
          <cell r="E48">
            <v>785.87999999999988</v>
          </cell>
          <cell r="F48">
            <v>115.14</v>
          </cell>
          <cell r="G48">
            <v>876.19999999999993</v>
          </cell>
          <cell r="H48">
            <v>372.08</v>
          </cell>
          <cell r="I48">
            <v>363.02</v>
          </cell>
          <cell r="J48">
            <v>671.18000000000006</v>
          </cell>
          <cell r="K48">
            <v>305.60999999999996</v>
          </cell>
          <cell r="L48">
            <v>344.95</v>
          </cell>
          <cell r="M48">
            <v>816.78000000000009</v>
          </cell>
          <cell r="N48">
            <v>392.93</v>
          </cell>
          <cell r="O48">
            <v>1706.7799999999997</v>
          </cell>
        </row>
        <row r="49">
          <cell r="A49" t="str">
            <v>FEUX DE JOUR</v>
          </cell>
          <cell r="B49">
            <v>720.62</v>
          </cell>
          <cell r="C49">
            <v>120.90999999999997</v>
          </cell>
          <cell r="D49">
            <v>437.63</v>
          </cell>
          <cell r="E49">
            <v>940.8</v>
          </cell>
          <cell r="F49">
            <v>341.86</v>
          </cell>
          <cell r="G49">
            <v>1479.51</v>
          </cell>
          <cell r="H49">
            <v>744.88000000000011</v>
          </cell>
          <cell r="I49">
            <v>422.64</v>
          </cell>
          <cell r="J49">
            <v>1396.9699999999998</v>
          </cell>
          <cell r="K49">
            <v>3049.88</v>
          </cell>
          <cell r="L49">
            <v>2144.79</v>
          </cell>
          <cell r="M49">
            <v>2629.89</v>
          </cell>
          <cell r="N49">
            <v>768.62</v>
          </cell>
          <cell r="O49">
            <v>332.43</v>
          </cell>
        </row>
        <row r="50">
          <cell r="A50" t="str">
            <v>HARDTOP</v>
          </cell>
          <cell r="C50">
            <v>-2527.1999999999998</v>
          </cell>
          <cell r="E50">
            <v>1195.76</v>
          </cell>
          <cell r="I50">
            <v>-1701.2699999999998</v>
          </cell>
          <cell r="J50">
            <v>969.48</v>
          </cell>
          <cell r="K50">
            <v>95.46</v>
          </cell>
          <cell r="L50">
            <v>579.5</v>
          </cell>
          <cell r="M50">
            <v>1184.45</v>
          </cell>
          <cell r="N50">
            <v>95.46</v>
          </cell>
        </row>
        <row r="51">
          <cell r="A51" t="str">
            <v>INTERIEUR</v>
          </cell>
          <cell r="C51">
            <v>439.20000000000005</v>
          </cell>
          <cell r="D51">
            <v>137.97999999999999</v>
          </cell>
          <cell r="F51">
            <v>93.61</v>
          </cell>
          <cell r="G51">
            <v>307.2</v>
          </cell>
          <cell r="I51">
            <v>289.36</v>
          </cell>
          <cell r="J51">
            <v>149.47999999999999</v>
          </cell>
          <cell r="K51">
            <v>298.95999999999998</v>
          </cell>
          <cell r="L51">
            <v>454.62</v>
          </cell>
          <cell r="M51">
            <v>151.54</v>
          </cell>
        </row>
        <row r="52">
          <cell r="A52" t="str">
            <v>JANTES ALU</v>
          </cell>
          <cell r="D52">
            <v>-195.05</v>
          </cell>
          <cell r="E52">
            <v>367.92</v>
          </cell>
          <cell r="F52">
            <v>921.12</v>
          </cell>
          <cell r="H52">
            <v>183.96</v>
          </cell>
          <cell r="M52">
            <v>815.6</v>
          </cell>
          <cell r="N52">
            <v>767.64</v>
          </cell>
          <cell r="O52">
            <v>780.32</v>
          </cell>
        </row>
        <row r="53">
          <cell r="A53" t="str">
            <v>KITS PERSONNALISATION</v>
          </cell>
          <cell r="J53">
            <v>615.23</v>
          </cell>
          <cell r="M53">
            <v>328.79</v>
          </cell>
          <cell r="N53">
            <v>286.44</v>
          </cell>
          <cell r="O53">
            <v>812.19999999999993</v>
          </cell>
        </row>
        <row r="54">
          <cell r="A54" t="str">
            <v>KITS SECURITE</v>
          </cell>
          <cell r="E54">
            <v>389.39</v>
          </cell>
          <cell r="J54">
            <v>115.2</v>
          </cell>
          <cell r="K54">
            <v>221.6</v>
          </cell>
        </row>
        <row r="55">
          <cell r="A55" t="str">
            <v>OFFROAD</v>
          </cell>
          <cell r="B55">
            <v>1053.23</v>
          </cell>
          <cell r="C55">
            <v>330.6</v>
          </cell>
          <cell r="E55">
            <v>1510.25</v>
          </cell>
          <cell r="F55">
            <v>460.29</v>
          </cell>
          <cell r="G55">
            <v>1191.44</v>
          </cell>
          <cell r="H55">
            <v>106.61999999999999</v>
          </cell>
          <cell r="I55">
            <v>-606.87</v>
          </cell>
          <cell r="J55">
            <v>2340.88</v>
          </cell>
          <cell r="K55">
            <v>249.48</v>
          </cell>
          <cell r="L55">
            <v>1246.57</v>
          </cell>
          <cell r="M55">
            <v>678.51</v>
          </cell>
          <cell r="N55">
            <v>1286.74</v>
          </cell>
          <cell r="O55">
            <v>102.06</v>
          </cell>
        </row>
        <row r="56">
          <cell r="A56" t="str">
            <v>SEUILS DE PORTE ILLUMINES+BACS BEINE</v>
          </cell>
          <cell r="E56">
            <v>986.96</v>
          </cell>
          <cell r="G56">
            <v>315.41999999999996</v>
          </cell>
          <cell r="I56">
            <v>157.79</v>
          </cell>
          <cell r="L56">
            <v>159.07</v>
          </cell>
          <cell r="M56">
            <v>343.35</v>
          </cell>
          <cell r="N56">
            <v>159.07</v>
          </cell>
        </row>
        <row r="57">
          <cell r="A57" t="str">
            <v>SORTIES ECHAPP. CHROME</v>
          </cell>
          <cell r="J57">
            <v>78.98</v>
          </cell>
        </row>
        <row r="58">
          <cell r="A58" t="str">
            <v>SPOILER DE TOIT</v>
          </cell>
          <cell r="E58">
            <v>263.27999999999997</v>
          </cell>
          <cell r="J58">
            <v>-243.05</v>
          </cell>
          <cell r="K58">
            <v>239.13</v>
          </cell>
          <cell r="L58">
            <v>239.13</v>
          </cell>
          <cell r="N58">
            <v>239.13</v>
          </cell>
        </row>
        <row r="59">
          <cell r="B59">
            <v>1123.6599999999999</v>
          </cell>
          <cell r="C59">
            <v>274.56</v>
          </cell>
          <cell r="D59">
            <v>1199.4099999999999</v>
          </cell>
          <cell r="E59">
            <v>2051.9700000000003</v>
          </cell>
          <cell r="F59">
            <v>757.91</v>
          </cell>
          <cell r="G59">
            <v>1533.1200000000001</v>
          </cell>
          <cell r="H59">
            <v>770.48</v>
          </cell>
          <cell r="I59">
            <v>500.26</v>
          </cell>
          <cell r="J59">
            <v>1938.6899999999998</v>
          </cell>
          <cell r="K59">
            <v>1472.6100000000004</v>
          </cell>
          <cell r="L59">
            <v>1121.0899999999999</v>
          </cell>
          <cell r="M59">
            <v>2029.4799999999998</v>
          </cell>
          <cell r="N59">
            <v>3843.91</v>
          </cell>
          <cell r="O59">
            <v>873.08999999999992</v>
          </cell>
        </row>
        <row r="73">
          <cell r="B73">
            <v>60019</v>
          </cell>
          <cell r="C73">
            <v>60032</v>
          </cell>
          <cell r="D73">
            <v>60040</v>
          </cell>
          <cell r="E73">
            <v>60085</v>
          </cell>
          <cell r="F73">
            <v>60263</v>
          </cell>
          <cell r="G73">
            <v>60305</v>
          </cell>
          <cell r="H73">
            <v>60453</v>
          </cell>
          <cell r="I73">
            <v>60459</v>
          </cell>
          <cell r="J73">
            <v>60487</v>
          </cell>
          <cell r="K73">
            <v>60497</v>
          </cell>
          <cell r="L73">
            <v>60499</v>
          </cell>
          <cell r="M73">
            <v>60541</v>
          </cell>
          <cell r="N73">
            <v>60629</v>
          </cell>
          <cell r="O73">
            <v>60712</v>
          </cell>
          <cell r="P73" t="str">
            <v>Total général</v>
          </cell>
        </row>
        <row r="74">
          <cell r="A74" t="str">
            <v>Pièces</v>
          </cell>
          <cell r="B74">
            <v>34357.350000000006</v>
          </cell>
          <cell r="C74">
            <v>27380.03</v>
          </cell>
          <cell r="D74">
            <v>42573.289999999986</v>
          </cell>
          <cell r="E74">
            <v>26998.140000000007</v>
          </cell>
          <cell r="F74">
            <v>21155.54</v>
          </cell>
          <cell r="G74">
            <v>46017.13</v>
          </cell>
          <cell r="H74">
            <v>15125.679999999998</v>
          </cell>
          <cell r="I74">
            <v>25715.950000000004</v>
          </cell>
          <cell r="J74">
            <v>27476.05</v>
          </cell>
          <cell r="K74">
            <v>40242</v>
          </cell>
          <cell r="L74">
            <v>56423.77</v>
          </cell>
          <cell r="M74">
            <v>46203.770000000004</v>
          </cell>
          <cell r="N74">
            <v>47734.35</v>
          </cell>
          <cell r="O74">
            <v>16485.599999999999</v>
          </cell>
          <cell r="P74">
            <v>473888.64999999997</v>
          </cell>
        </row>
        <row r="75">
          <cell r="A75" t="str">
            <v>ANLASSER AUSTAUSCH</v>
          </cell>
          <cell r="B75">
            <v>-251.28</v>
          </cell>
          <cell r="D75">
            <v>214.13</v>
          </cell>
          <cell r="G75">
            <v>178.41</v>
          </cell>
          <cell r="H75">
            <v>437.56</v>
          </cell>
          <cell r="L75">
            <v>434.08000000000004</v>
          </cell>
          <cell r="M75">
            <v>448.01</v>
          </cell>
          <cell r="P75">
            <v>1460.9099999999999</v>
          </cell>
        </row>
        <row r="76">
          <cell r="A76" t="str">
            <v>ANTRIEBSWELL AUSTAUSCH</v>
          </cell>
          <cell r="G76">
            <v>-427.8</v>
          </cell>
          <cell r="P76">
            <v>-427.8</v>
          </cell>
        </row>
        <row r="77">
          <cell r="A77" t="str">
            <v>AUSPUFFROHR</v>
          </cell>
          <cell r="B77">
            <v>105.57000000000005</v>
          </cell>
          <cell r="C77">
            <v>1311.4299999999998</v>
          </cell>
          <cell r="D77">
            <v>2492.8200000000002</v>
          </cell>
          <cell r="E77">
            <v>3350.3300000000004</v>
          </cell>
          <cell r="F77">
            <v>1301.9499999999998</v>
          </cell>
          <cell r="G77">
            <v>1020.0000000000001</v>
          </cell>
          <cell r="H77">
            <v>2250.91</v>
          </cell>
          <cell r="I77">
            <v>3352.17</v>
          </cell>
          <cell r="J77">
            <v>704.7</v>
          </cell>
          <cell r="K77">
            <v>763.77</v>
          </cell>
          <cell r="L77">
            <v>4711.6600000000008</v>
          </cell>
          <cell r="M77">
            <v>3873.2099999999996</v>
          </cell>
          <cell r="N77">
            <v>2391.1099999999997</v>
          </cell>
          <cell r="O77">
            <v>1894.1200000000001</v>
          </cell>
          <cell r="P77">
            <v>29523.75</v>
          </cell>
        </row>
        <row r="78">
          <cell r="A78" t="str">
            <v>BATTERIE</v>
          </cell>
          <cell r="B78">
            <v>112.48</v>
          </cell>
          <cell r="C78">
            <v>1624.9099999999999</v>
          </cell>
          <cell r="D78">
            <v>1508.38</v>
          </cell>
          <cell r="E78">
            <v>286.74</v>
          </cell>
          <cell r="F78">
            <v>841.9799999999999</v>
          </cell>
          <cell r="G78">
            <v>414.41999999999996</v>
          </cell>
          <cell r="H78">
            <v>131.86000000000001</v>
          </cell>
          <cell r="J78">
            <v>1045.54</v>
          </cell>
          <cell r="K78">
            <v>572.44000000000005</v>
          </cell>
          <cell r="L78">
            <v>1621.44</v>
          </cell>
          <cell r="M78">
            <v>856.72</v>
          </cell>
          <cell r="N78">
            <v>1661.54</v>
          </cell>
          <cell r="O78">
            <v>1078.6400000000001</v>
          </cell>
          <cell r="P78">
            <v>11757.09</v>
          </cell>
        </row>
        <row r="79">
          <cell r="A79" t="str">
            <v>BREMSBACKE</v>
          </cell>
          <cell r="B79">
            <v>162.87</v>
          </cell>
          <cell r="C79">
            <v>190.71</v>
          </cell>
          <cell r="D79">
            <v>358.74</v>
          </cell>
          <cell r="E79">
            <v>318.19</v>
          </cell>
          <cell r="G79">
            <v>242.83</v>
          </cell>
          <cell r="H79">
            <v>53.02</v>
          </cell>
          <cell r="I79">
            <v>557.58000000000004</v>
          </cell>
          <cell r="J79">
            <v>166.66</v>
          </cell>
          <cell r="K79">
            <v>250.94</v>
          </cell>
          <cell r="L79">
            <v>1069.25</v>
          </cell>
          <cell r="M79">
            <v>163.44</v>
          </cell>
          <cell r="N79">
            <v>-108.12</v>
          </cell>
          <cell r="O79">
            <v>133.01</v>
          </cell>
          <cell r="P79">
            <v>3559.12</v>
          </cell>
        </row>
        <row r="80">
          <cell r="A80" t="str">
            <v>BREMSBELAG</v>
          </cell>
          <cell r="B80">
            <v>2064.4399999999996</v>
          </cell>
          <cell r="C80">
            <v>551.34999999999991</v>
          </cell>
          <cell r="D80">
            <v>705.08</v>
          </cell>
          <cell r="E80">
            <v>618.55999999999995</v>
          </cell>
          <cell r="F80">
            <v>692.88</v>
          </cell>
          <cell r="G80">
            <v>2102.3100000000004</v>
          </cell>
          <cell r="H80">
            <v>236.24</v>
          </cell>
          <cell r="I80">
            <v>1082.17</v>
          </cell>
          <cell r="J80">
            <v>953.5</v>
          </cell>
          <cell r="K80">
            <v>2619.35</v>
          </cell>
          <cell r="L80">
            <v>1756.78</v>
          </cell>
          <cell r="M80">
            <v>1387.7</v>
          </cell>
          <cell r="N80">
            <v>730.36000000000013</v>
          </cell>
          <cell r="O80">
            <v>720.92</v>
          </cell>
          <cell r="P80">
            <v>16221.640000000001</v>
          </cell>
        </row>
        <row r="81">
          <cell r="A81" t="str">
            <v>BREMSFLÜSSIGKEIT</v>
          </cell>
          <cell r="F81">
            <v>10.85</v>
          </cell>
          <cell r="G81">
            <v>10.85</v>
          </cell>
          <cell r="I81">
            <v>11.02</v>
          </cell>
          <cell r="J81">
            <v>10.85</v>
          </cell>
          <cell r="M81">
            <v>54.42</v>
          </cell>
          <cell r="P81">
            <v>97.990000000000009</v>
          </cell>
        </row>
        <row r="82">
          <cell r="A82" t="str">
            <v>BREMSSCHEIBE</v>
          </cell>
          <cell r="B82">
            <v>2568.21</v>
          </cell>
          <cell r="C82">
            <v>2715.62</v>
          </cell>
          <cell r="D82">
            <v>3422.55</v>
          </cell>
          <cell r="E82">
            <v>600.36</v>
          </cell>
          <cell r="F82">
            <v>1799.73</v>
          </cell>
          <cell r="G82">
            <v>2401.48</v>
          </cell>
          <cell r="H82">
            <v>573.43999999999994</v>
          </cell>
          <cell r="I82">
            <v>1713.8000000000004</v>
          </cell>
          <cell r="J82">
            <v>1532.2200000000003</v>
          </cell>
          <cell r="K82">
            <v>4432.5200000000004</v>
          </cell>
          <cell r="L82">
            <v>3014.4100000000003</v>
          </cell>
          <cell r="M82">
            <v>1423.42</v>
          </cell>
          <cell r="N82">
            <v>2963.7</v>
          </cell>
          <cell r="O82">
            <v>993.92000000000007</v>
          </cell>
          <cell r="P82">
            <v>30155.380000000005</v>
          </cell>
        </row>
        <row r="83">
          <cell r="A83" t="str">
            <v>BREMSTROMMEL</v>
          </cell>
          <cell r="C83">
            <v>735.2</v>
          </cell>
          <cell r="D83">
            <v>127.42</v>
          </cell>
          <cell r="E83">
            <v>367.6</v>
          </cell>
          <cell r="G83">
            <v>164.74</v>
          </cell>
          <cell r="I83">
            <v>127.42</v>
          </cell>
          <cell r="K83">
            <v>-131.26</v>
          </cell>
          <cell r="L83">
            <v>100.8</v>
          </cell>
          <cell r="P83">
            <v>1491.92</v>
          </cell>
        </row>
        <row r="84">
          <cell r="A84" t="str">
            <v>CVT AUSTAUSCH</v>
          </cell>
          <cell r="B84">
            <v>4857.5600000000004</v>
          </cell>
          <cell r="G84">
            <v>1844.64</v>
          </cell>
          <cell r="M84">
            <v>2075.84</v>
          </cell>
          <cell r="P84">
            <v>8778.0400000000009</v>
          </cell>
        </row>
        <row r="85">
          <cell r="A85" t="str">
            <v>EINSPRITZDÜSEN AUSTAUSCH</v>
          </cell>
          <cell r="B85">
            <v>86.76</v>
          </cell>
          <cell r="P85">
            <v>86.76</v>
          </cell>
        </row>
        <row r="86">
          <cell r="A86" t="str">
            <v>FEDERBEIN</v>
          </cell>
          <cell r="C86">
            <v>159.43</v>
          </cell>
          <cell r="D86">
            <v>230.83</v>
          </cell>
          <cell r="P86">
            <v>390.26</v>
          </cell>
        </row>
        <row r="87">
          <cell r="A87" t="str">
            <v>GLÜHLAMPE</v>
          </cell>
          <cell r="B87">
            <v>128.37</v>
          </cell>
          <cell r="C87">
            <v>272.84000000000003</v>
          </cell>
          <cell r="D87">
            <v>191.01999999999998</v>
          </cell>
          <cell r="E87">
            <v>112.79</v>
          </cell>
          <cell r="F87">
            <v>408.40999999999997</v>
          </cell>
          <cell r="G87">
            <v>226.46</v>
          </cell>
          <cell r="H87">
            <v>45.349999999999994</v>
          </cell>
          <cell r="I87">
            <v>93.97</v>
          </cell>
          <cell r="J87">
            <v>160.26</v>
          </cell>
          <cell r="K87">
            <v>-121.77</v>
          </cell>
          <cell r="L87">
            <v>400.83000000000004</v>
          </cell>
          <cell r="M87">
            <v>193.28</v>
          </cell>
          <cell r="N87">
            <v>193.35999999999999</v>
          </cell>
          <cell r="O87">
            <v>84.98</v>
          </cell>
          <cell r="P87">
            <v>2390.15</v>
          </cell>
        </row>
        <row r="88">
          <cell r="A88" t="str">
            <v>KEILRIEHMEN</v>
          </cell>
          <cell r="B88">
            <v>80.489999999999995</v>
          </cell>
          <cell r="C88">
            <v>312.46000000000004</v>
          </cell>
          <cell r="D88">
            <v>1413.1399999999996</v>
          </cell>
          <cell r="E88">
            <v>433.07000000000005</v>
          </cell>
          <cell r="F88">
            <v>682.05000000000018</v>
          </cell>
          <cell r="G88">
            <v>1131.43</v>
          </cell>
          <cell r="H88">
            <v>138.16</v>
          </cell>
          <cell r="I88">
            <v>13.06000000000002</v>
          </cell>
          <cell r="J88">
            <v>529.19000000000005</v>
          </cell>
          <cell r="K88">
            <v>450.38</v>
          </cell>
          <cell r="L88">
            <v>758.62999999999988</v>
          </cell>
          <cell r="M88">
            <v>546.79999999999995</v>
          </cell>
          <cell r="N88">
            <v>635.38000000000011</v>
          </cell>
          <cell r="O88">
            <v>173.75</v>
          </cell>
          <cell r="P88">
            <v>7297.9900000000016</v>
          </cell>
        </row>
        <row r="89">
          <cell r="A89" t="str">
            <v>KRAFTSTOFFFILTER</v>
          </cell>
          <cell r="B89">
            <v>53.09</v>
          </cell>
          <cell r="C89">
            <v>265.04000000000002</v>
          </cell>
          <cell r="D89">
            <v>31.67</v>
          </cell>
          <cell r="E89">
            <v>142.49</v>
          </cell>
          <cell r="F89">
            <v>164.32999999999998</v>
          </cell>
          <cell r="G89">
            <v>423.5</v>
          </cell>
          <cell r="H89">
            <v>311.63</v>
          </cell>
          <cell r="I89">
            <v>16.670000000000002</v>
          </cell>
          <cell r="J89">
            <v>367.15</v>
          </cell>
          <cell r="K89">
            <v>81.5</v>
          </cell>
          <cell r="L89">
            <v>321.62</v>
          </cell>
          <cell r="M89">
            <v>473.21999999999997</v>
          </cell>
          <cell r="O89">
            <v>80.099999999999994</v>
          </cell>
          <cell r="P89">
            <v>2732.0099999999998</v>
          </cell>
        </row>
        <row r="90">
          <cell r="A90" t="str">
            <v>KÜHLFLÜSSIGKEIT</v>
          </cell>
          <cell r="G90">
            <v>1539.86</v>
          </cell>
          <cell r="J90">
            <v>781.86</v>
          </cell>
          <cell r="L90">
            <v>6.01</v>
          </cell>
          <cell r="M90">
            <v>126.23</v>
          </cell>
          <cell r="N90">
            <v>521.07999999999993</v>
          </cell>
          <cell r="P90">
            <v>2975.04</v>
          </cell>
        </row>
        <row r="91">
          <cell r="A91" t="str">
            <v>KUPPLUNGSTEILE</v>
          </cell>
          <cell r="B91">
            <v>1444.0300000000002</v>
          </cell>
          <cell r="C91">
            <v>1735.06</v>
          </cell>
          <cell r="D91">
            <v>3734.18</v>
          </cell>
          <cell r="E91">
            <v>3489.0099999999998</v>
          </cell>
          <cell r="F91">
            <v>1287.44</v>
          </cell>
          <cell r="G91">
            <v>5218.8</v>
          </cell>
          <cell r="H91">
            <v>1084.06</v>
          </cell>
          <cell r="I91">
            <v>2515.42</v>
          </cell>
          <cell r="J91">
            <v>2174.4599999999996</v>
          </cell>
          <cell r="K91">
            <v>2092.9000000000005</v>
          </cell>
          <cell r="L91">
            <v>2533.98</v>
          </cell>
          <cell r="M91">
            <v>1696.49</v>
          </cell>
          <cell r="N91">
            <v>3043.4000000000005</v>
          </cell>
          <cell r="O91">
            <v>574.40000000000009</v>
          </cell>
          <cell r="P91">
            <v>32623.630000000005</v>
          </cell>
        </row>
        <row r="92">
          <cell r="A92" t="str">
            <v>LENKUNGSTEILE</v>
          </cell>
          <cell r="B92">
            <v>412.19000000000005</v>
          </cell>
          <cell r="C92">
            <v>113.08</v>
          </cell>
          <cell r="D92">
            <v>490.23999999999995</v>
          </cell>
          <cell r="E92">
            <v>591.19999999999993</v>
          </cell>
          <cell r="F92">
            <v>41.35</v>
          </cell>
          <cell r="G92">
            <v>446.84999999999997</v>
          </cell>
          <cell r="H92">
            <v>139.19999999999999</v>
          </cell>
          <cell r="I92">
            <v>281.88</v>
          </cell>
          <cell r="J92">
            <v>132.74</v>
          </cell>
          <cell r="L92">
            <v>524.1</v>
          </cell>
          <cell r="M92">
            <v>383.71000000000004</v>
          </cell>
          <cell r="N92">
            <v>128.10999999999999</v>
          </cell>
          <cell r="O92">
            <v>102.28999999999999</v>
          </cell>
          <cell r="P92">
            <v>3786.9399999999996</v>
          </cell>
        </row>
        <row r="93">
          <cell r="A93" t="str">
            <v>LICHTMASCHINE AUSTAUSCH</v>
          </cell>
          <cell r="G93">
            <v>164.41</v>
          </cell>
          <cell r="I93">
            <v>292.36</v>
          </cell>
          <cell r="J93">
            <v>582.70000000000005</v>
          </cell>
          <cell r="L93">
            <v>426.14</v>
          </cell>
          <cell r="P93">
            <v>1465.6100000000001</v>
          </cell>
        </row>
        <row r="94">
          <cell r="A94" t="str">
            <v>LUFTFILTER</v>
          </cell>
          <cell r="B94">
            <v>238.7</v>
          </cell>
          <cell r="C94">
            <v>68</v>
          </cell>
          <cell r="D94">
            <v>147.96</v>
          </cell>
          <cell r="E94">
            <v>135.93</v>
          </cell>
          <cell r="F94">
            <v>44.8</v>
          </cell>
          <cell r="G94">
            <v>352.61</v>
          </cell>
          <cell r="H94">
            <v>35.07</v>
          </cell>
          <cell r="I94">
            <v>14.27</v>
          </cell>
          <cell r="J94">
            <v>67.36</v>
          </cell>
          <cell r="K94">
            <v>827.40000000000009</v>
          </cell>
          <cell r="L94">
            <v>335.68</v>
          </cell>
          <cell r="M94">
            <v>841.61000000000013</v>
          </cell>
          <cell r="N94">
            <v>614.1099999999999</v>
          </cell>
          <cell r="O94">
            <v>67.09</v>
          </cell>
          <cell r="P94">
            <v>3790.59</v>
          </cell>
        </row>
        <row r="95">
          <cell r="A95" t="str">
            <v>MOTOR AUSTAUSCH</v>
          </cell>
          <cell r="B95">
            <v>4330.5200000000004</v>
          </cell>
          <cell r="D95">
            <v>4103.4399999999996</v>
          </cell>
          <cell r="J95">
            <v>716.77</v>
          </cell>
          <cell r="P95">
            <v>9150.73</v>
          </cell>
        </row>
        <row r="96">
          <cell r="A96" t="str">
            <v>OEL</v>
          </cell>
          <cell r="B96">
            <v>570.20000000000005</v>
          </cell>
          <cell r="C96">
            <v>307.26</v>
          </cell>
          <cell r="D96">
            <v>307.85000000000002</v>
          </cell>
          <cell r="E96">
            <v>770.42</v>
          </cell>
          <cell r="F96">
            <v>220.38</v>
          </cell>
          <cell r="G96">
            <v>2872.76</v>
          </cell>
          <cell r="H96">
            <v>13.66</v>
          </cell>
          <cell r="I96">
            <v>172.78</v>
          </cell>
          <cell r="J96">
            <v>634.65000000000009</v>
          </cell>
          <cell r="K96">
            <v>946</v>
          </cell>
          <cell r="L96">
            <v>7624.1299999999992</v>
          </cell>
          <cell r="M96">
            <v>536.38</v>
          </cell>
          <cell r="N96">
            <v>6441.6999999999989</v>
          </cell>
          <cell r="P96">
            <v>21418.17</v>
          </cell>
        </row>
        <row r="97">
          <cell r="A97" t="str">
            <v>OELFILTER</v>
          </cell>
          <cell r="B97">
            <v>442.73999999999995</v>
          </cell>
          <cell r="D97">
            <v>1012.63</v>
          </cell>
          <cell r="E97">
            <v>205.07999999999998</v>
          </cell>
          <cell r="F97">
            <v>80.28</v>
          </cell>
          <cell r="G97">
            <v>668.25000000000011</v>
          </cell>
          <cell r="H97">
            <v>121.06</v>
          </cell>
          <cell r="I97">
            <v>29.36</v>
          </cell>
          <cell r="J97">
            <v>152.05000000000001</v>
          </cell>
          <cell r="K97">
            <v>987.16000000000008</v>
          </cell>
          <cell r="L97">
            <v>507.80000000000007</v>
          </cell>
          <cell r="M97">
            <v>434.89</v>
          </cell>
          <cell r="N97">
            <v>980.8</v>
          </cell>
          <cell r="O97">
            <v>433.22</v>
          </cell>
          <cell r="P97">
            <v>6055.3200000000015</v>
          </cell>
        </row>
        <row r="98">
          <cell r="A98" t="str">
            <v>POLLENFILTER</v>
          </cell>
          <cell r="B98">
            <v>902.47</v>
          </cell>
          <cell r="C98">
            <v>682.31999999999994</v>
          </cell>
          <cell r="D98">
            <v>716.2</v>
          </cell>
          <cell r="E98">
            <v>284.83</v>
          </cell>
          <cell r="F98">
            <v>2034.3100000000002</v>
          </cell>
          <cell r="G98">
            <v>1590.8600000000004</v>
          </cell>
          <cell r="H98">
            <v>159.51</v>
          </cell>
          <cell r="I98">
            <v>26.86</v>
          </cell>
          <cell r="J98">
            <v>373.84999999999997</v>
          </cell>
          <cell r="K98">
            <v>5206.2400000000007</v>
          </cell>
          <cell r="L98">
            <v>697.1400000000001</v>
          </cell>
          <cell r="M98">
            <v>1474.0600000000002</v>
          </cell>
          <cell r="N98">
            <v>1126.8</v>
          </cell>
          <cell r="O98">
            <v>78.510000000000005</v>
          </cell>
          <cell r="P98">
            <v>15353.96</v>
          </cell>
        </row>
        <row r="99">
          <cell r="A99" t="str">
            <v>QUERLENKER</v>
          </cell>
          <cell r="B99">
            <v>1002.05</v>
          </cell>
          <cell r="C99">
            <v>1232.8500000000001</v>
          </cell>
          <cell r="D99">
            <v>911.7</v>
          </cell>
          <cell r="E99">
            <v>545.99</v>
          </cell>
          <cell r="F99">
            <v>1055.25</v>
          </cell>
          <cell r="G99">
            <v>1285.24</v>
          </cell>
          <cell r="I99">
            <v>1130.74</v>
          </cell>
          <cell r="J99">
            <v>1134.94</v>
          </cell>
          <cell r="K99">
            <v>725.56999999999994</v>
          </cell>
          <cell r="L99">
            <v>584.1400000000001</v>
          </cell>
          <cell r="M99">
            <v>1089.17</v>
          </cell>
          <cell r="N99">
            <v>1282.92</v>
          </cell>
          <cell r="O99">
            <v>245.08</v>
          </cell>
          <cell r="P99">
            <v>12225.64</v>
          </cell>
        </row>
        <row r="100">
          <cell r="A100" t="str">
            <v>SCHEIBENKLAR</v>
          </cell>
          <cell r="J100">
            <v>16.420000000000002</v>
          </cell>
          <cell r="N100">
            <v>196.8</v>
          </cell>
          <cell r="P100">
            <v>213.22000000000003</v>
          </cell>
        </row>
        <row r="101">
          <cell r="A101" t="str">
            <v>SCHEIBENKLEBER</v>
          </cell>
          <cell r="E101">
            <v>125.16</v>
          </cell>
          <cell r="F101">
            <v>-62.6</v>
          </cell>
          <cell r="J101">
            <v>92.89</v>
          </cell>
          <cell r="L101">
            <v>62.09</v>
          </cell>
          <cell r="M101">
            <v>1.41</v>
          </cell>
          <cell r="P101">
            <v>218.95</v>
          </cell>
        </row>
        <row r="102">
          <cell r="A102" t="str">
            <v>SERVOLENKUNG AUSTAUSCH</v>
          </cell>
          <cell r="C102">
            <v>818.62</v>
          </cell>
          <cell r="P102">
            <v>818.62</v>
          </cell>
        </row>
        <row r="103">
          <cell r="A103" t="str">
            <v>SPIEGELKAPPEN, LACKIERT</v>
          </cell>
          <cell r="B103">
            <v>1636.6</v>
          </cell>
          <cell r="C103">
            <v>2963.4700000000003</v>
          </cell>
          <cell r="D103">
            <v>3146.4699999999993</v>
          </cell>
          <cell r="E103">
            <v>2586.04</v>
          </cell>
          <cell r="F103">
            <v>2442.3399999999997</v>
          </cell>
          <cell r="G103">
            <v>4783.87</v>
          </cell>
          <cell r="H103">
            <v>2407.0700000000002</v>
          </cell>
          <cell r="I103">
            <v>3439.5399999999991</v>
          </cell>
          <cell r="J103">
            <v>4699.2299999999996</v>
          </cell>
          <cell r="K103">
            <v>2062.5700000000002</v>
          </cell>
          <cell r="L103">
            <v>5997.8099999999986</v>
          </cell>
          <cell r="M103">
            <v>5190.2999999999993</v>
          </cell>
          <cell r="N103">
            <v>5898.11</v>
          </cell>
          <cell r="O103">
            <v>3776.5799999999981</v>
          </cell>
          <cell r="P103">
            <v>51030</v>
          </cell>
        </row>
        <row r="104">
          <cell r="A104" t="str">
            <v>STOSSDÄMPFER</v>
          </cell>
          <cell r="B104">
            <v>793.67000000000007</v>
          </cell>
          <cell r="C104">
            <v>2970.2299999999996</v>
          </cell>
          <cell r="D104">
            <v>1661.7200000000003</v>
          </cell>
          <cell r="E104">
            <v>1335.53</v>
          </cell>
          <cell r="F104">
            <v>1363.1499999999994</v>
          </cell>
          <cell r="G104">
            <v>715.79000000000008</v>
          </cell>
          <cell r="H104">
            <v>638.17999999999995</v>
          </cell>
          <cell r="I104">
            <v>910.20000000000016</v>
          </cell>
          <cell r="J104">
            <v>1281.6000000000001</v>
          </cell>
          <cell r="K104">
            <v>1141.01</v>
          </cell>
          <cell r="L104">
            <v>869.76</v>
          </cell>
          <cell r="M104">
            <v>3603.26</v>
          </cell>
          <cell r="N104">
            <v>869.68000000000006</v>
          </cell>
          <cell r="O104">
            <v>964.58</v>
          </cell>
          <cell r="P104">
            <v>19118.360000000004</v>
          </cell>
        </row>
        <row r="105">
          <cell r="A105" t="str">
            <v>STOSSSTANGE</v>
          </cell>
          <cell r="B105">
            <v>10799.490000000002</v>
          </cell>
          <cell r="C105">
            <v>6698.0499999999993</v>
          </cell>
          <cell r="D105">
            <v>11891.88</v>
          </cell>
          <cell r="E105">
            <v>5028.91</v>
          </cell>
          <cell r="F105">
            <v>5060.3900000000003</v>
          </cell>
          <cell r="G105">
            <v>10423.469999999999</v>
          </cell>
          <cell r="H105">
            <v>5542.8600000000015</v>
          </cell>
          <cell r="I105">
            <v>7058.8499999999995</v>
          </cell>
          <cell r="J105">
            <v>6253.86</v>
          </cell>
          <cell r="K105">
            <v>12154.729999999998</v>
          </cell>
          <cell r="L105">
            <v>17294.220000000005</v>
          </cell>
          <cell r="M105">
            <v>13707.220000000001</v>
          </cell>
          <cell r="N105">
            <v>14684.970000000003</v>
          </cell>
          <cell r="O105">
            <v>3264.3399999999997</v>
          </cell>
          <cell r="P105">
            <v>129863.23999999999</v>
          </cell>
        </row>
        <row r="106">
          <cell r="A106" t="str">
            <v>TURBOLADER AUSTAUSCH</v>
          </cell>
          <cell r="E106">
            <v>979.12</v>
          </cell>
          <cell r="I106">
            <v>977.63</v>
          </cell>
          <cell r="K106">
            <v>2027.5</v>
          </cell>
          <cell r="L106">
            <v>611.95000000000005</v>
          </cell>
          <cell r="O106">
            <v>560.77</v>
          </cell>
          <cell r="P106">
            <v>5156.9699999999993</v>
          </cell>
        </row>
        <row r="107">
          <cell r="A107" t="str">
            <v>WINDSCHUTZSCHEIBEN</v>
          </cell>
          <cell r="B107">
            <v>462.64</v>
          </cell>
          <cell r="C107">
            <v>1156.48</v>
          </cell>
          <cell r="D107">
            <v>1801.4499999999998</v>
          </cell>
          <cell r="E107">
            <v>3805.9900000000007</v>
          </cell>
          <cell r="F107">
            <v>780.2</v>
          </cell>
          <cell r="G107">
            <v>2258.86</v>
          </cell>
          <cell r="H107">
            <v>363.71000000000004</v>
          </cell>
          <cell r="I107">
            <v>914.02</v>
          </cell>
          <cell r="J107">
            <v>969.68000000000006</v>
          </cell>
          <cell r="K107">
            <v>493.01</v>
          </cell>
          <cell r="L107">
            <v>1335.53</v>
          </cell>
          <cell r="M107">
            <v>3826.19</v>
          </cell>
          <cell r="N107">
            <v>1259.8499999999999</v>
          </cell>
          <cell r="O107">
            <v>920.81000000000006</v>
          </cell>
          <cell r="P107">
            <v>20348.420000000002</v>
          </cell>
        </row>
        <row r="108">
          <cell r="A108" t="str">
            <v>WISCHERBLATT</v>
          </cell>
          <cell r="B108">
            <v>846.64</v>
          </cell>
          <cell r="C108">
            <v>495.61999999999995</v>
          </cell>
          <cell r="D108">
            <v>498.57000000000005</v>
          </cell>
          <cell r="E108">
            <v>573.75</v>
          </cell>
          <cell r="F108">
            <v>194.77</v>
          </cell>
          <cell r="G108">
            <v>2499.7099999999996</v>
          </cell>
          <cell r="H108">
            <v>300.82999999999993</v>
          </cell>
          <cell r="I108">
            <v>984.18</v>
          </cell>
          <cell r="J108">
            <v>1151.7000000000003</v>
          </cell>
          <cell r="K108">
            <v>2391.3400000000006</v>
          </cell>
          <cell r="L108">
            <v>2439.7199999999993</v>
          </cell>
          <cell r="M108">
            <v>1490.88</v>
          </cell>
          <cell r="N108">
            <v>736.31999999999994</v>
          </cell>
          <cell r="O108">
            <v>295.81000000000006</v>
          </cell>
          <cell r="P108">
            <v>14899.839999999998</v>
          </cell>
        </row>
        <row r="109">
          <cell r="A109" t="str">
            <v>ZAHNRIEHMEN</v>
          </cell>
          <cell r="D109">
            <v>1130.0200000000002</v>
          </cell>
          <cell r="E109">
            <v>217.65</v>
          </cell>
          <cell r="G109">
            <v>312.81</v>
          </cell>
          <cell r="J109">
            <v>137.41</v>
          </cell>
          <cell r="L109">
            <v>237.26</v>
          </cell>
          <cell r="M109">
            <v>81.550000000000011</v>
          </cell>
          <cell r="N109">
            <v>51.39</v>
          </cell>
          <cell r="P109">
            <v>2168.09</v>
          </cell>
        </row>
        <row r="110">
          <cell r="A110" t="str">
            <v>ZÜNDKERZEN</v>
          </cell>
          <cell r="B110">
            <v>506.85</v>
          </cell>
          <cell r="D110">
            <v>323.2</v>
          </cell>
          <cell r="E110">
            <v>93.4</v>
          </cell>
          <cell r="F110">
            <v>711.30000000000007</v>
          </cell>
          <cell r="G110">
            <v>1149.71</v>
          </cell>
          <cell r="H110">
            <v>142.30000000000001</v>
          </cell>
          <cell r="J110">
            <v>651.80999999999995</v>
          </cell>
          <cell r="K110">
            <v>268.7</v>
          </cell>
          <cell r="L110">
            <v>146.81</v>
          </cell>
          <cell r="M110">
            <v>224.36</v>
          </cell>
          <cell r="N110">
            <v>1430.98</v>
          </cell>
          <cell r="O110">
            <v>42.68</v>
          </cell>
          <cell r="P110">
            <v>5692.1</v>
          </cell>
        </row>
        <row r="111">
          <cell r="A111" t="str">
            <v>Accessoires</v>
          </cell>
          <cell r="B111">
            <v>6283.86</v>
          </cell>
          <cell r="C111">
            <v>2999.7799999999997</v>
          </cell>
          <cell r="D111">
            <v>5357.88</v>
          </cell>
          <cell r="E111">
            <v>13666.349999999999</v>
          </cell>
          <cell r="F111">
            <v>4273.28</v>
          </cell>
          <cell r="G111">
            <v>10944.04</v>
          </cell>
          <cell r="H111">
            <v>5022.3599999999988</v>
          </cell>
          <cell r="I111">
            <v>2067.62</v>
          </cell>
          <cell r="J111">
            <v>12339.43</v>
          </cell>
          <cell r="K111">
            <v>10801.500000000002</v>
          </cell>
          <cell r="L111">
            <v>8302.1200000000008</v>
          </cell>
          <cell r="M111">
            <v>17109.340000000004</v>
          </cell>
          <cell r="N111">
            <v>12704.63</v>
          </cell>
          <cell r="O111">
            <v>9726.4900000000016</v>
          </cell>
          <cell r="P111">
            <v>121598.68000000002</v>
          </cell>
        </row>
        <row r="112">
          <cell r="A112" t="str">
            <v>ALU-FELGE</v>
          </cell>
          <cell r="D112">
            <v>-195.05</v>
          </cell>
          <cell r="E112">
            <v>367.92</v>
          </cell>
          <cell r="F112">
            <v>921.12</v>
          </cell>
          <cell r="H112">
            <v>183.96</v>
          </cell>
          <cell r="M112">
            <v>815.6</v>
          </cell>
          <cell r="N112">
            <v>767.64</v>
          </cell>
          <cell r="O112">
            <v>780.32</v>
          </cell>
          <cell r="P112">
            <v>3641.51</v>
          </cell>
        </row>
        <row r="113">
          <cell r="A113" t="str">
            <v>ANHÄNGEKUPPLUNG E-SATZ</v>
          </cell>
          <cell r="B113">
            <v>417.42999999999995</v>
          </cell>
          <cell r="C113">
            <v>299.81</v>
          </cell>
          <cell r="D113">
            <v>295.56</v>
          </cell>
          <cell r="E113">
            <v>785.87999999999988</v>
          </cell>
          <cell r="F113">
            <v>115.14</v>
          </cell>
          <cell r="G113">
            <v>876.19999999999993</v>
          </cell>
          <cell r="H113">
            <v>372.08</v>
          </cell>
          <cell r="I113">
            <v>363.02</v>
          </cell>
          <cell r="J113">
            <v>671.18000000000006</v>
          </cell>
          <cell r="K113">
            <v>305.60999999999996</v>
          </cell>
          <cell r="L113">
            <v>344.95</v>
          </cell>
          <cell r="M113">
            <v>816.78000000000009</v>
          </cell>
          <cell r="N113">
            <v>392.93</v>
          </cell>
          <cell r="O113">
            <v>1706.7799999999997</v>
          </cell>
          <cell r="P113">
            <v>7763.3499999999995</v>
          </cell>
        </row>
        <row r="114">
          <cell r="A114" t="str">
            <v>ANHÄNGEZUGVORRICHTUNG</v>
          </cell>
          <cell r="B114">
            <v>1094.73</v>
          </cell>
          <cell r="C114">
            <v>910.10000000000014</v>
          </cell>
          <cell r="D114">
            <v>1722.39</v>
          </cell>
          <cell r="E114">
            <v>2757.7799999999997</v>
          </cell>
          <cell r="F114">
            <v>403</v>
          </cell>
          <cell r="G114">
            <v>1779.96</v>
          </cell>
          <cell r="H114">
            <v>1241.68</v>
          </cell>
          <cell r="I114">
            <v>1612.97</v>
          </cell>
          <cell r="J114">
            <v>1429.64</v>
          </cell>
          <cell r="K114">
            <v>1747.5399999999997</v>
          </cell>
          <cell r="L114">
            <v>793.88000000000011</v>
          </cell>
          <cell r="M114">
            <v>4407.9600000000009</v>
          </cell>
          <cell r="N114">
            <v>1152.75</v>
          </cell>
          <cell r="O114">
            <v>3510.6100000000006</v>
          </cell>
          <cell r="P114">
            <v>24564.989999999998</v>
          </cell>
        </row>
        <row r="115">
          <cell r="A115" t="str">
            <v>AUSPUFFBLENDE, CHROM</v>
          </cell>
          <cell r="J115">
            <v>78.98</v>
          </cell>
          <cell r="P115">
            <v>78.98</v>
          </cell>
        </row>
        <row r="116">
          <cell r="A116" t="str">
            <v>CHROMLEISTEN</v>
          </cell>
          <cell r="B116">
            <v>268.62</v>
          </cell>
          <cell r="E116">
            <v>442.29999999999995</v>
          </cell>
          <cell r="J116">
            <v>176.26</v>
          </cell>
          <cell r="K116">
            <v>268.62</v>
          </cell>
          <cell r="L116">
            <v>8.94</v>
          </cell>
          <cell r="M116">
            <v>131.55000000000001</v>
          </cell>
          <cell r="P116">
            <v>1296.29</v>
          </cell>
        </row>
        <row r="117">
          <cell r="A117" t="str">
            <v>DACHBOX</v>
          </cell>
          <cell r="B117">
            <v>-2.9799999999999898</v>
          </cell>
          <cell r="C117">
            <v>1022.8299999999999</v>
          </cell>
          <cell r="D117">
            <v>1030.5</v>
          </cell>
          <cell r="E117">
            <v>585.78</v>
          </cell>
          <cell r="G117">
            <v>1058.76</v>
          </cell>
          <cell r="H117">
            <v>1113.06</v>
          </cell>
          <cell r="I117">
            <v>160.97999999999999</v>
          </cell>
          <cell r="J117">
            <v>382.65</v>
          </cell>
          <cell r="K117">
            <v>465.49</v>
          </cell>
          <cell r="L117">
            <v>177.72</v>
          </cell>
          <cell r="M117">
            <v>903.42000000000007</v>
          </cell>
          <cell r="N117">
            <v>187.1</v>
          </cell>
          <cell r="O117">
            <v>536.38</v>
          </cell>
          <cell r="P117">
            <v>7621.6900000000005</v>
          </cell>
        </row>
        <row r="118">
          <cell r="A118" t="str">
            <v>DACHSPOILER</v>
          </cell>
          <cell r="E118">
            <v>263.27999999999997</v>
          </cell>
          <cell r="J118">
            <v>-243.05</v>
          </cell>
          <cell r="K118">
            <v>239.13</v>
          </cell>
          <cell r="L118">
            <v>239.13</v>
          </cell>
          <cell r="N118">
            <v>239.13</v>
          </cell>
          <cell r="P118">
            <v>737.61999999999989</v>
          </cell>
        </row>
        <row r="119">
          <cell r="A119" t="str">
            <v>EINPARKHILFE</v>
          </cell>
          <cell r="B119">
            <v>297.05</v>
          </cell>
          <cell r="C119">
            <v>162.5</v>
          </cell>
          <cell r="D119">
            <v>253.61</v>
          </cell>
          <cell r="F119">
            <v>252.26</v>
          </cell>
          <cell r="G119">
            <v>578.61</v>
          </cell>
          <cell r="I119">
            <v>162.5</v>
          </cell>
          <cell r="J119">
            <v>131.94999999999999</v>
          </cell>
          <cell r="L119">
            <v>162.5</v>
          </cell>
          <cell r="M119">
            <v>193.81</v>
          </cell>
          <cell r="N119">
            <v>14.1</v>
          </cell>
          <cell r="P119">
            <v>2208.8900000000003</v>
          </cell>
        </row>
        <row r="120">
          <cell r="A120" t="str">
            <v>EINSTIEGSLEISTE, BELEUCHTET+LADERAUMWANNE</v>
          </cell>
          <cell r="E120">
            <v>986.96</v>
          </cell>
          <cell r="G120">
            <v>315.41999999999996</v>
          </cell>
          <cell r="I120">
            <v>157.79</v>
          </cell>
          <cell r="L120">
            <v>159.07</v>
          </cell>
          <cell r="M120">
            <v>343.35</v>
          </cell>
          <cell r="N120">
            <v>159.07</v>
          </cell>
          <cell r="P120">
            <v>2121.6600000000003</v>
          </cell>
        </row>
        <row r="121">
          <cell r="A121" t="str">
            <v>HARDTOP</v>
          </cell>
          <cell r="C121">
            <v>-2527.1999999999998</v>
          </cell>
          <cell r="E121">
            <v>1195.76</v>
          </cell>
          <cell r="I121">
            <v>-1701.2699999999998</v>
          </cell>
          <cell r="J121">
            <v>969.48</v>
          </cell>
          <cell r="K121">
            <v>95.46</v>
          </cell>
          <cell r="L121">
            <v>579.5</v>
          </cell>
          <cell r="M121">
            <v>1184.45</v>
          </cell>
          <cell r="N121">
            <v>95.46</v>
          </cell>
          <cell r="P121">
            <v>-108.35999999999949</v>
          </cell>
        </row>
        <row r="122">
          <cell r="A122" t="str">
            <v>INTERIEUR</v>
          </cell>
          <cell r="C122">
            <v>439.20000000000005</v>
          </cell>
          <cell r="D122">
            <v>137.97999999999999</v>
          </cell>
          <cell r="F122">
            <v>93.61</v>
          </cell>
          <cell r="G122">
            <v>307.2</v>
          </cell>
          <cell r="I122">
            <v>289.36</v>
          </cell>
          <cell r="J122">
            <v>149.47999999999999</v>
          </cell>
          <cell r="K122">
            <v>298.95999999999998</v>
          </cell>
          <cell r="L122">
            <v>454.62</v>
          </cell>
          <cell r="M122">
            <v>151.54</v>
          </cell>
          <cell r="P122">
            <v>2321.9499999999998</v>
          </cell>
        </row>
        <row r="123">
          <cell r="A123" t="str">
            <v>KOTSCHUTZLAPPEN</v>
          </cell>
          <cell r="B123">
            <v>399.03</v>
          </cell>
          <cell r="C123">
            <v>352.15999999999997</v>
          </cell>
          <cell r="D123">
            <v>224.23000000000002</v>
          </cell>
          <cell r="E123">
            <v>276.02999999999997</v>
          </cell>
          <cell r="F123">
            <v>120.04</v>
          </cell>
          <cell r="G123">
            <v>514.19000000000005</v>
          </cell>
          <cell r="H123">
            <v>119.02</v>
          </cell>
          <cell r="I123">
            <v>404.32</v>
          </cell>
          <cell r="J123">
            <v>115.06</v>
          </cell>
          <cell r="K123">
            <v>291.76</v>
          </cell>
          <cell r="L123">
            <v>254.57999999999998</v>
          </cell>
          <cell r="M123">
            <v>341.69</v>
          </cell>
          <cell r="N123">
            <v>216.61</v>
          </cell>
          <cell r="O123">
            <v>73.260000000000005</v>
          </cell>
          <cell r="P123">
            <v>3701.9800000000005</v>
          </cell>
        </row>
        <row r="124">
          <cell r="A124" t="str">
            <v>LADERAUMWANNE</v>
          </cell>
          <cell r="C124">
            <v>1200.6600000000001</v>
          </cell>
          <cell r="F124">
            <v>99.72</v>
          </cell>
          <cell r="I124">
            <v>-355.45</v>
          </cell>
          <cell r="J124">
            <v>438.5</v>
          </cell>
          <cell r="K124">
            <v>683.55</v>
          </cell>
          <cell r="L124">
            <v>-328.52</v>
          </cell>
          <cell r="M124">
            <v>895.82999999999993</v>
          </cell>
          <cell r="N124">
            <v>1971.4</v>
          </cell>
          <cell r="O124">
            <v>579.73</v>
          </cell>
          <cell r="P124">
            <v>5185.42</v>
          </cell>
        </row>
        <row r="125">
          <cell r="A125" t="str">
            <v>OFFROAD</v>
          </cell>
          <cell r="B125">
            <v>1053.23</v>
          </cell>
          <cell r="C125">
            <v>330.6</v>
          </cell>
          <cell r="E125">
            <v>1510.25</v>
          </cell>
          <cell r="F125">
            <v>460.29</v>
          </cell>
          <cell r="G125">
            <v>1191.44</v>
          </cell>
          <cell r="H125">
            <v>106.61999999999999</v>
          </cell>
          <cell r="I125">
            <v>-606.87</v>
          </cell>
          <cell r="J125">
            <v>2340.88</v>
          </cell>
          <cell r="K125">
            <v>249.48</v>
          </cell>
          <cell r="L125">
            <v>1246.57</v>
          </cell>
          <cell r="M125">
            <v>678.51</v>
          </cell>
          <cell r="N125">
            <v>1286.74</v>
          </cell>
          <cell r="O125">
            <v>102.06</v>
          </cell>
          <cell r="P125">
            <v>9949.7999999999975</v>
          </cell>
        </row>
        <row r="126">
          <cell r="A126" t="str">
            <v>PERSONALISATION KIT</v>
          </cell>
          <cell r="J126">
            <v>615.23</v>
          </cell>
          <cell r="M126">
            <v>328.79</v>
          </cell>
          <cell r="N126">
            <v>286.44</v>
          </cell>
          <cell r="O126">
            <v>812.19999999999993</v>
          </cell>
          <cell r="P126">
            <v>2042.6599999999999</v>
          </cell>
        </row>
        <row r="127">
          <cell r="A127" t="str">
            <v>SONSTIGES ZUBEHÖR</v>
          </cell>
          <cell r="B127">
            <v>602.63</v>
          </cell>
          <cell r="C127">
            <v>306.78000000000003</v>
          </cell>
          <cell r="D127">
            <v>251.62</v>
          </cell>
          <cell r="E127">
            <v>1112.2499999999998</v>
          </cell>
          <cell r="F127">
            <v>609.34999999999991</v>
          </cell>
          <cell r="G127">
            <v>1309.6300000000003</v>
          </cell>
          <cell r="H127">
            <v>83.16</v>
          </cell>
          <cell r="I127">
            <v>657.37</v>
          </cell>
          <cell r="J127">
            <v>1506.2399999999998</v>
          </cell>
          <cell r="K127">
            <v>252.12</v>
          </cell>
          <cell r="L127">
            <v>836.13</v>
          </cell>
          <cell r="M127">
            <v>1071.1299999999999</v>
          </cell>
          <cell r="N127">
            <v>1130.74</v>
          </cell>
          <cell r="O127">
            <v>419.62999999999994</v>
          </cell>
          <cell r="P127">
            <v>10148.779999999999</v>
          </cell>
        </row>
        <row r="128">
          <cell r="A128" t="str">
            <v>STYLING ACCESSORIES</v>
          </cell>
          <cell r="B128">
            <v>309.84000000000003</v>
          </cell>
          <cell r="C128">
            <v>106.87</v>
          </cell>
          <cell r="F128">
            <v>98.98</v>
          </cell>
          <cell r="H128">
            <v>287.42</v>
          </cell>
          <cell r="J128">
            <v>126.09</v>
          </cell>
          <cell r="K128">
            <v>1159.69</v>
          </cell>
          <cell r="L128">
            <v>107.17</v>
          </cell>
          <cell r="M128">
            <v>185.56</v>
          </cell>
          <cell r="N128">
            <v>191.99</v>
          </cell>
          <cell r="P128">
            <v>2573.6100000000006</v>
          </cell>
        </row>
        <row r="129">
          <cell r="A129" t="str">
            <v>TAGFAHRLEUCHTE</v>
          </cell>
          <cell r="B129">
            <v>720.62</v>
          </cell>
          <cell r="C129">
            <v>120.90999999999997</v>
          </cell>
          <cell r="D129">
            <v>437.63</v>
          </cell>
          <cell r="E129">
            <v>940.8</v>
          </cell>
          <cell r="F129">
            <v>341.86</v>
          </cell>
          <cell r="G129">
            <v>1479.51</v>
          </cell>
          <cell r="H129">
            <v>744.88000000000011</v>
          </cell>
          <cell r="I129">
            <v>422.64</v>
          </cell>
          <cell r="J129">
            <v>1396.9699999999998</v>
          </cell>
          <cell r="K129">
            <v>3049.88</v>
          </cell>
          <cell r="L129">
            <v>2144.79</v>
          </cell>
          <cell r="M129">
            <v>2629.89</v>
          </cell>
          <cell r="N129">
            <v>768.62</v>
          </cell>
          <cell r="O129">
            <v>332.43</v>
          </cell>
          <cell r="P129">
            <v>15531.430000000002</v>
          </cell>
        </row>
        <row r="130">
          <cell r="A130" t="str">
            <v>TEPPICHMATTEN</v>
          </cell>
          <cell r="B130">
            <v>1123.6599999999999</v>
          </cell>
          <cell r="C130">
            <v>274.56</v>
          </cell>
          <cell r="D130">
            <v>1199.4099999999999</v>
          </cell>
          <cell r="E130">
            <v>2051.9700000000003</v>
          </cell>
          <cell r="F130">
            <v>757.91</v>
          </cell>
          <cell r="G130">
            <v>1533.1200000000001</v>
          </cell>
          <cell r="H130">
            <v>770.48</v>
          </cell>
          <cell r="I130">
            <v>500.26</v>
          </cell>
          <cell r="J130">
            <v>1938.6899999999998</v>
          </cell>
          <cell r="K130">
            <v>1472.6100000000004</v>
          </cell>
          <cell r="L130">
            <v>1121.0899999999999</v>
          </cell>
          <cell r="M130">
            <v>2029.4799999999998</v>
          </cell>
          <cell r="N130">
            <v>3843.91</v>
          </cell>
          <cell r="O130">
            <v>873.08999999999992</v>
          </cell>
          <cell r="P130">
            <v>19490.240000000002</v>
          </cell>
        </row>
        <row r="131">
          <cell r="E131">
            <v>389.39</v>
          </cell>
          <cell r="J131">
            <v>115.2</v>
          </cell>
          <cell r="K131">
            <v>221.6</v>
          </cell>
          <cell r="P131">
            <v>726.18999999999994</v>
          </cell>
        </row>
      </sheetData>
      <sheetData sheetId="3"/>
    </sheetDataSet>
  </externalBook>
</externalLink>
</file>

<file path=xl/tables/table1.xml><?xml version="1.0" encoding="utf-8"?>
<table xmlns="http://schemas.openxmlformats.org/spreadsheetml/2006/main" id="1" name="Liste1" displayName="Liste1" ref="Q17:Q171" totalsRowShown="0" headerRowDxfId="49" dataDxfId="48">
  <autoFilter ref="Q17:Q171"/>
  <sortState ref="Q17:Q170">
    <sortCondition ref="Q16:Q170"/>
  </sortState>
  <tableColumns count="1">
    <tableColumn id="1" name="Colonne1" dataDxfId="47"/>
  </tableColumns>
  <tableStyleInfo showFirstColumn="0" showLastColumn="0" showRowStripes="1" showColumnStripes="0"/>
</table>
</file>

<file path=xl/tables/table2.xml><?xml version="1.0" encoding="utf-8"?>
<table xmlns="http://schemas.openxmlformats.org/spreadsheetml/2006/main" id="2" name="Liste13" displayName="Liste13" ref="P18:P33" totalsRowShown="0" headerRowDxfId="44" dataDxfId="43">
  <autoFilter ref="P18:P33"/>
  <tableColumns count="1">
    <tableColumn id="1" name="Colonne1" dataDxfId="42"/>
  </tableColumns>
  <tableStyleInfo showFirstColumn="0" showLastColumn="0" showRowStripes="1" showColumnStripes="0"/>
</table>
</file>

<file path=xl/tables/table3.xml><?xml version="1.0" encoding="utf-8"?>
<table xmlns="http://schemas.openxmlformats.org/spreadsheetml/2006/main" id="6" name="Tableau6" displayName="Tableau6" ref="I4:K39" totalsRowShown="0" headerRowDxfId="12" dataDxfId="11">
  <sortState ref="I3:K42">
    <sortCondition ref="I3"/>
  </sortState>
  <tableColumns count="3">
    <tableColumn id="1" name="Description" dataDxfId="10"/>
    <tableColumn id="3" name="CA FY13" dataDxfId="9">
      <calculatedColumnFormula>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calculatedColumnFormula>
    </tableColumn>
    <tableColumn id="4" name="CA FY12" dataDxfId="8">
      <calculatedColumnFormula>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calculatedColumnFormula>
    </tableColumn>
  </tableColumns>
  <tableStyleInfo name="TableStyleLight16" showFirstColumn="0" showLastColumn="0" showRowStripes="1" showColumnStripes="0"/>
</table>
</file>

<file path=xl/tables/table4.xml><?xml version="1.0" encoding="utf-8"?>
<table xmlns="http://schemas.openxmlformats.org/spreadsheetml/2006/main" id="4" name="Tableau4" displayName="Tableau4" ref="M4:O25" totalsRowShown="0" headerRowDxfId="7" dataDxfId="6">
  <sortState ref="M3:O23">
    <sortCondition ref="M3"/>
  </sortState>
  <tableColumns count="3">
    <tableColumn id="1" name="Description" dataDxfId="5"/>
    <tableColumn id="2" name="CA FY13" dataDxfId="4">
      <calculatedColumnFormula>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calculatedColumnFormula>
    </tableColumn>
    <tableColumn id="3" name="CA FY12" dataDxfId="3">
      <calculatedColumnFormula>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calculatedColumnFormula>
    </tableColumn>
  </tableColumns>
  <tableStyleInfo name="TableStyleLight16" showFirstColumn="0" showLastColumn="0" showRowStripes="1" showColumnStripes="0"/>
</table>
</file>

<file path=xl/tables/table5.xml><?xml version="1.0" encoding="utf-8"?>
<table xmlns="http://schemas.openxmlformats.org/spreadsheetml/2006/main" id="8" name="Tableau8" displayName="Tableau8" ref="M28:O29" totalsRowShown="0">
  <tableColumns count="3">
    <tableColumn id="1" name="Description" dataDxfId="2">
      <calculatedColumnFormula>IF(V1="F",#REF!,#REF!)</calculatedColumnFormula>
    </tableColumn>
    <tableColumn id="2" name="CA FY13" dataDxfId="1">
      <calculatedColumnFormula>IF($V$1="F",IF(ISERROR(INDEX('[2]Evolution DC FY13'!$B$3:$P$59,MATCH(Tableau8[[#This Row],[Description]],'[2]Evolution DC FY13'!$A$3:$A$58,0),MATCH($T$9,'[2]Evolution DC FY13'!$B$2:$P$2,0))),"",(INDEX('[2]Evolution DC FY13'!$B$3:$P$59,MATCH(Tableau8[[#This Row],[Description]],'[2]Evolution DC FY13'!$A$3:$A$58,0),MATCH($T$9,'[2]Evolution DC FY13'!$B$2:$P$2,0)))),IF(ISERROR(INDEX('[2]Evolution DC FY13'!$B$74:$P$131,MATCH(Tableau8[[#This Row],[Description]],'[2]Evolution DC FY13'!$A$74:$A$130,0),MATCH($T$9,'[2]Evolution DC FY13'!$B$73:$P$73,0))),"",(INDEX('[2]Evolution DC FY13'!$B$74:$P$131,MATCH(Tableau8[[#This Row],[Description]],'[2]Evolution DC FY13'!$A$74:$A$130,0),MATCH($T$9,'[2]Evolution DC FY13'!$B$73:$P$73,0)))))</calculatedColumnFormula>
    </tableColumn>
    <tableColumn id="3" name="CA FY12" dataDxfId="0">
      <calculatedColumnFormula>IF($V$1="F",IF(ISERROR(INDEX(#REF!,MATCH(Tableau4[[#This Row],[Description]],#REF!,0),MATCH($T$9,#REF!,0))),"",(INDEX(#REF!,MATCH(Tableau8[Description],#REF!,0),MATCH($T$9,#REF!,0)))),IF(ISERROR(INDEX(#REF!,MATCH(Tableau8[Description],#REF!,0),MATCH($T$9,#REF!,0))),"",(INDEX(#REF!,MATCH(Tableau8[Description],#REF!,0),MATCH($T$9,#REF!,0)))))</calculatedColumnFormula>
    </tableColumn>
  </tableColumns>
  <tableStyleInfo name="TableStyleLight16"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2"/>
  <dimension ref="A1:AE178"/>
  <sheetViews>
    <sheetView view="pageBreakPreview" topLeftCell="A19" zoomScaleNormal="90" zoomScaleSheetLayoutView="100" workbookViewId="0">
      <selection activeCell="F27" sqref="F27"/>
    </sheetView>
  </sheetViews>
  <sheetFormatPr baseColWidth="10" defaultRowHeight="10.5" x14ac:dyDescent="0.2"/>
  <cols>
    <col min="1" max="1" width="18" style="12" customWidth="1"/>
    <col min="2" max="2" width="8.7109375" style="12" customWidth="1"/>
    <col min="3" max="3" width="0.5703125" style="17" customWidth="1"/>
    <col min="4" max="4" width="9" style="12" customWidth="1"/>
    <col min="5" max="5" width="17.42578125" style="12" customWidth="1"/>
    <col min="6" max="6" width="17.7109375" style="12" customWidth="1"/>
    <col min="7" max="7" width="11.85546875" style="12" customWidth="1"/>
    <col min="8" max="8" width="16.5703125" style="12" customWidth="1"/>
    <col min="9" max="11" width="10.42578125" style="12" customWidth="1"/>
    <col min="12" max="12" width="2.28515625" style="12" customWidth="1"/>
    <col min="13" max="14" width="8.28515625" style="12" customWidth="1"/>
    <col min="15" max="15" width="8.5703125" style="12" bestFit="1" customWidth="1"/>
    <col min="16" max="16" width="8" style="12" bestFit="1" customWidth="1"/>
    <col min="17" max="17" width="13.85546875" style="12" hidden="1" customWidth="1"/>
    <col min="18" max="18" width="2.5703125" style="12" hidden="1" customWidth="1"/>
    <col min="19" max="19" width="6.42578125" style="12" bestFit="1" customWidth="1"/>
    <col min="20" max="24" width="9" style="12" customWidth="1"/>
    <col min="25" max="25" width="11" style="12" bestFit="1" customWidth="1"/>
    <col min="26" max="32" width="9" style="12" customWidth="1"/>
    <col min="33" max="16384" width="11.42578125" style="12"/>
  </cols>
  <sheetData>
    <row r="1" spans="1:31" s="6" customFormat="1" ht="15" customHeight="1" x14ac:dyDescent="0.2">
      <c r="A1" s="173" t="str">
        <f>IF(O1="F","N° agent/nom","HDL Nr/Name")</f>
        <v>N° agent/nom</v>
      </c>
      <c r="B1" s="5"/>
      <c r="C1" s="5"/>
      <c r="D1" s="80">
        <v>456</v>
      </c>
      <c r="E1" s="361" t="e">
        <f>VLOOKUP(D1,#REF!,2,0)</f>
        <v>#REF!</v>
      </c>
      <c r="F1" s="361"/>
      <c r="G1" s="362"/>
      <c r="I1" s="83" t="s">
        <v>0</v>
      </c>
      <c r="K1" s="83" t="str">
        <f>IF(O1="F","Au","Am")</f>
        <v>Au</v>
      </c>
      <c r="L1" s="7"/>
      <c r="M1" s="359" t="s">
        <v>57</v>
      </c>
      <c r="N1" s="360"/>
      <c r="O1" s="10" t="s">
        <v>58</v>
      </c>
      <c r="P1" s="7"/>
      <c r="Q1" s="7"/>
      <c r="R1" s="7"/>
      <c r="S1" s="7"/>
      <c r="T1" s="7"/>
    </row>
    <row r="2" spans="1:31" s="6" customFormat="1" ht="15" customHeight="1" x14ac:dyDescent="0.2">
      <c r="A2" s="173" t="str">
        <f>IF(O1="F","Dépôt régional","Regionallager")</f>
        <v>Dépôt régional</v>
      </c>
      <c r="B2" s="5"/>
      <c r="C2" s="5"/>
      <c r="D2" s="367" t="e">
        <f>VLOOKUP(D1,#REF!,3,0)</f>
        <v>#REF!</v>
      </c>
      <c r="E2" s="368"/>
      <c r="F2" s="368"/>
      <c r="G2" s="369"/>
      <c r="H2" s="8">
        <v>127</v>
      </c>
      <c r="I2" s="81" t="e">
        <f>VLOOKUP(D1,#REF!,8,0)</f>
        <v>#REF!</v>
      </c>
      <c r="K2" s="82" t="e">
        <f>DATE(O3,N3+1,0)</f>
        <v>#REF!</v>
      </c>
      <c r="L2" s="9"/>
      <c r="Q2" s="13">
        <v>4</v>
      </c>
      <c r="R2" s="8"/>
      <c r="S2" s="8"/>
    </row>
    <row r="3" spans="1:31" ht="12" customHeight="1" x14ac:dyDescent="0.2">
      <c r="A3" s="13"/>
      <c r="B3" s="13"/>
      <c r="C3" s="14"/>
      <c r="D3" s="13"/>
      <c r="M3" s="10" t="str">
        <f>IF(O1="F","Mois:","Monat;")</f>
        <v>Mois:</v>
      </c>
      <c r="N3" s="10">
        <v>3</v>
      </c>
      <c r="O3" s="11" t="e">
        <f>VLOOKUP(N3,#REF!,2,0)</f>
        <v>#REF!</v>
      </c>
      <c r="Q3" s="13">
        <v>5</v>
      </c>
    </row>
    <row r="4" spans="1:31" ht="15" customHeight="1" x14ac:dyDescent="0.2">
      <c r="A4" s="169"/>
      <c r="B4" s="13"/>
      <c r="C4" s="14"/>
      <c r="D4" s="363" t="str">
        <f>IF(O1="F","Cumulé FY12","Kumuliert FY12")</f>
        <v>Cumulé FY12</v>
      </c>
      <c r="E4" s="364"/>
      <c r="F4" s="363" t="str">
        <f>IF(O1="F","Objectif fin du mois","Ziel Ende Monat")</f>
        <v>Objectif fin du mois</v>
      </c>
      <c r="G4" s="364"/>
      <c r="H4" s="363" t="str">
        <f>IF(O1="F","Objectif FY12","Ziel FY12")</f>
        <v>Objectif FY12</v>
      </c>
      <c r="I4" s="364"/>
      <c r="J4" s="363" t="str">
        <f>IF(O1="F","Réalisation","Realisation")</f>
        <v>Réalisation</v>
      </c>
      <c r="K4" s="364"/>
      <c r="M4" s="10" t="s">
        <v>4</v>
      </c>
      <c r="N4" s="15" t="e">
        <f>D18</f>
        <v>#REF!</v>
      </c>
      <c r="Q4" s="13">
        <v>6</v>
      </c>
      <c r="R4" s="16"/>
    </row>
    <row r="5" spans="1:31" ht="3.75" customHeight="1" thickBot="1" x14ac:dyDescent="0.25">
      <c r="I5" s="13"/>
      <c r="Q5" s="13">
        <v>7</v>
      </c>
      <c r="R5" s="16"/>
    </row>
    <row r="6" spans="1:31" ht="31.5" customHeight="1" x14ac:dyDescent="0.2">
      <c r="A6" s="166" t="str">
        <f>IF(O1="F","Pièces conc. &amp; acc.","Konk. Teile &amp; Zubehör")</f>
        <v>Pièces conc. &amp; acc.</v>
      </c>
      <c r="B6" s="174" t="s">
        <v>60</v>
      </c>
      <c r="C6" s="18"/>
      <c r="D6" s="365" t="e">
        <f>E18</f>
        <v>#REF!</v>
      </c>
      <c r="E6" s="366"/>
      <c r="F6" s="375" t="e">
        <f>F18</f>
        <v>#REF!</v>
      </c>
      <c r="G6" s="376"/>
      <c r="H6" s="377" t="e">
        <f>F19</f>
        <v>#REF!</v>
      </c>
      <c r="I6" s="376"/>
      <c r="J6" s="371" t="e">
        <f>G18</f>
        <v>#REF!</v>
      </c>
      <c r="K6" s="372"/>
      <c r="Q6" s="13">
        <v>8</v>
      </c>
      <c r="R6" s="16"/>
      <c r="S6" s="20"/>
    </row>
    <row r="7" spans="1:31" ht="3" customHeight="1" x14ac:dyDescent="0.2">
      <c r="A7" s="21"/>
      <c r="B7" s="21"/>
      <c r="C7" s="18"/>
      <c r="D7" s="204"/>
      <c r="E7" s="205"/>
      <c r="F7" s="22"/>
      <c r="G7" s="23"/>
      <c r="H7" s="24"/>
      <c r="I7" s="24"/>
      <c r="J7" s="24"/>
      <c r="K7" s="24"/>
      <c r="Q7" s="13">
        <v>9</v>
      </c>
      <c r="R7" s="16"/>
    </row>
    <row r="8" spans="1:31" ht="18" customHeight="1" x14ac:dyDescent="0.2">
      <c r="A8" s="336" t="str">
        <f>IF(O1="F","Pièces concurrencées","Konkurrenzierte Teile")</f>
        <v>Pièces concurrencées</v>
      </c>
      <c r="B8" s="337"/>
      <c r="C8" s="18"/>
      <c r="D8" s="344" t="e">
        <f>VLOOKUP(D1,#REF!,4,0)</f>
        <v>#REF!</v>
      </c>
      <c r="E8" s="345"/>
      <c r="F8" s="203"/>
      <c r="G8" s="23"/>
      <c r="H8" s="24"/>
      <c r="I8" s="24"/>
      <c r="J8" s="24"/>
      <c r="K8" s="24"/>
      <c r="Q8" s="13">
        <v>10</v>
      </c>
      <c r="R8" s="16"/>
    </row>
    <row r="9" spans="1:31" ht="3" customHeight="1" x14ac:dyDescent="0.2">
      <c r="A9" s="21"/>
      <c r="B9" s="21"/>
      <c r="C9" s="18"/>
      <c r="D9" s="206"/>
      <c r="E9" s="207"/>
      <c r="F9" s="203"/>
      <c r="G9" s="23"/>
      <c r="H9" s="24"/>
      <c r="I9" s="24"/>
      <c r="J9" s="24"/>
      <c r="K9" s="24"/>
      <c r="Q9" s="13">
        <v>11</v>
      </c>
      <c r="R9" s="16"/>
    </row>
    <row r="10" spans="1:31" ht="18" customHeight="1" thickBot="1" x14ac:dyDescent="0.25">
      <c r="A10" s="336" t="str">
        <f>IF(O1="F","Accessoires","Zubehör")</f>
        <v>Accessoires</v>
      </c>
      <c r="B10" s="337"/>
      <c r="C10" s="18"/>
      <c r="D10" s="346" t="e">
        <f>VLOOKUP($D$1,#REF!,5,0)</f>
        <v>#REF!</v>
      </c>
      <c r="E10" s="347"/>
      <c r="F10" s="203"/>
      <c r="G10" s="23"/>
      <c r="H10" s="24"/>
      <c r="I10" s="24"/>
      <c r="J10" s="24"/>
      <c r="K10" s="24"/>
      <c r="Q10" s="13">
        <v>12</v>
      </c>
      <c r="R10" s="16"/>
    </row>
    <row r="11" spans="1:31" s="85" customFormat="1" ht="18" customHeight="1" x14ac:dyDescent="0.2">
      <c r="A11" s="88"/>
      <c r="B11" s="88"/>
      <c r="C11" s="229"/>
      <c r="D11" s="230"/>
      <c r="E11" s="230"/>
      <c r="F11" s="231"/>
      <c r="G11" s="232"/>
      <c r="H11" s="149"/>
      <c r="I11" s="149"/>
      <c r="J11" s="149"/>
      <c r="K11" s="149"/>
      <c r="Q11" s="233"/>
      <c r="R11" s="234"/>
    </row>
    <row r="12" spans="1:31" x14ac:dyDescent="0.2">
      <c r="A12" s="21"/>
      <c r="B12" s="21"/>
      <c r="C12" s="18"/>
      <c r="D12" s="363" t="str">
        <f>IF(O1="F","Réalisé FY12","Realisiert FY12")</f>
        <v>Réalisé FY12</v>
      </c>
      <c r="E12" s="373"/>
      <c r="F12" s="374"/>
      <c r="G12" s="363" t="str">
        <f>IF(O1="F","Réalisé FY11, même période","Realisiert FY11, gleiche Periode")</f>
        <v>Réalisé FY11, même période</v>
      </c>
      <c r="H12" s="373"/>
      <c r="I12" s="374"/>
      <c r="J12" s="363" t="str">
        <f>IF(O1="F","Evolution","Wachstum")</f>
        <v>Evolution</v>
      </c>
      <c r="K12" s="364"/>
      <c r="Q12" s="14">
        <v>1</v>
      </c>
      <c r="U12" s="20"/>
    </row>
    <row r="13" spans="1:31" s="17" customFormat="1" ht="3.75" customHeight="1" x14ac:dyDescent="0.2">
      <c r="D13" s="14"/>
      <c r="E13" s="14"/>
      <c r="F13" s="25"/>
      <c r="G13" s="14"/>
      <c r="H13" s="26"/>
      <c r="I13" s="26"/>
      <c r="J13" s="25"/>
      <c r="K13" s="25"/>
      <c r="Q13" s="13">
        <v>2</v>
      </c>
      <c r="R13" s="16"/>
    </row>
    <row r="14" spans="1:31" ht="24" customHeight="1" x14ac:dyDescent="0.2">
      <c r="A14" s="168" t="str">
        <f>IF(O1="F","CA total","Umsatz total")</f>
        <v>CA total</v>
      </c>
      <c r="B14" s="175" t="s">
        <v>61</v>
      </c>
      <c r="C14" s="27"/>
      <c r="D14" s="385" t="e">
        <f>E27</f>
        <v>#REF!</v>
      </c>
      <c r="E14" s="386"/>
      <c r="F14" s="387"/>
      <c r="G14" s="385" t="e">
        <f>F27</f>
        <v>#REF!</v>
      </c>
      <c r="H14" s="386"/>
      <c r="I14" s="387"/>
      <c r="J14" s="378" t="e">
        <f>G27</f>
        <v>#REF!</v>
      </c>
      <c r="K14" s="379"/>
      <c r="Q14" s="13">
        <v>3</v>
      </c>
    </row>
    <row r="15" spans="1:31" ht="12" customHeight="1" x14ac:dyDescent="0.2">
      <c r="T15" s="29"/>
      <c r="U15" s="29"/>
      <c r="V15" s="29"/>
      <c r="W15" s="29"/>
      <c r="X15" s="29"/>
      <c r="Y15" s="29"/>
      <c r="Z15" s="29"/>
      <c r="AA15" s="29"/>
      <c r="AB15" s="29"/>
      <c r="AC15" s="29"/>
      <c r="AD15" s="29"/>
      <c r="AE15" s="29"/>
    </row>
    <row r="16" spans="1:31" s="13" customFormat="1" ht="36" customHeight="1" x14ac:dyDescent="0.2">
      <c r="A16" s="167" t="str">
        <f>IF(O1="F","Pièces concurrencées et accessoires","Konk. Teile und Zubehör")</f>
        <v>Pièces concurrencées et accessoires</v>
      </c>
      <c r="B16" s="176" t="s">
        <v>60</v>
      </c>
      <c r="C16" s="18"/>
      <c r="D16" s="75" t="s">
        <v>4</v>
      </c>
      <c r="E16" s="76" t="str">
        <f>IF(O1="F","Réalisation 3.1","Realisation 3.1")</f>
        <v>Réalisation 3.1</v>
      </c>
      <c r="F16" s="76" t="str">
        <f>IF(O1="F","Objectif 3.1","Ziel 3.1")</f>
        <v>Objectif 3.1</v>
      </c>
      <c r="G16" s="77" t="str">
        <f>IF(O1="F","% réal.","% real.")</f>
        <v>% réal.</v>
      </c>
      <c r="H16" s="78" t="str">
        <f>IF(O1="F","Reste","Bleibt")</f>
        <v>Reste</v>
      </c>
      <c r="I16" s="79" t="s">
        <v>62</v>
      </c>
      <c r="J16" s="349" t="str">
        <f>IF(O1="F","Projection bonus","Planzahl Bonus")</f>
        <v>Projection bonus</v>
      </c>
      <c r="K16" s="350"/>
      <c r="Q16" s="12"/>
      <c r="Y16" s="30"/>
      <c r="AE16" s="20"/>
    </row>
    <row r="17" spans="1:22" s="17" customFormat="1" ht="3.75" customHeight="1" x14ac:dyDescent="0.2">
      <c r="D17" s="14"/>
      <c r="E17" s="14"/>
      <c r="F17" s="14"/>
      <c r="G17" s="14"/>
      <c r="H17" s="14"/>
      <c r="I17" s="14"/>
      <c r="J17" s="14"/>
      <c r="K17" s="14"/>
      <c r="Q17" s="42" t="s">
        <v>2</v>
      </c>
      <c r="R17" s="224"/>
    </row>
    <row r="18" spans="1:22" ht="13.5" customHeight="1" x14ac:dyDescent="0.2">
      <c r="A18" s="31" t="str">
        <f>IF($O$1="F","Réel au","Ist am")</f>
        <v>Réel au</v>
      </c>
      <c r="B18" s="32" t="e">
        <f>K2</f>
        <v>#REF!</v>
      </c>
      <c r="C18" s="18"/>
      <c r="D18" s="33" t="e">
        <f>VLOOKUP(N3,#REF!,4,0)</f>
        <v>#REF!</v>
      </c>
      <c r="E18" s="181" t="e">
        <f>VLOOKUP(D1,#REF!,7,0)</f>
        <v>#REF!</v>
      </c>
      <c r="F18" s="188" t="e">
        <f>F19*D18</f>
        <v>#REF!</v>
      </c>
      <c r="G18" s="34" t="e">
        <f>E18/F18</f>
        <v>#REF!</v>
      </c>
      <c r="H18" s="189" t="e">
        <f>F18-E18</f>
        <v>#REF!</v>
      </c>
      <c r="I18" s="67" t="e">
        <f>IF(G18&lt;0.95,0,IF(G18&lt;1,0.04,IF(G18&lt;1.05,0.06,IF(G18&lt;1.1,0.08,IF(G18&gt;=1.1,0.1)))))</f>
        <v>#REF!</v>
      </c>
      <c r="J18" s="383" t="e">
        <f>I18*G18*F18</f>
        <v>#REF!</v>
      </c>
      <c r="K18" s="384"/>
      <c r="Q18" s="101">
        <v>3</v>
      </c>
      <c r="R18" s="183" t="s">
        <v>59</v>
      </c>
      <c r="S18" s="35"/>
      <c r="T18" s="35"/>
      <c r="U18" s="36"/>
      <c r="V18" s="36"/>
    </row>
    <row r="19" spans="1:22" ht="13.5" customHeight="1" x14ac:dyDescent="0.2">
      <c r="A19" s="37" t="str">
        <f>IF($O$1="F","Projection au","Planzahl am")</f>
        <v>Projection au</v>
      </c>
      <c r="B19" s="330">
        <v>41364</v>
      </c>
      <c r="C19" s="38"/>
      <c r="D19" s="333">
        <v>1</v>
      </c>
      <c r="E19" s="193" t="e">
        <f>F19*G19</f>
        <v>#REF!</v>
      </c>
      <c r="F19" s="380" t="e">
        <f>VLOOKUP(D1,#REF!,7,0)</f>
        <v>#REF!</v>
      </c>
      <c r="G19" s="39" t="e">
        <f>G18</f>
        <v>#REF!</v>
      </c>
      <c r="H19" s="190" t="e">
        <f>F19-E19</f>
        <v>#REF!</v>
      </c>
      <c r="I19" s="68" t="e">
        <f>IF(G19&lt;0.95,0,IF(G19&lt;1,0.04,IF(G19&lt;1.05,0.06,IF(G19&lt;1.1,0.08,IF(G19&gt;=1.1,0.1)))))</f>
        <v>#REF!</v>
      </c>
      <c r="J19" s="342" t="e">
        <f>I19*G19*F19</f>
        <v>#REF!</v>
      </c>
      <c r="K19" s="343"/>
      <c r="Q19" s="101">
        <v>4</v>
      </c>
      <c r="R19" s="183" t="s">
        <v>59</v>
      </c>
      <c r="S19" s="35"/>
      <c r="T19" s="35"/>
      <c r="U19" s="35"/>
      <c r="V19" s="35"/>
    </row>
    <row r="20" spans="1:22" ht="13.5" customHeight="1" x14ac:dyDescent="0.2">
      <c r="A20" s="40" t="str">
        <f>IF(O1="F","Réal. 95% au","Real. 95% am")</f>
        <v>Réal. 95% au</v>
      </c>
      <c r="B20" s="331"/>
      <c r="C20" s="14"/>
      <c r="D20" s="334"/>
      <c r="E20" s="194" t="e">
        <f>F19*G20</f>
        <v>#REF!</v>
      </c>
      <c r="F20" s="381"/>
      <c r="G20" s="41">
        <v>0.95</v>
      </c>
      <c r="H20" s="191" t="e">
        <f>E20-$E$18</f>
        <v>#REF!</v>
      </c>
      <c r="I20" s="69">
        <v>0.04</v>
      </c>
      <c r="J20" s="338" t="e">
        <f>I20*G20*F19</f>
        <v>#REF!</v>
      </c>
      <c r="K20" s="339"/>
      <c r="Q20" s="101">
        <v>5</v>
      </c>
      <c r="R20" s="183" t="s">
        <v>59</v>
      </c>
      <c r="S20" s="35"/>
      <c r="T20" s="35"/>
      <c r="U20" s="35"/>
      <c r="V20" s="35"/>
    </row>
    <row r="21" spans="1:22" ht="13.5" customHeight="1" x14ac:dyDescent="0.2">
      <c r="A21" s="43" t="str">
        <f>IF(O1="F","Réal. 100% au","Real. 100% am")</f>
        <v>Réal. 100% au</v>
      </c>
      <c r="B21" s="331"/>
      <c r="C21" s="14"/>
      <c r="D21" s="334"/>
      <c r="E21" s="195" t="e">
        <f>F19*G21</f>
        <v>#REF!</v>
      </c>
      <c r="F21" s="381"/>
      <c r="G21" s="44">
        <v>1</v>
      </c>
      <c r="H21" s="191" t="e">
        <f>E21-$E$18</f>
        <v>#REF!</v>
      </c>
      <c r="I21" s="70">
        <v>0.06</v>
      </c>
      <c r="J21" s="338" t="e">
        <f>I21*G21*F19</f>
        <v>#REF!</v>
      </c>
      <c r="K21" s="339"/>
      <c r="Q21" s="183">
        <v>6</v>
      </c>
      <c r="R21" s="183" t="s">
        <v>59</v>
      </c>
      <c r="S21" s="35"/>
      <c r="T21" s="35"/>
      <c r="U21" s="35"/>
      <c r="V21" s="35"/>
    </row>
    <row r="22" spans="1:22" ht="13.5" customHeight="1" x14ac:dyDescent="0.2">
      <c r="A22" s="43" t="str">
        <f>IF(O1="F","Réal. 105% au","Real. 105% am")</f>
        <v>Réal. 105% au</v>
      </c>
      <c r="B22" s="331"/>
      <c r="C22" s="14"/>
      <c r="D22" s="334"/>
      <c r="E22" s="195" t="e">
        <f>F19*G22</f>
        <v>#REF!</v>
      </c>
      <c r="F22" s="381"/>
      <c r="G22" s="44">
        <v>1.05</v>
      </c>
      <c r="H22" s="191" t="e">
        <f>E22-$E$18</f>
        <v>#REF!</v>
      </c>
      <c r="I22" s="70">
        <v>0.08</v>
      </c>
      <c r="J22" s="338" t="e">
        <f>I22*G22*F19</f>
        <v>#REF!</v>
      </c>
      <c r="K22" s="339"/>
      <c r="Q22" s="101">
        <v>7</v>
      </c>
      <c r="R22" s="183" t="s">
        <v>58</v>
      </c>
      <c r="S22" s="35"/>
      <c r="T22" s="35"/>
      <c r="U22" s="35"/>
      <c r="V22" s="35"/>
    </row>
    <row r="23" spans="1:22" ht="13.5" customHeight="1" x14ac:dyDescent="0.2">
      <c r="A23" s="45" t="str">
        <f>IF(O1="F","Réal. 110% au","Real. 110% am")</f>
        <v>Réal. 110% au</v>
      </c>
      <c r="B23" s="332"/>
      <c r="C23" s="14"/>
      <c r="D23" s="335"/>
      <c r="E23" s="196" t="e">
        <f>F19*G23</f>
        <v>#REF!</v>
      </c>
      <c r="F23" s="382"/>
      <c r="G23" s="46">
        <v>1.1000000000000001</v>
      </c>
      <c r="H23" s="192" t="e">
        <f>E23-$E$18</f>
        <v>#REF!</v>
      </c>
      <c r="I23" s="71">
        <v>0.1</v>
      </c>
      <c r="J23" s="340" t="e">
        <f>I23*G23*F19</f>
        <v>#REF!</v>
      </c>
      <c r="K23" s="341"/>
      <c r="Q23" s="101">
        <v>8</v>
      </c>
      <c r="R23" s="183" t="s">
        <v>59</v>
      </c>
      <c r="S23" s="35"/>
      <c r="T23" s="35"/>
      <c r="U23" s="36"/>
      <c r="V23" s="36"/>
    </row>
    <row r="24" spans="1:22" s="85" customFormat="1" ht="13.5" customHeight="1" x14ac:dyDescent="0.2">
      <c r="A24" s="87"/>
      <c r="B24" s="86"/>
      <c r="C24" s="86"/>
      <c r="D24" s="184"/>
      <c r="E24" s="185"/>
      <c r="F24" s="185"/>
      <c r="G24" s="150"/>
      <c r="H24" s="185"/>
      <c r="I24" s="150"/>
      <c r="J24" s="185"/>
      <c r="K24" s="185"/>
      <c r="Q24" s="101">
        <v>9</v>
      </c>
      <c r="R24" s="183" t="s">
        <v>58</v>
      </c>
      <c r="S24" s="186"/>
      <c r="T24" s="186"/>
      <c r="U24" s="187"/>
      <c r="V24" s="187"/>
    </row>
    <row r="25" spans="1:22" ht="34.5" customHeight="1" x14ac:dyDescent="0.2">
      <c r="A25" s="165" t="str">
        <f>IF(O1="F","Croissance du chiffre d'affaires","Umsatzwachstum")</f>
        <v>Croissance du chiffre d'affaires</v>
      </c>
      <c r="B25" s="177" t="s">
        <v>61</v>
      </c>
      <c r="C25" s="18"/>
      <c r="D25" s="50"/>
      <c r="E25" s="76" t="str">
        <f>IF(O1="F","Réalisation CA","Total Umsatz netto")</f>
        <v>Réalisation CA</v>
      </c>
      <c r="F25" s="76" t="str">
        <f>IF(O1="F","CA A-1","Umsatz J-1")</f>
        <v>CA A-1</v>
      </c>
      <c r="G25" s="77" t="str">
        <f>IF(O1="F","% évolution","% Entwicklung")</f>
        <v>% évolution</v>
      </c>
      <c r="H25" s="171" t="str">
        <f>IF(O1="F","Reste","Bleibt")</f>
        <v>Reste</v>
      </c>
      <c r="I25" s="79" t="s">
        <v>62</v>
      </c>
      <c r="J25" s="349" t="str">
        <f>IF(O1="F","Projection bonus","Planzahl Bonus")</f>
        <v>Projection bonus</v>
      </c>
      <c r="K25" s="350"/>
      <c r="Q25" s="101">
        <v>12</v>
      </c>
      <c r="R25" s="183" t="s">
        <v>59</v>
      </c>
    </row>
    <row r="26" spans="1:22" s="17" customFormat="1" ht="3.75" customHeight="1" x14ac:dyDescent="0.2">
      <c r="D26" s="14"/>
      <c r="E26" s="14"/>
      <c r="F26" s="14"/>
      <c r="G26" s="14"/>
      <c r="H26" s="170"/>
      <c r="I26" s="14"/>
      <c r="J26" s="170"/>
      <c r="K26" s="170"/>
      <c r="Q26" s="101">
        <v>13</v>
      </c>
      <c r="R26" s="183" t="s">
        <v>58</v>
      </c>
    </row>
    <row r="27" spans="1:22" ht="13.5" customHeight="1" x14ac:dyDescent="0.2">
      <c r="A27" s="31" t="str">
        <f>IF($O$1="F","Réel au","Ist am")</f>
        <v>Réel au</v>
      </c>
      <c r="B27" s="32" t="e">
        <f>K2</f>
        <v>#REF!</v>
      </c>
      <c r="C27" s="18"/>
      <c r="D27" s="52"/>
      <c r="E27" s="182" t="e">
        <f>VLOOKUP($D$1,#REF!,3,0)</f>
        <v>#REF!</v>
      </c>
      <c r="F27" s="225" t="e">
        <f>INDEX(#REF!,MATCH(D1,#REF!,0),MATCH('TDB F+D'!N3,#REF!,0))</f>
        <v>#REF!</v>
      </c>
      <c r="G27" s="53" t="e">
        <f>(E27-F27)/F27</f>
        <v>#REF!</v>
      </c>
      <c r="H27" s="172"/>
      <c r="I27" s="54" t="e">
        <f>IF(G27&lt;0.025,0,IF(G27&lt;0.05,0.0025,IF(G27&lt;0.075,0.005,IF(G27&lt;0.1,0.0075,IF(G27&gt;=0.1,0.0125)))))</f>
        <v>#REF!</v>
      </c>
      <c r="J27" s="351" t="e">
        <f t="shared" ref="J27:J32" si="0">I27*E27</f>
        <v>#REF!</v>
      </c>
      <c r="K27" s="352"/>
      <c r="Q27" s="101">
        <v>15</v>
      </c>
      <c r="R27" s="183" t="s">
        <v>59</v>
      </c>
    </row>
    <row r="28" spans="1:22" ht="13.5" customHeight="1" x14ac:dyDescent="0.2">
      <c r="A28" s="37" t="str">
        <f>IF($O$1="F","Projection au","Planzahl am")</f>
        <v>Projection au</v>
      </c>
      <c r="B28" s="330">
        <v>41364</v>
      </c>
      <c r="C28" s="38"/>
      <c r="D28" s="348"/>
      <c r="E28" s="197" t="e">
        <f>F28*(1+G28)</f>
        <v>#REF!</v>
      </c>
      <c r="F28" s="353" t="e">
        <f>VLOOKUP(D1,#REF!,13,0)</f>
        <v>#REF!</v>
      </c>
      <c r="G28" s="55" t="e">
        <f>G27</f>
        <v>#REF!</v>
      </c>
      <c r="H28" s="200" t="e">
        <f>E28-E27</f>
        <v>#REF!</v>
      </c>
      <c r="I28" s="72" t="e">
        <f>I27</f>
        <v>#REF!</v>
      </c>
      <c r="J28" s="356" t="e">
        <f t="shared" si="0"/>
        <v>#REF!</v>
      </c>
      <c r="K28" s="343"/>
      <c r="Q28" s="101">
        <v>18</v>
      </c>
      <c r="R28" s="183" t="s">
        <v>59</v>
      </c>
    </row>
    <row r="29" spans="1:22" ht="13.5" customHeight="1" x14ac:dyDescent="0.2">
      <c r="A29" s="178" t="str">
        <f>IF($O$1="F","Pr. pour 0.25% ri. au","* Für 0.25% am")</f>
        <v>Pr. pour 0.25% ri. au</v>
      </c>
      <c r="B29" s="331"/>
      <c r="C29" s="38"/>
      <c r="D29" s="348"/>
      <c r="E29" s="198" t="e">
        <f>F28*(1+G29)</f>
        <v>#REF!</v>
      </c>
      <c r="F29" s="354"/>
      <c r="G29" s="56">
        <v>2.5000000000000001E-2</v>
      </c>
      <c r="H29" s="201" t="e">
        <f>E29-E27</f>
        <v>#REF!</v>
      </c>
      <c r="I29" s="73">
        <v>2.5000000000000001E-3</v>
      </c>
      <c r="J29" s="357" t="e">
        <f t="shared" si="0"/>
        <v>#REF!</v>
      </c>
      <c r="K29" s="358"/>
      <c r="Q29" s="101">
        <v>21</v>
      </c>
      <c r="R29" s="183" t="s">
        <v>59</v>
      </c>
    </row>
    <row r="30" spans="1:22" ht="13.5" customHeight="1" x14ac:dyDescent="0.2">
      <c r="A30" s="58" t="str">
        <f>IF($O$1="F","Pr. pour 0.5% ri. au","* Für 0.5% am")</f>
        <v>Pr. pour 0.5% ri. au</v>
      </c>
      <c r="B30" s="331"/>
      <c r="C30" s="38"/>
      <c r="D30" s="348"/>
      <c r="E30" s="198" t="e">
        <f>F28*(1+G30)</f>
        <v>#REF!</v>
      </c>
      <c r="F30" s="354"/>
      <c r="G30" s="56">
        <v>0.05</v>
      </c>
      <c r="H30" s="201" t="e">
        <f>E30-E27</f>
        <v>#REF!</v>
      </c>
      <c r="I30" s="73">
        <v>5.0000000000000001E-3</v>
      </c>
      <c r="J30" s="357" t="e">
        <f t="shared" si="0"/>
        <v>#REF!</v>
      </c>
      <c r="K30" s="358"/>
      <c r="Q30" s="101">
        <v>23</v>
      </c>
      <c r="R30" s="183" t="s">
        <v>58</v>
      </c>
    </row>
    <row r="31" spans="1:22" ht="13.5" customHeight="1" x14ac:dyDescent="0.2">
      <c r="A31" s="58" t="str">
        <f>IF($O$1="F","Pr. pour 0.75% ri. au","* Für 0.75% am")</f>
        <v>Pr. pour 0.75% ri. au</v>
      </c>
      <c r="B31" s="331"/>
      <c r="C31" s="38"/>
      <c r="D31" s="348"/>
      <c r="E31" s="198" t="e">
        <f>F28*(1+G31)</f>
        <v>#REF!</v>
      </c>
      <c r="F31" s="354"/>
      <c r="G31" s="56">
        <v>7.4999999999999997E-2</v>
      </c>
      <c r="H31" s="201" t="e">
        <f>E31-E27</f>
        <v>#REF!</v>
      </c>
      <c r="I31" s="73">
        <v>7.4999999999999997E-3</v>
      </c>
      <c r="J31" s="357" t="e">
        <f t="shared" si="0"/>
        <v>#REF!</v>
      </c>
      <c r="K31" s="358"/>
      <c r="Q31" s="101">
        <v>24</v>
      </c>
      <c r="R31" s="183" t="s">
        <v>59</v>
      </c>
    </row>
    <row r="32" spans="1:22" ht="13.5" customHeight="1" x14ac:dyDescent="0.2">
      <c r="A32" s="45" t="str">
        <f>IF($O$1="F","Pr. pour 1.25% ri. au","* Für 1.25% am")</f>
        <v>Pr. pour 1.25% ri. au</v>
      </c>
      <c r="B32" s="332"/>
      <c r="C32" s="38"/>
      <c r="D32" s="348"/>
      <c r="E32" s="199" t="e">
        <f>F28*(1+G32)</f>
        <v>#REF!</v>
      </c>
      <c r="F32" s="355"/>
      <c r="G32" s="59">
        <v>0.1</v>
      </c>
      <c r="H32" s="202" t="e">
        <f>E32-E27</f>
        <v>#REF!</v>
      </c>
      <c r="I32" s="74">
        <v>1.2500000000000001E-2</v>
      </c>
      <c r="J32" s="340" t="e">
        <f t="shared" si="0"/>
        <v>#REF!</v>
      </c>
      <c r="K32" s="341"/>
      <c r="Q32" s="101">
        <v>26</v>
      </c>
      <c r="R32" s="183" t="s">
        <v>59</v>
      </c>
    </row>
    <row r="33" spans="1:22" ht="12.75" x14ac:dyDescent="0.2">
      <c r="A33" s="17"/>
      <c r="B33" s="14"/>
      <c r="C33" s="14"/>
      <c r="Q33" s="101">
        <v>35</v>
      </c>
      <c r="R33" s="183" t="s">
        <v>59</v>
      </c>
      <c r="S33" s="35"/>
      <c r="T33" s="35"/>
      <c r="U33" s="36"/>
      <c r="V33" s="36"/>
    </row>
    <row r="34" spans="1:22" ht="12.75" x14ac:dyDescent="0.2">
      <c r="A34" s="179" t="str">
        <f>IF(O1="F","","*Umsatz Planzahl für x Rückvergütung am")</f>
        <v/>
      </c>
      <c r="B34" s="61"/>
      <c r="C34" s="61"/>
      <c r="Q34" s="101">
        <v>57</v>
      </c>
      <c r="R34" s="183" t="s">
        <v>59</v>
      </c>
    </row>
    <row r="35" spans="1:22" ht="12.75" x14ac:dyDescent="0.2">
      <c r="A35" s="16"/>
      <c r="B35" s="20"/>
      <c r="C35" s="12"/>
      <c r="Q35" s="101">
        <v>65</v>
      </c>
      <c r="R35" s="183" t="s">
        <v>58</v>
      </c>
    </row>
    <row r="36" spans="1:22" ht="12.75" x14ac:dyDescent="0.2">
      <c r="A36" s="84"/>
      <c r="B36" s="87"/>
      <c r="C36" s="87"/>
      <c r="D36" s="87"/>
      <c r="E36" s="87"/>
      <c r="F36" s="87"/>
      <c r="G36" s="87"/>
      <c r="H36" s="87"/>
      <c r="I36" s="87"/>
      <c r="Q36" s="101">
        <v>68</v>
      </c>
      <c r="R36" s="183" t="s">
        <v>58</v>
      </c>
    </row>
    <row r="37" spans="1:22" ht="12.75" x14ac:dyDescent="0.2">
      <c r="A37" s="87"/>
      <c r="B37" s="87"/>
      <c r="C37" s="87"/>
      <c r="D37" s="149"/>
      <c r="E37" s="87"/>
      <c r="F37" s="87"/>
      <c r="G37" s="87"/>
      <c r="H37" s="87"/>
      <c r="I37" s="87"/>
      <c r="Q37" s="101">
        <v>76</v>
      </c>
      <c r="R37" s="183" t="s">
        <v>59</v>
      </c>
    </row>
    <row r="38" spans="1:22" ht="12.75" x14ac:dyDescent="0.2">
      <c r="A38" s="84"/>
      <c r="B38" s="87"/>
      <c r="C38" s="87"/>
      <c r="D38" s="87"/>
      <c r="E38" s="87"/>
      <c r="F38" s="87"/>
      <c r="G38" s="87"/>
      <c r="H38" s="87"/>
      <c r="I38" s="87"/>
      <c r="L38" s="17"/>
      <c r="M38" s="17"/>
      <c r="Q38" s="101">
        <v>93</v>
      </c>
      <c r="R38" s="183" t="s">
        <v>59</v>
      </c>
    </row>
    <row r="39" spans="1:22" ht="12.75" x14ac:dyDescent="0.2">
      <c r="A39" s="161"/>
      <c r="B39" s="87"/>
      <c r="C39" s="162"/>
      <c r="D39" s="87"/>
      <c r="E39" s="163"/>
      <c r="F39" s="370"/>
      <c r="G39" s="370"/>
      <c r="H39" s="370"/>
      <c r="I39" s="87"/>
      <c r="J39" s="6"/>
      <c r="Q39" s="101">
        <v>97</v>
      </c>
      <c r="R39" s="183" t="s">
        <v>59</v>
      </c>
    </row>
    <row r="40" spans="1:22" ht="12.75" x14ac:dyDescent="0.2">
      <c r="A40" s="161"/>
      <c r="B40" s="87"/>
      <c r="C40" s="87"/>
      <c r="D40" s="87"/>
      <c r="E40" s="370"/>
      <c r="F40" s="370"/>
      <c r="G40" s="370"/>
      <c r="H40" s="370"/>
      <c r="I40" s="87"/>
      <c r="J40" s="6"/>
      <c r="Q40" s="101">
        <v>102</v>
      </c>
      <c r="R40" s="183" t="s">
        <v>59</v>
      </c>
    </row>
    <row r="41" spans="1:22" ht="12.75" x14ac:dyDescent="0.2">
      <c r="A41" s="86"/>
      <c r="B41" s="87"/>
      <c r="C41" s="164"/>
      <c r="D41" s="87"/>
      <c r="E41" s="87"/>
      <c r="F41" s="87"/>
      <c r="G41" s="87"/>
      <c r="H41" s="87"/>
      <c r="I41" s="87"/>
      <c r="Q41" s="101">
        <v>105</v>
      </c>
      <c r="R41" s="183" t="s">
        <v>59</v>
      </c>
    </row>
    <row r="42" spans="1:22" ht="12.75" x14ac:dyDescent="0.2">
      <c r="A42" s="13"/>
      <c r="C42" s="3"/>
      <c r="Q42" s="101">
        <v>108</v>
      </c>
      <c r="R42" s="183" t="s">
        <v>59</v>
      </c>
    </row>
    <row r="43" spans="1:22" ht="12.75" x14ac:dyDescent="0.2">
      <c r="A43" s="13"/>
      <c r="C43" s="3"/>
      <c r="Q43" s="101">
        <v>114</v>
      </c>
      <c r="R43" s="183" t="s">
        <v>58</v>
      </c>
    </row>
    <row r="44" spans="1:22" ht="12.75" x14ac:dyDescent="0.2">
      <c r="A44" s="13"/>
      <c r="C44" s="3"/>
      <c r="Q44" s="101">
        <v>115</v>
      </c>
      <c r="R44" s="183" t="s">
        <v>59</v>
      </c>
    </row>
    <row r="45" spans="1:22" ht="12.75" x14ac:dyDescent="0.2">
      <c r="B45" s="2"/>
      <c r="C45" s="62"/>
      <c r="Q45" s="101">
        <v>116</v>
      </c>
      <c r="R45" s="183" t="s">
        <v>58</v>
      </c>
    </row>
    <row r="46" spans="1:22" ht="12.75" x14ac:dyDescent="0.2">
      <c r="Q46" s="101">
        <v>117</v>
      </c>
      <c r="R46" s="183" t="s">
        <v>59</v>
      </c>
    </row>
    <row r="47" spans="1:22" ht="12.75" x14ac:dyDescent="0.2">
      <c r="I47" s="4"/>
      <c r="Q47" s="101">
        <v>119</v>
      </c>
      <c r="R47" s="183" t="s">
        <v>59</v>
      </c>
    </row>
    <row r="48" spans="1:22" ht="12.75" x14ac:dyDescent="0.2">
      <c r="Q48" s="101">
        <v>120</v>
      </c>
      <c r="R48" s="183" t="s">
        <v>59</v>
      </c>
    </row>
    <row r="49" spans="3:18" s="4" customFormat="1" ht="12.75" x14ac:dyDescent="0.2">
      <c r="I49" s="63"/>
      <c r="Q49" s="101">
        <v>122</v>
      </c>
      <c r="R49" s="183" t="s">
        <v>59</v>
      </c>
    </row>
    <row r="50" spans="3:18" ht="12.75" x14ac:dyDescent="0.2">
      <c r="Q50" s="101">
        <v>123</v>
      </c>
      <c r="R50" s="183" t="s">
        <v>59</v>
      </c>
    </row>
    <row r="51" spans="3:18" s="63" customFormat="1" ht="12.75" x14ac:dyDescent="0.2">
      <c r="C51" s="64"/>
      <c r="I51" s="12"/>
      <c r="Q51" s="101">
        <v>124</v>
      </c>
      <c r="R51" s="183" t="s">
        <v>58</v>
      </c>
    </row>
    <row r="52" spans="3:18" ht="12.75" x14ac:dyDescent="0.2">
      <c r="D52" s="16"/>
      <c r="E52" s="16"/>
      <c r="F52" s="65"/>
      <c r="G52" s="66"/>
      <c r="Q52" s="101">
        <v>126</v>
      </c>
      <c r="R52" s="183" t="s">
        <v>59</v>
      </c>
    </row>
    <row r="53" spans="3:18" ht="12.75" x14ac:dyDescent="0.2">
      <c r="D53" s="16"/>
      <c r="E53" s="16"/>
      <c r="F53" s="65"/>
      <c r="G53" s="66"/>
      <c r="Q53" s="101">
        <v>128</v>
      </c>
      <c r="R53" s="183" t="s">
        <v>59</v>
      </c>
    </row>
    <row r="54" spans="3:18" ht="12.75" x14ac:dyDescent="0.2">
      <c r="D54" s="16"/>
      <c r="E54" s="16"/>
      <c r="F54" s="65"/>
      <c r="G54" s="66"/>
      <c r="Q54" s="101">
        <v>137</v>
      </c>
      <c r="R54" s="183" t="s">
        <v>59</v>
      </c>
    </row>
    <row r="55" spans="3:18" ht="12.75" x14ac:dyDescent="0.2">
      <c r="D55" s="16"/>
      <c r="E55" s="16"/>
      <c r="F55" s="65"/>
      <c r="G55" s="66"/>
      <c r="Q55" s="101">
        <v>143</v>
      </c>
      <c r="R55" s="183" t="s">
        <v>59</v>
      </c>
    </row>
    <row r="56" spans="3:18" ht="12.75" x14ac:dyDescent="0.2">
      <c r="D56" s="16"/>
      <c r="E56" s="16"/>
      <c r="F56" s="65"/>
      <c r="G56" s="66"/>
      <c r="Q56" s="101">
        <v>147</v>
      </c>
      <c r="R56" s="183" t="s">
        <v>59</v>
      </c>
    </row>
    <row r="57" spans="3:18" ht="12.75" x14ac:dyDescent="0.2">
      <c r="D57" s="16"/>
      <c r="E57" s="16"/>
      <c r="F57" s="65"/>
      <c r="G57" s="66"/>
      <c r="Q57" s="101">
        <v>153</v>
      </c>
      <c r="R57" s="183" t="s">
        <v>59</v>
      </c>
    </row>
    <row r="58" spans="3:18" ht="12.75" x14ac:dyDescent="0.2">
      <c r="D58" s="16"/>
      <c r="E58" s="16"/>
      <c r="F58" s="65"/>
      <c r="G58" s="66"/>
      <c r="Q58" s="101">
        <v>168</v>
      </c>
      <c r="R58" s="183" t="s">
        <v>58</v>
      </c>
    </row>
    <row r="59" spans="3:18" ht="12.75" x14ac:dyDescent="0.2">
      <c r="D59" s="16"/>
      <c r="E59" s="16"/>
      <c r="F59" s="65"/>
      <c r="G59" s="66"/>
      <c r="Q59" s="101">
        <v>182</v>
      </c>
      <c r="R59" s="183" t="s">
        <v>59</v>
      </c>
    </row>
    <row r="60" spans="3:18" ht="12.75" x14ac:dyDescent="0.2">
      <c r="D60" s="16"/>
      <c r="E60" s="16"/>
      <c r="F60" s="65"/>
      <c r="G60" s="66"/>
      <c r="Q60" s="101">
        <v>183</v>
      </c>
      <c r="R60" s="183" t="s">
        <v>59</v>
      </c>
    </row>
    <row r="61" spans="3:18" ht="12.75" x14ac:dyDescent="0.2">
      <c r="D61" s="16"/>
      <c r="E61" s="16"/>
      <c r="F61" s="65"/>
      <c r="G61" s="66"/>
      <c r="Q61" s="101">
        <v>184</v>
      </c>
      <c r="R61" s="183" t="s">
        <v>59</v>
      </c>
    </row>
    <row r="62" spans="3:18" ht="12.75" x14ac:dyDescent="0.2">
      <c r="D62" s="16"/>
      <c r="E62" s="16"/>
      <c r="F62" s="65"/>
      <c r="G62" s="66"/>
      <c r="Q62" s="101">
        <v>185</v>
      </c>
      <c r="R62" s="183" t="s">
        <v>59</v>
      </c>
    </row>
    <row r="63" spans="3:18" ht="12.75" x14ac:dyDescent="0.2">
      <c r="Q63" s="101">
        <v>189</v>
      </c>
      <c r="R63" s="183" t="s">
        <v>59</v>
      </c>
    </row>
    <row r="64" spans="3:18" ht="12.75" x14ac:dyDescent="0.2">
      <c r="Q64" s="101">
        <v>191</v>
      </c>
      <c r="R64" s="183" t="s">
        <v>59</v>
      </c>
    </row>
    <row r="65" spans="17:18" ht="12.75" x14ac:dyDescent="0.2">
      <c r="Q65" s="101">
        <v>192</v>
      </c>
      <c r="R65" s="183" t="s">
        <v>59</v>
      </c>
    </row>
    <row r="66" spans="17:18" ht="12.75" x14ac:dyDescent="0.2">
      <c r="Q66" s="101">
        <v>201</v>
      </c>
      <c r="R66" s="183" t="s">
        <v>59</v>
      </c>
    </row>
    <row r="67" spans="17:18" ht="12.75" x14ac:dyDescent="0.2">
      <c r="Q67" s="101">
        <v>208</v>
      </c>
      <c r="R67" s="183" t="s">
        <v>59</v>
      </c>
    </row>
    <row r="68" spans="17:18" ht="12.75" x14ac:dyDescent="0.2">
      <c r="Q68" s="101">
        <v>216</v>
      </c>
      <c r="R68" s="183" t="s">
        <v>58</v>
      </c>
    </row>
    <row r="69" spans="17:18" ht="12.75" x14ac:dyDescent="0.2">
      <c r="Q69" s="101">
        <v>239</v>
      </c>
      <c r="R69" s="183" t="s">
        <v>59</v>
      </c>
    </row>
    <row r="70" spans="17:18" ht="12.75" x14ac:dyDescent="0.2">
      <c r="Q70" s="101">
        <v>242</v>
      </c>
      <c r="R70" s="183" t="s">
        <v>59</v>
      </c>
    </row>
    <row r="71" spans="17:18" ht="12.75" x14ac:dyDescent="0.2">
      <c r="Q71" s="109">
        <v>246</v>
      </c>
      <c r="R71" s="183" t="s">
        <v>59</v>
      </c>
    </row>
    <row r="72" spans="17:18" ht="12.75" x14ac:dyDescent="0.2">
      <c r="Q72" s="101">
        <v>249</v>
      </c>
      <c r="R72" s="183" t="s">
        <v>59</v>
      </c>
    </row>
    <row r="73" spans="17:18" ht="12.75" x14ac:dyDescent="0.2">
      <c r="Q73" s="101">
        <v>266</v>
      </c>
      <c r="R73" s="183" t="s">
        <v>58</v>
      </c>
    </row>
    <row r="74" spans="17:18" ht="12.75" x14ac:dyDescent="0.2">
      <c r="Q74" s="101">
        <v>271</v>
      </c>
      <c r="R74" s="183" t="s">
        <v>59</v>
      </c>
    </row>
    <row r="75" spans="17:18" ht="12.75" x14ac:dyDescent="0.2">
      <c r="Q75" s="101">
        <v>273</v>
      </c>
      <c r="R75" s="183" t="s">
        <v>59</v>
      </c>
    </row>
    <row r="76" spans="17:18" ht="12.75" x14ac:dyDescent="0.2">
      <c r="Q76" s="101">
        <v>326</v>
      </c>
      <c r="R76" s="183" t="s">
        <v>59</v>
      </c>
    </row>
    <row r="77" spans="17:18" ht="12.75" x14ac:dyDescent="0.2">
      <c r="Q77" s="101">
        <v>327</v>
      </c>
      <c r="R77" s="183" t="s">
        <v>59</v>
      </c>
    </row>
    <row r="78" spans="17:18" ht="12.75" x14ac:dyDescent="0.2">
      <c r="Q78" s="101">
        <v>336</v>
      </c>
      <c r="R78" s="183" t="s">
        <v>59</v>
      </c>
    </row>
    <row r="79" spans="17:18" ht="12.75" x14ac:dyDescent="0.2">
      <c r="Q79" s="101">
        <v>352</v>
      </c>
      <c r="R79" s="183" t="s">
        <v>59</v>
      </c>
    </row>
    <row r="80" spans="17:18" ht="12.75" x14ac:dyDescent="0.2">
      <c r="Q80" s="101">
        <v>363</v>
      </c>
      <c r="R80" s="183" t="s">
        <v>59</v>
      </c>
    </row>
    <row r="81" spans="17:18" ht="12.75" x14ac:dyDescent="0.2">
      <c r="Q81" s="101">
        <v>366</v>
      </c>
      <c r="R81" s="183" t="s">
        <v>59</v>
      </c>
    </row>
    <row r="82" spans="17:18" ht="12.75" x14ac:dyDescent="0.2">
      <c r="Q82" s="101">
        <v>369</v>
      </c>
      <c r="R82" s="183" t="s">
        <v>59</v>
      </c>
    </row>
    <row r="83" spans="17:18" ht="12.75" x14ac:dyDescent="0.2">
      <c r="Q83" s="101">
        <v>380</v>
      </c>
      <c r="R83" s="183" t="s">
        <v>59</v>
      </c>
    </row>
    <row r="84" spans="17:18" ht="12.75" x14ac:dyDescent="0.2">
      <c r="Q84" s="101">
        <v>389</v>
      </c>
      <c r="R84" s="183" t="s">
        <v>59</v>
      </c>
    </row>
    <row r="85" spans="17:18" ht="12.75" x14ac:dyDescent="0.2">
      <c r="Q85" s="101">
        <v>391</v>
      </c>
      <c r="R85" s="183" t="s">
        <v>59</v>
      </c>
    </row>
    <row r="86" spans="17:18" ht="12.75" x14ac:dyDescent="0.2">
      <c r="Q86" s="101">
        <v>396</v>
      </c>
      <c r="R86" s="183" t="s">
        <v>58</v>
      </c>
    </row>
    <row r="87" spans="17:18" ht="12.75" x14ac:dyDescent="0.2">
      <c r="Q87" s="101">
        <v>407</v>
      </c>
      <c r="R87" s="183" t="s">
        <v>59</v>
      </c>
    </row>
    <row r="88" spans="17:18" ht="12.75" x14ac:dyDescent="0.2">
      <c r="Q88" s="101">
        <v>410</v>
      </c>
      <c r="R88" s="183" t="s">
        <v>59</v>
      </c>
    </row>
    <row r="89" spans="17:18" ht="12.75" x14ac:dyDescent="0.2">
      <c r="Q89" s="101">
        <v>414</v>
      </c>
      <c r="R89" s="183" t="s">
        <v>58</v>
      </c>
    </row>
    <row r="90" spans="17:18" ht="12.75" x14ac:dyDescent="0.2">
      <c r="Q90" s="101">
        <v>421</v>
      </c>
      <c r="R90" s="183" t="s">
        <v>59</v>
      </c>
    </row>
    <row r="91" spans="17:18" ht="12.75" x14ac:dyDescent="0.2">
      <c r="Q91" s="101">
        <v>422</v>
      </c>
      <c r="R91" s="183" t="s">
        <v>59</v>
      </c>
    </row>
    <row r="92" spans="17:18" ht="12.75" x14ac:dyDescent="0.2">
      <c r="Q92" s="101">
        <v>424</v>
      </c>
      <c r="R92" s="183" t="s">
        <v>59</v>
      </c>
    </row>
    <row r="93" spans="17:18" ht="12.75" x14ac:dyDescent="0.2">
      <c r="Q93" s="101">
        <v>425</v>
      </c>
      <c r="R93" s="183" t="s">
        <v>59</v>
      </c>
    </row>
    <row r="94" spans="17:18" ht="12.75" x14ac:dyDescent="0.2">
      <c r="Q94" s="101">
        <v>426</v>
      </c>
      <c r="R94" s="183" t="s">
        <v>58</v>
      </c>
    </row>
    <row r="95" spans="17:18" ht="12.75" x14ac:dyDescent="0.2">
      <c r="Q95" s="101">
        <v>427</v>
      </c>
      <c r="R95" s="183" t="s">
        <v>59</v>
      </c>
    </row>
    <row r="96" spans="17:18" ht="12.75" x14ac:dyDescent="0.2">
      <c r="Q96" s="101">
        <v>435</v>
      </c>
      <c r="R96" s="183" t="s">
        <v>59</v>
      </c>
    </row>
    <row r="97" spans="17:18" ht="12.75" x14ac:dyDescent="0.2">
      <c r="Q97" s="101">
        <v>437</v>
      </c>
      <c r="R97" s="183" t="s">
        <v>59</v>
      </c>
    </row>
    <row r="98" spans="17:18" ht="12.75" x14ac:dyDescent="0.2">
      <c r="Q98" s="101">
        <v>439</v>
      </c>
      <c r="R98" s="183" t="s">
        <v>59</v>
      </c>
    </row>
    <row r="99" spans="17:18" ht="12.75" x14ac:dyDescent="0.2">
      <c r="Q99" s="101">
        <v>440</v>
      </c>
      <c r="R99" s="183" t="s">
        <v>59</v>
      </c>
    </row>
    <row r="100" spans="17:18" ht="12.75" x14ac:dyDescent="0.2">
      <c r="Q100" s="101">
        <v>443</v>
      </c>
      <c r="R100" s="183" t="s">
        <v>59</v>
      </c>
    </row>
    <row r="101" spans="17:18" ht="12.75" x14ac:dyDescent="0.2">
      <c r="Q101" s="101">
        <v>445</v>
      </c>
      <c r="R101" s="183" t="s">
        <v>59</v>
      </c>
    </row>
    <row r="102" spans="17:18" ht="12.75" x14ac:dyDescent="0.2">
      <c r="Q102" s="101">
        <v>446</v>
      </c>
      <c r="R102" s="183" t="s">
        <v>59</v>
      </c>
    </row>
    <row r="103" spans="17:18" ht="12.75" x14ac:dyDescent="0.2">
      <c r="Q103" s="101">
        <v>447</v>
      </c>
      <c r="R103" s="183" t="s">
        <v>59</v>
      </c>
    </row>
    <row r="104" spans="17:18" ht="12.75" x14ac:dyDescent="0.2">
      <c r="Q104" s="101">
        <v>451</v>
      </c>
      <c r="R104" s="183" t="s">
        <v>59</v>
      </c>
    </row>
    <row r="105" spans="17:18" ht="12.75" x14ac:dyDescent="0.2">
      <c r="Q105" s="101">
        <v>455</v>
      </c>
      <c r="R105" s="183" t="s">
        <v>59</v>
      </c>
    </row>
    <row r="106" spans="17:18" ht="12.75" x14ac:dyDescent="0.2">
      <c r="Q106" s="101">
        <v>456</v>
      </c>
      <c r="R106" s="183" t="s">
        <v>58</v>
      </c>
    </row>
    <row r="107" spans="17:18" ht="12.75" x14ac:dyDescent="0.2">
      <c r="Q107" s="101">
        <v>458</v>
      </c>
      <c r="R107" s="183" t="s">
        <v>58</v>
      </c>
    </row>
    <row r="108" spans="17:18" ht="12.75" x14ac:dyDescent="0.2">
      <c r="Q108" s="101">
        <v>460</v>
      </c>
      <c r="R108" s="183" t="s">
        <v>58</v>
      </c>
    </row>
    <row r="109" spans="17:18" ht="12.75" x14ac:dyDescent="0.2">
      <c r="Q109" s="101">
        <v>461</v>
      </c>
      <c r="R109" s="183" t="s">
        <v>58</v>
      </c>
    </row>
    <row r="110" spans="17:18" ht="12.75" x14ac:dyDescent="0.2">
      <c r="Q110" s="101">
        <v>464</v>
      </c>
      <c r="R110" s="183" t="s">
        <v>59</v>
      </c>
    </row>
    <row r="111" spans="17:18" ht="12.75" x14ac:dyDescent="0.2">
      <c r="Q111" s="101">
        <v>466</v>
      </c>
      <c r="R111" s="183" t="s">
        <v>58</v>
      </c>
    </row>
    <row r="112" spans="17:18" ht="12.75" x14ac:dyDescent="0.2">
      <c r="Q112" s="101">
        <v>467</v>
      </c>
      <c r="R112" s="183" t="s">
        <v>59</v>
      </c>
    </row>
    <row r="113" spans="17:18" ht="12.75" x14ac:dyDescent="0.2">
      <c r="Q113" s="101">
        <v>469</v>
      </c>
      <c r="R113" s="183" t="s">
        <v>59</v>
      </c>
    </row>
    <row r="114" spans="17:18" ht="12.75" x14ac:dyDescent="0.2">
      <c r="Q114" s="101">
        <v>471</v>
      </c>
      <c r="R114" s="183" t="s">
        <v>59</v>
      </c>
    </row>
    <row r="115" spans="17:18" ht="12.75" x14ac:dyDescent="0.2">
      <c r="Q115" s="101">
        <v>472</v>
      </c>
      <c r="R115" s="183" t="s">
        <v>59</v>
      </c>
    </row>
    <row r="116" spans="17:18" ht="12.75" x14ac:dyDescent="0.2">
      <c r="Q116" s="101">
        <v>476</v>
      </c>
      <c r="R116" s="183" t="s">
        <v>59</v>
      </c>
    </row>
    <row r="117" spans="17:18" ht="12.75" x14ac:dyDescent="0.2">
      <c r="Q117" s="101">
        <v>477</v>
      </c>
      <c r="R117" s="183" t="s">
        <v>59</v>
      </c>
    </row>
    <row r="118" spans="17:18" ht="12.75" x14ac:dyDescent="0.2">
      <c r="Q118" s="101">
        <v>479</v>
      </c>
      <c r="R118" s="183" t="s">
        <v>58</v>
      </c>
    </row>
    <row r="119" spans="17:18" ht="12.75" x14ac:dyDescent="0.2">
      <c r="Q119" s="101">
        <v>480</v>
      </c>
      <c r="R119" s="183" t="s">
        <v>59</v>
      </c>
    </row>
    <row r="120" spans="17:18" ht="12.75" x14ac:dyDescent="0.2">
      <c r="Q120" s="101">
        <v>482</v>
      </c>
      <c r="R120" s="183" t="s">
        <v>59</v>
      </c>
    </row>
    <row r="121" spans="17:18" ht="12.75" x14ac:dyDescent="0.2">
      <c r="Q121" s="101">
        <v>483</v>
      </c>
      <c r="R121" s="183" t="s">
        <v>59</v>
      </c>
    </row>
    <row r="122" spans="17:18" ht="12.75" x14ac:dyDescent="0.2">
      <c r="Q122" s="101">
        <v>484</v>
      </c>
      <c r="R122" s="183" t="s">
        <v>59</v>
      </c>
    </row>
    <row r="123" spans="17:18" ht="12.75" x14ac:dyDescent="0.2">
      <c r="Q123" s="101">
        <v>489</v>
      </c>
      <c r="R123" s="183" t="s">
        <v>58</v>
      </c>
    </row>
    <row r="124" spans="17:18" ht="12.75" x14ac:dyDescent="0.2">
      <c r="Q124" s="101">
        <v>501</v>
      </c>
      <c r="R124" s="183" t="s">
        <v>58</v>
      </c>
    </row>
    <row r="125" spans="17:18" ht="12.75" x14ac:dyDescent="0.2">
      <c r="Q125" s="101">
        <v>502</v>
      </c>
      <c r="R125" s="183" t="s">
        <v>59</v>
      </c>
    </row>
    <row r="126" spans="17:18" ht="12.75" x14ac:dyDescent="0.2">
      <c r="Q126" s="101">
        <v>503</v>
      </c>
      <c r="R126" s="183" t="s">
        <v>59</v>
      </c>
    </row>
    <row r="127" spans="17:18" ht="12.75" x14ac:dyDescent="0.2">
      <c r="Q127" s="101">
        <v>504</v>
      </c>
      <c r="R127" s="183" t="s">
        <v>59</v>
      </c>
    </row>
    <row r="128" spans="17:18" ht="12.75" x14ac:dyDescent="0.2">
      <c r="Q128" s="101">
        <v>505</v>
      </c>
      <c r="R128" s="183" t="s">
        <v>58</v>
      </c>
    </row>
    <row r="129" spans="17:18" ht="12.75" x14ac:dyDescent="0.2">
      <c r="Q129" s="101">
        <v>506</v>
      </c>
      <c r="R129" s="183" t="s">
        <v>58</v>
      </c>
    </row>
    <row r="130" spans="17:18" ht="12.75" x14ac:dyDescent="0.2">
      <c r="Q130" s="101">
        <v>507</v>
      </c>
      <c r="R130" s="183" t="s">
        <v>59</v>
      </c>
    </row>
    <row r="131" spans="17:18" ht="12.75" x14ac:dyDescent="0.2">
      <c r="Q131" s="101">
        <v>508</v>
      </c>
      <c r="R131" s="183" t="s">
        <v>59</v>
      </c>
    </row>
    <row r="132" spans="17:18" ht="12.75" x14ac:dyDescent="0.2">
      <c r="Q132" s="101">
        <v>509</v>
      </c>
      <c r="R132" s="183" t="s">
        <v>58</v>
      </c>
    </row>
    <row r="133" spans="17:18" ht="12.75" x14ac:dyDescent="0.2">
      <c r="Q133" s="101">
        <v>518</v>
      </c>
      <c r="R133" s="183" t="s">
        <v>59</v>
      </c>
    </row>
    <row r="134" spans="17:18" ht="12.75" x14ac:dyDescent="0.2">
      <c r="Q134" s="101">
        <v>526</v>
      </c>
      <c r="R134" s="183" t="s">
        <v>59</v>
      </c>
    </row>
    <row r="135" spans="17:18" ht="12.75" x14ac:dyDescent="0.2">
      <c r="Q135" s="101">
        <v>533</v>
      </c>
      <c r="R135" s="183" t="s">
        <v>59</v>
      </c>
    </row>
    <row r="136" spans="17:18" ht="12.75" x14ac:dyDescent="0.2">
      <c r="Q136" s="101">
        <v>536</v>
      </c>
      <c r="R136" s="183" t="s">
        <v>58</v>
      </c>
    </row>
    <row r="137" spans="17:18" ht="12.75" x14ac:dyDescent="0.2">
      <c r="Q137" s="101">
        <v>550</v>
      </c>
      <c r="R137" s="183" t="s">
        <v>59</v>
      </c>
    </row>
    <row r="138" spans="17:18" ht="12.75" x14ac:dyDescent="0.2">
      <c r="Q138" s="101">
        <v>551</v>
      </c>
      <c r="R138" s="183" t="s">
        <v>59</v>
      </c>
    </row>
    <row r="139" spans="17:18" ht="12.75" x14ac:dyDescent="0.2">
      <c r="Q139" s="101">
        <v>555</v>
      </c>
      <c r="R139" s="183" t="s">
        <v>59</v>
      </c>
    </row>
    <row r="140" spans="17:18" ht="12.75" x14ac:dyDescent="0.2">
      <c r="Q140" s="101">
        <v>562</v>
      </c>
      <c r="R140" s="183" t="s">
        <v>59</v>
      </c>
    </row>
    <row r="141" spans="17:18" ht="12.75" x14ac:dyDescent="0.2">
      <c r="Q141" s="101">
        <v>569</v>
      </c>
      <c r="R141" s="183" t="s">
        <v>59</v>
      </c>
    </row>
    <row r="142" spans="17:18" ht="12.75" x14ac:dyDescent="0.2">
      <c r="Q142" s="101">
        <v>581</v>
      </c>
      <c r="R142" s="183" t="s">
        <v>59</v>
      </c>
    </row>
    <row r="143" spans="17:18" ht="12.75" x14ac:dyDescent="0.2">
      <c r="Q143" s="101">
        <v>594</v>
      </c>
      <c r="R143" s="183" t="s">
        <v>59</v>
      </c>
    </row>
    <row r="144" spans="17:18" ht="12.75" x14ac:dyDescent="0.2">
      <c r="Q144" s="101">
        <v>595</v>
      </c>
      <c r="R144" s="183" t="s">
        <v>59</v>
      </c>
    </row>
    <row r="145" spans="17:18" ht="12.75" x14ac:dyDescent="0.2">
      <c r="Q145" s="101">
        <v>612</v>
      </c>
      <c r="R145" s="183" t="s">
        <v>59</v>
      </c>
    </row>
    <row r="146" spans="17:18" ht="12.75" x14ac:dyDescent="0.2">
      <c r="Q146" s="101">
        <v>621</v>
      </c>
      <c r="R146" s="183" t="s">
        <v>59</v>
      </c>
    </row>
    <row r="147" spans="17:18" ht="12.75" x14ac:dyDescent="0.2">
      <c r="Q147" s="101">
        <v>659</v>
      </c>
      <c r="R147" s="183" t="s">
        <v>59</v>
      </c>
    </row>
    <row r="148" spans="17:18" ht="12.75" x14ac:dyDescent="0.2">
      <c r="Q148" s="101">
        <v>672</v>
      </c>
      <c r="R148" s="183" t="s">
        <v>59</v>
      </c>
    </row>
    <row r="149" spans="17:18" ht="12.75" x14ac:dyDescent="0.2">
      <c r="Q149" s="101">
        <v>674</v>
      </c>
      <c r="R149" s="183" t="s">
        <v>59</v>
      </c>
    </row>
    <row r="150" spans="17:18" ht="12.75" x14ac:dyDescent="0.2">
      <c r="Q150" s="101">
        <v>676</v>
      </c>
      <c r="R150" s="183" t="s">
        <v>58</v>
      </c>
    </row>
    <row r="151" spans="17:18" ht="12.75" x14ac:dyDescent="0.2">
      <c r="Q151" s="101">
        <v>677</v>
      </c>
      <c r="R151" s="183" t="s">
        <v>58</v>
      </c>
    </row>
    <row r="152" spans="17:18" ht="12.75" x14ac:dyDescent="0.2">
      <c r="Q152" s="101">
        <v>681</v>
      </c>
      <c r="R152" s="183" t="s">
        <v>59</v>
      </c>
    </row>
    <row r="153" spans="17:18" ht="12.75" x14ac:dyDescent="0.2">
      <c r="Q153" s="101">
        <v>687</v>
      </c>
      <c r="R153" s="183" t="s">
        <v>59</v>
      </c>
    </row>
    <row r="154" spans="17:18" ht="12.75" x14ac:dyDescent="0.2">
      <c r="Q154" s="101">
        <v>690</v>
      </c>
      <c r="R154" s="183" t="s">
        <v>59</v>
      </c>
    </row>
    <row r="155" spans="17:18" ht="12.75" x14ac:dyDescent="0.2">
      <c r="Q155" s="101">
        <v>691</v>
      </c>
      <c r="R155" s="183" t="s">
        <v>59</v>
      </c>
    </row>
    <row r="156" spans="17:18" ht="12.75" x14ac:dyDescent="0.2">
      <c r="Q156" s="101">
        <v>703</v>
      </c>
      <c r="R156" s="183" t="s">
        <v>59</v>
      </c>
    </row>
    <row r="157" spans="17:18" ht="12.75" x14ac:dyDescent="0.2">
      <c r="Q157" s="101">
        <v>710</v>
      </c>
      <c r="R157" s="183" t="s">
        <v>59</v>
      </c>
    </row>
    <row r="158" spans="17:18" ht="12.75" x14ac:dyDescent="0.2">
      <c r="Q158" s="101">
        <v>714</v>
      </c>
      <c r="R158" s="183" t="s">
        <v>59</v>
      </c>
    </row>
    <row r="159" spans="17:18" ht="12.75" x14ac:dyDescent="0.2">
      <c r="Q159" s="101">
        <v>717</v>
      </c>
      <c r="R159" s="183" t="s">
        <v>59</v>
      </c>
    </row>
    <row r="160" spans="17:18" ht="12.75" x14ac:dyDescent="0.2">
      <c r="Q160" s="101">
        <v>719</v>
      </c>
      <c r="R160" s="183" t="s">
        <v>59</v>
      </c>
    </row>
    <row r="161" spans="17:19" ht="12.75" x14ac:dyDescent="0.2">
      <c r="Q161" s="101">
        <v>731</v>
      </c>
      <c r="R161" s="183" t="s">
        <v>59</v>
      </c>
    </row>
    <row r="162" spans="17:19" ht="12.75" x14ac:dyDescent="0.2">
      <c r="Q162" s="101">
        <v>739</v>
      </c>
      <c r="R162" s="183" t="s">
        <v>59</v>
      </c>
    </row>
    <row r="163" spans="17:19" ht="12.75" x14ac:dyDescent="0.2">
      <c r="Q163" s="101">
        <v>745</v>
      </c>
      <c r="R163" s="183" t="s">
        <v>59</v>
      </c>
    </row>
    <row r="164" spans="17:19" ht="12.75" x14ac:dyDescent="0.2">
      <c r="Q164" s="101">
        <v>750</v>
      </c>
      <c r="R164" s="183" t="s">
        <v>59</v>
      </c>
    </row>
    <row r="165" spans="17:19" ht="12.75" x14ac:dyDescent="0.2">
      <c r="Q165" s="101">
        <v>757</v>
      </c>
      <c r="R165" s="183" t="s">
        <v>59</v>
      </c>
    </row>
    <row r="166" spans="17:19" ht="12.75" x14ac:dyDescent="0.2">
      <c r="Q166" s="101">
        <v>763</v>
      </c>
      <c r="R166" s="183" t="s">
        <v>59</v>
      </c>
    </row>
    <row r="167" spans="17:19" ht="12.75" x14ac:dyDescent="0.2">
      <c r="Q167" s="101">
        <v>769</v>
      </c>
      <c r="R167" s="183" t="s">
        <v>58</v>
      </c>
    </row>
    <row r="168" spans="17:19" ht="12.75" x14ac:dyDescent="0.2">
      <c r="Q168" s="101">
        <v>772</v>
      </c>
      <c r="R168" s="183" t="s">
        <v>59</v>
      </c>
    </row>
    <row r="169" spans="17:19" ht="12.75" x14ac:dyDescent="0.2">
      <c r="Q169" s="101">
        <v>774</v>
      </c>
      <c r="R169" s="183" t="s">
        <v>58</v>
      </c>
    </row>
    <row r="170" spans="17:19" ht="12.75" x14ac:dyDescent="0.2">
      <c r="Q170" s="101">
        <v>778</v>
      </c>
      <c r="R170" s="183" t="s">
        <v>58</v>
      </c>
    </row>
    <row r="171" spans="17:19" ht="12.75" x14ac:dyDescent="0.2">
      <c r="Q171" s="101">
        <v>784</v>
      </c>
      <c r="R171" s="183" t="s">
        <v>59</v>
      </c>
    </row>
    <row r="172" spans="17:19" ht="12.75" x14ac:dyDescent="0.2">
      <c r="Q172" s="12" t="s">
        <v>58</v>
      </c>
      <c r="R172" s="180"/>
      <c r="S172" s="1" t="s">
        <v>59</v>
      </c>
    </row>
    <row r="173" spans="17:19" ht="12.75" x14ac:dyDescent="0.2">
      <c r="Q173" s="12" t="s">
        <v>59</v>
      </c>
      <c r="R173" s="180"/>
    </row>
    <row r="174" spans="17:19" ht="12.75" x14ac:dyDescent="0.2">
      <c r="R174" s="180"/>
    </row>
    <row r="175" spans="17:19" ht="12.75" x14ac:dyDescent="0.2">
      <c r="R175" s="180"/>
    </row>
    <row r="176" spans="17:19" ht="12.75" x14ac:dyDescent="0.2">
      <c r="R176" s="180"/>
    </row>
    <row r="177" spans="18:18" ht="12.75" x14ac:dyDescent="0.2">
      <c r="R177" s="180"/>
    </row>
    <row r="178" spans="18:18" ht="12.75" x14ac:dyDescent="0.2">
      <c r="R178" s="180"/>
    </row>
  </sheetData>
  <mergeCells count="43">
    <mergeCell ref="E40:H40"/>
    <mergeCell ref="F39:H39"/>
    <mergeCell ref="J6:K6"/>
    <mergeCell ref="D12:F12"/>
    <mergeCell ref="G12:I12"/>
    <mergeCell ref="J12:K12"/>
    <mergeCell ref="F6:G6"/>
    <mergeCell ref="H6:I6"/>
    <mergeCell ref="J14:K14"/>
    <mergeCell ref="J31:K31"/>
    <mergeCell ref="F19:F23"/>
    <mergeCell ref="J18:K18"/>
    <mergeCell ref="J16:K16"/>
    <mergeCell ref="J20:K20"/>
    <mergeCell ref="G14:I14"/>
    <mergeCell ref="D14:F14"/>
    <mergeCell ref="M1:N1"/>
    <mergeCell ref="E1:G1"/>
    <mergeCell ref="J4:K4"/>
    <mergeCell ref="D6:E6"/>
    <mergeCell ref="D2:G2"/>
    <mergeCell ref="D4:E4"/>
    <mergeCell ref="F4:G4"/>
    <mergeCell ref="H4:I4"/>
    <mergeCell ref="B28:B32"/>
    <mergeCell ref="D28:D32"/>
    <mergeCell ref="J25:K25"/>
    <mergeCell ref="J27:K27"/>
    <mergeCell ref="F28:F32"/>
    <mergeCell ref="J28:K28"/>
    <mergeCell ref="J29:K29"/>
    <mergeCell ref="J32:K32"/>
    <mergeCell ref="J30:K30"/>
    <mergeCell ref="B19:B23"/>
    <mergeCell ref="D19:D23"/>
    <mergeCell ref="A8:B8"/>
    <mergeCell ref="A10:B10"/>
    <mergeCell ref="J21:K21"/>
    <mergeCell ref="J23:K23"/>
    <mergeCell ref="J22:K22"/>
    <mergeCell ref="J19:K19"/>
    <mergeCell ref="D8:E8"/>
    <mergeCell ref="D10:E10"/>
  </mergeCells>
  <phoneticPr fontId="0" type="noConversion"/>
  <conditionalFormatting sqref="H18:H24 H27:H32">
    <cfRule type="cellIs" dxfId="51" priority="1" stopIfTrue="1" operator="lessThanOrEqual">
      <formula>0</formula>
    </cfRule>
    <cfRule type="cellIs" dxfId="50" priority="2" stopIfTrue="1" operator="greaterThan">
      <formula>0</formula>
    </cfRule>
  </conditionalFormatting>
  <dataValidations count="3">
    <dataValidation type="list" allowBlank="1" showInputMessage="1" showErrorMessage="1" sqref="O1">
      <formula1>$Q$172:$Q$173</formula1>
    </dataValidation>
    <dataValidation type="list" allowBlank="1" showInputMessage="1" showErrorMessage="1" sqref="N3">
      <formula1>$Q$2:$Q$14</formula1>
    </dataValidation>
    <dataValidation type="list" allowBlank="1" showInputMessage="1" showErrorMessage="1" sqref="D1">
      <formula1>$Q$18:$Q$171</formula1>
    </dataValidation>
  </dataValidations>
  <printOptions horizontalCentered="1" verticalCentered="1"/>
  <pageMargins left="0.15748031496062992" right="0" top="0.94488188976377963" bottom="0" header="0.51181102362204722" footer="0"/>
  <pageSetup paperSize="9" orientation="landscape" horizontalDpi="1200" verticalDpi="1200" r:id="rId1"/>
  <headerFooter alignWithMargins="0">
    <oddHeader>&amp;L&amp;"Verdana,Gras"&amp;16Tableau de bord après-vente&amp;R&amp;G</oddHeader>
    <oddFooter>&amp;C&amp;"Arial,Fett"&amp;7&amp;D</oddFooter>
  </headerFooter>
  <rowBreaks count="1" manualBreakCount="1">
    <brk id="34" max="11" man="1"/>
  </rowBreaks>
  <ignoredErrors>
    <ignoredError sqref="H28" formula="1"/>
  </ignoredErrors>
  <legacyDrawingHF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U33"/>
  <sheetViews>
    <sheetView topLeftCell="A21" zoomScale="90" zoomScaleNormal="90" workbookViewId="0">
      <selection activeCell="F26" sqref="F26"/>
    </sheetView>
  </sheetViews>
  <sheetFormatPr baseColWidth="10" defaultRowHeight="11.25" x14ac:dyDescent="0.2"/>
  <cols>
    <col min="1" max="1" width="18.42578125" style="118" customWidth="1"/>
    <col min="2" max="2" width="10.85546875" style="118" customWidth="1"/>
    <col min="3" max="3" width="0.5703125" style="120" customWidth="1"/>
    <col min="4" max="4" width="13.28515625" style="118" customWidth="1"/>
    <col min="5" max="5" width="17.28515625" style="118" bestFit="1" customWidth="1"/>
    <col min="6" max="6" width="18.28515625" style="118" customWidth="1"/>
    <col min="7" max="7" width="13.28515625" style="118" customWidth="1"/>
    <col min="8" max="8" width="16.28515625" style="118" bestFit="1" customWidth="1"/>
    <col min="9" max="9" width="14" style="118" customWidth="1"/>
    <col min="10" max="10" width="13.28515625" style="118" customWidth="1"/>
    <col min="11" max="11" width="11.85546875" style="118" customWidth="1"/>
    <col min="12" max="12" width="13.28515625" style="156" customWidth="1"/>
    <col min="13" max="13" width="9" style="12" bestFit="1" customWidth="1"/>
    <col min="14" max="14" width="9.5703125" style="12" customWidth="1"/>
    <col min="15" max="15" width="8.28515625" style="12" customWidth="1"/>
    <col min="16" max="16" width="11.85546875" style="118" hidden="1" customWidth="1"/>
    <col min="17" max="17" width="4.42578125" style="118" bestFit="1" customWidth="1"/>
    <col min="18" max="19" width="4.7109375" style="118" customWidth="1"/>
    <col min="20" max="20" width="10.5703125" style="118" bestFit="1" customWidth="1"/>
    <col min="21" max="21" width="4.28515625" style="118" customWidth="1"/>
    <col min="22" max="257" width="11.42578125" style="118"/>
    <col min="258" max="258" width="18.42578125" style="118" customWidth="1"/>
    <col min="259" max="259" width="10.85546875" style="118" customWidth="1"/>
    <col min="260" max="260" width="0.5703125" style="118" customWidth="1"/>
    <col min="261" max="265" width="13.28515625" style="118" customWidth="1"/>
    <col min="266" max="266" width="14" style="118" customWidth="1"/>
    <col min="267" max="268" width="13.28515625" style="118" customWidth="1"/>
    <col min="269" max="269" width="9" style="118" bestFit="1" customWidth="1"/>
    <col min="270" max="270" width="9.5703125" style="118" customWidth="1"/>
    <col min="271" max="271" width="8.28515625" style="118" customWidth="1"/>
    <col min="272" max="272" width="0" style="118" hidden="1" customWidth="1"/>
    <col min="273" max="273" width="4.42578125" style="118" bestFit="1" customWidth="1"/>
    <col min="274" max="275" width="4.7109375" style="118" customWidth="1"/>
    <col min="276" max="276" width="10.5703125" style="118" bestFit="1" customWidth="1"/>
    <col min="277" max="277" width="4.28515625" style="118" customWidth="1"/>
    <col min="278" max="513" width="11.42578125" style="118"/>
    <col min="514" max="514" width="18.42578125" style="118" customWidth="1"/>
    <col min="515" max="515" width="10.85546875" style="118" customWidth="1"/>
    <col min="516" max="516" width="0.5703125" style="118" customWidth="1"/>
    <col min="517" max="521" width="13.28515625" style="118" customWidth="1"/>
    <col min="522" max="522" width="14" style="118" customWidth="1"/>
    <col min="523" max="524" width="13.28515625" style="118" customWidth="1"/>
    <col min="525" max="525" width="9" style="118" bestFit="1" customWidth="1"/>
    <col min="526" max="526" width="9.5703125" style="118" customWidth="1"/>
    <col min="527" max="527" width="8.28515625" style="118" customWidth="1"/>
    <col min="528" max="528" width="0" style="118" hidden="1" customWidth="1"/>
    <col min="529" max="529" width="4.42578125" style="118" bestFit="1" customWidth="1"/>
    <col min="530" max="531" width="4.7109375" style="118" customWidth="1"/>
    <col min="532" max="532" width="10.5703125" style="118" bestFit="1" customWidth="1"/>
    <col min="533" max="533" width="4.28515625" style="118" customWidth="1"/>
    <col min="534" max="769" width="11.42578125" style="118"/>
    <col min="770" max="770" width="18.42578125" style="118" customWidth="1"/>
    <col min="771" max="771" width="10.85546875" style="118" customWidth="1"/>
    <col min="772" max="772" width="0.5703125" style="118" customWidth="1"/>
    <col min="773" max="777" width="13.28515625" style="118" customWidth="1"/>
    <col min="778" max="778" width="14" style="118" customWidth="1"/>
    <col min="779" max="780" width="13.28515625" style="118" customWidth="1"/>
    <col min="781" max="781" width="9" style="118" bestFit="1" customWidth="1"/>
    <col min="782" max="782" width="9.5703125" style="118" customWidth="1"/>
    <col min="783" max="783" width="8.28515625" style="118" customWidth="1"/>
    <col min="784" max="784" width="0" style="118" hidden="1" customWidth="1"/>
    <col min="785" max="785" width="4.42578125" style="118" bestFit="1" customWidth="1"/>
    <col min="786" max="787" width="4.7109375" style="118" customWidth="1"/>
    <col min="788" max="788" width="10.5703125" style="118" bestFit="1" customWidth="1"/>
    <col min="789" max="789" width="4.28515625" style="118" customWidth="1"/>
    <col min="790" max="1025" width="11.42578125" style="118"/>
    <col min="1026" max="1026" width="18.42578125" style="118" customWidth="1"/>
    <col min="1027" max="1027" width="10.85546875" style="118" customWidth="1"/>
    <col min="1028" max="1028" width="0.5703125" style="118" customWidth="1"/>
    <col min="1029" max="1033" width="13.28515625" style="118" customWidth="1"/>
    <col min="1034" max="1034" width="14" style="118" customWidth="1"/>
    <col min="1035" max="1036" width="13.28515625" style="118" customWidth="1"/>
    <col min="1037" max="1037" width="9" style="118" bestFit="1" customWidth="1"/>
    <col min="1038" max="1038" width="9.5703125" style="118" customWidth="1"/>
    <col min="1039" max="1039" width="8.28515625" style="118" customWidth="1"/>
    <col min="1040" max="1040" width="0" style="118" hidden="1" customWidth="1"/>
    <col min="1041" max="1041" width="4.42578125" style="118" bestFit="1" customWidth="1"/>
    <col min="1042" max="1043" width="4.7109375" style="118" customWidth="1"/>
    <col min="1044" max="1044" width="10.5703125" style="118" bestFit="1" customWidth="1"/>
    <col min="1045" max="1045" width="4.28515625" style="118" customWidth="1"/>
    <col min="1046" max="1281" width="11.42578125" style="118"/>
    <col min="1282" max="1282" width="18.42578125" style="118" customWidth="1"/>
    <col min="1283" max="1283" width="10.85546875" style="118" customWidth="1"/>
    <col min="1284" max="1284" width="0.5703125" style="118" customWidth="1"/>
    <col min="1285" max="1289" width="13.28515625" style="118" customWidth="1"/>
    <col min="1290" max="1290" width="14" style="118" customWidth="1"/>
    <col min="1291" max="1292" width="13.28515625" style="118" customWidth="1"/>
    <col min="1293" max="1293" width="9" style="118" bestFit="1" customWidth="1"/>
    <col min="1294" max="1294" width="9.5703125" style="118" customWidth="1"/>
    <col min="1295" max="1295" width="8.28515625" style="118" customWidth="1"/>
    <col min="1296" max="1296" width="0" style="118" hidden="1" customWidth="1"/>
    <col min="1297" max="1297" width="4.42578125" style="118" bestFit="1" customWidth="1"/>
    <col min="1298" max="1299" width="4.7109375" style="118" customWidth="1"/>
    <col min="1300" max="1300" width="10.5703125" style="118" bestFit="1" customWidth="1"/>
    <col min="1301" max="1301" width="4.28515625" style="118" customWidth="1"/>
    <col min="1302" max="1537" width="11.42578125" style="118"/>
    <col min="1538" max="1538" width="18.42578125" style="118" customWidth="1"/>
    <col min="1539" max="1539" width="10.85546875" style="118" customWidth="1"/>
    <col min="1540" max="1540" width="0.5703125" style="118" customWidth="1"/>
    <col min="1541" max="1545" width="13.28515625" style="118" customWidth="1"/>
    <col min="1546" max="1546" width="14" style="118" customWidth="1"/>
    <col min="1547" max="1548" width="13.28515625" style="118" customWidth="1"/>
    <col min="1549" max="1549" width="9" style="118" bestFit="1" customWidth="1"/>
    <col min="1550" max="1550" width="9.5703125" style="118" customWidth="1"/>
    <col min="1551" max="1551" width="8.28515625" style="118" customWidth="1"/>
    <col min="1552" max="1552" width="0" style="118" hidden="1" customWidth="1"/>
    <col min="1553" max="1553" width="4.42578125" style="118" bestFit="1" customWidth="1"/>
    <col min="1554" max="1555" width="4.7109375" style="118" customWidth="1"/>
    <col min="1556" max="1556" width="10.5703125" style="118" bestFit="1" customWidth="1"/>
    <col min="1557" max="1557" width="4.28515625" style="118" customWidth="1"/>
    <col min="1558" max="1793" width="11.42578125" style="118"/>
    <col min="1794" max="1794" width="18.42578125" style="118" customWidth="1"/>
    <col min="1795" max="1795" width="10.85546875" style="118" customWidth="1"/>
    <col min="1796" max="1796" width="0.5703125" style="118" customWidth="1"/>
    <col min="1797" max="1801" width="13.28515625" style="118" customWidth="1"/>
    <col min="1802" max="1802" width="14" style="118" customWidth="1"/>
    <col min="1803" max="1804" width="13.28515625" style="118" customWidth="1"/>
    <col min="1805" max="1805" width="9" style="118" bestFit="1" customWidth="1"/>
    <col min="1806" max="1806" width="9.5703125" style="118" customWidth="1"/>
    <col min="1807" max="1807" width="8.28515625" style="118" customWidth="1"/>
    <col min="1808" max="1808" width="0" style="118" hidden="1" customWidth="1"/>
    <col min="1809" max="1809" width="4.42578125" style="118" bestFit="1" customWidth="1"/>
    <col min="1810" max="1811" width="4.7109375" style="118" customWidth="1"/>
    <col min="1812" max="1812" width="10.5703125" style="118" bestFit="1" customWidth="1"/>
    <col min="1813" max="1813" width="4.28515625" style="118" customWidth="1"/>
    <col min="1814" max="2049" width="11.42578125" style="118"/>
    <col min="2050" max="2050" width="18.42578125" style="118" customWidth="1"/>
    <col min="2051" max="2051" width="10.85546875" style="118" customWidth="1"/>
    <col min="2052" max="2052" width="0.5703125" style="118" customWidth="1"/>
    <col min="2053" max="2057" width="13.28515625" style="118" customWidth="1"/>
    <col min="2058" max="2058" width="14" style="118" customWidth="1"/>
    <col min="2059" max="2060" width="13.28515625" style="118" customWidth="1"/>
    <col min="2061" max="2061" width="9" style="118" bestFit="1" customWidth="1"/>
    <col min="2062" max="2062" width="9.5703125" style="118" customWidth="1"/>
    <col min="2063" max="2063" width="8.28515625" style="118" customWidth="1"/>
    <col min="2064" max="2064" width="0" style="118" hidden="1" customWidth="1"/>
    <col min="2065" max="2065" width="4.42578125" style="118" bestFit="1" customWidth="1"/>
    <col min="2066" max="2067" width="4.7109375" style="118" customWidth="1"/>
    <col min="2068" max="2068" width="10.5703125" style="118" bestFit="1" customWidth="1"/>
    <col min="2069" max="2069" width="4.28515625" style="118" customWidth="1"/>
    <col min="2070" max="2305" width="11.42578125" style="118"/>
    <col min="2306" max="2306" width="18.42578125" style="118" customWidth="1"/>
    <col min="2307" max="2307" width="10.85546875" style="118" customWidth="1"/>
    <col min="2308" max="2308" width="0.5703125" style="118" customWidth="1"/>
    <col min="2309" max="2313" width="13.28515625" style="118" customWidth="1"/>
    <col min="2314" max="2314" width="14" style="118" customWidth="1"/>
    <col min="2315" max="2316" width="13.28515625" style="118" customWidth="1"/>
    <col min="2317" max="2317" width="9" style="118" bestFit="1" customWidth="1"/>
    <col min="2318" max="2318" width="9.5703125" style="118" customWidth="1"/>
    <col min="2319" max="2319" width="8.28515625" style="118" customWidth="1"/>
    <col min="2320" max="2320" width="0" style="118" hidden="1" customWidth="1"/>
    <col min="2321" max="2321" width="4.42578125" style="118" bestFit="1" customWidth="1"/>
    <col min="2322" max="2323" width="4.7109375" style="118" customWidth="1"/>
    <col min="2324" max="2324" width="10.5703125" style="118" bestFit="1" customWidth="1"/>
    <col min="2325" max="2325" width="4.28515625" style="118" customWidth="1"/>
    <col min="2326" max="2561" width="11.42578125" style="118"/>
    <col min="2562" max="2562" width="18.42578125" style="118" customWidth="1"/>
    <col min="2563" max="2563" width="10.85546875" style="118" customWidth="1"/>
    <col min="2564" max="2564" width="0.5703125" style="118" customWidth="1"/>
    <col min="2565" max="2569" width="13.28515625" style="118" customWidth="1"/>
    <col min="2570" max="2570" width="14" style="118" customWidth="1"/>
    <col min="2571" max="2572" width="13.28515625" style="118" customWidth="1"/>
    <col min="2573" max="2573" width="9" style="118" bestFit="1" customWidth="1"/>
    <col min="2574" max="2574" width="9.5703125" style="118" customWidth="1"/>
    <col min="2575" max="2575" width="8.28515625" style="118" customWidth="1"/>
    <col min="2576" max="2576" width="0" style="118" hidden="1" customWidth="1"/>
    <col min="2577" max="2577" width="4.42578125" style="118" bestFit="1" customWidth="1"/>
    <col min="2578" max="2579" width="4.7109375" style="118" customWidth="1"/>
    <col min="2580" max="2580" width="10.5703125" style="118" bestFit="1" customWidth="1"/>
    <col min="2581" max="2581" width="4.28515625" style="118" customWidth="1"/>
    <col min="2582" max="2817" width="11.42578125" style="118"/>
    <col min="2818" max="2818" width="18.42578125" style="118" customWidth="1"/>
    <col min="2819" max="2819" width="10.85546875" style="118" customWidth="1"/>
    <col min="2820" max="2820" width="0.5703125" style="118" customWidth="1"/>
    <col min="2821" max="2825" width="13.28515625" style="118" customWidth="1"/>
    <col min="2826" max="2826" width="14" style="118" customWidth="1"/>
    <col min="2827" max="2828" width="13.28515625" style="118" customWidth="1"/>
    <col min="2829" max="2829" width="9" style="118" bestFit="1" customWidth="1"/>
    <col min="2830" max="2830" width="9.5703125" style="118" customWidth="1"/>
    <col min="2831" max="2831" width="8.28515625" style="118" customWidth="1"/>
    <col min="2832" max="2832" width="0" style="118" hidden="1" customWidth="1"/>
    <col min="2833" max="2833" width="4.42578125" style="118" bestFit="1" customWidth="1"/>
    <col min="2834" max="2835" width="4.7109375" style="118" customWidth="1"/>
    <col min="2836" max="2836" width="10.5703125" style="118" bestFit="1" customWidth="1"/>
    <col min="2837" max="2837" width="4.28515625" style="118" customWidth="1"/>
    <col min="2838" max="3073" width="11.42578125" style="118"/>
    <col min="3074" max="3074" width="18.42578125" style="118" customWidth="1"/>
    <col min="3075" max="3075" width="10.85546875" style="118" customWidth="1"/>
    <col min="3076" max="3076" width="0.5703125" style="118" customWidth="1"/>
    <col min="3077" max="3081" width="13.28515625" style="118" customWidth="1"/>
    <col min="3082" max="3082" width="14" style="118" customWidth="1"/>
    <col min="3083" max="3084" width="13.28515625" style="118" customWidth="1"/>
    <col min="3085" max="3085" width="9" style="118" bestFit="1" customWidth="1"/>
    <col min="3086" max="3086" width="9.5703125" style="118" customWidth="1"/>
    <col min="3087" max="3087" width="8.28515625" style="118" customWidth="1"/>
    <col min="3088" max="3088" width="0" style="118" hidden="1" customWidth="1"/>
    <col min="3089" max="3089" width="4.42578125" style="118" bestFit="1" customWidth="1"/>
    <col min="3090" max="3091" width="4.7109375" style="118" customWidth="1"/>
    <col min="3092" max="3092" width="10.5703125" style="118" bestFit="1" customWidth="1"/>
    <col min="3093" max="3093" width="4.28515625" style="118" customWidth="1"/>
    <col min="3094" max="3329" width="11.42578125" style="118"/>
    <col min="3330" max="3330" width="18.42578125" style="118" customWidth="1"/>
    <col min="3331" max="3331" width="10.85546875" style="118" customWidth="1"/>
    <col min="3332" max="3332" width="0.5703125" style="118" customWidth="1"/>
    <col min="3333" max="3337" width="13.28515625" style="118" customWidth="1"/>
    <col min="3338" max="3338" width="14" style="118" customWidth="1"/>
    <col min="3339" max="3340" width="13.28515625" style="118" customWidth="1"/>
    <col min="3341" max="3341" width="9" style="118" bestFit="1" customWidth="1"/>
    <col min="3342" max="3342" width="9.5703125" style="118" customWidth="1"/>
    <col min="3343" max="3343" width="8.28515625" style="118" customWidth="1"/>
    <col min="3344" max="3344" width="0" style="118" hidden="1" customWidth="1"/>
    <col min="3345" max="3345" width="4.42578125" style="118" bestFit="1" customWidth="1"/>
    <col min="3346" max="3347" width="4.7109375" style="118" customWidth="1"/>
    <col min="3348" max="3348" width="10.5703125" style="118" bestFit="1" customWidth="1"/>
    <col min="3349" max="3349" width="4.28515625" style="118" customWidth="1"/>
    <col min="3350" max="3585" width="11.42578125" style="118"/>
    <col min="3586" max="3586" width="18.42578125" style="118" customWidth="1"/>
    <col min="3587" max="3587" width="10.85546875" style="118" customWidth="1"/>
    <col min="3588" max="3588" width="0.5703125" style="118" customWidth="1"/>
    <col min="3589" max="3593" width="13.28515625" style="118" customWidth="1"/>
    <col min="3594" max="3594" width="14" style="118" customWidth="1"/>
    <col min="3595" max="3596" width="13.28515625" style="118" customWidth="1"/>
    <col min="3597" max="3597" width="9" style="118" bestFit="1" customWidth="1"/>
    <col min="3598" max="3598" width="9.5703125" style="118" customWidth="1"/>
    <col min="3599" max="3599" width="8.28515625" style="118" customWidth="1"/>
    <col min="3600" max="3600" width="0" style="118" hidden="1" customWidth="1"/>
    <col min="3601" max="3601" width="4.42578125" style="118" bestFit="1" customWidth="1"/>
    <col min="3602" max="3603" width="4.7109375" style="118" customWidth="1"/>
    <col min="3604" max="3604" width="10.5703125" style="118" bestFit="1" customWidth="1"/>
    <col min="3605" max="3605" width="4.28515625" style="118" customWidth="1"/>
    <col min="3606" max="3841" width="11.42578125" style="118"/>
    <col min="3842" max="3842" width="18.42578125" style="118" customWidth="1"/>
    <col min="3843" max="3843" width="10.85546875" style="118" customWidth="1"/>
    <col min="3844" max="3844" width="0.5703125" style="118" customWidth="1"/>
    <col min="3845" max="3849" width="13.28515625" style="118" customWidth="1"/>
    <col min="3850" max="3850" width="14" style="118" customWidth="1"/>
    <col min="3851" max="3852" width="13.28515625" style="118" customWidth="1"/>
    <col min="3853" max="3853" width="9" style="118" bestFit="1" customWidth="1"/>
    <col min="3854" max="3854" width="9.5703125" style="118" customWidth="1"/>
    <col min="3855" max="3855" width="8.28515625" style="118" customWidth="1"/>
    <col min="3856" max="3856" width="0" style="118" hidden="1" customWidth="1"/>
    <col min="3857" max="3857" width="4.42578125" style="118" bestFit="1" customWidth="1"/>
    <col min="3858" max="3859" width="4.7109375" style="118" customWidth="1"/>
    <col min="3860" max="3860" width="10.5703125" style="118" bestFit="1" customWidth="1"/>
    <col min="3861" max="3861" width="4.28515625" style="118" customWidth="1"/>
    <col min="3862" max="4097" width="11.42578125" style="118"/>
    <col min="4098" max="4098" width="18.42578125" style="118" customWidth="1"/>
    <col min="4099" max="4099" width="10.85546875" style="118" customWidth="1"/>
    <col min="4100" max="4100" width="0.5703125" style="118" customWidth="1"/>
    <col min="4101" max="4105" width="13.28515625" style="118" customWidth="1"/>
    <col min="4106" max="4106" width="14" style="118" customWidth="1"/>
    <col min="4107" max="4108" width="13.28515625" style="118" customWidth="1"/>
    <col min="4109" max="4109" width="9" style="118" bestFit="1" customWidth="1"/>
    <col min="4110" max="4110" width="9.5703125" style="118" customWidth="1"/>
    <col min="4111" max="4111" width="8.28515625" style="118" customWidth="1"/>
    <col min="4112" max="4112" width="0" style="118" hidden="1" customWidth="1"/>
    <col min="4113" max="4113" width="4.42578125" style="118" bestFit="1" customWidth="1"/>
    <col min="4114" max="4115" width="4.7109375" style="118" customWidth="1"/>
    <col min="4116" max="4116" width="10.5703125" style="118" bestFit="1" customWidth="1"/>
    <col min="4117" max="4117" width="4.28515625" style="118" customWidth="1"/>
    <col min="4118" max="4353" width="11.42578125" style="118"/>
    <col min="4354" max="4354" width="18.42578125" style="118" customWidth="1"/>
    <col min="4355" max="4355" width="10.85546875" style="118" customWidth="1"/>
    <col min="4356" max="4356" width="0.5703125" style="118" customWidth="1"/>
    <col min="4357" max="4361" width="13.28515625" style="118" customWidth="1"/>
    <col min="4362" max="4362" width="14" style="118" customWidth="1"/>
    <col min="4363" max="4364" width="13.28515625" style="118" customWidth="1"/>
    <col min="4365" max="4365" width="9" style="118" bestFit="1" customWidth="1"/>
    <col min="4366" max="4366" width="9.5703125" style="118" customWidth="1"/>
    <col min="4367" max="4367" width="8.28515625" style="118" customWidth="1"/>
    <col min="4368" max="4368" width="0" style="118" hidden="1" customWidth="1"/>
    <col min="4369" max="4369" width="4.42578125" style="118" bestFit="1" customWidth="1"/>
    <col min="4370" max="4371" width="4.7109375" style="118" customWidth="1"/>
    <col min="4372" max="4372" width="10.5703125" style="118" bestFit="1" customWidth="1"/>
    <col min="4373" max="4373" width="4.28515625" style="118" customWidth="1"/>
    <col min="4374" max="4609" width="11.42578125" style="118"/>
    <col min="4610" max="4610" width="18.42578125" style="118" customWidth="1"/>
    <col min="4611" max="4611" width="10.85546875" style="118" customWidth="1"/>
    <col min="4612" max="4612" width="0.5703125" style="118" customWidth="1"/>
    <col min="4613" max="4617" width="13.28515625" style="118" customWidth="1"/>
    <col min="4618" max="4618" width="14" style="118" customWidth="1"/>
    <col min="4619" max="4620" width="13.28515625" style="118" customWidth="1"/>
    <col min="4621" max="4621" width="9" style="118" bestFit="1" customWidth="1"/>
    <col min="4622" max="4622" width="9.5703125" style="118" customWidth="1"/>
    <col min="4623" max="4623" width="8.28515625" style="118" customWidth="1"/>
    <col min="4624" max="4624" width="0" style="118" hidden="1" customWidth="1"/>
    <col min="4625" max="4625" width="4.42578125" style="118" bestFit="1" customWidth="1"/>
    <col min="4626" max="4627" width="4.7109375" style="118" customWidth="1"/>
    <col min="4628" max="4628" width="10.5703125" style="118" bestFit="1" customWidth="1"/>
    <col min="4629" max="4629" width="4.28515625" style="118" customWidth="1"/>
    <col min="4630" max="4865" width="11.42578125" style="118"/>
    <col min="4866" max="4866" width="18.42578125" style="118" customWidth="1"/>
    <col min="4867" max="4867" width="10.85546875" style="118" customWidth="1"/>
    <col min="4868" max="4868" width="0.5703125" style="118" customWidth="1"/>
    <col min="4869" max="4873" width="13.28515625" style="118" customWidth="1"/>
    <col min="4874" max="4874" width="14" style="118" customWidth="1"/>
    <col min="4875" max="4876" width="13.28515625" style="118" customWidth="1"/>
    <col min="4877" max="4877" width="9" style="118" bestFit="1" customWidth="1"/>
    <col min="4878" max="4878" width="9.5703125" style="118" customWidth="1"/>
    <col min="4879" max="4879" width="8.28515625" style="118" customWidth="1"/>
    <col min="4880" max="4880" width="0" style="118" hidden="1" customWidth="1"/>
    <col min="4881" max="4881" width="4.42578125" style="118" bestFit="1" customWidth="1"/>
    <col min="4882" max="4883" width="4.7109375" style="118" customWidth="1"/>
    <col min="4884" max="4884" width="10.5703125" style="118" bestFit="1" customWidth="1"/>
    <col min="4885" max="4885" width="4.28515625" style="118" customWidth="1"/>
    <col min="4886" max="5121" width="11.42578125" style="118"/>
    <col min="5122" max="5122" width="18.42578125" style="118" customWidth="1"/>
    <col min="5123" max="5123" width="10.85546875" style="118" customWidth="1"/>
    <col min="5124" max="5124" width="0.5703125" style="118" customWidth="1"/>
    <col min="5125" max="5129" width="13.28515625" style="118" customWidth="1"/>
    <col min="5130" max="5130" width="14" style="118" customWidth="1"/>
    <col min="5131" max="5132" width="13.28515625" style="118" customWidth="1"/>
    <col min="5133" max="5133" width="9" style="118" bestFit="1" customWidth="1"/>
    <col min="5134" max="5134" width="9.5703125" style="118" customWidth="1"/>
    <col min="5135" max="5135" width="8.28515625" style="118" customWidth="1"/>
    <col min="5136" max="5136" width="0" style="118" hidden="1" customWidth="1"/>
    <col min="5137" max="5137" width="4.42578125" style="118" bestFit="1" customWidth="1"/>
    <col min="5138" max="5139" width="4.7109375" style="118" customWidth="1"/>
    <col min="5140" max="5140" width="10.5703125" style="118" bestFit="1" customWidth="1"/>
    <col min="5141" max="5141" width="4.28515625" style="118" customWidth="1"/>
    <col min="5142" max="5377" width="11.42578125" style="118"/>
    <col min="5378" max="5378" width="18.42578125" style="118" customWidth="1"/>
    <col min="5379" max="5379" width="10.85546875" style="118" customWidth="1"/>
    <col min="5380" max="5380" width="0.5703125" style="118" customWidth="1"/>
    <col min="5381" max="5385" width="13.28515625" style="118" customWidth="1"/>
    <col min="5386" max="5386" width="14" style="118" customWidth="1"/>
    <col min="5387" max="5388" width="13.28515625" style="118" customWidth="1"/>
    <col min="5389" max="5389" width="9" style="118" bestFit="1" customWidth="1"/>
    <col min="5390" max="5390" width="9.5703125" style="118" customWidth="1"/>
    <col min="5391" max="5391" width="8.28515625" style="118" customWidth="1"/>
    <col min="5392" max="5392" width="0" style="118" hidden="1" customWidth="1"/>
    <col min="5393" max="5393" width="4.42578125" style="118" bestFit="1" customWidth="1"/>
    <col min="5394" max="5395" width="4.7109375" style="118" customWidth="1"/>
    <col min="5396" max="5396" width="10.5703125" style="118" bestFit="1" customWidth="1"/>
    <col min="5397" max="5397" width="4.28515625" style="118" customWidth="1"/>
    <col min="5398" max="5633" width="11.42578125" style="118"/>
    <col min="5634" max="5634" width="18.42578125" style="118" customWidth="1"/>
    <col min="5635" max="5635" width="10.85546875" style="118" customWidth="1"/>
    <col min="5636" max="5636" width="0.5703125" style="118" customWidth="1"/>
    <col min="5637" max="5641" width="13.28515625" style="118" customWidth="1"/>
    <col min="5642" max="5642" width="14" style="118" customWidth="1"/>
    <col min="5643" max="5644" width="13.28515625" style="118" customWidth="1"/>
    <col min="5645" max="5645" width="9" style="118" bestFit="1" customWidth="1"/>
    <col min="5646" max="5646" width="9.5703125" style="118" customWidth="1"/>
    <col min="5647" max="5647" width="8.28515625" style="118" customWidth="1"/>
    <col min="5648" max="5648" width="0" style="118" hidden="1" customWidth="1"/>
    <col min="5649" max="5649" width="4.42578125" style="118" bestFit="1" customWidth="1"/>
    <col min="5650" max="5651" width="4.7109375" style="118" customWidth="1"/>
    <col min="5652" max="5652" width="10.5703125" style="118" bestFit="1" customWidth="1"/>
    <col min="5653" max="5653" width="4.28515625" style="118" customWidth="1"/>
    <col min="5654" max="5889" width="11.42578125" style="118"/>
    <col min="5890" max="5890" width="18.42578125" style="118" customWidth="1"/>
    <col min="5891" max="5891" width="10.85546875" style="118" customWidth="1"/>
    <col min="5892" max="5892" width="0.5703125" style="118" customWidth="1"/>
    <col min="5893" max="5897" width="13.28515625" style="118" customWidth="1"/>
    <col min="5898" max="5898" width="14" style="118" customWidth="1"/>
    <col min="5899" max="5900" width="13.28515625" style="118" customWidth="1"/>
    <col min="5901" max="5901" width="9" style="118" bestFit="1" customWidth="1"/>
    <col min="5902" max="5902" width="9.5703125" style="118" customWidth="1"/>
    <col min="5903" max="5903" width="8.28515625" style="118" customWidth="1"/>
    <col min="5904" max="5904" width="0" style="118" hidden="1" customWidth="1"/>
    <col min="5905" max="5905" width="4.42578125" style="118" bestFit="1" customWidth="1"/>
    <col min="5906" max="5907" width="4.7109375" style="118" customWidth="1"/>
    <col min="5908" max="5908" width="10.5703125" style="118" bestFit="1" customWidth="1"/>
    <col min="5909" max="5909" width="4.28515625" style="118" customWidth="1"/>
    <col min="5910" max="6145" width="11.42578125" style="118"/>
    <col min="6146" max="6146" width="18.42578125" style="118" customWidth="1"/>
    <col min="6147" max="6147" width="10.85546875" style="118" customWidth="1"/>
    <col min="6148" max="6148" width="0.5703125" style="118" customWidth="1"/>
    <col min="6149" max="6153" width="13.28515625" style="118" customWidth="1"/>
    <col min="6154" max="6154" width="14" style="118" customWidth="1"/>
    <col min="6155" max="6156" width="13.28515625" style="118" customWidth="1"/>
    <col min="6157" max="6157" width="9" style="118" bestFit="1" customWidth="1"/>
    <col min="6158" max="6158" width="9.5703125" style="118" customWidth="1"/>
    <col min="6159" max="6159" width="8.28515625" style="118" customWidth="1"/>
    <col min="6160" max="6160" width="0" style="118" hidden="1" customWidth="1"/>
    <col min="6161" max="6161" width="4.42578125" style="118" bestFit="1" customWidth="1"/>
    <col min="6162" max="6163" width="4.7109375" style="118" customWidth="1"/>
    <col min="6164" max="6164" width="10.5703125" style="118" bestFit="1" customWidth="1"/>
    <col min="6165" max="6165" width="4.28515625" style="118" customWidth="1"/>
    <col min="6166" max="6401" width="11.42578125" style="118"/>
    <col min="6402" max="6402" width="18.42578125" style="118" customWidth="1"/>
    <col min="6403" max="6403" width="10.85546875" style="118" customWidth="1"/>
    <col min="6404" max="6404" width="0.5703125" style="118" customWidth="1"/>
    <col min="6405" max="6409" width="13.28515625" style="118" customWidth="1"/>
    <col min="6410" max="6410" width="14" style="118" customWidth="1"/>
    <col min="6411" max="6412" width="13.28515625" style="118" customWidth="1"/>
    <col min="6413" max="6413" width="9" style="118" bestFit="1" customWidth="1"/>
    <col min="6414" max="6414" width="9.5703125" style="118" customWidth="1"/>
    <col min="6415" max="6415" width="8.28515625" style="118" customWidth="1"/>
    <col min="6416" max="6416" width="0" style="118" hidden="1" customWidth="1"/>
    <col min="6417" max="6417" width="4.42578125" style="118" bestFit="1" customWidth="1"/>
    <col min="6418" max="6419" width="4.7109375" style="118" customWidth="1"/>
    <col min="6420" max="6420" width="10.5703125" style="118" bestFit="1" customWidth="1"/>
    <col min="6421" max="6421" width="4.28515625" style="118" customWidth="1"/>
    <col min="6422" max="6657" width="11.42578125" style="118"/>
    <col min="6658" max="6658" width="18.42578125" style="118" customWidth="1"/>
    <col min="6659" max="6659" width="10.85546875" style="118" customWidth="1"/>
    <col min="6660" max="6660" width="0.5703125" style="118" customWidth="1"/>
    <col min="6661" max="6665" width="13.28515625" style="118" customWidth="1"/>
    <col min="6666" max="6666" width="14" style="118" customWidth="1"/>
    <col min="6667" max="6668" width="13.28515625" style="118" customWidth="1"/>
    <col min="6669" max="6669" width="9" style="118" bestFit="1" customWidth="1"/>
    <col min="6670" max="6670" width="9.5703125" style="118" customWidth="1"/>
    <col min="6671" max="6671" width="8.28515625" style="118" customWidth="1"/>
    <col min="6672" max="6672" width="0" style="118" hidden="1" customWidth="1"/>
    <col min="6673" max="6673" width="4.42578125" style="118" bestFit="1" customWidth="1"/>
    <col min="6674" max="6675" width="4.7109375" style="118" customWidth="1"/>
    <col min="6676" max="6676" width="10.5703125" style="118" bestFit="1" customWidth="1"/>
    <col min="6677" max="6677" width="4.28515625" style="118" customWidth="1"/>
    <col min="6678" max="6913" width="11.42578125" style="118"/>
    <col min="6914" max="6914" width="18.42578125" style="118" customWidth="1"/>
    <col min="6915" max="6915" width="10.85546875" style="118" customWidth="1"/>
    <col min="6916" max="6916" width="0.5703125" style="118" customWidth="1"/>
    <col min="6917" max="6921" width="13.28515625" style="118" customWidth="1"/>
    <col min="6922" max="6922" width="14" style="118" customWidth="1"/>
    <col min="6923" max="6924" width="13.28515625" style="118" customWidth="1"/>
    <col min="6925" max="6925" width="9" style="118" bestFit="1" customWidth="1"/>
    <col min="6926" max="6926" width="9.5703125" style="118" customWidth="1"/>
    <col min="6927" max="6927" width="8.28515625" style="118" customWidth="1"/>
    <col min="6928" max="6928" width="0" style="118" hidden="1" customWidth="1"/>
    <col min="6929" max="6929" width="4.42578125" style="118" bestFit="1" customWidth="1"/>
    <col min="6930" max="6931" width="4.7109375" style="118" customWidth="1"/>
    <col min="6932" max="6932" width="10.5703125" style="118" bestFit="1" customWidth="1"/>
    <col min="6933" max="6933" width="4.28515625" style="118" customWidth="1"/>
    <col min="6934" max="7169" width="11.42578125" style="118"/>
    <col min="7170" max="7170" width="18.42578125" style="118" customWidth="1"/>
    <col min="7171" max="7171" width="10.85546875" style="118" customWidth="1"/>
    <col min="7172" max="7172" width="0.5703125" style="118" customWidth="1"/>
    <col min="7173" max="7177" width="13.28515625" style="118" customWidth="1"/>
    <col min="7178" max="7178" width="14" style="118" customWidth="1"/>
    <col min="7179" max="7180" width="13.28515625" style="118" customWidth="1"/>
    <col min="7181" max="7181" width="9" style="118" bestFit="1" customWidth="1"/>
    <col min="7182" max="7182" width="9.5703125" style="118" customWidth="1"/>
    <col min="7183" max="7183" width="8.28515625" style="118" customWidth="1"/>
    <col min="7184" max="7184" width="0" style="118" hidden="1" customWidth="1"/>
    <col min="7185" max="7185" width="4.42578125" style="118" bestFit="1" customWidth="1"/>
    <col min="7186" max="7187" width="4.7109375" style="118" customWidth="1"/>
    <col min="7188" max="7188" width="10.5703125" style="118" bestFit="1" customWidth="1"/>
    <col min="7189" max="7189" width="4.28515625" style="118" customWidth="1"/>
    <col min="7190" max="7425" width="11.42578125" style="118"/>
    <col min="7426" max="7426" width="18.42578125" style="118" customWidth="1"/>
    <col min="7427" max="7427" width="10.85546875" style="118" customWidth="1"/>
    <col min="7428" max="7428" width="0.5703125" style="118" customWidth="1"/>
    <col min="7429" max="7433" width="13.28515625" style="118" customWidth="1"/>
    <col min="7434" max="7434" width="14" style="118" customWidth="1"/>
    <col min="7435" max="7436" width="13.28515625" style="118" customWidth="1"/>
    <col min="7437" max="7437" width="9" style="118" bestFit="1" customWidth="1"/>
    <col min="7438" max="7438" width="9.5703125" style="118" customWidth="1"/>
    <col min="7439" max="7439" width="8.28515625" style="118" customWidth="1"/>
    <col min="7440" max="7440" width="0" style="118" hidden="1" customWidth="1"/>
    <col min="7441" max="7441" width="4.42578125" style="118" bestFit="1" customWidth="1"/>
    <col min="7442" max="7443" width="4.7109375" style="118" customWidth="1"/>
    <col min="7444" max="7444" width="10.5703125" style="118" bestFit="1" customWidth="1"/>
    <col min="7445" max="7445" width="4.28515625" style="118" customWidth="1"/>
    <col min="7446" max="7681" width="11.42578125" style="118"/>
    <col min="7682" max="7682" width="18.42578125" style="118" customWidth="1"/>
    <col min="7683" max="7683" width="10.85546875" style="118" customWidth="1"/>
    <col min="7684" max="7684" width="0.5703125" style="118" customWidth="1"/>
    <col min="7685" max="7689" width="13.28515625" style="118" customWidth="1"/>
    <col min="7690" max="7690" width="14" style="118" customWidth="1"/>
    <col min="7691" max="7692" width="13.28515625" style="118" customWidth="1"/>
    <col min="7693" max="7693" width="9" style="118" bestFit="1" customWidth="1"/>
    <col min="7694" max="7694" width="9.5703125" style="118" customWidth="1"/>
    <col min="7695" max="7695" width="8.28515625" style="118" customWidth="1"/>
    <col min="7696" max="7696" width="0" style="118" hidden="1" customWidth="1"/>
    <col min="7697" max="7697" width="4.42578125" style="118" bestFit="1" customWidth="1"/>
    <col min="7698" max="7699" width="4.7109375" style="118" customWidth="1"/>
    <col min="7700" max="7700" width="10.5703125" style="118" bestFit="1" customWidth="1"/>
    <col min="7701" max="7701" width="4.28515625" style="118" customWidth="1"/>
    <col min="7702" max="7937" width="11.42578125" style="118"/>
    <col min="7938" max="7938" width="18.42578125" style="118" customWidth="1"/>
    <col min="7939" max="7939" width="10.85546875" style="118" customWidth="1"/>
    <col min="7940" max="7940" width="0.5703125" style="118" customWidth="1"/>
    <col min="7941" max="7945" width="13.28515625" style="118" customWidth="1"/>
    <col min="7946" max="7946" width="14" style="118" customWidth="1"/>
    <col min="7947" max="7948" width="13.28515625" style="118" customWidth="1"/>
    <col min="7949" max="7949" width="9" style="118" bestFit="1" customWidth="1"/>
    <col min="7950" max="7950" width="9.5703125" style="118" customWidth="1"/>
    <col min="7951" max="7951" width="8.28515625" style="118" customWidth="1"/>
    <col min="7952" max="7952" width="0" style="118" hidden="1" customWidth="1"/>
    <col min="7953" max="7953" width="4.42578125" style="118" bestFit="1" customWidth="1"/>
    <col min="7954" max="7955" width="4.7109375" style="118" customWidth="1"/>
    <col min="7956" max="7956" width="10.5703125" style="118" bestFit="1" customWidth="1"/>
    <col min="7957" max="7957" width="4.28515625" style="118" customWidth="1"/>
    <col min="7958" max="8193" width="11.42578125" style="118"/>
    <col min="8194" max="8194" width="18.42578125" style="118" customWidth="1"/>
    <col min="8195" max="8195" width="10.85546875" style="118" customWidth="1"/>
    <col min="8196" max="8196" width="0.5703125" style="118" customWidth="1"/>
    <col min="8197" max="8201" width="13.28515625" style="118" customWidth="1"/>
    <col min="8202" max="8202" width="14" style="118" customWidth="1"/>
    <col min="8203" max="8204" width="13.28515625" style="118" customWidth="1"/>
    <col min="8205" max="8205" width="9" style="118" bestFit="1" customWidth="1"/>
    <col min="8206" max="8206" width="9.5703125" style="118" customWidth="1"/>
    <col min="8207" max="8207" width="8.28515625" style="118" customWidth="1"/>
    <col min="8208" max="8208" width="0" style="118" hidden="1" customWidth="1"/>
    <col min="8209" max="8209" width="4.42578125" style="118" bestFit="1" customWidth="1"/>
    <col min="8210" max="8211" width="4.7109375" style="118" customWidth="1"/>
    <col min="8212" max="8212" width="10.5703125" style="118" bestFit="1" customWidth="1"/>
    <col min="8213" max="8213" width="4.28515625" style="118" customWidth="1"/>
    <col min="8214" max="8449" width="11.42578125" style="118"/>
    <col min="8450" max="8450" width="18.42578125" style="118" customWidth="1"/>
    <col min="8451" max="8451" width="10.85546875" style="118" customWidth="1"/>
    <col min="8452" max="8452" width="0.5703125" style="118" customWidth="1"/>
    <col min="8453" max="8457" width="13.28515625" style="118" customWidth="1"/>
    <col min="8458" max="8458" width="14" style="118" customWidth="1"/>
    <col min="8459" max="8460" width="13.28515625" style="118" customWidth="1"/>
    <col min="8461" max="8461" width="9" style="118" bestFit="1" customWidth="1"/>
    <col min="8462" max="8462" width="9.5703125" style="118" customWidth="1"/>
    <col min="8463" max="8463" width="8.28515625" style="118" customWidth="1"/>
    <col min="8464" max="8464" width="0" style="118" hidden="1" customWidth="1"/>
    <col min="8465" max="8465" width="4.42578125" style="118" bestFit="1" customWidth="1"/>
    <col min="8466" max="8467" width="4.7109375" style="118" customWidth="1"/>
    <col min="8468" max="8468" width="10.5703125" style="118" bestFit="1" customWidth="1"/>
    <col min="8469" max="8469" width="4.28515625" style="118" customWidth="1"/>
    <col min="8470" max="8705" width="11.42578125" style="118"/>
    <col min="8706" max="8706" width="18.42578125" style="118" customWidth="1"/>
    <col min="8707" max="8707" width="10.85546875" style="118" customWidth="1"/>
    <col min="8708" max="8708" width="0.5703125" style="118" customWidth="1"/>
    <col min="8709" max="8713" width="13.28515625" style="118" customWidth="1"/>
    <col min="8714" max="8714" width="14" style="118" customWidth="1"/>
    <col min="8715" max="8716" width="13.28515625" style="118" customWidth="1"/>
    <col min="8717" max="8717" width="9" style="118" bestFit="1" customWidth="1"/>
    <col min="8718" max="8718" width="9.5703125" style="118" customWidth="1"/>
    <col min="8719" max="8719" width="8.28515625" style="118" customWidth="1"/>
    <col min="8720" max="8720" width="0" style="118" hidden="1" customWidth="1"/>
    <col min="8721" max="8721" width="4.42578125" style="118" bestFit="1" customWidth="1"/>
    <col min="8722" max="8723" width="4.7109375" style="118" customWidth="1"/>
    <col min="8724" max="8724" width="10.5703125" style="118" bestFit="1" customWidth="1"/>
    <col min="8725" max="8725" width="4.28515625" style="118" customWidth="1"/>
    <col min="8726" max="8961" width="11.42578125" style="118"/>
    <col min="8962" max="8962" width="18.42578125" style="118" customWidth="1"/>
    <col min="8963" max="8963" width="10.85546875" style="118" customWidth="1"/>
    <col min="8964" max="8964" width="0.5703125" style="118" customWidth="1"/>
    <col min="8965" max="8969" width="13.28515625" style="118" customWidth="1"/>
    <col min="8970" max="8970" width="14" style="118" customWidth="1"/>
    <col min="8971" max="8972" width="13.28515625" style="118" customWidth="1"/>
    <col min="8973" max="8973" width="9" style="118" bestFit="1" customWidth="1"/>
    <col min="8974" max="8974" width="9.5703125" style="118" customWidth="1"/>
    <col min="8975" max="8975" width="8.28515625" style="118" customWidth="1"/>
    <col min="8976" max="8976" width="0" style="118" hidden="1" customWidth="1"/>
    <col min="8977" max="8977" width="4.42578125" style="118" bestFit="1" customWidth="1"/>
    <col min="8978" max="8979" width="4.7109375" style="118" customWidth="1"/>
    <col min="8980" max="8980" width="10.5703125" style="118" bestFit="1" customWidth="1"/>
    <col min="8981" max="8981" width="4.28515625" style="118" customWidth="1"/>
    <col min="8982" max="9217" width="11.42578125" style="118"/>
    <col min="9218" max="9218" width="18.42578125" style="118" customWidth="1"/>
    <col min="9219" max="9219" width="10.85546875" style="118" customWidth="1"/>
    <col min="9220" max="9220" width="0.5703125" style="118" customWidth="1"/>
    <col min="9221" max="9225" width="13.28515625" style="118" customWidth="1"/>
    <col min="9226" max="9226" width="14" style="118" customWidth="1"/>
    <col min="9227" max="9228" width="13.28515625" style="118" customWidth="1"/>
    <col min="9229" max="9229" width="9" style="118" bestFit="1" customWidth="1"/>
    <col min="9230" max="9230" width="9.5703125" style="118" customWidth="1"/>
    <col min="9231" max="9231" width="8.28515625" style="118" customWidth="1"/>
    <col min="9232" max="9232" width="0" style="118" hidden="1" customWidth="1"/>
    <col min="9233" max="9233" width="4.42578125" style="118" bestFit="1" customWidth="1"/>
    <col min="9234" max="9235" width="4.7109375" style="118" customWidth="1"/>
    <col min="9236" max="9236" width="10.5703125" style="118" bestFit="1" customWidth="1"/>
    <col min="9237" max="9237" width="4.28515625" style="118" customWidth="1"/>
    <col min="9238" max="9473" width="11.42578125" style="118"/>
    <col min="9474" max="9474" width="18.42578125" style="118" customWidth="1"/>
    <col min="9475" max="9475" width="10.85546875" style="118" customWidth="1"/>
    <col min="9476" max="9476" width="0.5703125" style="118" customWidth="1"/>
    <col min="9477" max="9481" width="13.28515625" style="118" customWidth="1"/>
    <col min="9482" max="9482" width="14" style="118" customWidth="1"/>
    <col min="9483" max="9484" width="13.28515625" style="118" customWidth="1"/>
    <col min="9485" max="9485" width="9" style="118" bestFit="1" customWidth="1"/>
    <col min="9486" max="9486" width="9.5703125" style="118" customWidth="1"/>
    <col min="9487" max="9487" width="8.28515625" style="118" customWidth="1"/>
    <col min="9488" max="9488" width="0" style="118" hidden="1" customWidth="1"/>
    <col min="9489" max="9489" width="4.42578125" style="118" bestFit="1" customWidth="1"/>
    <col min="9490" max="9491" width="4.7109375" style="118" customWidth="1"/>
    <col min="9492" max="9492" width="10.5703125" style="118" bestFit="1" customWidth="1"/>
    <col min="9493" max="9493" width="4.28515625" style="118" customWidth="1"/>
    <col min="9494" max="9729" width="11.42578125" style="118"/>
    <col min="9730" max="9730" width="18.42578125" style="118" customWidth="1"/>
    <col min="9731" max="9731" width="10.85546875" style="118" customWidth="1"/>
    <col min="9732" max="9732" width="0.5703125" style="118" customWidth="1"/>
    <col min="9733" max="9737" width="13.28515625" style="118" customWidth="1"/>
    <col min="9738" max="9738" width="14" style="118" customWidth="1"/>
    <col min="9739" max="9740" width="13.28515625" style="118" customWidth="1"/>
    <col min="9741" max="9741" width="9" style="118" bestFit="1" customWidth="1"/>
    <col min="9742" max="9742" width="9.5703125" style="118" customWidth="1"/>
    <col min="9743" max="9743" width="8.28515625" style="118" customWidth="1"/>
    <col min="9744" max="9744" width="0" style="118" hidden="1" customWidth="1"/>
    <col min="9745" max="9745" width="4.42578125" style="118" bestFit="1" customWidth="1"/>
    <col min="9746" max="9747" width="4.7109375" style="118" customWidth="1"/>
    <col min="9748" max="9748" width="10.5703125" style="118" bestFit="1" customWidth="1"/>
    <col min="9749" max="9749" width="4.28515625" style="118" customWidth="1"/>
    <col min="9750" max="9985" width="11.42578125" style="118"/>
    <col min="9986" max="9986" width="18.42578125" style="118" customWidth="1"/>
    <col min="9987" max="9987" width="10.85546875" style="118" customWidth="1"/>
    <col min="9988" max="9988" width="0.5703125" style="118" customWidth="1"/>
    <col min="9989" max="9993" width="13.28515625" style="118" customWidth="1"/>
    <col min="9994" max="9994" width="14" style="118" customWidth="1"/>
    <col min="9995" max="9996" width="13.28515625" style="118" customWidth="1"/>
    <col min="9997" max="9997" width="9" style="118" bestFit="1" customWidth="1"/>
    <col min="9998" max="9998" width="9.5703125" style="118" customWidth="1"/>
    <col min="9999" max="9999" width="8.28515625" style="118" customWidth="1"/>
    <col min="10000" max="10000" width="0" style="118" hidden="1" customWidth="1"/>
    <col min="10001" max="10001" width="4.42578125" style="118" bestFit="1" customWidth="1"/>
    <col min="10002" max="10003" width="4.7109375" style="118" customWidth="1"/>
    <col min="10004" max="10004" width="10.5703125" style="118" bestFit="1" customWidth="1"/>
    <col min="10005" max="10005" width="4.28515625" style="118" customWidth="1"/>
    <col min="10006" max="10241" width="11.42578125" style="118"/>
    <col min="10242" max="10242" width="18.42578125" style="118" customWidth="1"/>
    <col min="10243" max="10243" width="10.85546875" style="118" customWidth="1"/>
    <col min="10244" max="10244" width="0.5703125" style="118" customWidth="1"/>
    <col min="10245" max="10249" width="13.28515625" style="118" customWidth="1"/>
    <col min="10250" max="10250" width="14" style="118" customWidth="1"/>
    <col min="10251" max="10252" width="13.28515625" style="118" customWidth="1"/>
    <col min="10253" max="10253" width="9" style="118" bestFit="1" customWidth="1"/>
    <col min="10254" max="10254" width="9.5703125" style="118" customWidth="1"/>
    <col min="10255" max="10255" width="8.28515625" style="118" customWidth="1"/>
    <col min="10256" max="10256" width="0" style="118" hidden="1" customWidth="1"/>
    <col min="10257" max="10257" width="4.42578125" style="118" bestFit="1" customWidth="1"/>
    <col min="10258" max="10259" width="4.7109375" style="118" customWidth="1"/>
    <col min="10260" max="10260" width="10.5703125" style="118" bestFit="1" customWidth="1"/>
    <col min="10261" max="10261" width="4.28515625" style="118" customWidth="1"/>
    <col min="10262" max="10497" width="11.42578125" style="118"/>
    <col min="10498" max="10498" width="18.42578125" style="118" customWidth="1"/>
    <col min="10499" max="10499" width="10.85546875" style="118" customWidth="1"/>
    <col min="10500" max="10500" width="0.5703125" style="118" customWidth="1"/>
    <col min="10501" max="10505" width="13.28515625" style="118" customWidth="1"/>
    <col min="10506" max="10506" width="14" style="118" customWidth="1"/>
    <col min="10507" max="10508" width="13.28515625" style="118" customWidth="1"/>
    <col min="10509" max="10509" width="9" style="118" bestFit="1" customWidth="1"/>
    <col min="10510" max="10510" width="9.5703125" style="118" customWidth="1"/>
    <col min="10511" max="10511" width="8.28515625" style="118" customWidth="1"/>
    <col min="10512" max="10512" width="0" style="118" hidden="1" customWidth="1"/>
    <col min="10513" max="10513" width="4.42578125" style="118" bestFit="1" customWidth="1"/>
    <col min="10514" max="10515" width="4.7109375" style="118" customWidth="1"/>
    <col min="10516" max="10516" width="10.5703125" style="118" bestFit="1" customWidth="1"/>
    <col min="10517" max="10517" width="4.28515625" style="118" customWidth="1"/>
    <col min="10518" max="10753" width="11.42578125" style="118"/>
    <col min="10754" max="10754" width="18.42578125" style="118" customWidth="1"/>
    <col min="10755" max="10755" width="10.85546875" style="118" customWidth="1"/>
    <col min="10756" max="10756" width="0.5703125" style="118" customWidth="1"/>
    <col min="10757" max="10761" width="13.28515625" style="118" customWidth="1"/>
    <col min="10762" max="10762" width="14" style="118" customWidth="1"/>
    <col min="10763" max="10764" width="13.28515625" style="118" customWidth="1"/>
    <col min="10765" max="10765" width="9" style="118" bestFit="1" customWidth="1"/>
    <col min="10766" max="10766" width="9.5703125" style="118" customWidth="1"/>
    <col min="10767" max="10767" width="8.28515625" style="118" customWidth="1"/>
    <col min="10768" max="10768" width="0" style="118" hidden="1" customWidth="1"/>
    <col min="10769" max="10769" width="4.42578125" style="118" bestFit="1" customWidth="1"/>
    <col min="10770" max="10771" width="4.7109375" style="118" customWidth="1"/>
    <col min="10772" max="10772" width="10.5703125" style="118" bestFit="1" customWidth="1"/>
    <col min="10773" max="10773" width="4.28515625" style="118" customWidth="1"/>
    <col min="10774" max="11009" width="11.42578125" style="118"/>
    <col min="11010" max="11010" width="18.42578125" style="118" customWidth="1"/>
    <col min="11011" max="11011" width="10.85546875" style="118" customWidth="1"/>
    <col min="11012" max="11012" width="0.5703125" style="118" customWidth="1"/>
    <col min="11013" max="11017" width="13.28515625" style="118" customWidth="1"/>
    <col min="11018" max="11018" width="14" style="118" customWidth="1"/>
    <col min="11019" max="11020" width="13.28515625" style="118" customWidth="1"/>
    <col min="11021" max="11021" width="9" style="118" bestFit="1" customWidth="1"/>
    <col min="11022" max="11022" width="9.5703125" style="118" customWidth="1"/>
    <col min="11023" max="11023" width="8.28515625" style="118" customWidth="1"/>
    <col min="11024" max="11024" width="0" style="118" hidden="1" customWidth="1"/>
    <col min="11025" max="11025" width="4.42578125" style="118" bestFit="1" customWidth="1"/>
    <col min="11026" max="11027" width="4.7109375" style="118" customWidth="1"/>
    <col min="11028" max="11028" width="10.5703125" style="118" bestFit="1" customWidth="1"/>
    <col min="11029" max="11029" width="4.28515625" style="118" customWidth="1"/>
    <col min="11030" max="11265" width="11.42578125" style="118"/>
    <col min="11266" max="11266" width="18.42578125" style="118" customWidth="1"/>
    <col min="11267" max="11267" width="10.85546875" style="118" customWidth="1"/>
    <col min="11268" max="11268" width="0.5703125" style="118" customWidth="1"/>
    <col min="11269" max="11273" width="13.28515625" style="118" customWidth="1"/>
    <col min="11274" max="11274" width="14" style="118" customWidth="1"/>
    <col min="11275" max="11276" width="13.28515625" style="118" customWidth="1"/>
    <col min="11277" max="11277" width="9" style="118" bestFit="1" customWidth="1"/>
    <col min="11278" max="11278" width="9.5703125" style="118" customWidth="1"/>
    <col min="11279" max="11279" width="8.28515625" style="118" customWidth="1"/>
    <col min="11280" max="11280" width="0" style="118" hidden="1" customWidth="1"/>
    <col min="11281" max="11281" width="4.42578125" style="118" bestFit="1" customWidth="1"/>
    <col min="11282" max="11283" width="4.7109375" style="118" customWidth="1"/>
    <col min="11284" max="11284" width="10.5703125" style="118" bestFit="1" customWidth="1"/>
    <col min="11285" max="11285" width="4.28515625" style="118" customWidth="1"/>
    <col min="11286" max="11521" width="11.42578125" style="118"/>
    <col min="11522" max="11522" width="18.42578125" style="118" customWidth="1"/>
    <col min="11523" max="11523" width="10.85546875" style="118" customWidth="1"/>
    <col min="11524" max="11524" width="0.5703125" style="118" customWidth="1"/>
    <col min="11525" max="11529" width="13.28515625" style="118" customWidth="1"/>
    <col min="11530" max="11530" width="14" style="118" customWidth="1"/>
    <col min="11531" max="11532" width="13.28515625" style="118" customWidth="1"/>
    <col min="11533" max="11533" width="9" style="118" bestFit="1" customWidth="1"/>
    <col min="11534" max="11534" width="9.5703125" style="118" customWidth="1"/>
    <col min="11535" max="11535" width="8.28515625" style="118" customWidth="1"/>
    <col min="11536" max="11536" width="0" style="118" hidden="1" customWidth="1"/>
    <col min="11537" max="11537" width="4.42578125" style="118" bestFit="1" customWidth="1"/>
    <col min="11538" max="11539" width="4.7109375" style="118" customWidth="1"/>
    <col min="11540" max="11540" width="10.5703125" style="118" bestFit="1" customWidth="1"/>
    <col min="11541" max="11541" width="4.28515625" style="118" customWidth="1"/>
    <col min="11542" max="11777" width="11.42578125" style="118"/>
    <col min="11778" max="11778" width="18.42578125" style="118" customWidth="1"/>
    <col min="11779" max="11779" width="10.85546875" style="118" customWidth="1"/>
    <col min="11780" max="11780" width="0.5703125" style="118" customWidth="1"/>
    <col min="11781" max="11785" width="13.28515625" style="118" customWidth="1"/>
    <col min="11786" max="11786" width="14" style="118" customWidth="1"/>
    <col min="11787" max="11788" width="13.28515625" style="118" customWidth="1"/>
    <col min="11789" max="11789" width="9" style="118" bestFit="1" customWidth="1"/>
    <col min="11790" max="11790" width="9.5703125" style="118" customWidth="1"/>
    <col min="11791" max="11791" width="8.28515625" style="118" customWidth="1"/>
    <col min="11792" max="11792" width="0" style="118" hidden="1" customWidth="1"/>
    <col min="11793" max="11793" width="4.42578125" style="118" bestFit="1" customWidth="1"/>
    <col min="11794" max="11795" width="4.7109375" style="118" customWidth="1"/>
    <col min="11796" max="11796" width="10.5703125" style="118" bestFit="1" customWidth="1"/>
    <col min="11797" max="11797" width="4.28515625" style="118" customWidth="1"/>
    <col min="11798" max="12033" width="11.42578125" style="118"/>
    <col min="12034" max="12034" width="18.42578125" style="118" customWidth="1"/>
    <col min="12035" max="12035" width="10.85546875" style="118" customWidth="1"/>
    <col min="12036" max="12036" width="0.5703125" style="118" customWidth="1"/>
    <col min="12037" max="12041" width="13.28515625" style="118" customWidth="1"/>
    <col min="12042" max="12042" width="14" style="118" customWidth="1"/>
    <col min="12043" max="12044" width="13.28515625" style="118" customWidth="1"/>
    <col min="12045" max="12045" width="9" style="118" bestFit="1" customWidth="1"/>
    <col min="12046" max="12046" width="9.5703125" style="118" customWidth="1"/>
    <col min="12047" max="12047" width="8.28515625" style="118" customWidth="1"/>
    <col min="12048" max="12048" width="0" style="118" hidden="1" customWidth="1"/>
    <col min="12049" max="12049" width="4.42578125" style="118" bestFit="1" customWidth="1"/>
    <col min="12050" max="12051" width="4.7109375" style="118" customWidth="1"/>
    <col min="12052" max="12052" width="10.5703125" style="118" bestFit="1" customWidth="1"/>
    <col min="12053" max="12053" width="4.28515625" style="118" customWidth="1"/>
    <col min="12054" max="12289" width="11.42578125" style="118"/>
    <col min="12290" max="12290" width="18.42578125" style="118" customWidth="1"/>
    <col min="12291" max="12291" width="10.85546875" style="118" customWidth="1"/>
    <col min="12292" max="12292" width="0.5703125" style="118" customWidth="1"/>
    <col min="12293" max="12297" width="13.28515625" style="118" customWidth="1"/>
    <col min="12298" max="12298" width="14" style="118" customWidth="1"/>
    <col min="12299" max="12300" width="13.28515625" style="118" customWidth="1"/>
    <col min="12301" max="12301" width="9" style="118" bestFit="1" customWidth="1"/>
    <col min="12302" max="12302" width="9.5703125" style="118" customWidth="1"/>
    <col min="12303" max="12303" width="8.28515625" style="118" customWidth="1"/>
    <col min="12304" max="12304" width="0" style="118" hidden="1" customWidth="1"/>
    <col min="12305" max="12305" width="4.42578125" style="118" bestFit="1" customWidth="1"/>
    <col min="12306" max="12307" width="4.7109375" style="118" customWidth="1"/>
    <col min="12308" max="12308" width="10.5703125" style="118" bestFit="1" customWidth="1"/>
    <col min="12309" max="12309" width="4.28515625" style="118" customWidth="1"/>
    <col min="12310" max="12545" width="11.42578125" style="118"/>
    <col min="12546" max="12546" width="18.42578125" style="118" customWidth="1"/>
    <col min="12547" max="12547" width="10.85546875" style="118" customWidth="1"/>
    <col min="12548" max="12548" width="0.5703125" style="118" customWidth="1"/>
    <col min="12549" max="12553" width="13.28515625" style="118" customWidth="1"/>
    <col min="12554" max="12554" width="14" style="118" customWidth="1"/>
    <col min="12555" max="12556" width="13.28515625" style="118" customWidth="1"/>
    <col min="12557" max="12557" width="9" style="118" bestFit="1" customWidth="1"/>
    <col min="12558" max="12558" width="9.5703125" style="118" customWidth="1"/>
    <col min="12559" max="12559" width="8.28515625" style="118" customWidth="1"/>
    <col min="12560" max="12560" width="0" style="118" hidden="1" customWidth="1"/>
    <col min="12561" max="12561" width="4.42578125" style="118" bestFit="1" customWidth="1"/>
    <col min="12562" max="12563" width="4.7109375" style="118" customWidth="1"/>
    <col min="12564" max="12564" width="10.5703125" style="118" bestFit="1" customWidth="1"/>
    <col min="12565" max="12565" width="4.28515625" style="118" customWidth="1"/>
    <col min="12566" max="12801" width="11.42578125" style="118"/>
    <col min="12802" max="12802" width="18.42578125" style="118" customWidth="1"/>
    <col min="12803" max="12803" width="10.85546875" style="118" customWidth="1"/>
    <col min="12804" max="12804" width="0.5703125" style="118" customWidth="1"/>
    <col min="12805" max="12809" width="13.28515625" style="118" customWidth="1"/>
    <col min="12810" max="12810" width="14" style="118" customWidth="1"/>
    <col min="12811" max="12812" width="13.28515625" style="118" customWidth="1"/>
    <col min="12813" max="12813" width="9" style="118" bestFit="1" customWidth="1"/>
    <col min="12814" max="12814" width="9.5703125" style="118" customWidth="1"/>
    <col min="12815" max="12815" width="8.28515625" style="118" customWidth="1"/>
    <col min="12816" max="12816" width="0" style="118" hidden="1" customWidth="1"/>
    <col min="12817" max="12817" width="4.42578125" style="118" bestFit="1" customWidth="1"/>
    <col min="12818" max="12819" width="4.7109375" style="118" customWidth="1"/>
    <col min="12820" max="12820" width="10.5703125" style="118" bestFit="1" customWidth="1"/>
    <col min="12821" max="12821" width="4.28515625" style="118" customWidth="1"/>
    <col min="12822" max="13057" width="11.42578125" style="118"/>
    <col min="13058" max="13058" width="18.42578125" style="118" customWidth="1"/>
    <col min="13059" max="13059" width="10.85546875" style="118" customWidth="1"/>
    <col min="13060" max="13060" width="0.5703125" style="118" customWidth="1"/>
    <col min="13061" max="13065" width="13.28515625" style="118" customWidth="1"/>
    <col min="13066" max="13066" width="14" style="118" customWidth="1"/>
    <col min="13067" max="13068" width="13.28515625" style="118" customWidth="1"/>
    <col min="13069" max="13069" width="9" style="118" bestFit="1" customWidth="1"/>
    <col min="13070" max="13070" width="9.5703125" style="118" customWidth="1"/>
    <col min="13071" max="13071" width="8.28515625" style="118" customWidth="1"/>
    <col min="13072" max="13072" width="0" style="118" hidden="1" customWidth="1"/>
    <col min="13073" max="13073" width="4.42578125" style="118" bestFit="1" customWidth="1"/>
    <col min="13074" max="13075" width="4.7109375" style="118" customWidth="1"/>
    <col min="13076" max="13076" width="10.5703125" style="118" bestFit="1" customWidth="1"/>
    <col min="13077" max="13077" width="4.28515625" style="118" customWidth="1"/>
    <col min="13078" max="13313" width="11.42578125" style="118"/>
    <col min="13314" max="13314" width="18.42578125" style="118" customWidth="1"/>
    <col min="13315" max="13315" width="10.85546875" style="118" customWidth="1"/>
    <col min="13316" max="13316" width="0.5703125" style="118" customWidth="1"/>
    <col min="13317" max="13321" width="13.28515625" style="118" customWidth="1"/>
    <col min="13322" max="13322" width="14" style="118" customWidth="1"/>
    <col min="13323" max="13324" width="13.28515625" style="118" customWidth="1"/>
    <col min="13325" max="13325" width="9" style="118" bestFit="1" customWidth="1"/>
    <col min="13326" max="13326" width="9.5703125" style="118" customWidth="1"/>
    <col min="13327" max="13327" width="8.28515625" style="118" customWidth="1"/>
    <col min="13328" max="13328" width="0" style="118" hidden="1" customWidth="1"/>
    <col min="13329" max="13329" width="4.42578125" style="118" bestFit="1" customWidth="1"/>
    <col min="13330" max="13331" width="4.7109375" style="118" customWidth="1"/>
    <col min="13332" max="13332" width="10.5703125" style="118" bestFit="1" customWidth="1"/>
    <col min="13333" max="13333" width="4.28515625" style="118" customWidth="1"/>
    <col min="13334" max="13569" width="11.42578125" style="118"/>
    <col min="13570" max="13570" width="18.42578125" style="118" customWidth="1"/>
    <col min="13571" max="13571" width="10.85546875" style="118" customWidth="1"/>
    <col min="13572" max="13572" width="0.5703125" style="118" customWidth="1"/>
    <col min="13573" max="13577" width="13.28515625" style="118" customWidth="1"/>
    <col min="13578" max="13578" width="14" style="118" customWidth="1"/>
    <col min="13579" max="13580" width="13.28515625" style="118" customWidth="1"/>
    <col min="13581" max="13581" width="9" style="118" bestFit="1" customWidth="1"/>
    <col min="13582" max="13582" width="9.5703125" style="118" customWidth="1"/>
    <col min="13583" max="13583" width="8.28515625" style="118" customWidth="1"/>
    <col min="13584" max="13584" width="0" style="118" hidden="1" customWidth="1"/>
    <col min="13585" max="13585" width="4.42578125" style="118" bestFit="1" customWidth="1"/>
    <col min="13586" max="13587" width="4.7109375" style="118" customWidth="1"/>
    <col min="13588" max="13588" width="10.5703125" style="118" bestFit="1" customWidth="1"/>
    <col min="13589" max="13589" width="4.28515625" style="118" customWidth="1"/>
    <col min="13590" max="13825" width="11.42578125" style="118"/>
    <col min="13826" max="13826" width="18.42578125" style="118" customWidth="1"/>
    <col min="13827" max="13827" width="10.85546875" style="118" customWidth="1"/>
    <col min="13828" max="13828" width="0.5703125" style="118" customWidth="1"/>
    <col min="13829" max="13833" width="13.28515625" style="118" customWidth="1"/>
    <col min="13834" max="13834" width="14" style="118" customWidth="1"/>
    <col min="13835" max="13836" width="13.28515625" style="118" customWidth="1"/>
    <col min="13837" max="13837" width="9" style="118" bestFit="1" customWidth="1"/>
    <col min="13838" max="13838" width="9.5703125" style="118" customWidth="1"/>
    <col min="13839" max="13839" width="8.28515625" style="118" customWidth="1"/>
    <col min="13840" max="13840" width="0" style="118" hidden="1" customWidth="1"/>
    <col min="13841" max="13841" width="4.42578125" style="118" bestFit="1" customWidth="1"/>
    <col min="13842" max="13843" width="4.7109375" style="118" customWidth="1"/>
    <col min="13844" max="13844" width="10.5703125" style="118" bestFit="1" customWidth="1"/>
    <col min="13845" max="13845" width="4.28515625" style="118" customWidth="1"/>
    <col min="13846" max="14081" width="11.42578125" style="118"/>
    <col min="14082" max="14082" width="18.42578125" style="118" customWidth="1"/>
    <col min="14083" max="14083" width="10.85546875" style="118" customWidth="1"/>
    <col min="14084" max="14084" width="0.5703125" style="118" customWidth="1"/>
    <col min="14085" max="14089" width="13.28515625" style="118" customWidth="1"/>
    <col min="14090" max="14090" width="14" style="118" customWidth="1"/>
    <col min="14091" max="14092" width="13.28515625" style="118" customWidth="1"/>
    <col min="14093" max="14093" width="9" style="118" bestFit="1" customWidth="1"/>
    <col min="14094" max="14094" width="9.5703125" style="118" customWidth="1"/>
    <col min="14095" max="14095" width="8.28515625" style="118" customWidth="1"/>
    <col min="14096" max="14096" width="0" style="118" hidden="1" customWidth="1"/>
    <col min="14097" max="14097" width="4.42578125" style="118" bestFit="1" customWidth="1"/>
    <col min="14098" max="14099" width="4.7109375" style="118" customWidth="1"/>
    <col min="14100" max="14100" width="10.5703125" style="118" bestFit="1" customWidth="1"/>
    <col min="14101" max="14101" width="4.28515625" style="118" customWidth="1"/>
    <col min="14102" max="14337" width="11.42578125" style="118"/>
    <col min="14338" max="14338" width="18.42578125" style="118" customWidth="1"/>
    <col min="14339" max="14339" width="10.85546875" style="118" customWidth="1"/>
    <col min="14340" max="14340" width="0.5703125" style="118" customWidth="1"/>
    <col min="14341" max="14345" width="13.28515625" style="118" customWidth="1"/>
    <col min="14346" max="14346" width="14" style="118" customWidth="1"/>
    <col min="14347" max="14348" width="13.28515625" style="118" customWidth="1"/>
    <col min="14349" max="14349" width="9" style="118" bestFit="1" customWidth="1"/>
    <col min="14350" max="14350" width="9.5703125" style="118" customWidth="1"/>
    <col min="14351" max="14351" width="8.28515625" style="118" customWidth="1"/>
    <col min="14352" max="14352" width="0" style="118" hidden="1" customWidth="1"/>
    <col min="14353" max="14353" width="4.42578125" style="118" bestFit="1" customWidth="1"/>
    <col min="14354" max="14355" width="4.7109375" style="118" customWidth="1"/>
    <col min="14356" max="14356" width="10.5703125" style="118" bestFit="1" customWidth="1"/>
    <col min="14357" max="14357" width="4.28515625" style="118" customWidth="1"/>
    <col min="14358" max="14593" width="11.42578125" style="118"/>
    <col min="14594" max="14594" width="18.42578125" style="118" customWidth="1"/>
    <col min="14595" max="14595" width="10.85546875" style="118" customWidth="1"/>
    <col min="14596" max="14596" width="0.5703125" style="118" customWidth="1"/>
    <col min="14597" max="14601" width="13.28515625" style="118" customWidth="1"/>
    <col min="14602" max="14602" width="14" style="118" customWidth="1"/>
    <col min="14603" max="14604" width="13.28515625" style="118" customWidth="1"/>
    <col min="14605" max="14605" width="9" style="118" bestFit="1" customWidth="1"/>
    <col min="14606" max="14606" width="9.5703125" style="118" customWidth="1"/>
    <col min="14607" max="14607" width="8.28515625" style="118" customWidth="1"/>
    <col min="14608" max="14608" width="0" style="118" hidden="1" customWidth="1"/>
    <col min="14609" max="14609" width="4.42578125" style="118" bestFit="1" customWidth="1"/>
    <col min="14610" max="14611" width="4.7109375" style="118" customWidth="1"/>
    <col min="14612" max="14612" width="10.5703125" style="118" bestFit="1" customWidth="1"/>
    <col min="14613" max="14613" width="4.28515625" style="118" customWidth="1"/>
    <col min="14614" max="14849" width="11.42578125" style="118"/>
    <col min="14850" max="14850" width="18.42578125" style="118" customWidth="1"/>
    <col min="14851" max="14851" width="10.85546875" style="118" customWidth="1"/>
    <col min="14852" max="14852" width="0.5703125" style="118" customWidth="1"/>
    <col min="14853" max="14857" width="13.28515625" style="118" customWidth="1"/>
    <col min="14858" max="14858" width="14" style="118" customWidth="1"/>
    <col min="14859" max="14860" width="13.28515625" style="118" customWidth="1"/>
    <col min="14861" max="14861" width="9" style="118" bestFit="1" customWidth="1"/>
    <col min="14862" max="14862" width="9.5703125" style="118" customWidth="1"/>
    <col min="14863" max="14863" width="8.28515625" style="118" customWidth="1"/>
    <col min="14864" max="14864" width="0" style="118" hidden="1" customWidth="1"/>
    <col min="14865" max="14865" width="4.42578125" style="118" bestFit="1" customWidth="1"/>
    <col min="14866" max="14867" width="4.7109375" style="118" customWidth="1"/>
    <col min="14868" max="14868" width="10.5703125" style="118" bestFit="1" customWidth="1"/>
    <col min="14869" max="14869" width="4.28515625" style="118" customWidth="1"/>
    <col min="14870" max="15105" width="11.42578125" style="118"/>
    <col min="15106" max="15106" width="18.42578125" style="118" customWidth="1"/>
    <col min="15107" max="15107" width="10.85546875" style="118" customWidth="1"/>
    <col min="15108" max="15108" width="0.5703125" style="118" customWidth="1"/>
    <col min="15109" max="15113" width="13.28515625" style="118" customWidth="1"/>
    <col min="15114" max="15114" width="14" style="118" customWidth="1"/>
    <col min="15115" max="15116" width="13.28515625" style="118" customWidth="1"/>
    <col min="15117" max="15117" width="9" style="118" bestFit="1" customWidth="1"/>
    <col min="15118" max="15118" width="9.5703125" style="118" customWidth="1"/>
    <col min="15119" max="15119" width="8.28515625" style="118" customWidth="1"/>
    <col min="15120" max="15120" width="0" style="118" hidden="1" customWidth="1"/>
    <col min="15121" max="15121" width="4.42578125" style="118" bestFit="1" customWidth="1"/>
    <col min="15122" max="15123" width="4.7109375" style="118" customWidth="1"/>
    <col min="15124" max="15124" width="10.5703125" style="118" bestFit="1" customWidth="1"/>
    <col min="15125" max="15125" width="4.28515625" style="118" customWidth="1"/>
    <col min="15126" max="15361" width="11.42578125" style="118"/>
    <col min="15362" max="15362" width="18.42578125" style="118" customWidth="1"/>
    <col min="15363" max="15363" width="10.85546875" style="118" customWidth="1"/>
    <col min="15364" max="15364" width="0.5703125" style="118" customWidth="1"/>
    <col min="15365" max="15369" width="13.28515625" style="118" customWidth="1"/>
    <col min="15370" max="15370" width="14" style="118" customWidth="1"/>
    <col min="15371" max="15372" width="13.28515625" style="118" customWidth="1"/>
    <col min="15373" max="15373" width="9" style="118" bestFit="1" customWidth="1"/>
    <col min="15374" max="15374" width="9.5703125" style="118" customWidth="1"/>
    <col min="15375" max="15375" width="8.28515625" style="118" customWidth="1"/>
    <col min="15376" max="15376" width="0" style="118" hidden="1" customWidth="1"/>
    <col min="15377" max="15377" width="4.42578125" style="118" bestFit="1" customWidth="1"/>
    <col min="15378" max="15379" width="4.7109375" style="118" customWidth="1"/>
    <col min="15380" max="15380" width="10.5703125" style="118" bestFit="1" customWidth="1"/>
    <col min="15381" max="15381" width="4.28515625" style="118" customWidth="1"/>
    <col min="15382" max="15617" width="11.42578125" style="118"/>
    <col min="15618" max="15618" width="18.42578125" style="118" customWidth="1"/>
    <col min="15619" max="15619" width="10.85546875" style="118" customWidth="1"/>
    <col min="15620" max="15620" width="0.5703125" style="118" customWidth="1"/>
    <col min="15621" max="15625" width="13.28515625" style="118" customWidth="1"/>
    <col min="15626" max="15626" width="14" style="118" customWidth="1"/>
    <col min="15627" max="15628" width="13.28515625" style="118" customWidth="1"/>
    <col min="15629" max="15629" width="9" style="118" bestFit="1" customWidth="1"/>
    <col min="15630" max="15630" width="9.5703125" style="118" customWidth="1"/>
    <col min="15631" max="15631" width="8.28515625" style="118" customWidth="1"/>
    <col min="15632" max="15632" width="0" style="118" hidden="1" customWidth="1"/>
    <col min="15633" max="15633" width="4.42578125" style="118" bestFit="1" customWidth="1"/>
    <col min="15634" max="15635" width="4.7109375" style="118" customWidth="1"/>
    <col min="15636" max="15636" width="10.5703125" style="118" bestFit="1" customWidth="1"/>
    <col min="15637" max="15637" width="4.28515625" style="118" customWidth="1"/>
    <col min="15638" max="15873" width="11.42578125" style="118"/>
    <col min="15874" max="15874" width="18.42578125" style="118" customWidth="1"/>
    <col min="15875" max="15875" width="10.85546875" style="118" customWidth="1"/>
    <col min="15876" max="15876" width="0.5703125" style="118" customWidth="1"/>
    <col min="15877" max="15881" width="13.28515625" style="118" customWidth="1"/>
    <col min="15882" max="15882" width="14" style="118" customWidth="1"/>
    <col min="15883" max="15884" width="13.28515625" style="118" customWidth="1"/>
    <col min="15885" max="15885" width="9" style="118" bestFit="1" customWidth="1"/>
    <col min="15886" max="15886" width="9.5703125" style="118" customWidth="1"/>
    <col min="15887" max="15887" width="8.28515625" style="118" customWidth="1"/>
    <col min="15888" max="15888" width="0" style="118" hidden="1" customWidth="1"/>
    <col min="15889" max="15889" width="4.42578125" style="118" bestFit="1" customWidth="1"/>
    <col min="15890" max="15891" width="4.7109375" style="118" customWidth="1"/>
    <col min="15892" max="15892" width="10.5703125" style="118" bestFit="1" customWidth="1"/>
    <col min="15893" max="15893" width="4.28515625" style="118" customWidth="1"/>
    <col min="15894" max="16129" width="11.42578125" style="118"/>
    <col min="16130" max="16130" width="18.42578125" style="118" customWidth="1"/>
    <col min="16131" max="16131" width="10.85546875" style="118" customWidth="1"/>
    <col min="16132" max="16132" width="0.5703125" style="118" customWidth="1"/>
    <col min="16133" max="16137" width="13.28515625" style="118" customWidth="1"/>
    <col min="16138" max="16138" width="14" style="118" customWidth="1"/>
    <col min="16139" max="16140" width="13.28515625" style="118" customWidth="1"/>
    <col min="16141" max="16141" width="9" style="118" bestFit="1" customWidth="1"/>
    <col min="16142" max="16142" width="9.5703125" style="118" customWidth="1"/>
    <col min="16143" max="16143" width="8.28515625" style="118" customWidth="1"/>
    <col min="16144" max="16144" width="0" style="118" hidden="1" customWidth="1"/>
    <col min="16145" max="16145" width="4.42578125" style="118" bestFit="1" customWidth="1"/>
    <col min="16146" max="16147" width="4.7109375" style="118" customWidth="1"/>
    <col min="16148" max="16148" width="10.5703125" style="118" bestFit="1" customWidth="1"/>
    <col min="16149" max="16149" width="4.28515625" style="118" customWidth="1"/>
    <col min="16150" max="16384" width="11.42578125" style="118"/>
  </cols>
  <sheetData>
    <row r="1" spans="1:21" s="113" customFormat="1" ht="15" customHeight="1" x14ac:dyDescent="0.2">
      <c r="A1" s="144" t="s">
        <v>24</v>
      </c>
      <c r="B1" s="5"/>
      <c r="C1" s="5"/>
      <c r="D1" s="160">
        <v>60085</v>
      </c>
      <c r="E1" s="361" t="e">
        <f>VLOOKUP(D1,#REF!,2,0)</f>
        <v>#REF!</v>
      </c>
      <c r="F1" s="361"/>
      <c r="G1" s="362"/>
      <c r="H1" s="6"/>
      <c r="I1" s="110" t="s">
        <v>0</v>
      </c>
      <c r="J1" s="6"/>
      <c r="K1" s="110" t="s">
        <v>25</v>
      </c>
      <c r="L1" s="145"/>
      <c r="M1" s="111" t="s">
        <v>26</v>
      </c>
      <c r="N1" s="157">
        <v>3</v>
      </c>
      <c r="O1" s="112">
        <v>2013</v>
      </c>
    </row>
    <row r="2" spans="1:21" s="113" customFormat="1" ht="15" customHeight="1" x14ac:dyDescent="0.2">
      <c r="A2" s="143"/>
      <c r="B2" s="5"/>
      <c r="C2" s="5"/>
      <c r="D2" s="423"/>
      <c r="E2" s="423"/>
      <c r="F2" s="423"/>
      <c r="G2" s="423"/>
      <c r="H2" s="8">
        <v>127</v>
      </c>
      <c r="I2" s="114" t="e">
        <f>VLOOKUP(D1,#REF!,8,0)</f>
        <v>#REF!</v>
      </c>
      <c r="J2" s="6"/>
      <c r="K2" s="115">
        <f>DATE(O1,N1+1,0)</f>
        <v>41364</v>
      </c>
      <c r="L2" s="146"/>
      <c r="M2" s="111" t="s">
        <v>4</v>
      </c>
      <c r="N2" s="158">
        <f>D17</f>
        <v>1</v>
      </c>
      <c r="O2" s="12"/>
      <c r="P2" s="116">
        <v>4</v>
      </c>
      <c r="U2" s="117"/>
    </row>
    <row r="3" spans="1:21" ht="12" customHeight="1" x14ac:dyDescent="0.2">
      <c r="A3" s="13"/>
      <c r="B3" s="13"/>
      <c r="C3" s="14"/>
      <c r="D3" s="13"/>
      <c r="E3" s="12"/>
      <c r="F3" s="12"/>
      <c r="G3" s="12"/>
      <c r="H3" s="12"/>
      <c r="I3" s="12"/>
      <c r="J3" s="12"/>
      <c r="K3" s="12"/>
      <c r="L3" s="87"/>
      <c r="M3" s="118"/>
      <c r="N3" s="118"/>
      <c r="O3" s="118"/>
      <c r="P3" s="116">
        <v>5</v>
      </c>
    </row>
    <row r="4" spans="1:21" ht="15" customHeight="1" x14ac:dyDescent="0.2">
      <c r="A4" s="13"/>
      <c r="B4" s="13"/>
      <c r="C4" s="14"/>
      <c r="D4" s="363" t="s">
        <v>27</v>
      </c>
      <c r="E4" s="364"/>
      <c r="F4" s="363" t="s">
        <v>28</v>
      </c>
      <c r="G4" s="364"/>
      <c r="H4" s="363" t="s">
        <v>29</v>
      </c>
      <c r="I4" s="364"/>
      <c r="J4" s="363" t="s">
        <v>30</v>
      </c>
      <c r="K4" s="364"/>
      <c r="L4" s="147"/>
      <c r="P4" s="116">
        <v>6</v>
      </c>
    </row>
    <row r="5" spans="1:21" ht="3.75" customHeight="1" thickBot="1" x14ac:dyDescent="0.25">
      <c r="A5" s="12"/>
      <c r="B5" s="12"/>
      <c r="C5" s="17"/>
      <c r="D5" s="12"/>
      <c r="E5" s="12"/>
      <c r="F5" s="12"/>
      <c r="G5" s="12"/>
      <c r="H5" s="12"/>
      <c r="I5" s="13"/>
      <c r="J5" s="12"/>
      <c r="K5" s="12"/>
      <c r="L5" s="87"/>
      <c r="P5" s="116">
        <v>7</v>
      </c>
    </row>
    <row r="6" spans="1:21" ht="24" customHeight="1" x14ac:dyDescent="0.2">
      <c r="A6" s="336" t="s">
        <v>31</v>
      </c>
      <c r="B6" s="337"/>
      <c r="C6" s="18"/>
      <c r="D6" s="416" t="e">
        <f>E17</f>
        <v>#REF!</v>
      </c>
      <c r="E6" s="417"/>
      <c r="F6" s="418" t="e">
        <f>F17</f>
        <v>#REF!</v>
      </c>
      <c r="G6" s="419"/>
      <c r="H6" s="420" t="e">
        <f>F18</f>
        <v>#REF!</v>
      </c>
      <c r="I6" s="419"/>
      <c r="J6" s="421" t="e">
        <f>G17</f>
        <v>#REF!</v>
      </c>
      <c r="K6" s="422"/>
      <c r="L6" s="148"/>
      <c r="N6" s="19"/>
      <c r="P6" s="116">
        <v>8</v>
      </c>
    </row>
    <row r="7" spans="1:21" ht="3.75" customHeight="1" x14ac:dyDescent="0.2">
      <c r="A7" s="21"/>
      <c r="B7" s="21"/>
      <c r="C7" s="18"/>
      <c r="D7" s="204"/>
      <c r="E7" s="205"/>
      <c r="F7" s="22"/>
      <c r="G7" s="23"/>
      <c r="H7" s="24"/>
      <c r="I7" s="24"/>
      <c r="J7" s="24"/>
      <c r="K7" s="24"/>
      <c r="L7" s="149"/>
      <c r="N7" s="19"/>
      <c r="P7" s="116">
        <v>9</v>
      </c>
    </row>
    <row r="8" spans="1:21" s="12" customFormat="1" ht="18" customHeight="1" x14ac:dyDescent="0.2">
      <c r="A8" s="336" t="s">
        <v>63</v>
      </c>
      <c r="B8" s="337"/>
      <c r="C8" s="18"/>
      <c r="D8" s="344" t="e">
        <f>VLOOKUP(D1,#REF!,2,0)</f>
        <v>#REF!</v>
      </c>
      <c r="E8" s="345"/>
      <c r="F8" s="203"/>
      <c r="G8" s="23"/>
      <c r="H8" s="24"/>
      <c r="I8" s="24"/>
      <c r="J8" s="24"/>
      <c r="K8" s="24"/>
      <c r="M8" s="19"/>
      <c r="S8" s="16"/>
    </row>
    <row r="9" spans="1:21" s="12" customFormat="1" ht="3" customHeight="1" x14ac:dyDescent="0.2">
      <c r="A9" s="21"/>
      <c r="B9" s="21"/>
      <c r="C9" s="18"/>
      <c r="D9" s="206"/>
      <c r="E9" s="207"/>
      <c r="F9" s="203"/>
      <c r="G9" s="23"/>
      <c r="H9" s="24"/>
      <c r="I9" s="24"/>
      <c r="J9" s="24"/>
      <c r="K9" s="24"/>
      <c r="M9" s="19"/>
      <c r="S9" s="16"/>
    </row>
    <row r="10" spans="1:21" s="12" customFormat="1" ht="18" customHeight="1" thickBot="1" x14ac:dyDescent="0.25">
      <c r="A10" s="336" t="s">
        <v>22</v>
      </c>
      <c r="B10" s="337"/>
      <c r="C10" s="18"/>
      <c r="D10" s="346" t="e">
        <f>VLOOKUP($D$1,#REF!,3,0)</f>
        <v>#REF!</v>
      </c>
      <c r="E10" s="347"/>
      <c r="F10" s="203"/>
      <c r="G10" s="23"/>
      <c r="H10" s="24"/>
      <c r="I10" s="24"/>
      <c r="J10" s="24"/>
      <c r="K10" s="24"/>
      <c r="M10" s="19"/>
      <c r="S10" s="16"/>
    </row>
    <row r="11" spans="1:21" ht="12.75" x14ac:dyDescent="0.2">
      <c r="A11" s="21"/>
      <c r="B11" s="21"/>
      <c r="C11" s="18"/>
      <c r="D11" s="424"/>
      <c r="E11" s="425"/>
      <c r="F11" s="425"/>
      <c r="G11" s="119"/>
      <c r="H11" s="363" t="s">
        <v>32</v>
      </c>
      <c r="I11" s="364"/>
      <c r="J11" s="363" t="s">
        <v>33</v>
      </c>
      <c r="K11" s="364"/>
      <c r="L11" s="147"/>
      <c r="N11" s="19"/>
      <c r="P11" s="116">
        <v>10</v>
      </c>
    </row>
    <row r="12" spans="1:21" s="120" customFormat="1" ht="3.75" customHeight="1" x14ac:dyDescent="0.2">
      <c r="A12" s="17"/>
      <c r="B12" s="17"/>
      <c r="C12" s="17"/>
      <c r="D12" s="14"/>
      <c r="E12" s="14"/>
      <c r="F12" s="48"/>
      <c r="G12" s="14"/>
      <c r="H12" s="26"/>
      <c r="I12" s="26"/>
      <c r="J12" s="25"/>
      <c r="K12" s="25"/>
      <c r="L12" s="150"/>
      <c r="M12" s="17"/>
      <c r="N12" s="17"/>
      <c r="O12" s="17"/>
      <c r="P12" s="116">
        <v>11</v>
      </c>
    </row>
    <row r="13" spans="1:21" ht="24" customHeight="1" x14ac:dyDescent="0.2">
      <c r="A13" s="407" t="s">
        <v>3</v>
      </c>
      <c r="B13" s="408"/>
      <c r="C13" s="27"/>
      <c r="D13" s="409" t="e">
        <f>E26</f>
        <v>#REF!</v>
      </c>
      <c r="E13" s="410"/>
      <c r="F13" s="121"/>
      <c r="H13" s="409" t="e">
        <f>F26</f>
        <v>#REF!</v>
      </c>
      <c r="I13" s="411"/>
      <c r="J13" s="412" t="e">
        <f>G26</f>
        <v>#REF!</v>
      </c>
      <c r="K13" s="413"/>
      <c r="L13" s="148"/>
      <c r="N13" s="28"/>
      <c r="P13" s="116">
        <v>12</v>
      </c>
    </row>
    <row r="14" spans="1:21" ht="12" customHeight="1" x14ac:dyDescent="0.2">
      <c r="A14" s="12"/>
      <c r="B14" s="12"/>
      <c r="C14" s="17"/>
      <c r="D14" s="12"/>
      <c r="E14" s="12"/>
      <c r="F14" s="12"/>
      <c r="G14" s="12"/>
      <c r="H14" s="12"/>
      <c r="I14" s="12"/>
      <c r="J14" s="12"/>
      <c r="K14" s="12"/>
      <c r="L14" s="87"/>
      <c r="P14" s="116">
        <v>1</v>
      </c>
    </row>
    <row r="15" spans="1:21" s="124" customFormat="1" ht="43.5" customHeight="1" x14ac:dyDescent="0.2">
      <c r="A15" s="414" t="s">
        <v>34</v>
      </c>
      <c r="B15" s="415"/>
      <c r="C15" s="18"/>
      <c r="D15" s="75" t="s">
        <v>35</v>
      </c>
      <c r="E15" s="76" t="s">
        <v>36</v>
      </c>
      <c r="F15" s="76" t="s">
        <v>37</v>
      </c>
      <c r="G15" s="77" t="s">
        <v>38</v>
      </c>
      <c r="H15" s="122" t="s">
        <v>39</v>
      </c>
      <c r="I15" s="123" t="s">
        <v>1</v>
      </c>
      <c r="J15" s="349" t="s">
        <v>40</v>
      </c>
      <c r="K15" s="350"/>
      <c r="L15" s="151"/>
      <c r="M15" s="13"/>
      <c r="N15" s="13"/>
      <c r="O15" s="13"/>
      <c r="P15" s="116">
        <v>2</v>
      </c>
    </row>
    <row r="16" spans="1:21" s="120" customFormat="1" ht="3.75" customHeight="1" x14ac:dyDescent="0.2">
      <c r="A16" s="17"/>
      <c r="B16" s="17"/>
      <c r="C16" s="17"/>
      <c r="D16" s="14"/>
      <c r="E16" s="14"/>
      <c r="F16" s="14"/>
      <c r="G16" s="14"/>
      <c r="H16" s="14"/>
      <c r="I16" s="14"/>
      <c r="J16" s="14"/>
      <c r="K16" s="14"/>
      <c r="L16" s="86"/>
      <c r="M16" s="17"/>
      <c r="N16" s="17"/>
      <c r="O16" s="17"/>
      <c r="P16" s="116">
        <v>3</v>
      </c>
    </row>
    <row r="17" spans="1:16" ht="13.5" customHeight="1" x14ac:dyDescent="0.2">
      <c r="A17" s="31" t="s">
        <v>41</v>
      </c>
      <c r="B17" s="32">
        <f>K2</f>
        <v>41364</v>
      </c>
      <c r="C17" s="18"/>
      <c r="D17" s="33">
        <f>VLOOKUP(N1,[1]Saisonalität!A2:D13,4,0)</f>
        <v>1</v>
      </c>
      <c r="E17" s="208" t="e">
        <f>VLOOKUP($D$1,#REF!,8,0)</f>
        <v>#REF!</v>
      </c>
      <c r="F17" s="209" t="e">
        <f>F18*D17</f>
        <v>#REF!</v>
      </c>
      <c r="G17" s="34" t="e">
        <f>E17/F17</f>
        <v>#REF!</v>
      </c>
      <c r="H17" s="213" t="e">
        <f>F17-E17</f>
        <v>#REF!</v>
      </c>
      <c r="I17" s="125" t="e">
        <f>IF(G17&lt;0.95,0,IF(G17&lt;1,0.04,IF(G17&lt;1.05,0.06,IF(G17&lt;1.1,0.08,IF(G17&gt;=1.1,0.1)))))</f>
        <v>#REF!</v>
      </c>
      <c r="J17" s="400" t="e">
        <f>I17*G17*F17</f>
        <v>#REF!</v>
      </c>
      <c r="K17" s="401"/>
      <c r="L17" s="152"/>
    </row>
    <row r="18" spans="1:16" ht="13.5" customHeight="1" x14ac:dyDescent="0.2">
      <c r="A18" s="37" t="s">
        <v>42</v>
      </c>
      <c r="B18" s="330">
        <v>41364</v>
      </c>
      <c r="C18" s="38"/>
      <c r="D18" s="333">
        <v>1</v>
      </c>
      <c r="E18" s="193" t="e">
        <f>F18*G18</f>
        <v>#REF!</v>
      </c>
      <c r="F18" s="353" t="e">
        <f>VLOOKUP($D$1,#REF!,7,0)</f>
        <v>#REF!</v>
      </c>
      <c r="G18" s="39" t="e">
        <f>G17</f>
        <v>#REF!</v>
      </c>
      <c r="H18" s="193" t="e">
        <f>F18-E18</f>
        <v>#REF!</v>
      </c>
      <c r="I18" s="126" t="e">
        <f>IF(G18&lt;0.95,0,IF(G18&lt;1,0.04,IF(G18&lt;1.05,0.06,IF(G18&lt;1.1,0.08,IF(G18&gt;=1.1,0.1)))))</f>
        <v>#REF!</v>
      </c>
      <c r="J18" s="402" t="e">
        <f>I18*G18*F18</f>
        <v>#REF!</v>
      </c>
      <c r="K18" s="397"/>
      <c r="L18" s="153"/>
      <c r="P18" s="127" t="s">
        <v>2</v>
      </c>
    </row>
    <row r="19" spans="1:16" ht="13.5" customHeight="1" x14ac:dyDescent="0.2">
      <c r="A19" s="40" t="s">
        <v>43</v>
      </c>
      <c r="B19" s="331"/>
      <c r="C19" s="14"/>
      <c r="D19" s="334"/>
      <c r="E19" s="210" t="e">
        <f>F18*G19</f>
        <v>#REF!</v>
      </c>
      <c r="F19" s="354"/>
      <c r="G19" s="41">
        <v>0.95</v>
      </c>
      <c r="H19" s="214" t="e">
        <f>F18-E19</f>
        <v>#REF!</v>
      </c>
      <c r="I19" s="128">
        <v>0.04</v>
      </c>
      <c r="J19" s="403" t="e">
        <f>I19*G19*F18</f>
        <v>#REF!</v>
      </c>
      <c r="K19" s="404"/>
      <c r="L19" s="153"/>
      <c r="P19" s="159">
        <v>60016</v>
      </c>
    </row>
    <row r="20" spans="1:16" ht="13.5" customHeight="1" x14ac:dyDescent="0.2">
      <c r="A20" s="40" t="s">
        <v>44</v>
      </c>
      <c r="B20" s="331"/>
      <c r="C20" s="14"/>
      <c r="D20" s="334"/>
      <c r="E20" s="211" t="e">
        <f>F18*G20</f>
        <v>#REF!</v>
      </c>
      <c r="F20" s="354"/>
      <c r="G20" s="44">
        <v>1</v>
      </c>
      <c r="H20" s="214" t="e">
        <f>F18-E20</f>
        <v>#REF!</v>
      </c>
      <c r="I20" s="129">
        <v>0.06</v>
      </c>
      <c r="J20" s="403" t="e">
        <f>I20*G20*F18</f>
        <v>#REF!</v>
      </c>
      <c r="K20" s="404"/>
      <c r="L20" s="153"/>
      <c r="P20" s="159">
        <v>60017</v>
      </c>
    </row>
    <row r="21" spans="1:16" ht="13.5" customHeight="1" x14ac:dyDescent="0.2">
      <c r="A21" s="40" t="s">
        <v>45</v>
      </c>
      <c r="B21" s="331"/>
      <c r="C21" s="14"/>
      <c r="D21" s="334"/>
      <c r="E21" s="211" t="e">
        <f>F18*G21</f>
        <v>#REF!</v>
      </c>
      <c r="F21" s="354"/>
      <c r="G21" s="44">
        <v>1.05</v>
      </c>
      <c r="H21" s="214" t="e">
        <f>F18-E21</f>
        <v>#REF!</v>
      </c>
      <c r="I21" s="129">
        <v>0.08</v>
      </c>
      <c r="J21" s="403" t="e">
        <f>I21*G21*F18</f>
        <v>#REF!</v>
      </c>
      <c r="K21" s="404"/>
      <c r="L21" s="153"/>
      <c r="P21" s="159">
        <v>60080</v>
      </c>
    </row>
    <row r="22" spans="1:16" ht="13.5" customHeight="1" x14ac:dyDescent="0.2">
      <c r="A22" s="45" t="s">
        <v>46</v>
      </c>
      <c r="B22" s="332"/>
      <c r="C22" s="14"/>
      <c r="D22" s="335"/>
      <c r="E22" s="212" t="e">
        <f>F18*G22</f>
        <v>#REF!</v>
      </c>
      <c r="F22" s="355"/>
      <c r="G22" s="46">
        <v>1.1000000000000001</v>
      </c>
      <c r="H22" s="215" t="e">
        <f>F18-E22</f>
        <v>#REF!</v>
      </c>
      <c r="I22" s="130">
        <v>0.1</v>
      </c>
      <c r="J22" s="405" t="e">
        <f>I22*G22*F18</f>
        <v>#REF!</v>
      </c>
      <c r="K22" s="406"/>
      <c r="L22" s="153"/>
      <c r="P22" s="159">
        <v>60085</v>
      </c>
    </row>
    <row r="23" spans="1:16" ht="9" customHeight="1" x14ac:dyDescent="0.2">
      <c r="A23" s="17"/>
      <c r="B23" s="14"/>
      <c r="C23" s="14"/>
      <c r="D23" s="47"/>
      <c r="E23" s="26"/>
      <c r="F23" s="26"/>
      <c r="G23" s="48"/>
      <c r="H23" s="26"/>
      <c r="I23" s="48"/>
      <c r="J23" s="49"/>
      <c r="K23" s="49"/>
      <c r="L23" s="154"/>
      <c r="P23" s="159">
        <v>60104</v>
      </c>
    </row>
    <row r="24" spans="1:16" ht="34.5" customHeight="1" x14ac:dyDescent="0.2">
      <c r="A24" s="390" t="s">
        <v>47</v>
      </c>
      <c r="B24" s="391"/>
      <c r="C24" s="18"/>
      <c r="D24" s="50"/>
      <c r="E24" s="76" t="s">
        <v>48</v>
      </c>
      <c r="F24" s="76" t="s">
        <v>49</v>
      </c>
      <c r="G24" s="77" t="s">
        <v>50</v>
      </c>
      <c r="H24" s="122" t="s">
        <v>39</v>
      </c>
      <c r="I24" s="77" t="s">
        <v>1</v>
      </c>
      <c r="J24" s="349" t="s">
        <v>40</v>
      </c>
      <c r="K24" s="350"/>
      <c r="L24" s="151"/>
      <c r="P24" s="159">
        <v>60261</v>
      </c>
    </row>
    <row r="25" spans="1:16" s="120" customFormat="1" ht="3.75" customHeight="1" x14ac:dyDescent="0.2">
      <c r="A25" s="17"/>
      <c r="B25" s="17"/>
      <c r="C25" s="17"/>
      <c r="D25" s="14"/>
      <c r="E25" s="14"/>
      <c r="F25" s="14"/>
      <c r="G25" s="14"/>
      <c r="H25" s="14"/>
      <c r="I25" s="14"/>
      <c r="J25" s="14"/>
      <c r="K25" s="14"/>
      <c r="L25" s="86"/>
      <c r="M25" s="17"/>
      <c r="N25" s="17"/>
      <c r="O25" s="17"/>
      <c r="P25" s="159">
        <v>60715</v>
      </c>
    </row>
    <row r="26" spans="1:16" ht="13.5" customHeight="1" x14ac:dyDescent="0.2">
      <c r="A26" s="51" t="s">
        <v>41</v>
      </c>
      <c r="B26" s="32">
        <f>K2</f>
        <v>41364</v>
      </c>
      <c r="C26" s="18"/>
      <c r="D26" s="52"/>
      <c r="E26" s="216" t="e">
        <f>VLOOKUP($D$1,#REF!,7,0)</f>
        <v>#REF!</v>
      </c>
      <c r="F26" s="217" t="e">
        <f>INDEX(#REF!,MATCH(D1,#REF!,0),MATCH('Tableau de bord direkt HDL'!N1,#REF!,0))</f>
        <v>#REF!</v>
      </c>
      <c r="G26" s="131" t="e">
        <f>(E26-F26)/F26</f>
        <v>#REF!</v>
      </c>
      <c r="H26" s="81"/>
      <c r="I26" s="132" t="e">
        <f>IF(G26&lt;0.025,0,IF(G26&lt;0.05,0.0025,IF(G26&lt;0.075,0.005,IF(G26&lt;0.1,0.0075,IF(G26&gt;=0.1,0.0125)))))</f>
        <v>#REF!</v>
      </c>
      <c r="J26" s="392" t="e">
        <f t="shared" ref="J26:J31" si="0">I26*E26</f>
        <v>#REF!</v>
      </c>
      <c r="K26" s="393"/>
      <c r="L26" s="152"/>
      <c r="P26" s="101"/>
    </row>
    <row r="27" spans="1:16" ht="13.5" customHeight="1" x14ac:dyDescent="0.2">
      <c r="A27" s="133" t="s">
        <v>42</v>
      </c>
      <c r="B27" s="330">
        <v>41364</v>
      </c>
      <c r="C27" s="38"/>
      <c r="D27" s="348"/>
      <c r="E27" s="218" t="e">
        <f>F27*(1+G27)</f>
        <v>#REF!</v>
      </c>
      <c r="F27" s="380" t="e">
        <f>VLOOKUP(D1,#REF!,13,0)</f>
        <v>#REF!</v>
      </c>
      <c r="G27" s="134" t="e">
        <f>G26</f>
        <v>#REF!</v>
      </c>
      <c r="H27" s="221" t="e">
        <f>F27-E27</f>
        <v>#REF!</v>
      </c>
      <c r="I27" s="135" t="e">
        <f>I26</f>
        <v>#REF!</v>
      </c>
      <c r="J27" s="396" t="e">
        <f t="shared" si="0"/>
        <v>#REF!</v>
      </c>
      <c r="K27" s="397"/>
      <c r="L27" s="153"/>
      <c r="P27" s="101"/>
    </row>
    <row r="28" spans="1:16" ht="13.5" customHeight="1" x14ac:dyDescent="0.2">
      <c r="A28" s="40" t="s">
        <v>51</v>
      </c>
      <c r="B28" s="394"/>
      <c r="C28" s="38"/>
      <c r="D28" s="348"/>
      <c r="E28" s="219" t="e">
        <f>F27*(1+G28)</f>
        <v>#REF!</v>
      </c>
      <c r="F28" s="381"/>
      <c r="G28" s="56">
        <v>2.5000000000000001E-2</v>
      </c>
      <c r="H28" s="222" t="e">
        <f>F27-E28</f>
        <v>#REF!</v>
      </c>
      <c r="I28" s="136">
        <v>2.5000000000000001E-3</v>
      </c>
      <c r="J28" s="398" t="e">
        <f t="shared" si="0"/>
        <v>#REF!</v>
      </c>
      <c r="K28" s="399"/>
      <c r="L28" s="153"/>
      <c r="N28" s="57"/>
      <c r="P28" s="101"/>
    </row>
    <row r="29" spans="1:16" ht="13.5" customHeight="1" x14ac:dyDescent="0.2">
      <c r="A29" s="58" t="s">
        <v>52</v>
      </c>
      <c r="B29" s="394"/>
      <c r="C29" s="38"/>
      <c r="D29" s="348"/>
      <c r="E29" s="219" t="e">
        <f>F27*(1+G29)</f>
        <v>#REF!</v>
      </c>
      <c r="F29" s="381"/>
      <c r="G29" s="56">
        <v>0.05</v>
      </c>
      <c r="H29" s="222" t="e">
        <f>F27-E29</f>
        <v>#REF!</v>
      </c>
      <c r="I29" s="136">
        <v>5.0000000000000001E-3</v>
      </c>
      <c r="J29" s="398" t="e">
        <f t="shared" si="0"/>
        <v>#REF!</v>
      </c>
      <c r="K29" s="399"/>
      <c r="L29" s="153"/>
      <c r="N29" s="57"/>
      <c r="P29" s="101"/>
    </row>
    <row r="30" spans="1:16" ht="13.5" customHeight="1" x14ac:dyDescent="0.2">
      <c r="A30" s="58" t="s">
        <v>53</v>
      </c>
      <c r="B30" s="394"/>
      <c r="C30" s="38"/>
      <c r="D30" s="348"/>
      <c r="E30" s="219" t="e">
        <f>F27*(1+G30)</f>
        <v>#REF!</v>
      </c>
      <c r="F30" s="381"/>
      <c r="G30" s="56">
        <v>7.4999999999999997E-2</v>
      </c>
      <c r="H30" s="222" t="e">
        <f>F27-E30</f>
        <v>#REF!</v>
      </c>
      <c r="I30" s="136">
        <v>7.4999999999999997E-3</v>
      </c>
      <c r="J30" s="398" t="e">
        <f t="shared" si="0"/>
        <v>#REF!</v>
      </c>
      <c r="K30" s="399"/>
      <c r="L30" s="153"/>
      <c r="N30" s="57"/>
      <c r="P30" s="101"/>
    </row>
    <row r="31" spans="1:16" ht="13.5" customHeight="1" x14ac:dyDescent="0.2">
      <c r="A31" s="45" t="s">
        <v>54</v>
      </c>
      <c r="B31" s="395"/>
      <c r="C31" s="38"/>
      <c r="D31" s="348"/>
      <c r="E31" s="220" t="e">
        <f>F27*(1+G31)</f>
        <v>#REF!</v>
      </c>
      <c r="F31" s="382"/>
      <c r="G31" s="59">
        <v>0.1</v>
      </c>
      <c r="H31" s="223" t="e">
        <f>F27-E31</f>
        <v>#REF!</v>
      </c>
      <c r="I31" s="137">
        <v>1.2500000000000001E-2</v>
      </c>
      <c r="J31" s="388" t="e">
        <f t="shared" si="0"/>
        <v>#REF!</v>
      </c>
      <c r="K31" s="389"/>
      <c r="L31" s="153"/>
      <c r="N31" s="57"/>
      <c r="P31" s="101"/>
    </row>
    <row r="32" spans="1:16" ht="12.75" x14ac:dyDescent="0.2">
      <c r="B32" s="138"/>
      <c r="C32" s="138"/>
      <c r="D32" s="139"/>
      <c r="E32" s="140"/>
      <c r="F32" s="140"/>
      <c r="G32" s="141"/>
      <c r="H32" s="140"/>
      <c r="I32" s="141"/>
      <c r="J32" s="142"/>
      <c r="K32" s="142"/>
      <c r="L32" s="155"/>
      <c r="P32" s="101"/>
    </row>
    <row r="33" spans="1:16" ht="12.75" customHeight="1" x14ac:dyDescent="0.2">
      <c r="A33" s="119" t="s">
        <v>55</v>
      </c>
      <c r="P33" s="101"/>
    </row>
  </sheetData>
  <mergeCells count="44">
    <mergeCell ref="A8:B8"/>
    <mergeCell ref="D8:E8"/>
    <mergeCell ref="A10:B10"/>
    <mergeCell ref="D10:E10"/>
    <mergeCell ref="D11:F11"/>
    <mergeCell ref="H11:I11"/>
    <mergeCell ref="J11:K11"/>
    <mergeCell ref="E1:G1"/>
    <mergeCell ref="D2:G2"/>
    <mergeCell ref="D4:E4"/>
    <mergeCell ref="F4:G4"/>
    <mergeCell ref="H4:I4"/>
    <mergeCell ref="J4:K4"/>
    <mergeCell ref="A6:B6"/>
    <mergeCell ref="D6:E6"/>
    <mergeCell ref="F6:G6"/>
    <mergeCell ref="H6:I6"/>
    <mergeCell ref="J6:K6"/>
    <mergeCell ref="A13:B13"/>
    <mergeCell ref="D13:E13"/>
    <mergeCell ref="H13:I13"/>
    <mergeCell ref="J13:K13"/>
    <mergeCell ref="A15:B15"/>
    <mergeCell ref="J15:K15"/>
    <mergeCell ref="J17:K17"/>
    <mergeCell ref="B18:B22"/>
    <mergeCell ref="D18:D22"/>
    <mergeCell ref="F18:F22"/>
    <mergeCell ref="J18:K18"/>
    <mergeCell ref="J19:K19"/>
    <mergeCell ref="J20:K20"/>
    <mergeCell ref="J21:K21"/>
    <mergeCell ref="J22:K22"/>
    <mergeCell ref="J31:K31"/>
    <mergeCell ref="A24:B24"/>
    <mergeCell ref="J24:K24"/>
    <mergeCell ref="J26:K26"/>
    <mergeCell ref="B27:B31"/>
    <mergeCell ref="D27:D31"/>
    <mergeCell ref="F27:F31"/>
    <mergeCell ref="J27:K27"/>
    <mergeCell ref="J28:K28"/>
    <mergeCell ref="J29:K29"/>
    <mergeCell ref="J30:K30"/>
  </mergeCells>
  <conditionalFormatting sqref="H17:H22 H26:H31">
    <cfRule type="cellIs" dxfId="46" priority="1" stopIfTrue="1" operator="lessThanOrEqual">
      <formula>0</formula>
    </cfRule>
    <cfRule type="cellIs" dxfId="45" priority="2" stopIfTrue="1" operator="greaterThan">
      <formula>0</formula>
    </cfRule>
  </conditionalFormatting>
  <dataValidations disablePrompts="1" count="3">
    <dataValidation type="list" allowBlank="1" showInputMessage="1" showErrorMessage="1" sqref="D1">
      <formula1>$P$19:$P$25</formula1>
    </dataValidation>
    <dataValidation type="list" allowBlank="1" showInputMessage="1" showErrorMessage="1" sqref="JA1 SW1 ACS1 AMO1 AWK1 BGG1 BQC1 BZY1 CJU1 CTQ1 DDM1 DNI1 DXE1 EHA1 EQW1 FAS1 FKO1 FUK1 GEG1 GOC1 GXY1 HHU1 HRQ1 IBM1 ILI1 IVE1 JFA1 JOW1 JYS1 KIO1 KSK1 LCG1 LMC1 LVY1 MFU1 MPQ1 MZM1 NJI1 NTE1 ODA1 OMW1 OWS1 PGO1 PQK1 QAG1 QKC1 QTY1 RDU1 RNQ1 RXM1 SHI1 SRE1 TBA1 TKW1 TUS1 UEO1 UOK1 UYG1 VIC1 VRY1 WBU1 WLQ1 WVM1">
      <formula1>$P$19:$P$33</formula1>
    </dataValidation>
    <dataValidation type="list" allowBlank="1" showInputMessage="1" showErrorMessage="1" sqref="N1 WVV1 WLZ1 WCD1 VSH1 VIL1 UYP1 UOT1 UEX1 TVB1 TLF1 TBJ1 SRN1 SHR1 RXV1 RNZ1 RED1 QUH1 QKL1 QAP1 PQT1 PGX1 OXB1 ONF1 ODJ1 NTN1 NJR1 MZV1 MPZ1 MGD1 LWH1 LML1 LCP1 KST1 KIX1 JZB1 JPF1 JFJ1 IVN1 ILR1 IBV1 HRZ1 HID1 GYH1 GOL1 GEP1 FUT1 FKX1 FBB1 ERF1 EHJ1 DXN1 DNR1 DDV1 CTZ1 CKD1 CAH1 BQL1 BGP1 AWT1 AMX1 ADB1 TF1 JJ1">
      <formula1>$P$2:$P$16</formula1>
    </dataValidation>
  </dataValidations>
  <printOptions horizontalCentered="1" verticalCentered="1"/>
  <pageMargins left="0.23622047244094491" right="0.23622047244094491" top="1.1811023622047245" bottom="0.74803149606299213" header="0" footer="0.31496062992125984"/>
  <pageSetup paperSize="9" scale="98" orientation="landscape" horizontalDpi="1200" verticalDpi="1200" r:id="rId1"/>
  <headerFooter>
    <oddHeader>&amp;L&amp;G&amp;R&amp;"NissanAG-Bold,Normal"NISSAN AFTERSALES</oddHeader>
  </headerFooter>
  <legacyDrawingHF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D153"/>
  <sheetViews>
    <sheetView showGridLines="0" tabSelected="1" zoomScale="90" zoomScaleNormal="90" workbookViewId="0">
      <selection activeCell="D2" sqref="D2"/>
    </sheetView>
  </sheetViews>
  <sheetFormatPr baseColWidth="10" defaultRowHeight="12.75" x14ac:dyDescent="0.2"/>
  <cols>
    <col min="1" max="1" width="8.85546875" style="1" customWidth="1"/>
    <col min="2" max="2" width="6.42578125" style="1" customWidth="1"/>
    <col min="3" max="3" width="16.7109375" style="1" customWidth="1"/>
    <col min="4" max="4" width="16.85546875" style="1" customWidth="1"/>
    <col min="5" max="5" width="13.28515625" style="1" customWidth="1"/>
    <col min="6" max="6" width="17" style="1" customWidth="1"/>
    <col min="7" max="7" width="13.85546875" style="1" customWidth="1"/>
    <col min="8" max="8" width="0.7109375" style="280" customWidth="1"/>
    <col min="9" max="9" width="23" style="1" bestFit="1" customWidth="1"/>
    <col min="10" max="10" width="12.28515625" style="1" customWidth="1"/>
    <col min="11" max="11" width="11" style="277" bestFit="1" customWidth="1"/>
    <col min="12" max="12" width="1.85546875" style="277" customWidth="1"/>
    <col min="13" max="13" width="19.5703125" style="277" bestFit="1" customWidth="1"/>
    <col min="14" max="14" width="11.42578125" style="1" customWidth="1"/>
    <col min="15" max="15" width="12.85546875" style="1" bestFit="1" customWidth="1"/>
    <col min="16" max="16" width="1" style="1" customWidth="1"/>
    <col min="17" max="19" width="11.42578125" style="1"/>
    <col min="20" max="20" width="13.85546875" style="1" bestFit="1" customWidth="1"/>
    <col min="21" max="16384" width="11.42578125" style="1"/>
  </cols>
  <sheetData>
    <row r="1" spans="1:30" ht="20.25" customHeight="1" x14ac:dyDescent="0.2">
      <c r="A1" s="450" t="str">
        <f>IF(V1="F","Statistiques de vente et bonus","Umsatz- und Bonusreport")</f>
        <v>Umsatz- und Bonusreport</v>
      </c>
      <c r="B1" s="450"/>
      <c r="C1" s="450"/>
      <c r="D1" s="450"/>
      <c r="E1" s="450"/>
      <c r="F1" s="450"/>
      <c r="G1" s="450"/>
      <c r="H1" s="279"/>
      <c r="I1" s="439" t="str">
        <f>IF(V1="F","CA FY12: selon saiso. actuelle","Umsatz FY12 laut aktuelle Saisonnalität")</f>
        <v>Umsatz FY12 laut aktuelle Saisonnalität</v>
      </c>
      <c r="J1" s="439"/>
      <c r="K1" s="439"/>
      <c r="L1" s="439"/>
      <c r="M1" s="439"/>
      <c r="N1" s="439"/>
      <c r="O1" s="439"/>
      <c r="U1" s="1" t="s">
        <v>64</v>
      </c>
      <c r="V1" s="1" t="str">
        <f>VLOOKUP(C9,'RL Ziele'!A:G,7,0)</f>
        <v>D</v>
      </c>
      <c r="AC1" s="236">
        <v>19</v>
      </c>
      <c r="AD1" s="1">
        <v>4</v>
      </c>
    </row>
    <row r="2" spans="1:30" x14ac:dyDescent="0.2">
      <c r="AC2" s="236">
        <v>32</v>
      </c>
      <c r="AD2" s="1">
        <v>5</v>
      </c>
    </row>
    <row r="3" spans="1:30" x14ac:dyDescent="0.2">
      <c r="I3" s="440" t="str">
        <f>IF(V1="F","Evolution pièces concurrencées","Entwicklung kon. Teile")</f>
        <v>Entwicklung kon. Teile</v>
      </c>
      <c r="J3" s="440"/>
      <c r="K3" s="440"/>
      <c r="L3" s="285"/>
      <c r="M3" s="440" t="str">
        <f>IF(V1="F","Evolution accessoires","Entwicklung Zubehör")</f>
        <v>Entwicklung Zubehör</v>
      </c>
      <c r="N3" s="440"/>
      <c r="O3" s="440"/>
      <c r="P3" s="277"/>
      <c r="Q3" s="277"/>
      <c r="T3" s="10" t="s">
        <v>5</v>
      </c>
      <c r="U3" s="10">
        <v>4</v>
      </c>
      <c r="V3" s="11" t="e">
        <f>VLOOKUP(U3,#REF!,2,0)</f>
        <v>#REF!</v>
      </c>
      <c r="AC3" s="236">
        <v>40</v>
      </c>
      <c r="AD3" s="1">
        <v>6</v>
      </c>
    </row>
    <row r="4" spans="1:30" ht="14.25" customHeight="1" x14ac:dyDescent="0.25">
      <c r="B4" s="237"/>
      <c r="C4" s="237"/>
      <c r="D4" s="237"/>
      <c r="F4" s="442" t="str">
        <f>IF(V1="F","Dernière facturation:","Letzte Fakturation:")</f>
        <v>Letzte Fakturation:</v>
      </c>
      <c r="G4" s="443"/>
      <c r="H4" s="281"/>
      <c r="I4" s="286" t="s">
        <v>66</v>
      </c>
      <c r="J4" s="287" t="s">
        <v>67</v>
      </c>
      <c r="K4" s="287" t="s">
        <v>68</v>
      </c>
      <c r="L4" s="287"/>
      <c r="M4" s="286" t="s">
        <v>66</v>
      </c>
      <c r="N4" s="287" t="s">
        <v>67</v>
      </c>
      <c r="O4" s="287" t="s">
        <v>68</v>
      </c>
      <c r="T4" s="10" t="s">
        <v>72</v>
      </c>
      <c r="U4" s="15" t="e">
        <f>VLOOKUP(U3,#REF!,4,0)</f>
        <v>#REF!</v>
      </c>
      <c r="V4" s="12"/>
      <c r="AC4" s="236">
        <v>263</v>
      </c>
      <c r="AD4" s="1">
        <v>7</v>
      </c>
    </row>
    <row r="5" spans="1:30" x14ac:dyDescent="0.2">
      <c r="F5" s="444" t="e">
        <f>DATE(V3,U3,EOMONTH(U3,0)-1)</f>
        <v>#REF!</v>
      </c>
      <c r="G5" s="445"/>
      <c r="H5" s="282"/>
      <c r="I5" s="288" t="e">
        <f>IF(V1="F",#REF!,#REF!)</f>
        <v>#REF!</v>
      </c>
      <c r="J5"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5"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5" s="289"/>
      <c r="M5" s="288" t="e">
        <f>IF(V1="F",#REF!,#REF!)</f>
        <v>#REF!</v>
      </c>
      <c r="N5"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5" s="289" t="e">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#REF!</v>
      </c>
      <c r="T5" s="10" t="s">
        <v>70</v>
      </c>
      <c r="U5" s="15" t="e">
        <f>VLOOKUP(U3,#REF!,4,0)</f>
        <v>#REF!</v>
      </c>
      <c r="AC5" s="236">
        <v>305</v>
      </c>
      <c r="AD5" s="1">
        <v>8</v>
      </c>
    </row>
    <row r="6" spans="1:30" x14ac:dyDescent="0.2">
      <c r="A6" s="238"/>
      <c r="B6" s="239"/>
      <c r="C6" s="239"/>
      <c r="D6" s="239"/>
      <c r="E6" s="239"/>
      <c r="F6" s="239"/>
      <c r="G6" s="240"/>
      <c r="H6" s="283"/>
      <c r="I6" s="288" t="e">
        <f>IF(V1="F",#REF!,#REF!)</f>
        <v>#REF!</v>
      </c>
      <c r="J6"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6"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6" s="289"/>
      <c r="M6" s="288" t="e">
        <f>IF(V1="F",#REF!,#REF!)</f>
        <v>#REF!</v>
      </c>
      <c r="N6"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6" s="289" t="e">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#REF!</v>
      </c>
      <c r="T6" s="10" t="s">
        <v>71</v>
      </c>
      <c r="U6" s="15" t="e">
        <f>VLOOKUP(U3,#REF!,4,0)</f>
        <v>#REF!</v>
      </c>
      <c r="AC6" s="236">
        <v>453</v>
      </c>
      <c r="AD6" s="1">
        <v>9</v>
      </c>
    </row>
    <row r="7" spans="1:30" x14ac:dyDescent="0.2">
      <c r="A7" s="241" t="str">
        <f>IF(V1="F","Nom","Name")</f>
        <v>Name</v>
      </c>
      <c r="B7" s="242"/>
      <c r="C7" s="248" t="str">
        <f>VLOOKUP(C9,'RL Ziele'!A:F,6,0)</f>
        <v>Client 2</v>
      </c>
      <c r="D7" s="84"/>
      <c r="E7" s="84"/>
      <c r="F7" s="242"/>
      <c r="G7" s="243"/>
      <c r="H7" s="283"/>
      <c r="I7" s="288" t="e">
        <f>IF(V1="F",#REF!,#REF!)</f>
        <v>#REF!</v>
      </c>
      <c r="J7"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7"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7" s="289"/>
      <c r="M7" s="288" t="e">
        <f>IF(V1="F",#REF!,#REF!)</f>
        <v>#REF!</v>
      </c>
      <c r="N7"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7" s="289" t="e">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#REF!</v>
      </c>
      <c r="AC7" s="236">
        <v>459</v>
      </c>
      <c r="AD7" s="1">
        <v>10</v>
      </c>
    </row>
    <row r="8" spans="1:30" ht="12.75" customHeight="1" x14ac:dyDescent="0.2">
      <c r="A8" s="241"/>
      <c r="B8" s="242"/>
      <c r="C8" s="249"/>
      <c r="D8" s="244"/>
      <c r="E8" s="244"/>
      <c r="F8" s="244"/>
      <c r="G8" s="243"/>
      <c r="H8" s="283"/>
      <c r="I8" s="288" t="e">
        <f>IF(V1="F",#REF!,#REF!)</f>
        <v>#REF!</v>
      </c>
      <c r="J8"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8"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8" s="289"/>
      <c r="M8" s="288" t="e">
        <f>IF(V1="F",#REF!,#REF!)</f>
        <v>#REF!</v>
      </c>
      <c r="N8"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8" s="289" t="e">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#REF!</v>
      </c>
      <c r="R8" s="320"/>
      <c r="AC8" s="236">
        <v>487</v>
      </c>
      <c r="AD8" s="1">
        <v>11</v>
      </c>
    </row>
    <row r="9" spans="1:30" x14ac:dyDescent="0.2">
      <c r="A9" s="241" t="str">
        <f>IF(V1="F","N° dépôt","Regionallagernr.")</f>
        <v>Regionallagernr.</v>
      </c>
      <c r="B9" s="242"/>
      <c r="C9" s="248">
        <v>32</v>
      </c>
      <c r="D9" s="84"/>
      <c r="E9" s="84"/>
      <c r="F9" s="242"/>
      <c r="G9" s="243"/>
      <c r="H9" s="283"/>
      <c r="I9" s="288" t="e">
        <f>IF(V1="F",#REF!,#REF!)</f>
        <v>#REF!</v>
      </c>
      <c r="J9"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9"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9" s="289"/>
      <c r="M9" s="288" t="e">
        <f>IF(V1="F",#REF!,#REF!)</f>
        <v>#REF!</v>
      </c>
      <c r="N9"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9" s="289" t="e">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#REF!</v>
      </c>
      <c r="T9" s="1">
        <f>C9+60000</f>
        <v>60032</v>
      </c>
      <c r="AC9" s="236">
        <v>497</v>
      </c>
      <c r="AD9" s="1">
        <v>12</v>
      </c>
    </row>
    <row r="10" spans="1:30" x14ac:dyDescent="0.2">
      <c r="A10" s="245"/>
      <c r="B10" s="246"/>
      <c r="C10" s="246"/>
      <c r="D10" s="246"/>
      <c r="E10" s="246"/>
      <c r="F10" s="246"/>
      <c r="G10" s="247"/>
      <c r="H10" s="283"/>
      <c r="I10" s="288" t="e">
        <f>IF(V1="F",#REF!,#REF!)</f>
        <v>#REF!</v>
      </c>
      <c r="J10"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10"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10" s="289"/>
      <c r="M10" s="288" t="e">
        <f>IF(V1="F",#REF!,#REF!)</f>
        <v>#REF!</v>
      </c>
      <c r="N10"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10" s="289" t="e">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#REF!</v>
      </c>
      <c r="AC10" s="236">
        <v>499</v>
      </c>
      <c r="AD10" s="1">
        <v>1</v>
      </c>
    </row>
    <row r="11" spans="1:30" x14ac:dyDescent="0.2">
      <c r="I11" s="288" t="e">
        <f>IF(V1="F",#REF!,#REF!)</f>
        <v>#REF!</v>
      </c>
      <c r="J11"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11"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11" s="289"/>
      <c r="M11" s="288" t="e">
        <f>IF(V1="F",#REF!,#REF!)</f>
        <v>#REF!</v>
      </c>
      <c r="N11"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11" s="289" t="e">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#REF!</v>
      </c>
      <c r="AC11" s="236">
        <v>541</v>
      </c>
      <c r="AD11" s="1">
        <v>2</v>
      </c>
    </row>
    <row r="12" spans="1:30" x14ac:dyDescent="0.2">
      <c r="A12" s="441" t="str">
        <f>IF($V$1="F","Synthèse","Übersicht")</f>
        <v>Übersicht</v>
      </c>
      <c r="B12" s="441"/>
      <c r="C12" s="441"/>
      <c r="F12" s="295"/>
      <c r="G12" s="296" t="s">
        <v>4</v>
      </c>
      <c r="H12" s="284"/>
      <c r="I12" s="288" t="e">
        <f>IF(V1="F",#REF!,#REF!)</f>
        <v>#REF!</v>
      </c>
      <c r="J12"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12"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12" s="289"/>
      <c r="M12" s="288" t="e">
        <f>IF(V1="F",#REF!,#REF!)</f>
        <v>#REF!</v>
      </c>
      <c r="N12"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12" s="289" t="e">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#REF!</v>
      </c>
      <c r="AC12" s="236">
        <v>629</v>
      </c>
      <c r="AD12" s="1">
        <v>3</v>
      </c>
    </row>
    <row r="13" spans="1:30" ht="12.75" customHeight="1" x14ac:dyDescent="0.2">
      <c r="A13" s="267"/>
      <c r="B13" s="264"/>
      <c r="C13" s="268" t="str">
        <f>IF(V1="F","Réalisation","Realisiert")</f>
        <v>Realisiert</v>
      </c>
      <c r="D13" s="269" t="str">
        <f>IF(V1="F","Objectif saiso.","Ziel Saiso.")</f>
        <v>Ziel Saiso.</v>
      </c>
      <c r="E13" s="269" t="str">
        <f>IF(V1="F","Atteinte","Erreichung")</f>
        <v>Erreichung</v>
      </c>
      <c r="F13" s="264"/>
      <c r="G13" s="321"/>
      <c r="H13" s="283"/>
      <c r="I13" s="288" t="e">
        <f>IF(V1="F",#REF!,#REF!)</f>
        <v>#REF!</v>
      </c>
      <c r="J13"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13"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13" s="289"/>
      <c r="M13" s="288" t="e">
        <f>IF(V1="F",#REF!,#REF!)</f>
        <v>#REF!</v>
      </c>
      <c r="N13"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13" s="289" t="e">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#REF!</v>
      </c>
      <c r="AC13" s="236">
        <v>712</v>
      </c>
    </row>
    <row r="14" spans="1:30" x14ac:dyDescent="0.2">
      <c r="A14" s="270" t="str">
        <f>IF(V1="F","Pièces conc.","Konk. Teile")</f>
        <v>Konk. Teile</v>
      </c>
      <c r="B14" s="265"/>
      <c r="C14" s="253">
        <f>D26</f>
        <v>0</v>
      </c>
      <c r="D14" s="254" t="e">
        <f>IF((VLOOKUP($C$9,'RL Ziele'!$A$2:$G$15,2,0))*$U$4=0,"",(VLOOKUP($C$9,'RL Ziele'!$A$2:$G$15,2,0))*$U$4)</f>
        <v>#REF!</v>
      </c>
      <c r="E14" s="317" t="str">
        <f>IF(ISERROR(C14/D14),"",(C14/D14))</f>
        <v/>
      </c>
      <c r="F14" s="265"/>
      <c r="G14" s="322" t="e">
        <f>$U$4</f>
        <v>#REF!</v>
      </c>
      <c r="H14" s="283"/>
      <c r="I14" s="288" t="e">
        <f>IF(V1="F",#REF!,#REF!)</f>
        <v>#REF!</v>
      </c>
      <c r="J14"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14"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14" s="289"/>
      <c r="M14" s="288" t="e">
        <f>IF(V1="F",#REF!,#REF!)</f>
        <v>#REF!</v>
      </c>
      <c r="N14"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14" s="289" t="e">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#REF!</v>
      </c>
      <c r="AC14" s="236">
        <v>954</v>
      </c>
    </row>
    <row r="15" spans="1:30" x14ac:dyDescent="0.2">
      <c r="A15" s="270" t="str">
        <f>IF(V1="F","Accessoires","Zubehör")</f>
        <v>Zubehör</v>
      </c>
      <c r="B15" s="265"/>
      <c r="C15" s="255">
        <f>D34</f>
        <v>0</v>
      </c>
      <c r="D15" s="254" t="e">
        <f>IF((VLOOKUP($C$9,'RL Ziele'!$A$2:$G$15,3,0))*$U$5=0,"",(VLOOKUP($C$9,'RL Ziele'!$A$2:$G$15,3,0))*$U$5)</f>
        <v>#REF!</v>
      </c>
      <c r="E15" s="318" t="str">
        <f>IF(ISERROR(C15/D15),"",(C15/D15))</f>
        <v/>
      </c>
      <c r="F15" s="265"/>
      <c r="G15" s="322" t="e">
        <f>$U$5</f>
        <v>#REF!</v>
      </c>
      <c r="H15" s="283"/>
      <c r="I15" s="288" t="e">
        <f>IF(V1="F",#REF!,#REF!)</f>
        <v>#REF!</v>
      </c>
      <c r="J15"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15"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15" s="289"/>
      <c r="M15" s="288" t="e">
        <f>IF(V1="F",#REF!,#REF!)</f>
        <v>#REF!</v>
      </c>
      <c r="N15"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15" s="289" t="e">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#REF!</v>
      </c>
    </row>
    <row r="16" spans="1:30" x14ac:dyDescent="0.2">
      <c r="A16" s="270" t="str">
        <f>IF(V1="F","Roues","Räder")</f>
        <v>Räder</v>
      </c>
      <c r="B16" s="297" t="s">
        <v>73</v>
      </c>
      <c r="C16" s="257" t="str">
        <f>D42</f>
        <v/>
      </c>
      <c r="D16" s="294" t="str">
        <f>IF(VLOOKUP($C$9,'RL Ziele'!$A$2:$G$15,4,0)=0,"",VLOOKUP($C$9,'RL Ziele'!$A$2:$G$15,4,0))</f>
        <v/>
      </c>
      <c r="E16" s="318" t="str">
        <f>IF(ISERROR(C16/D16),"",(C16/D16))</f>
        <v/>
      </c>
      <c r="F16" s="265"/>
      <c r="G16" s="322"/>
      <c r="H16" s="283"/>
      <c r="I16" s="288" t="e">
        <f>IF(V1="F",#REF!,#REF!)</f>
        <v>#REF!</v>
      </c>
      <c r="J16"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16"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16" s="289"/>
      <c r="M16" s="288" t="s">
        <v>18</v>
      </c>
      <c r="N16"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16" s="289" t="e">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#REF!</v>
      </c>
    </row>
    <row r="17" spans="1:15" x14ac:dyDescent="0.2">
      <c r="A17" s="270" t="str">
        <f>IF(V1="F","Revente","Wiederverkauf")</f>
        <v>Wiederverkauf</v>
      </c>
      <c r="B17" s="265"/>
      <c r="C17" s="258">
        <f>D50</f>
        <v>0</v>
      </c>
      <c r="D17" s="299" t="e">
        <f>IF((VLOOKUP($C$9,'RL Ziele'!$A$2:$G$15,5,0))*$U$6=0,"",(VLOOKUP($C$9,'RL Ziele'!$A$2:$G$15,5,0))*$U$6)</f>
        <v>#REF!</v>
      </c>
      <c r="E17" s="319" t="str">
        <f>IF(ISERROR(C17/D17),"",(C17/D17))</f>
        <v/>
      </c>
      <c r="F17" s="265"/>
      <c r="G17" s="322" t="e">
        <f>$U$6</f>
        <v>#REF!</v>
      </c>
      <c r="H17" s="283"/>
      <c r="I17" s="288" t="e">
        <f>IF(V1="F",#REF!,#REF!)</f>
        <v>#REF!</v>
      </c>
      <c r="J17"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17"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17" s="289"/>
      <c r="M17" s="288" t="s">
        <v>69</v>
      </c>
      <c r="N17"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17" s="289" t="e">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#REF!</v>
      </c>
    </row>
    <row r="18" spans="1:15" x14ac:dyDescent="0.2">
      <c r="A18" s="298" t="str">
        <f>IF(V1="F","* Roues: objectif annuel","* WKR: Jahresziel")</f>
        <v>* WKR: Jahresziel</v>
      </c>
      <c r="B18" s="266"/>
      <c r="C18" s="266"/>
      <c r="D18" s="266"/>
      <c r="E18" s="266"/>
      <c r="F18" s="266"/>
      <c r="G18" s="323"/>
      <c r="H18" s="283"/>
      <c r="I18" s="288" t="e">
        <f>IF(V1="F",#REF!,#REF!)</f>
        <v>#REF!</v>
      </c>
      <c r="J18"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18"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18" s="289"/>
      <c r="M18" s="288" t="e">
        <f>IF(V1="F",#REF!,#REF!)</f>
        <v>#REF!</v>
      </c>
      <c r="N18"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18" s="289" t="e">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#REF!</v>
      </c>
    </row>
    <row r="19" spans="1:15" x14ac:dyDescent="0.2">
      <c r="I19" s="288" t="e">
        <f>IF(V1="F",#REF!,#REF!)</f>
        <v>#REF!</v>
      </c>
      <c r="J19"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19"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19" s="289"/>
      <c r="M19" s="288" t="e">
        <f>IF(V1="F",#REF!,#REF!)</f>
        <v>#REF!</v>
      </c>
      <c r="N19"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19" s="289" t="e">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#REF!</v>
      </c>
    </row>
    <row r="20" spans="1:15" x14ac:dyDescent="0.2">
      <c r="A20" s="441" t="str">
        <f>IF($V$1="F","Pièces concurrencées","Konk. Teile")</f>
        <v>Konk. Teile</v>
      </c>
      <c r="B20" s="441"/>
      <c r="C20" s="441"/>
      <c r="I20" s="288" t="e">
        <f>IF(V1="F",#REF!,#REF!)</f>
        <v>#REF!</v>
      </c>
      <c r="J20"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20"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20" s="289"/>
      <c r="M20" s="288" t="e">
        <f>IF(V1="F",#REF!,#REF!)</f>
        <v>#REF!</v>
      </c>
      <c r="N20"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20" s="289" t="e">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#REF!</v>
      </c>
    </row>
    <row r="21" spans="1:15" ht="12.75" customHeight="1" x14ac:dyDescent="0.2">
      <c r="A21" s="251" t="str">
        <f>IF($V$1="F","Période","Abschnitt")</f>
        <v>Abschnitt</v>
      </c>
      <c r="B21" s="252"/>
      <c r="C21" s="250" t="str">
        <f>IF($V$1="F","Objectif saiso.","Ziel Saiso.")</f>
        <v>Ziel Saiso.</v>
      </c>
      <c r="D21" s="250" t="str">
        <f>IF($V$1="F","Chiffre d'affaire","Umsatz")</f>
        <v>Umsatz</v>
      </c>
      <c r="E21" s="250" t="str">
        <f>IF($V$1="F","Réalisation","Erreichung")</f>
        <v>Erreichung</v>
      </c>
      <c r="F21" s="250" t="s">
        <v>65</v>
      </c>
      <c r="G21" s="240"/>
      <c r="H21" s="283"/>
      <c r="I21" s="288" t="e">
        <f>IF(V1="F",#REF!,#REF!)</f>
        <v>#REF!</v>
      </c>
      <c r="J21"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21"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21" s="289"/>
      <c r="M21" s="288" t="s">
        <v>19</v>
      </c>
      <c r="N21"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21" s="289" t="e">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#REF!</v>
      </c>
    </row>
    <row r="22" spans="1:15" x14ac:dyDescent="0.2">
      <c r="A22" s="241" t="str">
        <f>IF($V$1="F","avr.-juin","Apr.-Jun.")</f>
        <v>Apr.-Jun.</v>
      </c>
      <c r="B22" s="242"/>
      <c r="C22" s="253" t="e">
        <f>IF((VLOOKUP($C$9,'RL Ziele'!A:B,2,0)*#REF!)=0,"",(VLOOKUP($C$9,'RL Ziele'!A:B,2,0)*#REF!))</f>
        <v>#REF!</v>
      </c>
      <c r="D22" s="254"/>
      <c r="E22" s="259" t="str">
        <f>IF(ISERROR(D22/C22),"",(D22/C22))</f>
        <v/>
      </c>
      <c r="F22" s="260"/>
      <c r="G22" s="243"/>
      <c r="H22" s="283"/>
      <c r="I22" s="288" t="e">
        <f>IF(V1="F",#REF!,#REF!)</f>
        <v>#REF!</v>
      </c>
      <c r="J22"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22"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22" s="289"/>
      <c r="M22" s="288" t="e">
        <f>IF(V1="F",#REF!,#REF!)</f>
        <v>#REF!</v>
      </c>
      <c r="N22"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22" s="289" t="e">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#REF!</v>
      </c>
    </row>
    <row r="23" spans="1:15" x14ac:dyDescent="0.2">
      <c r="A23" s="241" t="str">
        <f>IF($V$1="F","juil.-sept.","Jul.-Sept.")</f>
        <v>Jul.-Sept.</v>
      </c>
      <c r="B23" s="242"/>
      <c r="C23" s="255" t="e">
        <f>IF((VLOOKUP($C$9,'RL Ziele'!A:B,2,0)*#REF!)=0,"",(VLOOKUP($C$9,'RL Ziele'!A:B,2,0)*#REF!))</f>
        <v>#REF!</v>
      </c>
      <c r="D23" s="256" t="str">
        <f>IF(ISERROR(VLOOKUP($C$9,'[2]Pivot groupes DR'!$M$4:$AL$19,7,0)),"",(VLOOKUP($C$9,'[2]Pivot groupes DR'!$M$4:$AL$19,7,0)))</f>
        <v/>
      </c>
      <c r="E23" s="261" t="str">
        <f>IF(ISERROR(D23/C23),"",(D23/C23))</f>
        <v/>
      </c>
      <c r="F23" s="262"/>
      <c r="G23" s="243"/>
      <c r="H23" s="283"/>
      <c r="I23" s="288" t="e">
        <f>IF(V1="F",#REF!,#REF!)</f>
        <v>#REF!</v>
      </c>
      <c r="J23"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23"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23" s="289"/>
      <c r="M23" s="288" t="e">
        <f>IF(V1="F",#REF!,#REF!)</f>
        <v>#REF!</v>
      </c>
      <c r="N23"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23" s="289" t="e">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#REF!</v>
      </c>
    </row>
    <row r="24" spans="1:15" x14ac:dyDescent="0.2">
      <c r="A24" s="241" t="str">
        <f>IF($V$1="F","sept.-déc.","Sept.-Dez.")</f>
        <v>Sept.-Dez.</v>
      </c>
      <c r="B24" s="242"/>
      <c r="C24" s="255" t="e">
        <f>IF((VLOOKUP($C$9,'RL Ziele'!A:B,2,0)*#REF!)=0,"",(VLOOKUP($C$9,'RL Ziele'!A:B,2,0)*#REF!))</f>
        <v>#REF!</v>
      </c>
      <c r="D24" s="256" t="str">
        <f>IF(ISERROR(VLOOKUP($C$9,'[2]Pivot groupes DR'!$M$4:$AL$19,12,0)),"",(VLOOKUP($C$9,'[2]Pivot groupes DR'!$M$4:$AL$19,12,0)))</f>
        <v/>
      </c>
      <c r="E24" s="261" t="str">
        <f>IF(ISERROR(D24/C24),"",(D24/C24))</f>
        <v/>
      </c>
      <c r="F24" s="262"/>
      <c r="G24" s="243"/>
      <c r="H24" s="283"/>
      <c r="I24" s="288" t="e">
        <f>IF(V1="F",#REF!,#REF!)</f>
        <v>#REF!</v>
      </c>
      <c r="J24"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24"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24" s="289"/>
      <c r="M24" s="288" t="e">
        <f>IF(V1="F",#REF!,#REF!)</f>
        <v>#REF!</v>
      </c>
      <c r="N24"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24" s="289" t="e">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#REF!</v>
      </c>
    </row>
    <row r="25" spans="1:15" ht="13.5" thickBot="1" x14ac:dyDescent="0.25">
      <c r="A25" s="307" t="str">
        <f>IF($V$1="F","jan.-mars","Jan.-März")</f>
        <v>Jan.-März</v>
      </c>
      <c r="B25" s="308"/>
      <c r="C25" s="304" t="e">
        <f>IF((VLOOKUP($C$9,'RL Ziele'!A:B,2,0)*#REF!)=0,"",(VLOOKUP($C$9,'RL Ziele'!A:B,2,0)*#REF!))</f>
        <v>#REF!</v>
      </c>
      <c r="D25" s="305" t="str">
        <f>IF(ISERROR(VLOOKUP($C$9,'[2]Pivot groupes DR'!$M$4:$AL$19,17,0)),"",(VLOOKUP($C$9,'[2]Pivot groupes DR'!$M$4:$AL$19,17,0)))</f>
        <v/>
      </c>
      <c r="E25" s="305" t="str">
        <f>IF(ISERROR(D25/C25),"",(D25/C25))</f>
        <v/>
      </c>
      <c r="F25" s="306"/>
      <c r="G25" s="243"/>
      <c r="H25" s="283"/>
      <c r="I25" s="288" t="e">
        <f>IF(V1="F",#REF!,#REF!)</f>
        <v>#REF!</v>
      </c>
      <c r="J25"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25"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25" s="289"/>
      <c r="M25" s="288" t="e">
        <f>IF(V1="F",#REF!,#REF!)</f>
        <v>#REF!</v>
      </c>
      <c r="N25"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25" s="289" t="e">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#REF!</v>
      </c>
    </row>
    <row r="26" spans="1:15" x14ac:dyDescent="0.2">
      <c r="A26" s="448" t="s">
        <v>56</v>
      </c>
      <c r="B26" s="449"/>
      <c r="C26" s="300" t="str">
        <f>IF(VLOOKUP($C$9,'RL Ziele'!A:B,2,0)=0,"",VLOOKUP($C$9,'RL Ziele'!A:B,2,0))</f>
        <v/>
      </c>
      <c r="D26" s="301">
        <f>SUM(D22:D25)</f>
        <v>0</v>
      </c>
      <c r="E26" s="302" t="str">
        <f>IF(ISERROR(D26/C26),"",(D26/C26))</f>
        <v/>
      </c>
      <c r="F26" s="303"/>
      <c r="G26" s="247"/>
      <c r="I26" s="288" t="e">
        <f>IF(V1="F",#REF!,#REF!)</f>
        <v>#REF!</v>
      </c>
      <c r="J26"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26"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26" s="289"/>
      <c r="M26" s="288"/>
      <c r="N26" s="288"/>
      <c r="O26" s="288"/>
    </row>
    <row r="27" spans="1:15" x14ac:dyDescent="0.2">
      <c r="I27" s="288" t="e">
        <f>IF(V1="F",#REF!,#REF!)</f>
        <v>#REF!</v>
      </c>
      <c r="J27"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27"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27" s="289"/>
      <c r="M27" s="440" t="str">
        <f>IF(V1="F","Evolution roues","Entwicklung Winterkompletträder")</f>
        <v>Entwicklung Winterkompletträder</v>
      </c>
      <c r="N27" s="440"/>
      <c r="O27" s="440"/>
    </row>
    <row r="28" spans="1:15" x14ac:dyDescent="0.2">
      <c r="A28" s="441" t="str">
        <f>IF($V$1="F","Accessoires","Zubehör")</f>
        <v>Zubehör</v>
      </c>
      <c r="B28" s="441"/>
      <c r="C28" s="441"/>
      <c r="H28" s="283"/>
      <c r="I28" s="288" t="e">
        <f>IF(V1="F",#REF!,#REF!)</f>
        <v>#REF!</v>
      </c>
      <c r="J28"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28"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28" s="289"/>
      <c r="M28" s="286" t="s">
        <v>66</v>
      </c>
      <c r="N28" s="287" t="s">
        <v>67</v>
      </c>
      <c r="O28" s="287" t="s">
        <v>68</v>
      </c>
    </row>
    <row r="29" spans="1:15" x14ac:dyDescent="0.2">
      <c r="A29" s="451" t="str">
        <f>IF($V$1="F","Période","Abschnitt")</f>
        <v>Abschnitt</v>
      </c>
      <c r="B29" s="452"/>
      <c r="C29" s="314" t="str">
        <f>IF($V$1="F","Objectif saiso.","Ziel Saiso.")</f>
        <v>Ziel Saiso.</v>
      </c>
      <c r="D29" s="314" t="str">
        <f>IF($V$1="F","Chiffre d'affaire","Umsatz")</f>
        <v>Umsatz</v>
      </c>
      <c r="E29" s="314" t="str">
        <f>IF($V$1="F","Réalisation","Erreichung")</f>
        <v>Erreichung</v>
      </c>
      <c r="F29" s="314" t="s">
        <v>65</v>
      </c>
      <c r="G29" s="240"/>
      <c r="H29" s="283"/>
      <c r="I29" s="288" t="e">
        <f>IF(V1="F",#REF!,#REF!)</f>
        <v>#REF!</v>
      </c>
      <c r="J29"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29"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29" s="289"/>
      <c r="M29" s="288" t="e">
        <f>IF(V1="F",#REF!,#REF!)</f>
        <v>#REF!</v>
      </c>
      <c r="N29" s="289" t="str">
        <f>IF($V$1="F",IF(ISERROR(INDEX('[2]Evolution DC FY13'!$B$3:$P$59,MATCH(Tableau8[[#This Row],[Description]],'[2]Evolution DC FY13'!$A$3:$A$58,0),MATCH($T$9,'[2]Evolution DC FY13'!$B$2:$P$2,0))),"",(INDEX('[2]Evolution DC FY13'!$B$3:$P$59,MATCH(Tableau8[[#This Row],[Description]],'[2]Evolution DC FY13'!$A$3:$A$58,0),MATCH($T$9,'[2]Evolution DC FY13'!$B$2:$P$2,0)))),IF(ISERROR(INDEX('[2]Evolution DC FY13'!$B$74:$P$131,MATCH(Tableau8[[#This Row],[Description]],'[2]Evolution DC FY13'!$A$74:$A$130,0),MATCH($T$9,'[2]Evolution DC FY13'!$B$73:$P$73,0))),"",(INDEX('[2]Evolution DC FY13'!$B$74:$P$131,MATCH(Tableau8[[#This Row],[Description]],'[2]Evolution DC FY13'!$A$74:$A$130,0),MATCH($T$9,'[2]Evolution DC FY13'!$B$73:$P$73,0)))))</f>
        <v/>
      </c>
      <c r="O29" s="289" t="str">
        <f>IF($V$1="F",IF(ISERROR(INDEX(#REF!,MATCH(Tableau4[[#This Row],[Description]],#REF!,0),MATCH($T$9,#REF!,0))),"",(INDEX(#REF!,MATCH(Tableau8[Description],#REF!,0),MATCH($T$9,#REF!,0)))),IF(ISERROR(INDEX(#REF!,MATCH(Tableau8[Description],#REF!,0),MATCH($T$9,#REF!,0))),"",(INDEX(#REF!,MATCH(Tableau8[Description],#REF!,0),MATCH($T$9,#REF!,0)))))</f>
        <v/>
      </c>
    </row>
    <row r="30" spans="1:15" x14ac:dyDescent="0.2">
      <c r="A30" s="455" t="str">
        <f>IF($V$1="F","avr.-juin","Apr.-Jun.")</f>
        <v>Apr.-Jun.</v>
      </c>
      <c r="B30" s="456"/>
      <c r="C30" s="253" t="e">
        <f>IF((VLOOKUP($C$9,'RL Ziele'!A:G,3,0)*#REF!)=0,"",(VLOOKUP($C$9,'RL Ziele'!A:G,3,0)*#REF!))</f>
        <v>#REF!</v>
      </c>
      <c r="D30" s="254"/>
      <c r="E30" s="259" t="str">
        <f>IF(ISERROR(D30/C30),"",(D30/C30))</f>
        <v/>
      </c>
      <c r="F30" s="260"/>
      <c r="G30" s="243"/>
      <c r="H30" s="283"/>
      <c r="I30" s="288" t="e">
        <f>IF(V1="F",#REF!,#REF!)</f>
        <v>#REF!</v>
      </c>
      <c r="J30"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30"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30" s="289"/>
      <c r="M30" s="288"/>
      <c r="N30" s="288"/>
      <c r="O30" s="288"/>
    </row>
    <row r="31" spans="1:15" x14ac:dyDescent="0.2">
      <c r="A31" s="455" t="str">
        <f>IF($V$1="F","juil.-sept.","Jul.-Sept.")</f>
        <v>Jul.-Sept.</v>
      </c>
      <c r="B31" s="456"/>
      <c r="C31" s="255" t="e">
        <f>IF((VLOOKUP($C$9,'RL Ziele'!A:G,3,0)*#REF!)=0,"",(VLOOKUP($C$9,'RL Ziele'!A:G,3,0)*#REF!))</f>
        <v>#REF!</v>
      </c>
      <c r="D31" s="256" t="str">
        <f>IF(ISERROR(VLOOKUP($C$9,'[2]Pivot groupes DR'!$M$4:$AL$19,8,0)),"",(VLOOKUP($C$9,'[2]Pivot groupes DR'!$M$4:$AL$19,8,0)))</f>
        <v/>
      </c>
      <c r="E31" s="261" t="str">
        <f>IF(ISERROR(D31/C31),"",(D31/C31))</f>
        <v/>
      </c>
      <c r="F31" s="262"/>
      <c r="G31" s="243"/>
      <c r="H31" s="283"/>
      <c r="I31" s="288" t="e">
        <f>IF(V1="F",#REF!,#REF!)</f>
        <v>#REF!</v>
      </c>
      <c r="J31"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31"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31" s="289"/>
      <c r="M31" s="288"/>
      <c r="N31" s="288"/>
      <c r="O31" s="288"/>
    </row>
    <row r="32" spans="1:15" x14ac:dyDescent="0.2">
      <c r="A32" s="455" t="str">
        <f>IF($V$1="F","sept.-déc.","Sept.-Dez.")</f>
        <v>Sept.-Dez.</v>
      </c>
      <c r="B32" s="456"/>
      <c r="C32" s="255" t="e">
        <f>IF((VLOOKUP($C$9,'RL Ziele'!A:G,3,0)*#REF!)=0,"",(VLOOKUP($C$9,'RL Ziele'!A:G,3,0)*#REF!))</f>
        <v>#REF!</v>
      </c>
      <c r="D32" s="256" t="str">
        <f>IF(ISERROR(VLOOKUP($C$9,'[2]Pivot groupes DR'!$M$4:$AL$19,13,0)),"",(VLOOKUP($C$9,'[2]Pivot groupes DR'!$M$4:$AL$19,13,0)))</f>
        <v/>
      </c>
      <c r="E32" s="261" t="str">
        <f>IF(ISERROR(D32/C32),"",(D32/C32))</f>
        <v/>
      </c>
      <c r="F32" s="262"/>
      <c r="G32" s="243"/>
      <c r="H32" s="283"/>
      <c r="I32" s="288" t="e">
        <f>IF(V1="F",#REF!,#REF!)</f>
        <v>#REF!</v>
      </c>
      <c r="J32"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32"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32" s="289"/>
      <c r="M32" s="288"/>
      <c r="N32" s="288"/>
      <c r="O32" s="288"/>
    </row>
    <row r="33" spans="1:15" ht="13.5" thickBot="1" x14ac:dyDescent="0.25">
      <c r="A33" s="453" t="str">
        <f>IF($V$1="F","jan.-mars","Jan.-März")</f>
        <v>Jan.-März</v>
      </c>
      <c r="B33" s="454"/>
      <c r="C33" s="309" t="e">
        <f>IF((VLOOKUP($C$9,'RL Ziele'!A:G,3,0)*#REF!)=0,"",(VLOOKUP($C$9,'RL Ziele'!A:G,3,0)*#REF!))</f>
        <v>#REF!</v>
      </c>
      <c r="D33" s="305" t="str">
        <f>IF(ISERROR(VLOOKUP($C$9,'[2]Pivot groupes DR'!$M$6:$AE$19,18,0)),"",(VLOOKUP($C$9,'[2]Pivot groupes DR'!$M$4:$AL$19,18,0)))</f>
        <v/>
      </c>
      <c r="E33" s="305" t="str">
        <f>IF(ISERROR(D33/C33),"",(D33/C33))</f>
        <v/>
      </c>
      <c r="F33" s="310"/>
      <c r="G33" s="243"/>
      <c r="I33" s="288" t="e">
        <f>IF(V1="F",#REF!,#REF!)</f>
        <v>#REF!</v>
      </c>
      <c r="J33"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33"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33" s="289"/>
      <c r="M33" s="288"/>
      <c r="N33" s="288"/>
      <c r="O33" s="288"/>
    </row>
    <row r="34" spans="1:15" x14ac:dyDescent="0.2">
      <c r="A34" s="448" t="s">
        <v>56</v>
      </c>
      <c r="B34" s="449"/>
      <c r="C34" s="300" t="str">
        <f>IF((VLOOKUP($C$9,'RL Ziele'!A:B,2,0))=0,"",(VLOOKUP($C$9,'RL Ziele'!A:B,2,0)))</f>
        <v/>
      </c>
      <c r="D34" s="301">
        <f>SUM(D30:D33)</f>
        <v>0</v>
      </c>
      <c r="E34" s="302" t="str">
        <f>IF(ISERROR(D34/C34),"",(D34/C34))</f>
        <v/>
      </c>
      <c r="F34" s="303"/>
      <c r="G34" s="247"/>
      <c r="I34" s="288" t="e">
        <f>IF(V1="F",#REF!,#REF!)</f>
        <v>#REF!</v>
      </c>
      <c r="J34"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34"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34" s="289"/>
      <c r="M34" s="288"/>
      <c r="N34" s="288"/>
      <c r="O34" s="288"/>
    </row>
    <row r="35" spans="1:15" x14ac:dyDescent="0.2">
      <c r="H35" s="283"/>
      <c r="I35" s="288" t="e">
        <f>IF(V1="F",#REF!,#REF!)</f>
        <v>#REF!</v>
      </c>
      <c r="J35"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35"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35" s="289"/>
      <c r="M35" s="288"/>
      <c r="N35" s="288"/>
      <c r="O35" s="288"/>
    </row>
    <row r="36" spans="1:15" x14ac:dyDescent="0.2">
      <c r="A36" s="441" t="str">
        <f>IF($V$1="F","Roues","Räder")</f>
        <v>Räder</v>
      </c>
      <c r="B36" s="441"/>
      <c r="C36" s="441"/>
      <c r="H36" s="283"/>
      <c r="I36" s="288" t="e">
        <f>IF(V1="F",#REF!,#REF!)</f>
        <v>#REF!</v>
      </c>
      <c r="J36"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36"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36" s="289"/>
      <c r="M36" s="288"/>
      <c r="N36" s="288"/>
      <c r="O36" s="288"/>
    </row>
    <row r="37" spans="1:15" x14ac:dyDescent="0.2">
      <c r="A37" s="451" t="str">
        <f>IF($V$1="F","Période","Abschnitt")</f>
        <v>Abschnitt</v>
      </c>
      <c r="B37" s="452"/>
      <c r="C37" s="314" t="str">
        <f>IF($V$1="F","Objectif annuel","Jahresziel")</f>
        <v>Jahresziel</v>
      </c>
      <c r="D37" s="314" t="str">
        <f>IF($V$1="F","Quantité","Menge")</f>
        <v>Menge</v>
      </c>
      <c r="E37" s="314" t="str">
        <f>IF($V$1="F","Réalisation","Erreichung")</f>
        <v>Erreichung</v>
      </c>
      <c r="F37" s="314" t="s">
        <v>65</v>
      </c>
      <c r="G37" s="240"/>
      <c r="H37" s="283"/>
      <c r="I37" s="288" t="e">
        <f>IF(V1="F",#REF!,#REF!)</f>
        <v>#REF!</v>
      </c>
      <c r="J37"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37"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37" s="289"/>
      <c r="M37" s="288"/>
      <c r="N37" s="288"/>
      <c r="O37" s="288"/>
    </row>
    <row r="38" spans="1:15" x14ac:dyDescent="0.2">
      <c r="A38" s="455" t="str">
        <f>IF($V$1="F","avr.-juin","Apr.-Jun.")</f>
        <v>Apr.-Jun.</v>
      </c>
      <c r="B38" s="456"/>
      <c r="C38" s="446" t="str">
        <f>IF(VLOOKUP($C$9,'RL Ziele'!A:G,4,0)=0,"",VLOOKUP($C$9,'RL Ziele'!A:G,4,0))</f>
        <v/>
      </c>
      <c r="D38" s="271" t="str">
        <f>IF(IF(ISERROR(VLOOKUP($C$9,'[2]Pivot groupes DR'!$M$4:$AL$19,5,0)),"",(VLOOKUP($C$9,'[2]Pivot groupes DR'!$M$4:$AL$19,5,0)))=0,"",IF(ISERROR(VLOOKUP($C$9,'[2]Pivot groupes DR'!$M$4:$AL$19,5,0)),"",(VLOOKUP($C$9,'[2]Pivot groupes DR'!$M$4:$AL$19,5,0))))</f>
        <v/>
      </c>
      <c r="E38" s="259" t="str">
        <f>IF(ISERROR(D38/C38),"",(D38/C38))</f>
        <v/>
      </c>
      <c r="F38" s="260"/>
      <c r="G38" s="243"/>
      <c r="H38" s="283"/>
      <c r="I38" s="288" t="e">
        <f>IF(V1="F",#REF!,#REF!)</f>
        <v>#REF!</v>
      </c>
      <c r="J38"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38"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38" s="289"/>
      <c r="M38" s="288"/>
      <c r="N38" s="288"/>
      <c r="O38" s="288"/>
    </row>
    <row r="39" spans="1:15" x14ac:dyDescent="0.2">
      <c r="A39" s="455" t="str">
        <f>IF($V$1="F","juil.-sept.","Jul.-Sept.")</f>
        <v>Jul.-Sept.</v>
      </c>
      <c r="B39" s="456"/>
      <c r="C39" s="446"/>
      <c r="D39" s="272" t="str">
        <f>IF(ISERROR(VLOOKUP($C$9,'[2]Pivot groupes DR'!$M$4:$AL$19,10,0)),"",(VLOOKUP($C$9,'[2]Pivot groupes DR'!$M$4:$AL$19,10,0)))</f>
        <v/>
      </c>
      <c r="E39" s="261" t="str">
        <f>IF(ISERROR(D39/C38),"",(D39/C38))</f>
        <v/>
      </c>
      <c r="F39" s="262"/>
      <c r="G39" s="243"/>
      <c r="H39" s="283"/>
      <c r="I39" s="288" t="e">
        <f>IF(V1="F",#REF!,#REF!)</f>
        <v>#REF!</v>
      </c>
      <c r="J39"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39"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39" s="289"/>
      <c r="M39" s="288"/>
      <c r="N39" s="288"/>
      <c r="O39" s="288"/>
    </row>
    <row r="40" spans="1:15" x14ac:dyDescent="0.2">
      <c r="A40" s="455" t="str">
        <f>IF($V$1="F","sept.-déc.","Sept.-Dez.")</f>
        <v>Sept.-Dez.</v>
      </c>
      <c r="B40" s="456"/>
      <c r="C40" s="446"/>
      <c r="D40" s="272" t="str">
        <f>IF(ISERROR(VLOOKUP($C$9,'[2]Pivot groupes DR'!$M$4:$AL$19,15,0)),"",(VLOOKUP($C$9,'[2]Pivot groupes DR'!$M$4:$AL$19,15,0)))</f>
        <v/>
      </c>
      <c r="E40" s="261" t="str">
        <f>IF(ISERROR(D40/C38),"",(D40/C38))</f>
        <v/>
      </c>
      <c r="F40" s="262"/>
      <c r="G40" s="243"/>
      <c r="I40" s="288"/>
      <c r="J40" s="289"/>
      <c r="K40" s="289"/>
      <c r="L40" s="289"/>
      <c r="M40" s="288"/>
      <c r="N40" s="288"/>
      <c r="O40" s="288"/>
    </row>
    <row r="41" spans="1:15" ht="13.5" thickBot="1" x14ac:dyDescent="0.25">
      <c r="A41" s="453" t="str">
        <f>IF($V$1="F","jan.-mars","Jan.-März")</f>
        <v>Jan.-März</v>
      </c>
      <c r="B41" s="454"/>
      <c r="C41" s="447"/>
      <c r="D41" s="311" t="str">
        <f>IF(ISERROR(VLOOKUP($C$9,'[2]Pivot groupes DR'!$M$6:$AE$19,20,0)),"",(VLOOKUP($C$9,'[2]Pivot groupes DR'!$M$6:$AE$19,20,0)))</f>
        <v/>
      </c>
      <c r="E41" s="305" t="str">
        <f>IF(ISERROR(D41/C38),"",(D41/C38))</f>
        <v/>
      </c>
      <c r="F41" s="310"/>
      <c r="G41" s="243"/>
      <c r="I41" s="276"/>
      <c r="J41" s="276"/>
      <c r="K41" s="278"/>
      <c r="L41" s="278"/>
      <c r="M41" s="288"/>
      <c r="N41" s="288"/>
      <c r="O41" s="288"/>
    </row>
    <row r="42" spans="1:15" x14ac:dyDescent="0.2">
      <c r="A42" s="448" t="s">
        <v>56</v>
      </c>
      <c r="B42" s="449"/>
      <c r="C42" s="312" t="str">
        <f>C38</f>
        <v/>
      </c>
      <c r="D42" s="313" t="str">
        <f>IF(SUM(D38:D41)=0,"",SUM(D38:D41))</f>
        <v/>
      </c>
      <c r="E42" s="302" t="str">
        <f>IF(ISERROR(D42/C42),"",(D42/C42))</f>
        <v/>
      </c>
      <c r="F42" s="303"/>
      <c r="G42" s="247"/>
      <c r="H42" s="283"/>
      <c r="I42" s="276"/>
      <c r="J42" s="276"/>
      <c r="K42" s="278"/>
      <c r="L42" s="278"/>
      <c r="M42" s="288"/>
      <c r="N42" s="288"/>
      <c r="O42" s="288"/>
    </row>
    <row r="43" spans="1:15" x14ac:dyDescent="0.2">
      <c r="H43" s="283"/>
      <c r="I43" s="276"/>
      <c r="J43" s="276"/>
      <c r="K43" s="278"/>
      <c r="L43" s="278"/>
      <c r="M43" s="288"/>
      <c r="N43" s="288"/>
      <c r="O43" s="288"/>
    </row>
    <row r="44" spans="1:15" x14ac:dyDescent="0.2">
      <c r="A44" s="441" t="str">
        <f>IF($V$1="F","Revente","Wiederverkauf")</f>
        <v>Wiederverkauf</v>
      </c>
      <c r="B44" s="441"/>
      <c r="C44" s="441"/>
      <c r="H44" s="283"/>
      <c r="I44" s="276"/>
      <c r="J44" s="276"/>
      <c r="K44" s="278"/>
      <c r="L44" s="278"/>
      <c r="M44" s="288"/>
      <c r="N44" s="288"/>
      <c r="O44" s="288"/>
    </row>
    <row r="45" spans="1:15" x14ac:dyDescent="0.2">
      <c r="A45" s="451" t="str">
        <f>IF($V$1="F","Période","Abschnitt")</f>
        <v>Abschnitt</v>
      </c>
      <c r="B45" s="452"/>
      <c r="C45" s="314" t="str">
        <f>IF($V$1="F","Objectif saiso.","Ziel Saiso.")</f>
        <v>Ziel Saiso.</v>
      </c>
      <c r="D45" s="314" t="str">
        <f>IF($V$1="F","CA trimestre","Ums. Trimester")</f>
        <v>Ums. Trimester</v>
      </c>
      <c r="E45" s="314" t="str">
        <f>IF($V$1="F","Réalisation","Erreichung")</f>
        <v>Erreichung</v>
      </c>
      <c r="F45" s="314" t="s">
        <v>65</v>
      </c>
      <c r="G45" s="240"/>
      <c r="H45" s="283"/>
      <c r="I45" s="276"/>
      <c r="J45" s="276"/>
      <c r="K45" s="278"/>
      <c r="L45" s="278"/>
      <c r="M45" s="288"/>
      <c r="N45" s="288"/>
      <c r="O45" s="288"/>
    </row>
    <row r="46" spans="1:15" x14ac:dyDescent="0.2">
      <c r="A46" s="455" t="str">
        <f>IF($V$1="F","avr.-juin","Apr.-Jun.")</f>
        <v>Apr.-Jun.</v>
      </c>
      <c r="B46" s="456"/>
      <c r="C46" s="253" t="e">
        <f>IF((VLOOKUP($C$9,'RL Ziele'!A:G,5,0)*#REF!)=0,"",(VLOOKUP($C$9,'RL Ziele'!A:G,5,0)*#REF!))</f>
        <v>#REF!</v>
      </c>
      <c r="D46" s="254" t="str">
        <f>IF(ISERROR(VLOOKUP($C$9,#REF!,7,0)),"",(VLOOKUP($C$9,#REF!,7,0)))</f>
        <v/>
      </c>
      <c r="E46" s="259" t="str">
        <f>IF(ISERROR(D46/C46),"",(D46/C46))</f>
        <v/>
      </c>
      <c r="F46" s="260"/>
      <c r="G46" s="243"/>
      <c r="H46" s="283"/>
      <c r="I46" s="276"/>
      <c r="J46" s="276"/>
      <c r="K46" s="278"/>
      <c r="L46" s="278"/>
      <c r="M46" s="288"/>
      <c r="N46" s="288"/>
      <c r="O46" s="288"/>
    </row>
    <row r="47" spans="1:15" x14ac:dyDescent="0.2">
      <c r="A47" s="455" t="str">
        <f>IF($V$1="F","juil.-sept.","Jul.-Sept.")</f>
        <v>Jul.-Sept.</v>
      </c>
      <c r="B47" s="456"/>
      <c r="C47" s="255" t="e">
        <f>IF((VLOOKUP($C$9,'RL Ziele'!A:G,5,0)*#REF!)=0,"",(VLOOKUP($C$9,'RL Ziele'!A:G,5,0)*#REF!))</f>
        <v>#REF!</v>
      </c>
      <c r="D47" s="256" t="str">
        <f>IF(ISERROR(VLOOKUP($C$9,#REF!,13,0)),"",(VLOOKUP($C$9,#REF!,13,0)))</f>
        <v/>
      </c>
      <c r="E47" s="261" t="str">
        <f>IF(ISERROR(D47/C47),"",(D47/C47))</f>
        <v/>
      </c>
      <c r="F47" s="262"/>
      <c r="G47" s="243"/>
      <c r="I47" s="276"/>
      <c r="J47" s="276"/>
      <c r="K47" s="278"/>
      <c r="L47" s="278"/>
      <c r="M47" s="288"/>
      <c r="N47" s="288"/>
      <c r="O47" s="288"/>
    </row>
    <row r="48" spans="1:15" x14ac:dyDescent="0.2">
      <c r="A48" s="455" t="str">
        <f>IF($V$1="F","sept.-déc.","Sept.-Dez.")</f>
        <v>Sept.-Dez.</v>
      </c>
      <c r="B48" s="456"/>
      <c r="C48" s="255" t="e">
        <f>IF((VLOOKUP($C$9,'RL Ziele'!A:G,5,0)*#REF!)=0,"",(VLOOKUP($C$9,'RL Ziele'!A:G,5,0)*#REF!))</f>
        <v>#REF!</v>
      </c>
      <c r="D48" s="256" t="str">
        <f>IF(ISERROR(VLOOKUP($C$9,#REF!,19,0)),"",(VLOOKUP($C$9,#REF!,19,0)))</f>
        <v/>
      </c>
      <c r="E48" s="261" t="str">
        <f>IF(ISERROR(D48/C48),"",(D48/C48))</f>
        <v/>
      </c>
      <c r="F48" s="262"/>
      <c r="G48" s="243"/>
      <c r="I48" s="276"/>
      <c r="J48" s="276"/>
      <c r="K48" s="278"/>
      <c r="L48" s="278"/>
      <c r="M48" s="288"/>
      <c r="N48" s="288"/>
      <c r="O48" s="288"/>
    </row>
    <row r="49" spans="1:15" ht="13.5" thickBot="1" x14ac:dyDescent="0.25">
      <c r="A49" s="453" t="str">
        <f>IF($V$1="F","jan.-mars","Jan.-März")</f>
        <v>Jan.-März</v>
      </c>
      <c r="B49" s="454"/>
      <c r="C49" s="309" t="e">
        <f>IF((VLOOKUP($C$9,'RL Ziele'!A:G,5,0)*#REF!)=0,"",(VLOOKUP($C$9,'RL Ziele'!A:G,5,0)*#REF!))</f>
        <v>#REF!</v>
      </c>
      <c r="D49" s="305" t="str">
        <f>IF(ISERROR(VLOOKUP($C$9,#REF!,25,0)),"",(VLOOKUP($C$9,#REF!,25,0)))</f>
        <v/>
      </c>
      <c r="E49" s="305" t="str">
        <f>IF(ISERROR(D49/C49),"",(D49/C49))</f>
        <v/>
      </c>
      <c r="F49" s="310"/>
      <c r="G49" s="243"/>
      <c r="I49" s="276"/>
      <c r="J49" s="276"/>
      <c r="K49" s="278"/>
      <c r="L49" s="278"/>
      <c r="M49" s="288"/>
      <c r="N49" s="288"/>
      <c r="O49" s="288"/>
    </row>
    <row r="50" spans="1:15" x14ac:dyDescent="0.2">
      <c r="A50" s="448" t="s">
        <v>56</v>
      </c>
      <c r="B50" s="449"/>
      <c r="C50" s="316" t="e">
        <f>IF((SUM(C46:C49)=0),"",(SUM(C46:C49)=0))</f>
        <v>#REF!</v>
      </c>
      <c r="D50" s="315">
        <f>SUM(D46:D49)</f>
        <v>0</v>
      </c>
      <c r="E50" s="302" t="str">
        <f>IF(ISERROR(D50/C50),"",(D50/C50))</f>
        <v/>
      </c>
      <c r="F50" s="303"/>
      <c r="G50" s="247"/>
      <c r="H50" s="283"/>
      <c r="I50" s="276"/>
      <c r="J50" s="276"/>
      <c r="K50" s="278"/>
      <c r="L50" s="278"/>
      <c r="M50" s="288"/>
      <c r="N50" s="288"/>
      <c r="O50" s="288"/>
    </row>
    <row r="51" spans="1:15" x14ac:dyDescent="0.2">
      <c r="H51" s="283"/>
      <c r="I51" s="276"/>
      <c r="J51" s="276"/>
      <c r="K51" s="278"/>
      <c r="L51" s="278"/>
      <c r="M51" s="278"/>
      <c r="N51" s="276"/>
      <c r="O51" s="276"/>
    </row>
    <row r="52" spans="1:15" x14ac:dyDescent="0.2">
      <c r="H52" s="283"/>
      <c r="I52" s="276"/>
      <c r="J52" s="276"/>
      <c r="K52" s="278"/>
      <c r="L52" s="278"/>
      <c r="M52" s="278"/>
      <c r="N52" s="276"/>
      <c r="O52" s="276"/>
    </row>
    <row r="53" spans="1:15" x14ac:dyDescent="0.2">
      <c r="A53" s="441" t="str">
        <f>IF($V$1="F","Croissance CA","Umsatzwachstum")</f>
        <v>Umsatzwachstum</v>
      </c>
      <c r="B53" s="441"/>
      <c r="C53" s="441"/>
      <c r="H53" s="283"/>
      <c r="I53" s="276"/>
      <c r="J53" s="276"/>
      <c r="K53" s="278"/>
      <c r="L53" s="278"/>
      <c r="M53" s="278"/>
      <c r="N53" s="276"/>
      <c r="O53" s="276"/>
    </row>
    <row r="54" spans="1:15" x14ac:dyDescent="0.2">
      <c r="A54" s="251" t="str">
        <f>IF($V$1="F","Période","Abschnitt")</f>
        <v>Abschnitt</v>
      </c>
      <c r="B54" s="252"/>
      <c r="C54" s="250" t="str">
        <f>IF($V$1="F","FY13 cumulé","FY13 kum.")</f>
        <v>FY13 kum.</v>
      </c>
      <c r="D54" s="250" t="str">
        <f>IF($V$1="F","FY12 cumulé","FY12 kum.")</f>
        <v>FY12 kum.</v>
      </c>
      <c r="E54" s="250" t="str">
        <f>IF($V$1="F","Evolution","Wachstum")</f>
        <v>Wachstum</v>
      </c>
      <c r="F54" s="250" t="s">
        <v>65</v>
      </c>
      <c r="G54" s="240"/>
      <c r="H54" s="283"/>
      <c r="L54" s="278"/>
      <c r="M54" s="278"/>
      <c r="N54" s="276"/>
      <c r="O54" s="276"/>
    </row>
    <row r="55" spans="1:15" x14ac:dyDescent="0.2">
      <c r="A55" s="241" t="str">
        <f>IF($V$1="F","avr.-juin","Apr.-Jun.")</f>
        <v>Apr.-Jun.</v>
      </c>
      <c r="B55" s="242"/>
      <c r="C55" s="273"/>
      <c r="D55" s="254" t="e">
        <f>VLOOKUP($C$9,#REF!,3,0)</f>
        <v>#REF!</v>
      </c>
      <c r="E55" s="259" t="str">
        <f>IF(C55="","",(C55-D55)/D55)</f>
        <v/>
      </c>
      <c r="F55" s="260"/>
      <c r="G55" s="243"/>
      <c r="H55" s="283"/>
      <c r="M55" s="278"/>
      <c r="N55" s="276"/>
      <c r="O55" s="276"/>
    </row>
    <row r="56" spans="1:15" x14ac:dyDescent="0.2">
      <c r="A56" s="241" t="str">
        <f>IF($V$1="F","avr.-sept.","Apr.-Sept.")</f>
        <v>Apr.-Sept.</v>
      </c>
      <c r="B56" s="242"/>
      <c r="C56" s="274" t="str">
        <f>IF(ISERROR((VLOOKUP($C$9,'[2]Pivot groupes DR'!$M$4:$AL$19,11,0))+C55),"",((VLOOKUP($C$9,'[2]Pivot groupes DR'!$M$4:$AL$19,11,0))+C55))</f>
        <v/>
      </c>
      <c r="D56" s="254" t="e">
        <f>VLOOKUP($C$9,#REF!,6,0)</f>
        <v>#REF!</v>
      </c>
      <c r="E56" s="259" t="str">
        <f t="shared" ref="E56:E58" si="0">IF(C56="","",(C56-D56)/D56)</f>
        <v/>
      </c>
      <c r="F56" s="262"/>
      <c r="G56" s="243"/>
      <c r="M56" s="278"/>
      <c r="N56" s="276"/>
    </row>
    <row r="57" spans="1:15" x14ac:dyDescent="0.2">
      <c r="A57" s="241" t="str">
        <f>IF($V$1="F","avr.-déc.","Apr.-Dez.")</f>
        <v>Apr.-Dez.</v>
      </c>
      <c r="B57" s="242"/>
      <c r="C57" s="274" t="str">
        <f>IF(ISERROR(VLOOKUP($C$9,'[2]Pivot groupes DR'!$M$4:$AL$19,16,0)+C56),"",(VLOOKUP($C$9,'[2]Pivot groupes DR'!$M$4:$AL$19,16,0))+C56)</f>
        <v/>
      </c>
      <c r="D57" s="254" t="e">
        <f>VLOOKUP($C$9,#REF!,9,0)</f>
        <v>#REF!</v>
      </c>
      <c r="E57" s="259" t="str">
        <f t="shared" si="0"/>
        <v/>
      </c>
      <c r="F57" s="262"/>
      <c r="G57" s="243"/>
      <c r="M57" s="278"/>
    </row>
    <row r="58" spans="1:15" x14ac:dyDescent="0.2">
      <c r="A58" s="245" t="str">
        <f>IF($V$1="F","avr.-mars","Apr.-März")</f>
        <v>Apr.-März</v>
      </c>
      <c r="B58" s="246"/>
      <c r="C58" s="275" t="str">
        <f>IF(ISERROR(VLOOKUP($C$9,'[2]Pivot groupes DR'!$M$4:$AL$19,21,0)+C57),"",(VLOOKUP($C$9,'[2]Pivot groupes DR'!$M$4:$AL$19,21,0))+C57)</f>
        <v/>
      </c>
      <c r="D58" s="254" t="e">
        <f>VLOOKUP($C$9,#REF!,12,0)</f>
        <v>#REF!</v>
      </c>
      <c r="E58" s="259" t="str">
        <f t="shared" si="0"/>
        <v/>
      </c>
      <c r="F58" s="263"/>
      <c r="G58" s="247"/>
      <c r="M58" s="278"/>
    </row>
    <row r="59" spans="1:15" x14ac:dyDescent="0.2">
      <c r="M59" s="278"/>
    </row>
    <row r="60" spans="1:15" x14ac:dyDescent="0.2">
      <c r="M60" s="278"/>
    </row>
    <row r="61" spans="1:15" x14ac:dyDescent="0.2">
      <c r="A61" s="441" t="str">
        <f>IF($V$1="F","Agents rattachés","Angeschlossene Händler")</f>
        <v>Angeschlossene Händler</v>
      </c>
      <c r="B61" s="441"/>
      <c r="C61" s="441"/>
      <c r="M61" s="278"/>
    </row>
    <row r="62" spans="1:15" x14ac:dyDescent="0.2">
      <c r="M62" s="278"/>
    </row>
    <row r="63" spans="1:15" x14ac:dyDescent="0.2">
      <c r="A63" s="106"/>
      <c r="B63" s="107"/>
      <c r="C63" s="106"/>
      <c r="D63" s="108"/>
      <c r="E63" s="108"/>
      <c r="F63" s="108"/>
      <c r="G63" s="83" t="s">
        <v>23</v>
      </c>
      <c r="H63" s="326" t="s">
        <v>4</v>
      </c>
      <c r="I63" s="427" t="s">
        <v>104</v>
      </c>
      <c r="M63" s="278"/>
    </row>
    <row r="64" spans="1:15" x14ac:dyDescent="0.2">
      <c r="A64" s="93" t="s">
        <v>89</v>
      </c>
      <c r="B64" s="92"/>
      <c r="C64" s="13"/>
      <c r="D64" s="12"/>
      <c r="E64" s="12"/>
      <c r="F64" s="12"/>
      <c r="G64" s="82">
        <f>DATE($L$2,$K$2+1,0)</f>
        <v>0</v>
      </c>
      <c r="H64" s="327">
        <f>$K$3</f>
        <v>0</v>
      </c>
      <c r="I64" s="428"/>
    </row>
    <row r="65" spans="1:9" x14ac:dyDescent="0.2">
      <c r="A65" s="12"/>
      <c r="B65" s="12"/>
      <c r="C65" s="12"/>
      <c r="D65" s="17"/>
      <c r="E65" s="12"/>
      <c r="F65" s="12"/>
      <c r="G65" s="12"/>
      <c r="H65" s="12"/>
      <c r="I65" s="428"/>
    </row>
    <row r="66" spans="1:9" x14ac:dyDescent="0.2">
      <c r="A66" s="12"/>
      <c r="B66" s="12"/>
      <c r="C66" s="88"/>
      <c r="D66" s="290" t="s">
        <v>8</v>
      </c>
      <c r="E66" s="89" t="s">
        <v>9</v>
      </c>
      <c r="F66" s="290" t="s">
        <v>10</v>
      </c>
      <c r="G66" s="90" t="s">
        <v>11</v>
      </c>
      <c r="H66" s="290" t="s">
        <v>12</v>
      </c>
      <c r="I66" s="428"/>
    </row>
    <row r="67" spans="1:9" ht="15" x14ac:dyDescent="0.25">
      <c r="A67" s="431">
        <v>3.1</v>
      </c>
      <c r="B67" s="95">
        <v>4</v>
      </c>
      <c r="C67" s="96" t="s">
        <v>90</v>
      </c>
      <c r="D67" s="291" t="e">
        <f>VLOOKUP(B67,#REF!,7,0)</f>
        <v>#REF!</v>
      </c>
      <c r="E67" s="291" t="e">
        <f t="shared" ref="E67:E76" si="1">F67*$K$3</f>
        <v>#REF!</v>
      </c>
      <c r="F67" s="291" t="e">
        <f>VLOOKUP(B67,#REF!,7,0)</f>
        <v>#REF!</v>
      </c>
      <c r="G67" s="97" t="e">
        <f>D67/E67</f>
        <v>#REF!</v>
      </c>
      <c r="H67" s="328" t="e">
        <f>D67/F67</f>
        <v>#REF!</v>
      </c>
      <c r="I67" s="428"/>
    </row>
    <row r="68" spans="1:9" ht="15" x14ac:dyDescent="0.25">
      <c r="A68" s="432"/>
      <c r="B68" s="95">
        <v>105</v>
      </c>
      <c r="C68" s="96" t="s">
        <v>91</v>
      </c>
      <c r="D68" s="291" t="e">
        <f>VLOOKUP(B68,#REF!,7,0)</f>
        <v>#REF!</v>
      </c>
      <c r="E68" s="291" t="e">
        <f t="shared" si="1"/>
        <v>#REF!</v>
      </c>
      <c r="F68" s="291" t="e">
        <f>VLOOKUP(B68,#REF!,7,0)</f>
        <v>#REF!</v>
      </c>
      <c r="G68" s="97" t="e">
        <f t="shared" ref="G68:G77" si="2">D68/E68</f>
        <v>#REF!</v>
      </c>
      <c r="H68" s="328" t="e">
        <f t="shared" ref="H68:H77" si="3">D68/F68</f>
        <v>#REF!</v>
      </c>
      <c r="I68" s="428"/>
    </row>
    <row r="69" spans="1:9" ht="15" x14ac:dyDescent="0.25">
      <c r="A69" s="432"/>
      <c r="B69" s="95">
        <v>115</v>
      </c>
      <c r="C69" s="96" t="s">
        <v>92</v>
      </c>
      <c r="D69" s="291" t="e">
        <f>VLOOKUP(B69,#REF!,7,0)</f>
        <v>#REF!</v>
      </c>
      <c r="E69" s="291" t="e">
        <f t="shared" si="1"/>
        <v>#REF!</v>
      </c>
      <c r="F69" s="291" t="e">
        <f>VLOOKUP(B69,#REF!,7,0)</f>
        <v>#REF!</v>
      </c>
      <c r="G69" s="97" t="e">
        <f t="shared" si="2"/>
        <v>#REF!</v>
      </c>
      <c r="H69" s="328" t="e">
        <f t="shared" si="3"/>
        <v>#REF!</v>
      </c>
      <c r="I69" s="428"/>
    </row>
    <row r="70" spans="1:9" ht="15" x14ac:dyDescent="0.25">
      <c r="A70" s="432"/>
      <c r="B70" s="95">
        <v>273</v>
      </c>
      <c r="C70" s="96" t="s">
        <v>93</v>
      </c>
      <c r="D70" s="291" t="e">
        <f>VLOOKUP(B70,#REF!,7,0)</f>
        <v>#REF!</v>
      </c>
      <c r="E70" s="291" t="e">
        <f t="shared" si="1"/>
        <v>#REF!</v>
      </c>
      <c r="F70" s="291" t="e">
        <f>VLOOKUP(B70,#REF!,7,0)</f>
        <v>#REF!</v>
      </c>
      <c r="G70" s="97" t="e">
        <f t="shared" si="2"/>
        <v>#REF!</v>
      </c>
      <c r="H70" s="328" t="e">
        <f t="shared" si="3"/>
        <v>#REF!</v>
      </c>
      <c r="I70" s="428"/>
    </row>
    <row r="71" spans="1:9" ht="15" x14ac:dyDescent="0.25">
      <c r="A71" s="432"/>
      <c r="B71" s="95">
        <v>326</v>
      </c>
      <c r="C71" s="96" t="s">
        <v>94</v>
      </c>
      <c r="D71" s="291" t="e">
        <f>VLOOKUP(B71,#REF!,7,0)</f>
        <v>#REF!</v>
      </c>
      <c r="E71" s="291" t="e">
        <f t="shared" si="1"/>
        <v>#REF!</v>
      </c>
      <c r="F71" s="291" t="e">
        <f>VLOOKUP(B71,#REF!,7,0)</f>
        <v>#REF!</v>
      </c>
      <c r="G71" s="97" t="e">
        <f t="shared" si="2"/>
        <v>#REF!</v>
      </c>
      <c r="H71" s="328" t="e">
        <f t="shared" si="3"/>
        <v>#REF!</v>
      </c>
      <c r="I71" s="428"/>
    </row>
    <row r="72" spans="1:9" ht="15" x14ac:dyDescent="0.25">
      <c r="A72" s="432"/>
      <c r="B72" s="95">
        <v>389</v>
      </c>
      <c r="C72" s="96" t="s">
        <v>95</v>
      </c>
      <c r="D72" s="291" t="e">
        <f>VLOOKUP(B72,#REF!,7,0)</f>
        <v>#REF!</v>
      </c>
      <c r="E72" s="291" t="e">
        <f t="shared" si="1"/>
        <v>#REF!</v>
      </c>
      <c r="F72" s="291" t="e">
        <f>VLOOKUP(B72,#REF!,7,0)</f>
        <v>#REF!</v>
      </c>
      <c r="G72" s="97" t="e">
        <f t="shared" si="2"/>
        <v>#REF!</v>
      </c>
      <c r="H72" s="328" t="e">
        <f t="shared" si="3"/>
        <v>#REF!</v>
      </c>
      <c r="I72" s="428"/>
    </row>
    <row r="73" spans="1:9" ht="15" x14ac:dyDescent="0.25">
      <c r="A73" s="432"/>
      <c r="B73" s="95">
        <v>483</v>
      </c>
      <c r="C73" s="96" t="s">
        <v>96</v>
      </c>
      <c r="D73" s="291" t="e">
        <f>VLOOKUP(B73,#REF!,7,0)</f>
        <v>#REF!</v>
      </c>
      <c r="E73" s="291" t="e">
        <f t="shared" si="1"/>
        <v>#REF!</v>
      </c>
      <c r="F73" s="291" t="e">
        <f>VLOOKUP(B73,#REF!,7,0)</f>
        <v>#REF!</v>
      </c>
      <c r="G73" s="97" t="e">
        <f t="shared" si="2"/>
        <v>#REF!</v>
      </c>
      <c r="H73" s="328" t="e">
        <f t="shared" si="3"/>
        <v>#REF!</v>
      </c>
      <c r="I73" s="428"/>
    </row>
    <row r="74" spans="1:9" ht="15" x14ac:dyDescent="0.25">
      <c r="A74" s="432"/>
      <c r="B74" s="95">
        <v>504</v>
      </c>
      <c r="C74" s="96" t="s">
        <v>97</v>
      </c>
      <c r="D74" s="291" t="e">
        <f>VLOOKUP(B74,#REF!,7,0)</f>
        <v>#REF!</v>
      </c>
      <c r="E74" s="291" t="e">
        <f t="shared" si="1"/>
        <v>#REF!</v>
      </c>
      <c r="F74" s="291" t="e">
        <f>VLOOKUP(B74,#REF!,7,0)</f>
        <v>#REF!</v>
      </c>
      <c r="G74" s="97" t="e">
        <f t="shared" si="2"/>
        <v>#REF!</v>
      </c>
      <c r="H74" s="328" t="e">
        <f t="shared" si="3"/>
        <v>#REF!</v>
      </c>
      <c r="I74" s="428"/>
    </row>
    <row r="75" spans="1:9" ht="15" x14ac:dyDescent="0.25">
      <c r="A75" s="432"/>
      <c r="B75" s="95">
        <v>687</v>
      </c>
      <c r="C75" s="96" t="s">
        <v>98</v>
      </c>
      <c r="D75" s="291" t="e">
        <f>VLOOKUP(B75,#REF!,7,0)</f>
        <v>#REF!</v>
      </c>
      <c r="E75" s="291" t="e">
        <f t="shared" si="1"/>
        <v>#REF!</v>
      </c>
      <c r="F75" s="291" t="e">
        <f>VLOOKUP(B75,#REF!,7,0)</f>
        <v>#REF!</v>
      </c>
      <c r="G75" s="97" t="e">
        <f t="shared" si="2"/>
        <v>#REF!</v>
      </c>
      <c r="H75" s="328" t="e">
        <f t="shared" si="3"/>
        <v>#REF!</v>
      </c>
      <c r="I75" s="428"/>
    </row>
    <row r="76" spans="1:9" ht="15.75" thickBot="1" x14ac:dyDescent="0.3">
      <c r="A76" s="433"/>
      <c r="B76" s="95">
        <v>503</v>
      </c>
      <c r="C76" s="96" t="s">
        <v>99</v>
      </c>
      <c r="D76" s="291" t="e">
        <f>VLOOKUP(B76,#REF!,7,0)</f>
        <v>#REF!</v>
      </c>
      <c r="E76" s="291" t="e">
        <f t="shared" si="1"/>
        <v>#REF!</v>
      </c>
      <c r="F76" s="291" t="e">
        <f>VLOOKUP(B76,#REF!,7,0)</f>
        <v>#REF!</v>
      </c>
      <c r="G76" s="97" t="e">
        <f t="shared" si="2"/>
        <v>#REF!</v>
      </c>
      <c r="H76" s="328" t="e">
        <f t="shared" si="3"/>
        <v>#REF!</v>
      </c>
      <c r="I76" s="428"/>
    </row>
    <row r="77" spans="1:9" ht="16.5" thickTop="1" thickBot="1" x14ac:dyDescent="0.25">
      <c r="A77" s="12"/>
      <c r="B77" s="60"/>
      <c r="C77" s="98" t="s">
        <v>7</v>
      </c>
      <c r="D77" s="292" t="e">
        <f>SUM(D67:D76)</f>
        <v>#REF!</v>
      </c>
      <c r="E77" s="292" t="e">
        <f>SUM(E67:E76)</f>
        <v>#REF!</v>
      </c>
      <c r="F77" s="292" t="e">
        <f>SUM(F67:F76)</f>
        <v>#REF!</v>
      </c>
      <c r="G77" s="94" t="e">
        <f t="shared" si="2"/>
        <v>#REF!</v>
      </c>
      <c r="H77" s="329" t="e">
        <f t="shared" si="3"/>
        <v>#REF!</v>
      </c>
      <c r="I77" s="428"/>
    </row>
    <row r="78" spans="1:9" ht="13.5" thickTop="1" x14ac:dyDescent="0.2">
      <c r="A78" s="12"/>
      <c r="B78" s="60"/>
      <c r="C78" s="12"/>
      <c r="D78" s="12"/>
      <c r="E78" s="12"/>
      <c r="F78" s="12"/>
      <c r="G78" s="12"/>
      <c r="H78" s="12"/>
      <c r="I78" s="428"/>
    </row>
    <row r="79" spans="1:9" x14ac:dyDescent="0.2">
      <c r="A79" s="12"/>
      <c r="B79" s="60"/>
      <c r="C79" s="12"/>
      <c r="D79" s="290" t="s">
        <v>8</v>
      </c>
      <c r="E79" s="363" t="s">
        <v>13</v>
      </c>
      <c r="F79" s="364"/>
      <c r="G79" s="89" t="s">
        <v>14</v>
      </c>
      <c r="H79" s="91"/>
      <c r="I79" s="428"/>
    </row>
    <row r="80" spans="1:9" ht="15" x14ac:dyDescent="0.25">
      <c r="A80" s="434">
        <v>3.2</v>
      </c>
      <c r="B80" s="95">
        <v>4</v>
      </c>
      <c r="C80" s="96" t="s">
        <v>90</v>
      </c>
      <c r="D80" s="291" t="e">
        <f>VLOOKUP(B80,#REF!,3,0)</f>
        <v>#REF!</v>
      </c>
      <c r="E80" s="438" t="e">
        <f>INDEX(#REF!,MATCH(B80,#REF!,0),MATCH(#REF!,#REF!,0))</f>
        <v>#REF!</v>
      </c>
      <c r="F80" s="438"/>
      <c r="G80" s="99" t="e">
        <f>(D80-E80)/E80</f>
        <v>#REF!</v>
      </c>
      <c r="H80" s="12"/>
      <c r="I80" s="428"/>
    </row>
    <row r="81" spans="1:9" ht="15" x14ac:dyDescent="0.25">
      <c r="A81" s="435"/>
      <c r="B81" s="95">
        <v>105</v>
      </c>
      <c r="C81" s="96" t="s">
        <v>91</v>
      </c>
      <c r="D81" s="291" t="e">
        <f>VLOOKUP(B81,#REF!,3,0)</f>
        <v>#REF!</v>
      </c>
      <c r="E81" s="438" t="e">
        <f>INDEX(#REF!,MATCH(B81,#REF!,0),MATCH(#REF!,#REF!,0))</f>
        <v>#REF!</v>
      </c>
      <c r="F81" s="438"/>
      <c r="G81" s="99" t="e">
        <f t="shared" ref="G81:G89" si="4">(D81-E81)/E81</f>
        <v>#REF!</v>
      </c>
      <c r="H81" s="12"/>
      <c r="I81" s="428"/>
    </row>
    <row r="82" spans="1:9" ht="15" x14ac:dyDescent="0.25">
      <c r="A82" s="435"/>
      <c r="B82" s="95">
        <v>115</v>
      </c>
      <c r="C82" s="96" t="s">
        <v>92</v>
      </c>
      <c r="D82" s="291" t="e">
        <f>VLOOKUP(B82,#REF!,3,0)</f>
        <v>#REF!</v>
      </c>
      <c r="E82" s="438" t="e">
        <f>INDEX(#REF!,MATCH(B82,#REF!,0),MATCH(#REF!,#REF!,0))</f>
        <v>#REF!</v>
      </c>
      <c r="F82" s="438"/>
      <c r="G82" s="99" t="e">
        <f t="shared" si="4"/>
        <v>#REF!</v>
      </c>
      <c r="H82" s="12"/>
      <c r="I82" s="428"/>
    </row>
    <row r="83" spans="1:9" ht="15" x14ac:dyDescent="0.25">
      <c r="A83" s="435"/>
      <c r="B83" s="95">
        <v>273</v>
      </c>
      <c r="C83" s="96" t="s">
        <v>93</v>
      </c>
      <c r="D83" s="291" t="e">
        <f>VLOOKUP(B83,#REF!,3,0)</f>
        <v>#REF!</v>
      </c>
      <c r="E83" s="438" t="e">
        <f>INDEX(#REF!,MATCH(B83,#REF!,0),MATCH(#REF!,#REF!,0))</f>
        <v>#REF!</v>
      </c>
      <c r="F83" s="438"/>
      <c r="G83" s="99" t="e">
        <f t="shared" si="4"/>
        <v>#REF!</v>
      </c>
      <c r="H83" s="12"/>
      <c r="I83" s="428"/>
    </row>
    <row r="84" spans="1:9" ht="15" x14ac:dyDescent="0.25">
      <c r="A84" s="435"/>
      <c r="B84" s="95">
        <v>326</v>
      </c>
      <c r="C84" s="96" t="s">
        <v>94</v>
      </c>
      <c r="D84" s="291" t="e">
        <f>VLOOKUP(B84,#REF!,3,0)</f>
        <v>#REF!</v>
      </c>
      <c r="E84" s="438" t="e">
        <f>INDEX(#REF!,MATCH(B84,#REF!,0),MATCH(#REF!,#REF!,0))</f>
        <v>#REF!</v>
      </c>
      <c r="F84" s="438"/>
      <c r="G84" s="99" t="e">
        <f t="shared" si="4"/>
        <v>#REF!</v>
      </c>
      <c r="H84" s="12"/>
      <c r="I84" s="428"/>
    </row>
    <row r="85" spans="1:9" ht="15" x14ac:dyDescent="0.25">
      <c r="A85" s="435"/>
      <c r="B85" s="95">
        <v>389</v>
      </c>
      <c r="C85" s="96" t="s">
        <v>95</v>
      </c>
      <c r="D85" s="291" t="e">
        <f>VLOOKUP(B85,#REF!,3,0)</f>
        <v>#REF!</v>
      </c>
      <c r="E85" s="438" t="e">
        <f>INDEX(#REF!,MATCH(B85,#REF!,0),MATCH(#REF!,#REF!,0))</f>
        <v>#REF!</v>
      </c>
      <c r="F85" s="438"/>
      <c r="G85" s="99" t="e">
        <f t="shared" si="4"/>
        <v>#REF!</v>
      </c>
      <c r="H85" s="12"/>
      <c r="I85" s="428"/>
    </row>
    <row r="86" spans="1:9" ht="15" x14ac:dyDescent="0.25">
      <c r="A86" s="435"/>
      <c r="B86" s="95">
        <v>483</v>
      </c>
      <c r="C86" s="96" t="s">
        <v>96</v>
      </c>
      <c r="D86" s="291" t="e">
        <f>VLOOKUP(B86,#REF!,3,0)</f>
        <v>#REF!</v>
      </c>
      <c r="E86" s="438" t="e">
        <f>INDEX(#REF!,MATCH(B86,#REF!,0),MATCH(#REF!,#REF!,0))</f>
        <v>#REF!</v>
      </c>
      <c r="F86" s="438"/>
      <c r="G86" s="99" t="e">
        <f t="shared" si="4"/>
        <v>#REF!</v>
      </c>
      <c r="H86" s="26"/>
      <c r="I86" s="428"/>
    </row>
    <row r="87" spans="1:9" ht="15" x14ac:dyDescent="0.25">
      <c r="A87" s="435"/>
      <c r="B87" s="95">
        <v>504</v>
      </c>
      <c r="C87" s="96" t="s">
        <v>97</v>
      </c>
      <c r="D87" s="291" t="e">
        <f>VLOOKUP(B87,#REF!,3,0)</f>
        <v>#REF!</v>
      </c>
      <c r="E87" s="438" t="e">
        <f>INDEX(#REF!,MATCH(B87,#REF!,0),MATCH(#REF!,#REF!,0))</f>
        <v>#REF!</v>
      </c>
      <c r="F87" s="438"/>
      <c r="G87" s="99" t="e">
        <f t="shared" si="4"/>
        <v>#REF!</v>
      </c>
      <c r="H87" s="12"/>
      <c r="I87" s="428"/>
    </row>
    <row r="88" spans="1:9" ht="15" x14ac:dyDescent="0.25">
      <c r="A88" s="435"/>
      <c r="B88" s="95">
        <v>687</v>
      </c>
      <c r="C88" s="96" t="s">
        <v>98</v>
      </c>
      <c r="D88" s="291" t="e">
        <f>VLOOKUP(B88,#REF!,3,0)</f>
        <v>#REF!</v>
      </c>
      <c r="E88" s="438" t="e">
        <f>INDEX(#REF!,MATCH(B88,#REF!,0),MATCH(#REF!,#REF!,0))</f>
        <v>#REF!</v>
      </c>
      <c r="F88" s="438"/>
      <c r="G88" s="99" t="e">
        <f t="shared" si="4"/>
        <v>#REF!</v>
      </c>
      <c r="H88" s="12"/>
      <c r="I88" s="428"/>
    </row>
    <row r="89" spans="1:9" ht="15.75" thickBot="1" x14ac:dyDescent="0.3">
      <c r="A89" s="436"/>
      <c r="B89" s="95">
        <v>503</v>
      </c>
      <c r="C89" s="96" t="s">
        <v>99</v>
      </c>
      <c r="D89" s="291" t="e">
        <f>VLOOKUP(B89,#REF!,3,0)</f>
        <v>#REF!</v>
      </c>
      <c r="E89" s="438" t="e">
        <f>INDEX(#REF!,MATCH(B89,#REF!,0),MATCH(#REF!,#REF!,0))</f>
        <v>#REF!</v>
      </c>
      <c r="F89" s="438"/>
      <c r="G89" s="99" t="e">
        <f t="shared" si="4"/>
        <v>#REF!</v>
      </c>
      <c r="H89" s="12"/>
      <c r="I89" s="428"/>
    </row>
    <row r="90" spans="1:9" ht="16.5" thickTop="1" thickBot="1" x14ac:dyDescent="0.25">
      <c r="A90" s="13"/>
      <c r="B90" s="86"/>
      <c r="C90" s="98" t="s">
        <v>7</v>
      </c>
      <c r="D90" s="228" t="e">
        <f>SUM(D80:D88)</f>
        <v>#REF!</v>
      </c>
      <c r="E90" s="430" t="e">
        <f>SUM(E80:E89)</f>
        <v>#REF!</v>
      </c>
      <c r="F90" s="430"/>
      <c r="G90" s="100" t="e">
        <f>(D90-E90)/E90</f>
        <v>#REF!</v>
      </c>
      <c r="H90" s="12"/>
      <c r="I90" s="429"/>
    </row>
    <row r="91" spans="1:9" ht="13.5" thickTop="1" x14ac:dyDescent="0.2"/>
    <row r="93" spans="1:9" ht="12.75" customHeight="1" x14ac:dyDescent="0.2">
      <c r="A93" s="106"/>
      <c r="B93" s="107"/>
      <c r="C93" s="106"/>
      <c r="D93" s="108"/>
      <c r="E93" s="108"/>
      <c r="F93" s="108"/>
      <c r="G93" s="83" t="s">
        <v>23</v>
      </c>
      <c r="H93" s="326" t="s">
        <v>4</v>
      </c>
      <c r="I93" s="427" t="s">
        <v>105</v>
      </c>
    </row>
    <row r="94" spans="1:9" x14ac:dyDescent="0.2">
      <c r="A94" s="93" t="s">
        <v>100</v>
      </c>
      <c r="B94" s="92"/>
      <c r="C94" s="13"/>
      <c r="D94" s="12"/>
      <c r="E94" s="12"/>
      <c r="F94" s="12"/>
      <c r="G94" s="82">
        <f>DATE($L$2,$K$2+1,0)</f>
        <v>0</v>
      </c>
      <c r="H94" s="327">
        <f>$K$3</f>
        <v>0</v>
      </c>
      <c r="I94" s="428"/>
    </row>
    <row r="95" spans="1:9" x14ac:dyDescent="0.2">
      <c r="A95" s="12"/>
      <c r="B95" s="12"/>
      <c r="C95" s="12"/>
      <c r="D95" s="17"/>
      <c r="E95" s="12"/>
      <c r="F95" s="12"/>
      <c r="G95" s="12"/>
      <c r="H95" s="12"/>
      <c r="I95" s="428"/>
    </row>
    <row r="96" spans="1:9" x14ac:dyDescent="0.2">
      <c r="A96" s="12"/>
      <c r="B96" s="12"/>
      <c r="C96" s="88"/>
      <c r="D96" s="290" t="s">
        <v>8</v>
      </c>
      <c r="E96" s="89" t="s">
        <v>9</v>
      </c>
      <c r="F96" s="290" t="s">
        <v>10</v>
      </c>
      <c r="G96" s="90" t="s">
        <v>11</v>
      </c>
      <c r="H96" s="290" t="s">
        <v>12</v>
      </c>
      <c r="I96" s="428"/>
    </row>
    <row r="97" spans="1:9" ht="15" x14ac:dyDescent="0.25">
      <c r="A97" s="431" t="s">
        <v>15</v>
      </c>
      <c r="B97" s="95">
        <v>191</v>
      </c>
      <c r="C97" s="96" t="s">
        <v>90</v>
      </c>
      <c r="D97" s="227" t="e">
        <f>VLOOKUP(B97,#REF!,7,0)</f>
        <v>#REF!</v>
      </c>
      <c r="E97" s="227" t="e">
        <f t="shared" ref="E97:E105" si="5">F97*$K$3</f>
        <v>#REF!</v>
      </c>
      <c r="F97" s="227" t="e">
        <f>VLOOKUP(B97,#REF!,7,0)</f>
        <v>#REF!</v>
      </c>
      <c r="G97" s="97" t="e">
        <f>D97/E97</f>
        <v>#REF!</v>
      </c>
      <c r="H97" s="328" t="e">
        <f>D97/F97</f>
        <v>#REF!</v>
      </c>
      <c r="I97" s="428"/>
    </row>
    <row r="98" spans="1:9" ht="15" x14ac:dyDescent="0.25">
      <c r="A98" s="432"/>
      <c r="B98" s="95">
        <v>249</v>
      </c>
      <c r="C98" s="96" t="s">
        <v>91</v>
      </c>
      <c r="D98" s="227" t="e">
        <f>VLOOKUP(B98,#REF!,7,0)</f>
        <v>#REF!</v>
      </c>
      <c r="E98" s="227" t="e">
        <f t="shared" si="5"/>
        <v>#REF!</v>
      </c>
      <c r="F98" s="227" t="e">
        <f>VLOOKUP(B98,#REF!,7,0)</f>
        <v>#REF!</v>
      </c>
      <c r="G98" s="97" t="e">
        <f t="shared" ref="G98:G106" si="6">D98/E98</f>
        <v>#REF!</v>
      </c>
      <c r="H98" s="328" t="e">
        <f t="shared" ref="H98:H106" si="7">D98/F98</f>
        <v>#REF!</v>
      </c>
      <c r="I98" s="428"/>
    </row>
    <row r="99" spans="1:9" ht="15" x14ac:dyDescent="0.25">
      <c r="A99" s="432"/>
      <c r="B99" s="95">
        <v>439</v>
      </c>
      <c r="C99" s="96" t="s">
        <v>92</v>
      </c>
      <c r="D99" s="227" t="e">
        <f>VLOOKUP(B99,#REF!,7,0)</f>
        <v>#REF!</v>
      </c>
      <c r="E99" s="227" t="e">
        <f t="shared" si="5"/>
        <v>#REF!</v>
      </c>
      <c r="F99" s="227" t="e">
        <f>VLOOKUP(B99,#REF!,7,0)</f>
        <v>#REF!</v>
      </c>
      <c r="G99" s="97" t="e">
        <f t="shared" si="6"/>
        <v>#REF!</v>
      </c>
      <c r="H99" s="328" t="e">
        <f t="shared" si="7"/>
        <v>#REF!</v>
      </c>
      <c r="I99" s="428"/>
    </row>
    <row r="100" spans="1:9" ht="15" x14ac:dyDescent="0.25">
      <c r="A100" s="432"/>
      <c r="B100" s="95">
        <v>440</v>
      </c>
      <c r="C100" s="96" t="s">
        <v>93</v>
      </c>
      <c r="D100" s="227" t="e">
        <f>VLOOKUP(B100,#REF!,7,0)</f>
        <v>#REF!</v>
      </c>
      <c r="E100" s="227" t="e">
        <f t="shared" si="5"/>
        <v>#REF!</v>
      </c>
      <c r="F100" s="227" t="e">
        <f>VLOOKUP(B100,#REF!,7,0)</f>
        <v>#REF!</v>
      </c>
      <c r="G100" s="97" t="e">
        <f t="shared" si="6"/>
        <v>#REF!</v>
      </c>
      <c r="H100" s="328" t="e">
        <f t="shared" si="7"/>
        <v>#REF!</v>
      </c>
      <c r="I100" s="428"/>
    </row>
    <row r="101" spans="1:9" ht="15" x14ac:dyDescent="0.25">
      <c r="A101" s="432"/>
      <c r="B101" s="95">
        <v>451</v>
      </c>
      <c r="C101" s="96" t="s">
        <v>94</v>
      </c>
      <c r="D101" s="227" t="e">
        <f>VLOOKUP(B101,#REF!,7,0)</f>
        <v>#REF!</v>
      </c>
      <c r="E101" s="227" t="e">
        <f t="shared" si="5"/>
        <v>#REF!</v>
      </c>
      <c r="F101" s="227" t="e">
        <f>VLOOKUP(B101,#REF!,7,0)</f>
        <v>#REF!</v>
      </c>
      <c r="G101" s="97" t="e">
        <f t="shared" si="6"/>
        <v>#REF!</v>
      </c>
      <c r="H101" s="328" t="e">
        <f t="shared" si="7"/>
        <v>#REF!</v>
      </c>
      <c r="I101" s="428"/>
    </row>
    <row r="102" spans="1:9" ht="15" x14ac:dyDescent="0.25">
      <c r="A102" s="432"/>
      <c r="B102" s="95">
        <v>464</v>
      </c>
      <c r="C102" s="96" t="s">
        <v>95</v>
      </c>
      <c r="D102" s="227" t="e">
        <f>VLOOKUP(B102,#REF!,7,0)</f>
        <v>#REF!</v>
      </c>
      <c r="E102" s="227" t="e">
        <f t="shared" si="5"/>
        <v>#REF!</v>
      </c>
      <c r="F102" s="227" t="e">
        <f>VLOOKUP(B102,#REF!,7,0)</f>
        <v>#REF!</v>
      </c>
      <c r="G102" s="97" t="e">
        <f t="shared" si="6"/>
        <v>#REF!</v>
      </c>
      <c r="H102" s="328" t="e">
        <f t="shared" si="7"/>
        <v>#REF!</v>
      </c>
      <c r="I102" s="428"/>
    </row>
    <row r="103" spans="1:9" ht="15" x14ac:dyDescent="0.25">
      <c r="A103" s="432"/>
      <c r="B103" s="95">
        <v>476</v>
      </c>
      <c r="C103" s="96" t="s">
        <v>96</v>
      </c>
      <c r="D103" s="227" t="e">
        <f>VLOOKUP(B103,#REF!,7,0)</f>
        <v>#REF!</v>
      </c>
      <c r="E103" s="227" t="e">
        <f t="shared" si="5"/>
        <v>#REF!</v>
      </c>
      <c r="F103" s="227" t="e">
        <f>VLOOKUP(B103,#REF!,7,0)</f>
        <v>#REF!</v>
      </c>
      <c r="G103" s="97" t="e">
        <f t="shared" si="6"/>
        <v>#REF!</v>
      </c>
      <c r="H103" s="328" t="e">
        <f t="shared" si="7"/>
        <v>#REF!</v>
      </c>
      <c r="I103" s="428"/>
    </row>
    <row r="104" spans="1:9" ht="15" x14ac:dyDescent="0.25">
      <c r="A104" s="432"/>
      <c r="B104" s="95">
        <v>508</v>
      </c>
      <c r="C104" s="96" t="s">
        <v>97</v>
      </c>
      <c r="D104" s="227" t="e">
        <f>VLOOKUP(B104,#REF!,7,0)</f>
        <v>#REF!</v>
      </c>
      <c r="E104" s="227" t="e">
        <f t="shared" si="5"/>
        <v>#REF!</v>
      </c>
      <c r="F104" s="227" t="e">
        <f>VLOOKUP(B104,#REF!,7,0)</f>
        <v>#REF!</v>
      </c>
      <c r="G104" s="97" t="e">
        <f t="shared" si="6"/>
        <v>#REF!</v>
      </c>
      <c r="H104" s="328" t="e">
        <f t="shared" si="7"/>
        <v>#REF!</v>
      </c>
      <c r="I104" s="428"/>
    </row>
    <row r="105" spans="1:9" ht="15.75" thickBot="1" x14ac:dyDescent="0.3">
      <c r="A105" s="433"/>
      <c r="B105" s="95">
        <v>772</v>
      </c>
      <c r="C105" s="96" t="s">
        <v>98</v>
      </c>
      <c r="D105" s="227" t="e">
        <f>VLOOKUP(B105,#REF!,7,0)</f>
        <v>#REF!</v>
      </c>
      <c r="E105" s="227" t="e">
        <f t="shared" si="5"/>
        <v>#REF!</v>
      </c>
      <c r="F105" s="227" t="e">
        <f>VLOOKUP(B105,#REF!,7,0)</f>
        <v>#REF!</v>
      </c>
      <c r="G105" s="97" t="e">
        <f t="shared" si="6"/>
        <v>#REF!</v>
      </c>
      <c r="H105" s="328" t="e">
        <f t="shared" si="7"/>
        <v>#REF!</v>
      </c>
      <c r="I105" s="428"/>
    </row>
    <row r="106" spans="1:9" ht="16.5" thickTop="1" thickBot="1" x14ac:dyDescent="0.25">
      <c r="A106" s="12"/>
      <c r="B106" s="60"/>
      <c r="C106" s="98" t="s">
        <v>7</v>
      </c>
      <c r="D106" s="228" t="e">
        <f>SUM(D97:D105)</f>
        <v>#REF!</v>
      </c>
      <c r="E106" s="228" t="e">
        <f>SUM(E97:E105)</f>
        <v>#REF!</v>
      </c>
      <c r="F106" s="228" t="e">
        <f>SUM(F97:F105)</f>
        <v>#REF!</v>
      </c>
      <c r="G106" s="94" t="e">
        <f t="shared" si="6"/>
        <v>#REF!</v>
      </c>
      <c r="H106" s="329" t="e">
        <f t="shared" si="7"/>
        <v>#REF!</v>
      </c>
      <c r="I106" s="428"/>
    </row>
    <row r="107" spans="1:9" ht="13.5" thickTop="1" x14ac:dyDescent="0.2">
      <c r="A107" s="12"/>
      <c r="B107" s="60"/>
      <c r="C107" s="12"/>
      <c r="D107" s="12"/>
      <c r="E107" s="12"/>
      <c r="F107" s="12"/>
      <c r="G107" s="12"/>
      <c r="H107" s="12"/>
      <c r="I107" s="428"/>
    </row>
    <row r="108" spans="1:9" x14ac:dyDescent="0.2">
      <c r="A108" s="12"/>
      <c r="B108" s="60"/>
      <c r="C108" s="12"/>
      <c r="D108" s="290" t="s">
        <v>8</v>
      </c>
      <c r="E108" s="363" t="s">
        <v>13</v>
      </c>
      <c r="F108" s="364"/>
      <c r="G108" s="89" t="s">
        <v>14</v>
      </c>
      <c r="H108" s="91"/>
      <c r="I108" s="428"/>
    </row>
    <row r="109" spans="1:9" ht="15" x14ac:dyDescent="0.25">
      <c r="A109" s="434" t="s">
        <v>16</v>
      </c>
      <c r="B109" s="95">
        <v>191</v>
      </c>
      <c r="C109" s="96" t="s">
        <v>90</v>
      </c>
      <c r="D109" s="291" t="e">
        <f>VLOOKUP(B109,#REF!,3,0)</f>
        <v>#REF!</v>
      </c>
      <c r="E109" s="438" t="e">
        <f>INDEX(#REF!,MATCH(B109,#REF!,0),MATCH(#REF!,#REF!,0))</f>
        <v>#REF!</v>
      </c>
      <c r="F109" s="438"/>
      <c r="G109" s="99" t="e">
        <f>(D109-E109)/E109</f>
        <v>#REF!</v>
      </c>
      <c r="H109" s="12"/>
      <c r="I109" s="428"/>
    </row>
    <row r="110" spans="1:9" ht="15" x14ac:dyDescent="0.25">
      <c r="A110" s="435"/>
      <c r="B110" s="95">
        <v>249</v>
      </c>
      <c r="C110" s="96" t="s">
        <v>91</v>
      </c>
      <c r="D110" s="291" t="e">
        <f>VLOOKUP(B110,#REF!,3,0)</f>
        <v>#REF!</v>
      </c>
      <c r="E110" s="438" t="e">
        <f>INDEX(#REF!,MATCH(B110,#REF!,0),MATCH(#REF!,#REF!,0))</f>
        <v>#REF!</v>
      </c>
      <c r="F110" s="438"/>
      <c r="G110" s="99" t="e">
        <f t="shared" ref="G110:G117" si="8">(D110-E110)/E110</f>
        <v>#REF!</v>
      </c>
      <c r="H110" s="12"/>
      <c r="I110" s="428"/>
    </row>
    <row r="111" spans="1:9" ht="15" x14ac:dyDescent="0.25">
      <c r="A111" s="435"/>
      <c r="B111" s="95">
        <v>439</v>
      </c>
      <c r="C111" s="96" t="s">
        <v>92</v>
      </c>
      <c r="D111" s="291" t="e">
        <f>VLOOKUP(B111,#REF!,3,0)</f>
        <v>#REF!</v>
      </c>
      <c r="E111" s="438" t="e">
        <f>INDEX(#REF!,MATCH(B111,#REF!,0),MATCH(#REF!,#REF!,0))</f>
        <v>#REF!</v>
      </c>
      <c r="F111" s="438"/>
      <c r="G111" s="99" t="e">
        <f t="shared" si="8"/>
        <v>#REF!</v>
      </c>
      <c r="H111" s="12"/>
      <c r="I111" s="428"/>
    </row>
    <row r="112" spans="1:9" ht="15" x14ac:dyDescent="0.25">
      <c r="A112" s="435"/>
      <c r="B112" s="95">
        <v>440</v>
      </c>
      <c r="C112" s="96" t="s">
        <v>93</v>
      </c>
      <c r="D112" s="291" t="e">
        <f>VLOOKUP(B112,#REF!,3,0)</f>
        <v>#REF!</v>
      </c>
      <c r="E112" s="438" t="e">
        <f>INDEX(#REF!,MATCH(B112,#REF!,0),MATCH(#REF!,#REF!,0))</f>
        <v>#REF!</v>
      </c>
      <c r="F112" s="438"/>
      <c r="G112" s="99" t="e">
        <f t="shared" si="8"/>
        <v>#REF!</v>
      </c>
      <c r="H112" s="12"/>
      <c r="I112" s="428"/>
    </row>
    <row r="113" spans="1:9" ht="15" x14ac:dyDescent="0.25">
      <c r="A113" s="435"/>
      <c r="B113" s="95">
        <v>451</v>
      </c>
      <c r="C113" s="96" t="s">
        <v>94</v>
      </c>
      <c r="D113" s="291" t="e">
        <f>VLOOKUP(B113,#REF!,3,0)</f>
        <v>#REF!</v>
      </c>
      <c r="E113" s="438" t="e">
        <f>INDEX(#REF!,MATCH(B113,#REF!,0),MATCH(#REF!,#REF!,0))</f>
        <v>#REF!</v>
      </c>
      <c r="F113" s="438"/>
      <c r="G113" s="99" t="e">
        <f t="shared" si="8"/>
        <v>#REF!</v>
      </c>
      <c r="H113" s="12"/>
      <c r="I113" s="428"/>
    </row>
    <row r="114" spans="1:9" ht="15" x14ac:dyDescent="0.25">
      <c r="A114" s="435"/>
      <c r="B114" s="95">
        <v>464</v>
      </c>
      <c r="C114" s="96" t="s">
        <v>95</v>
      </c>
      <c r="D114" s="291" t="e">
        <f>VLOOKUP(B114,#REF!,3,0)</f>
        <v>#REF!</v>
      </c>
      <c r="E114" s="438" t="e">
        <f>INDEX(#REF!,MATCH(B114,#REF!,0),MATCH(#REF!,#REF!,0))</f>
        <v>#REF!</v>
      </c>
      <c r="F114" s="438"/>
      <c r="G114" s="99" t="e">
        <f t="shared" si="8"/>
        <v>#REF!</v>
      </c>
      <c r="H114" s="26"/>
      <c r="I114" s="428"/>
    </row>
    <row r="115" spans="1:9" ht="15" x14ac:dyDescent="0.25">
      <c r="A115" s="435"/>
      <c r="B115" s="95">
        <v>476</v>
      </c>
      <c r="C115" s="96" t="s">
        <v>96</v>
      </c>
      <c r="D115" s="291" t="e">
        <f>VLOOKUP(B115,#REF!,3,0)</f>
        <v>#REF!</v>
      </c>
      <c r="E115" s="438" t="e">
        <f>INDEX(#REF!,MATCH(B115,#REF!,0),MATCH(#REF!,#REF!,0))</f>
        <v>#REF!</v>
      </c>
      <c r="F115" s="438"/>
      <c r="G115" s="99" t="e">
        <f t="shared" si="8"/>
        <v>#REF!</v>
      </c>
      <c r="H115" s="12"/>
      <c r="I115" s="428"/>
    </row>
    <row r="116" spans="1:9" ht="15" x14ac:dyDescent="0.25">
      <c r="A116" s="435"/>
      <c r="B116" s="95">
        <v>508</v>
      </c>
      <c r="C116" s="96" t="s">
        <v>97</v>
      </c>
      <c r="D116" s="291" t="e">
        <f>VLOOKUP(B116,#REF!,3,0)</f>
        <v>#REF!</v>
      </c>
      <c r="E116" s="438" t="e">
        <f>INDEX(#REF!,MATCH(B116,#REF!,0),MATCH(#REF!,#REF!,0))</f>
        <v>#REF!</v>
      </c>
      <c r="F116" s="438"/>
      <c r="G116" s="99" t="e">
        <f t="shared" si="8"/>
        <v>#REF!</v>
      </c>
      <c r="H116" s="12"/>
      <c r="I116" s="428"/>
    </row>
    <row r="117" spans="1:9" ht="15.75" thickBot="1" x14ac:dyDescent="0.3">
      <c r="A117" s="436"/>
      <c r="B117" s="95">
        <v>772</v>
      </c>
      <c r="C117" s="96" t="s">
        <v>98</v>
      </c>
      <c r="D117" s="291" t="e">
        <f>VLOOKUP(B117,#REF!,3,0)</f>
        <v>#REF!</v>
      </c>
      <c r="E117" s="438" t="e">
        <f>INDEX(#REF!,MATCH(B117,#REF!,0),MATCH(#REF!,#REF!,0))</f>
        <v>#REF!</v>
      </c>
      <c r="F117" s="438"/>
      <c r="G117" s="99" t="e">
        <f t="shared" si="8"/>
        <v>#REF!</v>
      </c>
      <c r="H117" s="12"/>
      <c r="I117" s="428"/>
    </row>
    <row r="118" spans="1:9" ht="16.5" thickTop="1" thickBot="1" x14ac:dyDescent="0.25">
      <c r="A118" s="13"/>
      <c r="B118" s="86"/>
      <c r="C118" s="98" t="s">
        <v>7</v>
      </c>
      <c r="D118" s="228" t="e">
        <f>SUM(D109:D116)</f>
        <v>#REF!</v>
      </c>
      <c r="E118" s="430" t="e">
        <f>SUM(E109:E117)</f>
        <v>#REF!</v>
      </c>
      <c r="F118" s="430"/>
      <c r="G118" s="100" t="e">
        <f>(D118-E118)/E118</f>
        <v>#REF!</v>
      </c>
      <c r="H118" s="12"/>
      <c r="I118" s="429"/>
    </row>
    <row r="119" spans="1:9" ht="13.5" thickTop="1" x14ac:dyDescent="0.2">
      <c r="I119" s="325"/>
    </row>
    <row r="120" spans="1:9" x14ac:dyDescent="0.2">
      <c r="I120" s="325"/>
    </row>
    <row r="121" spans="1:9" ht="12.75" customHeight="1" x14ac:dyDescent="0.2">
      <c r="A121" s="106"/>
      <c r="B121" s="107"/>
      <c r="C121" s="106"/>
      <c r="D121" s="108"/>
      <c r="E121" s="108"/>
      <c r="F121" s="108"/>
      <c r="G121" s="83" t="s">
        <v>23</v>
      </c>
      <c r="H121" s="326" t="s">
        <v>4</v>
      </c>
      <c r="I121" s="427" t="s">
        <v>106</v>
      </c>
    </row>
    <row r="122" spans="1:9" x14ac:dyDescent="0.2">
      <c r="A122" s="93" t="s">
        <v>101</v>
      </c>
      <c r="B122" s="92"/>
      <c r="C122" s="13"/>
      <c r="D122" s="12"/>
      <c r="E122" s="12"/>
      <c r="F122" s="12"/>
      <c r="G122" s="82">
        <f>DATE($L$2,$K$2+1,0)</f>
        <v>0</v>
      </c>
      <c r="H122" s="327">
        <f>$K$3</f>
        <v>0</v>
      </c>
      <c r="I122" s="428"/>
    </row>
    <row r="123" spans="1:9" x14ac:dyDescent="0.2">
      <c r="A123" s="12"/>
      <c r="B123" s="12"/>
      <c r="C123" s="12"/>
      <c r="D123" s="17"/>
      <c r="E123" s="12"/>
      <c r="F123" s="12"/>
      <c r="G123" s="12"/>
      <c r="H123" s="12"/>
      <c r="I123" s="428"/>
    </row>
    <row r="124" spans="1:9" x14ac:dyDescent="0.2">
      <c r="A124" s="12"/>
      <c r="B124" s="12"/>
      <c r="C124" s="88"/>
      <c r="D124" s="290" t="s">
        <v>8</v>
      </c>
      <c r="E124" s="89" t="s">
        <v>9</v>
      </c>
      <c r="F124" s="290" t="s">
        <v>10</v>
      </c>
      <c r="G124" s="90" t="s">
        <v>11</v>
      </c>
      <c r="H124" s="290" t="s">
        <v>12</v>
      </c>
      <c r="I124" s="428"/>
    </row>
    <row r="125" spans="1:9" ht="15" x14ac:dyDescent="0.25">
      <c r="A125" s="431" t="s">
        <v>15</v>
      </c>
      <c r="B125" s="95">
        <v>12</v>
      </c>
      <c r="C125" s="96" t="s">
        <v>90</v>
      </c>
      <c r="D125" s="291" t="e">
        <f>VLOOKUP(B125,#REF!,7,0)</f>
        <v>#REF!</v>
      </c>
      <c r="E125" s="291" t="e">
        <f>F125*$K$3</f>
        <v>#REF!</v>
      </c>
      <c r="F125" s="291" t="e">
        <f>VLOOKUP(B125,#REF!,7,0)</f>
        <v>#REF!</v>
      </c>
      <c r="G125" s="97" t="e">
        <f>D125/E125</f>
        <v>#REF!</v>
      </c>
      <c r="H125" s="328" t="e">
        <f>D125/F125</f>
        <v>#REF!</v>
      </c>
      <c r="I125" s="428"/>
    </row>
    <row r="126" spans="1:9" ht="15" x14ac:dyDescent="0.25">
      <c r="A126" s="432"/>
      <c r="B126" s="95">
        <v>93</v>
      </c>
      <c r="C126" s="96" t="s">
        <v>91</v>
      </c>
      <c r="D126" s="291" t="e">
        <f>VLOOKUP(B126,#REF!,7,0)</f>
        <v>#REF!</v>
      </c>
      <c r="E126" s="291" t="e">
        <f t="shared" ref="E126:E136" si="9">F126*$K$3</f>
        <v>#REF!</v>
      </c>
      <c r="F126" s="291" t="e">
        <f>VLOOKUP(B126,#REF!,7,0)</f>
        <v>#REF!</v>
      </c>
      <c r="G126" s="97" t="e">
        <f t="shared" ref="G126:G137" si="10">D126/E126</f>
        <v>#REF!</v>
      </c>
      <c r="H126" s="328" t="e">
        <f t="shared" ref="H126:H137" si="11">D126/F126</f>
        <v>#REF!</v>
      </c>
      <c r="I126" s="428"/>
    </row>
    <row r="127" spans="1:9" ht="15" x14ac:dyDescent="0.25">
      <c r="A127" s="432"/>
      <c r="B127" s="95">
        <v>117</v>
      </c>
      <c r="C127" s="96" t="s">
        <v>92</v>
      </c>
      <c r="D127" s="291" t="e">
        <f>VLOOKUP(B127,#REF!,7,0)</f>
        <v>#REF!</v>
      </c>
      <c r="E127" s="291" t="e">
        <f t="shared" si="9"/>
        <v>#REF!</v>
      </c>
      <c r="F127" s="291" t="e">
        <f>VLOOKUP(B127,#REF!,7,0)</f>
        <v>#REF!</v>
      </c>
      <c r="G127" s="97" t="e">
        <f t="shared" si="10"/>
        <v>#REF!</v>
      </c>
      <c r="H127" s="328" t="e">
        <f t="shared" si="11"/>
        <v>#REF!</v>
      </c>
      <c r="I127" s="428"/>
    </row>
    <row r="128" spans="1:9" ht="15" x14ac:dyDescent="0.25">
      <c r="A128" s="432"/>
      <c r="B128" s="95">
        <v>153</v>
      </c>
      <c r="C128" s="96" t="s">
        <v>93</v>
      </c>
      <c r="D128" s="291" t="e">
        <f>VLOOKUP(B128,#REF!,7,0)</f>
        <v>#REF!</v>
      </c>
      <c r="E128" s="291" t="e">
        <f t="shared" si="9"/>
        <v>#REF!</v>
      </c>
      <c r="F128" s="291" t="e">
        <f>VLOOKUP(B128,#REF!,7,0)</f>
        <v>#REF!</v>
      </c>
      <c r="G128" s="97" t="e">
        <f t="shared" si="10"/>
        <v>#REF!</v>
      </c>
      <c r="H128" s="328" t="e">
        <f t="shared" si="11"/>
        <v>#REF!</v>
      </c>
      <c r="I128" s="428"/>
    </row>
    <row r="129" spans="1:9" ht="15" x14ac:dyDescent="0.25">
      <c r="A129" s="432"/>
      <c r="B129" s="95">
        <v>182</v>
      </c>
      <c r="C129" s="96" t="s">
        <v>94</v>
      </c>
      <c r="D129" s="291" t="e">
        <f>VLOOKUP(B129,#REF!,7,0)</f>
        <v>#REF!</v>
      </c>
      <c r="E129" s="291" t="e">
        <f t="shared" si="9"/>
        <v>#REF!</v>
      </c>
      <c r="F129" s="291" t="e">
        <f>VLOOKUP(B129,#REF!,7,0)</f>
        <v>#REF!</v>
      </c>
      <c r="G129" s="97" t="e">
        <f t="shared" si="10"/>
        <v>#REF!</v>
      </c>
      <c r="H129" s="328" t="e">
        <f t="shared" si="11"/>
        <v>#REF!</v>
      </c>
      <c r="I129" s="428"/>
    </row>
    <row r="130" spans="1:9" ht="15" x14ac:dyDescent="0.25">
      <c r="A130" s="432"/>
      <c r="B130" s="95">
        <v>271</v>
      </c>
      <c r="C130" s="96" t="s">
        <v>95</v>
      </c>
      <c r="D130" s="291" t="e">
        <f>VLOOKUP(B130,#REF!,7,0)</f>
        <v>#REF!</v>
      </c>
      <c r="E130" s="291" t="e">
        <f t="shared" si="9"/>
        <v>#REF!</v>
      </c>
      <c r="F130" s="291" t="e">
        <f>VLOOKUP(B130,#REF!,7,0)</f>
        <v>#REF!</v>
      </c>
      <c r="G130" s="97" t="e">
        <f t="shared" si="10"/>
        <v>#REF!</v>
      </c>
      <c r="H130" s="328" t="e">
        <f t="shared" si="11"/>
        <v>#REF!</v>
      </c>
      <c r="I130" s="428"/>
    </row>
    <row r="131" spans="1:9" ht="15" x14ac:dyDescent="0.25">
      <c r="A131" s="432"/>
      <c r="B131" s="95">
        <v>407</v>
      </c>
      <c r="C131" s="96" t="s">
        <v>96</v>
      </c>
      <c r="D131" s="291" t="e">
        <f>VLOOKUP(B131,#REF!,7,0)</f>
        <v>#REF!</v>
      </c>
      <c r="E131" s="291" t="e">
        <f t="shared" si="9"/>
        <v>#REF!</v>
      </c>
      <c r="F131" s="291" t="e">
        <f>VLOOKUP(B131,#REF!,7,0)</f>
        <v>#REF!</v>
      </c>
      <c r="G131" s="97" t="e">
        <f t="shared" si="10"/>
        <v>#REF!</v>
      </c>
      <c r="H131" s="328" t="e">
        <f t="shared" si="11"/>
        <v>#REF!</v>
      </c>
      <c r="I131" s="428"/>
    </row>
    <row r="132" spans="1:9" ht="15" x14ac:dyDescent="0.25">
      <c r="A132" s="432"/>
      <c r="B132" s="95">
        <v>424</v>
      </c>
      <c r="C132" s="96" t="s">
        <v>97</v>
      </c>
      <c r="D132" s="291" t="e">
        <f>VLOOKUP(B132,#REF!,7,0)</f>
        <v>#REF!</v>
      </c>
      <c r="E132" s="291" t="e">
        <f t="shared" si="9"/>
        <v>#REF!</v>
      </c>
      <c r="F132" s="291" t="e">
        <f>VLOOKUP(B132,#REF!,7,0)</f>
        <v>#REF!</v>
      </c>
      <c r="G132" s="97" t="e">
        <f t="shared" si="10"/>
        <v>#REF!</v>
      </c>
      <c r="H132" s="328" t="e">
        <f t="shared" si="11"/>
        <v>#REF!</v>
      </c>
      <c r="I132" s="428"/>
    </row>
    <row r="133" spans="1:9" ht="15" x14ac:dyDescent="0.25">
      <c r="A133" s="432"/>
      <c r="B133" s="95">
        <v>502</v>
      </c>
      <c r="C133" s="96" t="s">
        <v>98</v>
      </c>
      <c r="D133" s="291" t="e">
        <f>VLOOKUP(B133,#REF!,7,0)</f>
        <v>#REF!</v>
      </c>
      <c r="E133" s="291" t="e">
        <f t="shared" si="9"/>
        <v>#REF!</v>
      </c>
      <c r="F133" s="291" t="e">
        <f>VLOOKUP(B133,#REF!,7,0)</f>
        <v>#REF!</v>
      </c>
      <c r="G133" s="97" t="e">
        <f t="shared" si="10"/>
        <v>#REF!</v>
      </c>
      <c r="H133" s="328" t="e">
        <f t="shared" si="11"/>
        <v>#REF!</v>
      </c>
      <c r="I133" s="428"/>
    </row>
    <row r="134" spans="1:9" ht="15" x14ac:dyDescent="0.25">
      <c r="A134" s="432"/>
      <c r="B134" s="95">
        <v>533</v>
      </c>
      <c r="C134" s="96" t="s">
        <v>99</v>
      </c>
      <c r="D134" s="291" t="e">
        <f>VLOOKUP(B134,#REF!,7,0)</f>
        <v>#REF!</v>
      </c>
      <c r="E134" s="291" t="e">
        <f t="shared" si="9"/>
        <v>#REF!</v>
      </c>
      <c r="F134" s="291" t="e">
        <f>VLOOKUP(B134,#REF!,7,0)</f>
        <v>#REF!</v>
      </c>
      <c r="G134" s="97" t="e">
        <f t="shared" si="10"/>
        <v>#REF!</v>
      </c>
      <c r="H134" s="328" t="e">
        <f t="shared" si="11"/>
        <v>#REF!</v>
      </c>
      <c r="I134" s="428"/>
    </row>
    <row r="135" spans="1:9" ht="15" x14ac:dyDescent="0.25">
      <c r="A135" s="432"/>
      <c r="B135" s="95">
        <v>719</v>
      </c>
      <c r="C135" s="96" t="s">
        <v>102</v>
      </c>
      <c r="D135" s="291" t="e">
        <f>VLOOKUP(B135,#REF!,7,0)</f>
        <v>#REF!</v>
      </c>
      <c r="E135" s="291" t="e">
        <f t="shared" si="9"/>
        <v>#REF!</v>
      </c>
      <c r="F135" s="291" t="e">
        <f>VLOOKUP(B135,#REF!,7,0)</f>
        <v>#REF!</v>
      </c>
      <c r="G135" s="97" t="e">
        <f t="shared" si="10"/>
        <v>#REF!</v>
      </c>
      <c r="H135" s="328" t="e">
        <f t="shared" si="11"/>
        <v>#REF!</v>
      </c>
      <c r="I135" s="428"/>
    </row>
    <row r="136" spans="1:9" ht="15.75" thickBot="1" x14ac:dyDescent="0.3">
      <c r="A136" s="433"/>
      <c r="B136" s="95">
        <v>731</v>
      </c>
      <c r="C136" s="96" t="s">
        <v>103</v>
      </c>
      <c r="D136" s="291" t="e">
        <f>VLOOKUP(B136,#REF!,7,0)</f>
        <v>#REF!</v>
      </c>
      <c r="E136" s="291" t="e">
        <f t="shared" si="9"/>
        <v>#REF!</v>
      </c>
      <c r="F136" s="291" t="e">
        <f>VLOOKUP(B136,#REF!,7,0)</f>
        <v>#REF!</v>
      </c>
      <c r="G136" s="97" t="e">
        <f t="shared" si="10"/>
        <v>#REF!</v>
      </c>
      <c r="H136" s="328" t="e">
        <f t="shared" si="11"/>
        <v>#REF!</v>
      </c>
      <c r="I136" s="428"/>
    </row>
    <row r="137" spans="1:9" ht="16.5" thickTop="1" thickBot="1" x14ac:dyDescent="0.25">
      <c r="A137" s="12"/>
      <c r="B137" s="60"/>
      <c r="C137" s="98" t="s">
        <v>7</v>
      </c>
      <c r="D137" s="292" t="e">
        <f>SUM(D125:D136)</f>
        <v>#REF!</v>
      </c>
      <c r="E137" s="292" t="e">
        <f>SUM(E125:E136)</f>
        <v>#REF!</v>
      </c>
      <c r="F137" s="292" t="e">
        <f>SUM(F125:F136)</f>
        <v>#REF!</v>
      </c>
      <c r="G137" s="94" t="e">
        <f t="shared" si="10"/>
        <v>#REF!</v>
      </c>
      <c r="H137" s="329" t="e">
        <f t="shared" si="11"/>
        <v>#REF!</v>
      </c>
      <c r="I137" s="428"/>
    </row>
    <row r="138" spans="1:9" ht="13.5" thickTop="1" x14ac:dyDescent="0.2">
      <c r="A138" s="12"/>
      <c r="B138" s="60"/>
      <c r="C138" s="12"/>
      <c r="D138" s="12"/>
      <c r="E138" s="12"/>
      <c r="F138" s="12"/>
      <c r="G138" s="12"/>
      <c r="H138" s="12"/>
      <c r="I138" s="428"/>
    </row>
    <row r="139" spans="1:9" x14ac:dyDescent="0.2">
      <c r="A139" s="12"/>
      <c r="B139" s="60"/>
      <c r="C139" s="12"/>
      <c r="D139" s="290" t="s">
        <v>8</v>
      </c>
      <c r="E139" s="363" t="s">
        <v>13</v>
      </c>
      <c r="F139" s="364"/>
      <c r="G139" s="89" t="s">
        <v>14</v>
      </c>
      <c r="H139" s="91"/>
      <c r="I139" s="428"/>
    </row>
    <row r="140" spans="1:9" ht="15" x14ac:dyDescent="0.25">
      <c r="A140" s="434" t="s">
        <v>16</v>
      </c>
      <c r="B140" s="95">
        <v>12</v>
      </c>
      <c r="C140" s="96" t="s">
        <v>90</v>
      </c>
      <c r="D140" s="293" t="e">
        <f>VLOOKUP(B140,#REF!,3,0)</f>
        <v>#REF!</v>
      </c>
      <c r="E140" s="437" t="e">
        <f>INDEX(#REF!,MATCH(B140,#REF!,0),MATCH(#REF!,#REF!,0))</f>
        <v>#REF!</v>
      </c>
      <c r="F140" s="437"/>
      <c r="G140" s="99" t="e">
        <f>(D140-E140)/E140</f>
        <v>#REF!</v>
      </c>
      <c r="H140" s="12"/>
      <c r="I140" s="428"/>
    </row>
    <row r="141" spans="1:9" ht="15" x14ac:dyDescent="0.25">
      <c r="A141" s="435"/>
      <c r="B141" s="95">
        <v>93</v>
      </c>
      <c r="C141" s="96" t="s">
        <v>91</v>
      </c>
      <c r="D141" s="293" t="e">
        <f>VLOOKUP(B141,#REF!,3,0)</f>
        <v>#REF!</v>
      </c>
      <c r="E141" s="437" t="e">
        <f>INDEX(#REF!,MATCH(B141,#REF!,0),MATCH(#REF!,#REF!,0))</f>
        <v>#REF!</v>
      </c>
      <c r="F141" s="437"/>
      <c r="G141" s="99" t="e">
        <f t="shared" ref="G141:G151" si="12">(D141-E141)/E141</f>
        <v>#REF!</v>
      </c>
      <c r="H141" s="12"/>
      <c r="I141" s="428"/>
    </row>
    <row r="142" spans="1:9" ht="15" x14ac:dyDescent="0.25">
      <c r="A142" s="435"/>
      <c r="B142" s="95">
        <v>117</v>
      </c>
      <c r="C142" s="96" t="s">
        <v>92</v>
      </c>
      <c r="D142" s="293" t="e">
        <f>VLOOKUP(B142,#REF!,3,0)</f>
        <v>#REF!</v>
      </c>
      <c r="E142" s="437" t="e">
        <f>INDEX(#REF!,MATCH(B142,#REF!,0),MATCH(#REF!,#REF!,0))</f>
        <v>#REF!</v>
      </c>
      <c r="F142" s="437"/>
      <c r="G142" s="99" t="e">
        <f t="shared" si="12"/>
        <v>#REF!</v>
      </c>
      <c r="H142" s="12"/>
      <c r="I142" s="428"/>
    </row>
    <row r="143" spans="1:9" ht="15" x14ac:dyDescent="0.25">
      <c r="A143" s="435"/>
      <c r="B143" s="95">
        <v>153</v>
      </c>
      <c r="C143" s="96" t="s">
        <v>93</v>
      </c>
      <c r="D143" s="293" t="e">
        <f>VLOOKUP(B143,#REF!,3,0)</f>
        <v>#REF!</v>
      </c>
      <c r="E143" s="437" t="e">
        <f>INDEX(#REF!,MATCH(B143,#REF!,0),MATCH(#REF!,#REF!,0))</f>
        <v>#REF!</v>
      </c>
      <c r="F143" s="437"/>
      <c r="G143" s="99" t="e">
        <f t="shared" si="12"/>
        <v>#REF!</v>
      </c>
      <c r="H143" s="12"/>
      <c r="I143" s="428"/>
    </row>
    <row r="144" spans="1:9" ht="15" x14ac:dyDescent="0.25">
      <c r="A144" s="435"/>
      <c r="B144" s="95">
        <v>182</v>
      </c>
      <c r="C144" s="96" t="s">
        <v>94</v>
      </c>
      <c r="D144" s="293" t="e">
        <f>VLOOKUP(B144,#REF!,3,0)</f>
        <v>#REF!</v>
      </c>
      <c r="E144" s="437" t="e">
        <f>INDEX(#REF!,MATCH(B144,#REF!,0),MATCH(#REF!,#REF!,0))</f>
        <v>#REF!</v>
      </c>
      <c r="F144" s="437"/>
      <c r="G144" s="99" t="e">
        <f t="shared" si="12"/>
        <v>#REF!</v>
      </c>
      <c r="H144" s="12"/>
      <c r="I144" s="428"/>
    </row>
    <row r="145" spans="1:9" ht="15" x14ac:dyDescent="0.25">
      <c r="A145" s="435"/>
      <c r="B145" s="95">
        <v>271</v>
      </c>
      <c r="C145" s="96" t="s">
        <v>95</v>
      </c>
      <c r="D145" s="293" t="e">
        <f>VLOOKUP(B145,#REF!,3,0)</f>
        <v>#REF!</v>
      </c>
      <c r="E145" s="437" t="e">
        <f>INDEX(#REF!,MATCH(B145,#REF!,0),MATCH(#REF!,#REF!,0))</f>
        <v>#REF!</v>
      </c>
      <c r="F145" s="437"/>
      <c r="G145" s="99" t="e">
        <f t="shared" si="12"/>
        <v>#REF!</v>
      </c>
      <c r="H145" s="12"/>
      <c r="I145" s="428"/>
    </row>
    <row r="146" spans="1:9" ht="15" x14ac:dyDescent="0.25">
      <c r="A146" s="435"/>
      <c r="B146" s="95">
        <v>407</v>
      </c>
      <c r="C146" s="96" t="s">
        <v>96</v>
      </c>
      <c r="D146" s="293" t="e">
        <f>VLOOKUP(B146,#REF!,3,0)</f>
        <v>#REF!</v>
      </c>
      <c r="E146" s="437" t="e">
        <f>INDEX(#REF!,MATCH(B146,#REF!,0),MATCH(#REF!,#REF!,0))</f>
        <v>#REF!</v>
      </c>
      <c r="F146" s="437"/>
      <c r="G146" s="99" t="e">
        <f t="shared" si="12"/>
        <v>#REF!</v>
      </c>
      <c r="H146" s="12"/>
      <c r="I146" s="428"/>
    </row>
    <row r="147" spans="1:9" ht="15" x14ac:dyDescent="0.25">
      <c r="A147" s="435"/>
      <c r="B147" s="95">
        <v>424</v>
      </c>
      <c r="C147" s="96" t="s">
        <v>97</v>
      </c>
      <c r="D147" s="293" t="e">
        <f>VLOOKUP(B147,#REF!,3,0)</f>
        <v>#REF!</v>
      </c>
      <c r="E147" s="437" t="e">
        <f>INDEX(#REF!,MATCH(B147,#REF!,0),MATCH(#REF!,#REF!,0))</f>
        <v>#REF!</v>
      </c>
      <c r="F147" s="437"/>
      <c r="G147" s="99" t="e">
        <f t="shared" si="12"/>
        <v>#REF!</v>
      </c>
      <c r="H147" s="12"/>
      <c r="I147" s="428"/>
    </row>
    <row r="148" spans="1:9" ht="15" x14ac:dyDescent="0.25">
      <c r="A148" s="435"/>
      <c r="B148" s="95">
        <v>502</v>
      </c>
      <c r="C148" s="96" t="s">
        <v>98</v>
      </c>
      <c r="D148" s="293" t="e">
        <f>VLOOKUP(B148,#REF!,3,0)</f>
        <v>#REF!</v>
      </c>
      <c r="E148" s="437" t="e">
        <f>INDEX(#REF!,MATCH(B148,#REF!,0),MATCH(#REF!,#REF!,0))</f>
        <v>#REF!</v>
      </c>
      <c r="F148" s="437"/>
      <c r="G148" s="99" t="e">
        <f t="shared" si="12"/>
        <v>#REF!</v>
      </c>
      <c r="H148" s="26"/>
      <c r="I148" s="428"/>
    </row>
    <row r="149" spans="1:9" ht="15" x14ac:dyDescent="0.25">
      <c r="A149" s="435"/>
      <c r="B149" s="95">
        <v>533</v>
      </c>
      <c r="C149" s="96" t="s">
        <v>99</v>
      </c>
      <c r="D149" s="293" t="e">
        <f>VLOOKUP(B149,#REF!,3,0)</f>
        <v>#REF!</v>
      </c>
      <c r="E149" s="437" t="e">
        <f>INDEX(#REF!,MATCH(B149,#REF!,0),MATCH(#REF!,#REF!,0))</f>
        <v>#REF!</v>
      </c>
      <c r="F149" s="437"/>
      <c r="G149" s="99" t="e">
        <f t="shared" si="12"/>
        <v>#REF!</v>
      </c>
      <c r="H149" s="12"/>
      <c r="I149" s="428"/>
    </row>
    <row r="150" spans="1:9" ht="15" x14ac:dyDescent="0.25">
      <c r="A150" s="435"/>
      <c r="B150" s="95">
        <v>719</v>
      </c>
      <c r="C150" s="96" t="s">
        <v>102</v>
      </c>
      <c r="D150" s="293" t="e">
        <f>VLOOKUP(B150,#REF!,3,0)</f>
        <v>#REF!</v>
      </c>
      <c r="E150" s="437" t="e">
        <f>INDEX(#REF!,MATCH(B150,#REF!,0),MATCH(#REF!,#REF!,0))</f>
        <v>#REF!</v>
      </c>
      <c r="F150" s="437"/>
      <c r="G150" s="99" t="e">
        <f t="shared" si="12"/>
        <v>#REF!</v>
      </c>
      <c r="H150" s="12"/>
      <c r="I150" s="428"/>
    </row>
    <row r="151" spans="1:9" ht="15.75" thickBot="1" x14ac:dyDescent="0.3">
      <c r="A151" s="436"/>
      <c r="B151" s="95">
        <v>731</v>
      </c>
      <c r="C151" s="96" t="s">
        <v>103</v>
      </c>
      <c r="D151" s="293" t="e">
        <f>VLOOKUP(B151,#REF!,3,0)</f>
        <v>#REF!</v>
      </c>
      <c r="E151" s="437" t="e">
        <f>INDEX(#REF!,MATCH(B151,#REF!,0),MATCH(#REF!,#REF!,0))</f>
        <v>#REF!</v>
      </c>
      <c r="F151" s="437"/>
      <c r="G151" s="99" t="e">
        <f t="shared" si="12"/>
        <v>#REF!</v>
      </c>
      <c r="H151" s="12"/>
      <c r="I151" s="428"/>
    </row>
    <row r="152" spans="1:9" ht="16.5" thickTop="1" thickBot="1" x14ac:dyDescent="0.25">
      <c r="A152" s="13"/>
      <c r="B152" s="86"/>
      <c r="C152" s="98" t="s">
        <v>7</v>
      </c>
      <c r="D152" s="226" t="e">
        <f>SUM(D140:D150)</f>
        <v>#REF!</v>
      </c>
      <c r="E152" s="426" t="e">
        <f>SUM(E140:E151)</f>
        <v>#REF!</v>
      </c>
      <c r="F152" s="426"/>
      <c r="G152" s="100" t="e">
        <f>(D152-E152)/E152</f>
        <v>#REF!</v>
      </c>
      <c r="H152" s="12"/>
      <c r="I152" s="429"/>
    </row>
    <row r="153" spans="1:9" ht="13.5" thickTop="1" x14ac:dyDescent="0.2"/>
  </sheetData>
  <mergeCells count="80">
    <mergeCell ref="A48:B48"/>
    <mergeCell ref="A49:B49"/>
    <mergeCell ref="A1:G1"/>
    <mergeCell ref="A28:C28"/>
    <mergeCell ref="A42:B42"/>
    <mergeCell ref="A29:B29"/>
    <mergeCell ref="A33:B33"/>
    <mergeCell ref="A32:B32"/>
    <mergeCell ref="A31:B31"/>
    <mergeCell ref="A30:B30"/>
    <mergeCell ref="A37:B37"/>
    <mergeCell ref="A38:B38"/>
    <mergeCell ref="A39:B39"/>
    <mergeCell ref="A40:B40"/>
    <mergeCell ref="A41:B41"/>
    <mergeCell ref="M3:O3"/>
    <mergeCell ref="A36:C36"/>
    <mergeCell ref="A44:C44"/>
    <mergeCell ref="A53:C53"/>
    <mergeCell ref="A20:C20"/>
    <mergeCell ref="I3:K3"/>
    <mergeCell ref="F4:G4"/>
    <mergeCell ref="F5:G5"/>
    <mergeCell ref="A12:C12"/>
    <mergeCell ref="C38:C41"/>
    <mergeCell ref="A26:B26"/>
    <mergeCell ref="A34:B34"/>
    <mergeCell ref="A50:B50"/>
    <mergeCell ref="A45:B45"/>
    <mergeCell ref="A46:B46"/>
    <mergeCell ref="A47:B47"/>
    <mergeCell ref="I1:O1"/>
    <mergeCell ref="A67:A76"/>
    <mergeCell ref="E79:F79"/>
    <mergeCell ref="A80:A89"/>
    <mergeCell ref="E80:F80"/>
    <mergeCell ref="E81:F81"/>
    <mergeCell ref="E82:F82"/>
    <mergeCell ref="E83:F83"/>
    <mergeCell ref="E84:F84"/>
    <mergeCell ref="E85:F85"/>
    <mergeCell ref="E86:F86"/>
    <mergeCell ref="E87:F87"/>
    <mergeCell ref="E88:F88"/>
    <mergeCell ref="E89:F89"/>
    <mergeCell ref="M27:O27"/>
    <mergeCell ref="A61:C61"/>
    <mergeCell ref="A97:A105"/>
    <mergeCell ref="E108:F108"/>
    <mergeCell ref="A109:A117"/>
    <mergeCell ref="E109:F109"/>
    <mergeCell ref="E110:F110"/>
    <mergeCell ref="E111:F111"/>
    <mergeCell ref="E112:F112"/>
    <mergeCell ref="E113:F113"/>
    <mergeCell ref="E114:F114"/>
    <mergeCell ref="E115:F115"/>
    <mergeCell ref="E116:F116"/>
    <mergeCell ref="E117:F117"/>
    <mergeCell ref="A125:A136"/>
    <mergeCell ref="E139:F139"/>
    <mergeCell ref="A140:A151"/>
    <mergeCell ref="E140:F140"/>
    <mergeCell ref="E141:F141"/>
    <mergeCell ref="E142:F142"/>
    <mergeCell ref="E143:F143"/>
    <mergeCell ref="E144:F144"/>
    <mergeCell ref="E145:F145"/>
    <mergeCell ref="E146:F146"/>
    <mergeCell ref="E147:F147"/>
    <mergeCell ref="E148:F148"/>
    <mergeCell ref="E149:F149"/>
    <mergeCell ref="E150:F150"/>
    <mergeCell ref="E151:F151"/>
    <mergeCell ref="E152:F152"/>
    <mergeCell ref="I63:I90"/>
    <mergeCell ref="I93:I118"/>
    <mergeCell ref="I121:I152"/>
    <mergeCell ref="E118:F118"/>
    <mergeCell ref="E90:F90"/>
  </mergeCells>
  <conditionalFormatting sqref="E14:E17 E22:E24">
    <cfRule type="cellIs" dxfId="41" priority="184" operator="greaterThanOrEqual">
      <formula>1</formula>
    </cfRule>
    <cfRule type="cellIs" dxfId="40" priority="185" operator="lessThan">
      <formula>0.9</formula>
    </cfRule>
    <cfRule type="cellIs" dxfId="39" priority="186" operator="between">
      <formula>0.9</formula>
      <formula>1</formula>
    </cfRule>
  </conditionalFormatting>
  <conditionalFormatting sqref="E55:E58">
    <cfRule type="cellIs" dxfId="38" priority="169" operator="greaterThanOrEqual">
      <formula>0</formula>
    </cfRule>
    <cfRule type="cellIs" dxfId="37" priority="170" operator="lessThan">
      <formula>0</formula>
    </cfRule>
  </conditionalFormatting>
  <conditionalFormatting sqref="E30:E32">
    <cfRule type="cellIs" dxfId="36" priority="156" operator="greaterThanOrEqual">
      <formula>1</formula>
    </cfRule>
    <cfRule type="cellIs" dxfId="35" priority="157" operator="lessThan">
      <formula>0.9</formula>
    </cfRule>
    <cfRule type="cellIs" dxfId="34" priority="158" operator="between">
      <formula>0.9</formula>
      <formula>1</formula>
    </cfRule>
  </conditionalFormatting>
  <conditionalFormatting sqref="E38:E40">
    <cfRule type="cellIs" dxfId="33" priority="153" operator="greaterThanOrEqual">
      <formula>1</formula>
    </cfRule>
    <cfRule type="cellIs" dxfId="32" priority="154" operator="lessThan">
      <formula>0.9</formula>
    </cfRule>
    <cfRule type="cellIs" dxfId="31" priority="155" operator="between">
      <formula>0.9</formula>
      <formula>1</formula>
    </cfRule>
  </conditionalFormatting>
  <conditionalFormatting sqref="E46">
    <cfRule type="cellIs" dxfId="30" priority="150" operator="greaterThanOrEqual">
      <formula>1</formula>
    </cfRule>
    <cfRule type="cellIs" dxfId="29" priority="151" operator="lessThan">
      <formula>0.9</formula>
    </cfRule>
    <cfRule type="cellIs" dxfId="28" priority="152" operator="between">
      <formula>0.9</formula>
      <formula>1</formula>
    </cfRule>
  </conditionalFormatting>
  <conditionalFormatting sqref="E47">
    <cfRule type="cellIs" dxfId="27" priority="147" operator="greaterThanOrEqual">
      <formula>1</formula>
    </cfRule>
    <cfRule type="cellIs" dxfId="26" priority="148" operator="lessThan">
      <formula>0.9</formula>
    </cfRule>
    <cfRule type="cellIs" dxfId="25" priority="149" operator="between">
      <formula>0.9</formula>
      <formula>1</formula>
    </cfRule>
  </conditionalFormatting>
  <conditionalFormatting sqref="E48">
    <cfRule type="cellIs" dxfId="24" priority="144" operator="greaterThanOrEqual">
      <formula>1</formula>
    </cfRule>
    <cfRule type="cellIs" dxfId="23" priority="145" operator="lessThan">
      <formula>0.9</formula>
    </cfRule>
    <cfRule type="cellIs" dxfId="22" priority="146" operator="between">
      <formula>0.9</formula>
      <formula>1</formula>
    </cfRule>
  </conditionalFormatting>
  <conditionalFormatting sqref="J40">
    <cfRule type="iconSet" priority="101">
      <iconSet iconSet="3Arrows">
        <cfvo type="percent" val="0"/>
        <cfvo type="formula" val="$K$27"/>
        <cfvo type="formula" val="$K$27"/>
      </iconSet>
    </cfRule>
  </conditionalFormatting>
  <conditionalFormatting sqref="J5">
    <cfRule type="iconSet" priority="72">
      <iconSet iconSet="3Arrows">
        <cfvo type="percent" val="0"/>
        <cfvo type="formula" val="$K$5"/>
        <cfvo type="formula" val="$K$5"/>
      </iconSet>
    </cfRule>
  </conditionalFormatting>
  <conditionalFormatting sqref="J6">
    <cfRule type="iconSet" priority="71">
      <iconSet iconSet="3Arrows">
        <cfvo type="percent" val="0"/>
        <cfvo type="formula" val="$K$6"/>
        <cfvo type="formula" val="$K$6"/>
      </iconSet>
    </cfRule>
  </conditionalFormatting>
  <conditionalFormatting sqref="J9">
    <cfRule type="iconSet" priority="69">
      <iconSet iconSet="3Arrows">
        <cfvo type="percent" val="0"/>
        <cfvo type="formula" val="$K$9"/>
        <cfvo type="formula" val="$K$9"/>
      </iconSet>
    </cfRule>
  </conditionalFormatting>
  <conditionalFormatting sqref="J7">
    <cfRule type="iconSet" priority="68">
      <iconSet iconSet="3Arrows">
        <cfvo type="percent" val="0"/>
        <cfvo type="formula" val="$K$7"/>
        <cfvo type="formula" val="$K$7"/>
      </iconSet>
    </cfRule>
  </conditionalFormatting>
  <conditionalFormatting sqref="J8">
    <cfRule type="iconSet" priority="73">
      <iconSet iconSet="3Arrows">
        <cfvo type="percent" val="0"/>
        <cfvo type="formula" val="$K$8"/>
        <cfvo type="formula" val="$K$8"/>
      </iconSet>
    </cfRule>
  </conditionalFormatting>
  <conditionalFormatting sqref="J10">
    <cfRule type="iconSet" priority="67">
      <iconSet iconSet="3Arrows">
        <cfvo type="percent" val="0"/>
        <cfvo type="formula" val="$K$10"/>
        <cfvo type="formula" val="$K$10"/>
      </iconSet>
    </cfRule>
  </conditionalFormatting>
  <conditionalFormatting sqref="J11">
    <cfRule type="iconSet" priority="66">
      <iconSet iconSet="3Arrows">
        <cfvo type="percent" val="0"/>
        <cfvo type="formula" val="$K$11"/>
        <cfvo type="formula" val="$K$11"/>
      </iconSet>
    </cfRule>
  </conditionalFormatting>
  <conditionalFormatting sqref="J12">
    <cfRule type="iconSet" priority="65">
      <iconSet iconSet="3Arrows">
        <cfvo type="percent" val="0"/>
        <cfvo type="formula" val="$K$12"/>
        <cfvo type="formula" val="$K$12"/>
      </iconSet>
    </cfRule>
  </conditionalFormatting>
  <conditionalFormatting sqref="J13">
    <cfRule type="iconSet" priority="64">
      <iconSet iconSet="3Arrows">
        <cfvo type="percent" val="0"/>
        <cfvo type="formula" val="$K$13"/>
        <cfvo type="formula" val="$K$13"/>
      </iconSet>
    </cfRule>
  </conditionalFormatting>
  <conditionalFormatting sqref="J14">
    <cfRule type="iconSet" priority="63">
      <iconSet iconSet="3Arrows">
        <cfvo type="percent" val="0"/>
        <cfvo type="formula" val="$K$14"/>
        <cfvo type="formula" val="$K$14"/>
      </iconSet>
    </cfRule>
  </conditionalFormatting>
  <conditionalFormatting sqref="J15">
    <cfRule type="iconSet" priority="62">
      <iconSet iconSet="3Arrows">
        <cfvo type="percent" val="0"/>
        <cfvo type="formula" val="$K$15"/>
        <cfvo type="formula" val="$K$15"/>
      </iconSet>
    </cfRule>
  </conditionalFormatting>
  <conditionalFormatting sqref="J16">
    <cfRule type="iconSet" priority="61">
      <iconSet iconSet="3Arrows">
        <cfvo type="percent" val="0"/>
        <cfvo type="formula" val="$K$16"/>
        <cfvo type="formula" val="$K$16"/>
      </iconSet>
    </cfRule>
  </conditionalFormatting>
  <conditionalFormatting sqref="J17">
    <cfRule type="iconSet" priority="60">
      <iconSet iconSet="3Arrows">
        <cfvo type="percent" val="0"/>
        <cfvo type="formula" val="$K$17"/>
        <cfvo type="formula" val="$K$17"/>
      </iconSet>
    </cfRule>
  </conditionalFormatting>
  <conditionalFormatting sqref="J18">
    <cfRule type="iconSet" priority="59">
      <iconSet iconSet="3Arrows">
        <cfvo type="percent" val="0"/>
        <cfvo type="formula" val="$K$18"/>
        <cfvo type="formula" val="$K$18"/>
      </iconSet>
    </cfRule>
  </conditionalFormatting>
  <conditionalFormatting sqref="J19">
    <cfRule type="iconSet" priority="58">
      <iconSet iconSet="3Arrows">
        <cfvo type="percent" val="0"/>
        <cfvo type="formula" val="$K$19"/>
        <cfvo type="formula" val="$K$19"/>
      </iconSet>
    </cfRule>
  </conditionalFormatting>
  <conditionalFormatting sqref="J20">
    <cfRule type="iconSet" priority="57">
      <iconSet iconSet="3Arrows">
        <cfvo type="percent" val="0"/>
        <cfvo type="formula" val="$K$20"/>
        <cfvo type="formula" val="$K$20"/>
      </iconSet>
    </cfRule>
  </conditionalFormatting>
  <conditionalFormatting sqref="J21">
    <cfRule type="iconSet" priority="56">
      <iconSet iconSet="3Arrows">
        <cfvo type="percent" val="0"/>
        <cfvo type="formula" val="$K$21"/>
        <cfvo type="formula" val="$K$21"/>
      </iconSet>
    </cfRule>
  </conditionalFormatting>
  <conditionalFormatting sqref="J22">
    <cfRule type="iconSet" priority="55">
      <iconSet iconSet="3Arrows">
        <cfvo type="percent" val="0"/>
        <cfvo type="formula" val="$K$22"/>
        <cfvo type="formula" val="$K$22"/>
      </iconSet>
    </cfRule>
  </conditionalFormatting>
  <conditionalFormatting sqref="J23">
    <cfRule type="iconSet" priority="54">
      <iconSet iconSet="3Arrows">
        <cfvo type="percent" val="0"/>
        <cfvo type="formula" val="$K$23"/>
        <cfvo type="formula" val="$K$23"/>
      </iconSet>
    </cfRule>
  </conditionalFormatting>
  <conditionalFormatting sqref="J24">
    <cfRule type="iconSet" priority="53">
      <iconSet iconSet="3Arrows">
        <cfvo type="percent" val="0"/>
        <cfvo type="formula" val="$K$24"/>
        <cfvo type="formula" val="$K$24"/>
      </iconSet>
    </cfRule>
  </conditionalFormatting>
  <conditionalFormatting sqref="J25">
    <cfRule type="iconSet" priority="52">
      <iconSet iconSet="3Arrows">
        <cfvo type="percent" val="0"/>
        <cfvo type="formula" val="$K$25"/>
        <cfvo type="formula" val="$K$25"/>
      </iconSet>
    </cfRule>
  </conditionalFormatting>
  <conditionalFormatting sqref="J26">
    <cfRule type="iconSet" priority="51">
      <iconSet iconSet="3Arrows">
        <cfvo type="percent" val="0"/>
        <cfvo type="formula" val="$K$26"/>
        <cfvo type="formula" val="$K$26"/>
      </iconSet>
    </cfRule>
  </conditionalFormatting>
  <conditionalFormatting sqref="J27">
    <cfRule type="iconSet" priority="50">
      <iconSet iconSet="3Arrows">
        <cfvo type="percent" val="0"/>
        <cfvo type="formula" val="$K$27"/>
        <cfvo type="formula" val="$K$27"/>
      </iconSet>
    </cfRule>
  </conditionalFormatting>
  <conditionalFormatting sqref="J28">
    <cfRule type="iconSet" priority="49">
      <iconSet iconSet="3Arrows">
        <cfvo type="percent" val="0"/>
        <cfvo type="formula" val="$K$28"/>
        <cfvo type="formula" val="$K$28"/>
      </iconSet>
    </cfRule>
  </conditionalFormatting>
  <conditionalFormatting sqref="J29">
    <cfRule type="iconSet" priority="48">
      <iconSet iconSet="3Arrows">
        <cfvo type="percent" val="0"/>
        <cfvo type="formula" val="$K$29"/>
        <cfvo type="formula" val="$K$29"/>
      </iconSet>
    </cfRule>
  </conditionalFormatting>
  <conditionalFormatting sqref="J30">
    <cfRule type="iconSet" priority="47">
      <iconSet iconSet="3Arrows">
        <cfvo type="percent" val="0"/>
        <cfvo type="formula" val="$K$30"/>
        <cfvo type="formula" val="$K$30"/>
      </iconSet>
    </cfRule>
  </conditionalFormatting>
  <conditionalFormatting sqref="J31">
    <cfRule type="iconSet" priority="46">
      <iconSet iconSet="3Arrows">
        <cfvo type="percent" val="0"/>
        <cfvo type="formula" val="$K$31"/>
        <cfvo type="formula" val="$K$31"/>
      </iconSet>
    </cfRule>
  </conditionalFormatting>
  <conditionalFormatting sqref="J32">
    <cfRule type="iconSet" priority="45">
      <iconSet iconSet="3Arrows">
        <cfvo type="percent" val="0"/>
        <cfvo type="formula" val="$K$32"/>
        <cfvo type="formula" val="$K$32"/>
      </iconSet>
    </cfRule>
  </conditionalFormatting>
  <conditionalFormatting sqref="J33">
    <cfRule type="iconSet" priority="44">
      <iconSet iconSet="3Arrows">
        <cfvo type="percent" val="0"/>
        <cfvo type="formula" val="$K$33"/>
        <cfvo type="formula" val="$K$33"/>
      </iconSet>
    </cfRule>
  </conditionalFormatting>
  <conditionalFormatting sqref="J34">
    <cfRule type="iconSet" priority="43">
      <iconSet iconSet="3Arrows">
        <cfvo type="percent" val="0"/>
        <cfvo type="formula" val="$K$34"/>
        <cfvo type="formula" val="$K$34"/>
      </iconSet>
    </cfRule>
  </conditionalFormatting>
  <conditionalFormatting sqref="J35">
    <cfRule type="iconSet" priority="42">
      <iconSet iconSet="3Arrows">
        <cfvo type="percent" val="0"/>
        <cfvo type="formula" val="$K$35"/>
        <cfvo type="formula" val="$K$35"/>
      </iconSet>
    </cfRule>
  </conditionalFormatting>
  <conditionalFormatting sqref="J36">
    <cfRule type="iconSet" priority="41">
      <iconSet iconSet="3Arrows">
        <cfvo type="percent" val="0"/>
        <cfvo type="formula" val="$K$36"/>
        <cfvo type="formula" val="$K$36"/>
      </iconSet>
    </cfRule>
  </conditionalFormatting>
  <conditionalFormatting sqref="J37">
    <cfRule type="iconSet" priority="40">
      <iconSet iconSet="3Arrows">
        <cfvo type="percent" val="0"/>
        <cfvo type="formula" val="$K$37"/>
        <cfvo type="formula" val="$K$37"/>
      </iconSet>
    </cfRule>
  </conditionalFormatting>
  <conditionalFormatting sqref="J38">
    <cfRule type="iconSet" priority="39">
      <iconSet iconSet="3Arrows">
        <cfvo type="percent" val="0"/>
        <cfvo type="formula" val="$K$38"/>
        <cfvo type="formula" val="$K$38"/>
      </iconSet>
    </cfRule>
  </conditionalFormatting>
  <conditionalFormatting sqref="J39">
    <cfRule type="iconSet" priority="38">
      <iconSet iconSet="3Arrows">
        <cfvo type="percent" val="0"/>
        <cfvo type="formula" val="$K$39"/>
        <cfvo type="formula" val="$K$39"/>
      </iconSet>
    </cfRule>
  </conditionalFormatting>
  <conditionalFormatting sqref="N5">
    <cfRule type="iconSet" priority="37">
      <iconSet iconSet="3Arrows">
        <cfvo type="percent" val="0"/>
        <cfvo type="formula" val="$O$5"/>
        <cfvo type="formula" val="$O$5"/>
      </iconSet>
    </cfRule>
  </conditionalFormatting>
  <conditionalFormatting sqref="N6">
    <cfRule type="iconSet" priority="36">
      <iconSet iconSet="3Arrows">
        <cfvo type="percent" val="0"/>
        <cfvo type="formula" val="$O$6"/>
        <cfvo type="formula" val="$O$6"/>
      </iconSet>
    </cfRule>
  </conditionalFormatting>
  <conditionalFormatting sqref="N7">
    <cfRule type="iconSet" priority="35">
      <iconSet iconSet="3Arrows">
        <cfvo type="percent" val="0"/>
        <cfvo type="formula" val="$O$7"/>
        <cfvo type="formula" val="$O$7"/>
      </iconSet>
    </cfRule>
  </conditionalFormatting>
  <conditionalFormatting sqref="N8">
    <cfRule type="iconSet" priority="34">
      <iconSet iconSet="3Arrows">
        <cfvo type="percent" val="0"/>
        <cfvo type="formula" val="$O$8"/>
        <cfvo type="formula" val="$O$8"/>
      </iconSet>
    </cfRule>
  </conditionalFormatting>
  <conditionalFormatting sqref="N9">
    <cfRule type="iconSet" priority="33">
      <iconSet iconSet="3Arrows">
        <cfvo type="percent" val="0"/>
        <cfvo type="formula" val="$O$9"/>
        <cfvo type="formula" val="$O$9"/>
      </iconSet>
    </cfRule>
  </conditionalFormatting>
  <conditionalFormatting sqref="N10">
    <cfRule type="iconSet" priority="32">
      <iconSet iconSet="3Arrows">
        <cfvo type="percent" val="0"/>
        <cfvo type="formula" val="$O$10"/>
        <cfvo type="formula" val="$O$10"/>
      </iconSet>
    </cfRule>
  </conditionalFormatting>
  <conditionalFormatting sqref="N11">
    <cfRule type="iconSet" priority="31">
      <iconSet iconSet="3Arrows">
        <cfvo type="percent" val="0"/>
        <cfvo type="formula" val="$O$11"/>
        <cfvo type="formula" val="$O$11"/>
      </iconSet>
    </cfRule>
  </conditionalFormatting>
  <conditionalFormatting sqref="N12">
    <cfRule type="iconSet" priority="30">
      <iconSet iconSet="3Arrows">
        <cfvo type="percent" val="0"/>
        <cfvo type="formula" val="$O$12"/>
        <cfvo type="formula" val="$O$12"/>
      </iconSet>
    </cfRule>
  </conditionalFormatting>
  <conditionalFormatting sqref="N13">
    <cfRule type="iconSet" priority="29">
      <iconSet iconSet="3Arrows">
        <cfvo type="percent" val="0"/>
        <cfvo type="formula" val="$O$13"/>
        <cfvo type="formula" val="$O$13"/>
      </iconSet>
    </cfRule>
  </conditionalFormatting>
  <conditionalFormatting sqref="N14">
    <cfRule type="iconSet" priority="28">
      <iconSet iconSet="3Arrows">
        <cfvo type="percent" val="0"/>
        <cfvo type="formula" val="$O$14"/>
        <cfvo type="formula" val="$O$14"/>
      </iconSet>
    </cfRule>
  </conditionalFormatting>
  <conditionalFormatting sqref="N15">
    <cfRule type="iconSet" priority="27">
      <iconSet iconSet="3Arrows">
        <cfvo type="percent" val="0"/>
        <cfvo type="formula" val="$O$15"/>
        <cfvo type="formula" val="$O$15"/>
      </iconSet>
    </cfRule>
  </conditionalFormatting>
  <conditionalFormatting sqref="N16">
    <cfRule type="iconSet" priority="26">
      <iconSet iconSet="3Arrows">
        <cfvo type="percent" val="0"/>
        <cfvo type="formula" val="$O$16"/>
        <cfvo type="formula" val="$O$16"/>
      </iconSet>
    </cfRule>
  </conditionalFormatting>
  <conditionalFormatting sqref="N17">
    <cfRule type="iconSet" priority="25">
      <iconSet iconSet="3Arrows">
        <cfvo type="percent" val="0"/>
        <cfvo type="formula" val="$O$17"/>
        <cfvo type="formula" val="$O$17"/>
      </iconSet>
    </cfRule>
  </conditionalFormatting>
  <conditionalFormatting sqref="N18">
    <cfRule type="iconSet" priority="24">
      <iconSet iconSet="3Arrows">
        <cfvo type="percent" val="0"/>
        <cfvo type="formula" val="$O$18"/>
        <cfvo type="formula" val="$O$18"/>
      </iconSet>
    </cfRule>
  </conditionalFormatting>
  <conditionalFormatting sqref="N19">
    <cfRule type="iconSet" priority="23">
      <iconSet iconSet="3Arrows">
        <cfvo type="percent" val="0"/>
        <cfvo type="formula" val="$O$19"/>
        <cfvo type="formula" val="$O$19"/>
      </iconSet>
    </cfRule>
  </conditionalFormatting>
  <conditionalFormatting sqref="N20">
    <cfRule type="iconSet" priority="22">
      <iconSet iconSet="3Arrows">
        <cfvo type="percent" val="0"/>
        <cfvo type="formula" val="$O$20"/>
        <cfvo type="formula" val="$O$20"/>
      </iconSet>
    </cfRule>
  </conditionalFormatting>
  <conditionalFormatting sqref="N21">
    <cfRule type="iconSet" priority="21">
      <iconSet iconSet="3Arrows">
        <cfvo type="percent" val="0"/>
        <cfvo type="formula" val="$O$21"/>
        <cfvo type="formula" val="$O$21"/>
      </iconSet>
    </cfRule>
  </conditionalFormatting>
  <conditionalFormatting sqref="N22">
    <cfRule type="iconSet" priority="20">
      <iconSet iconSet="3Arrows">
        <cfvo type="percent" val="0"/>
        <cfvo type="formula" val="$O$22"/>
        <cfvo type="formula" val="$O$22"/>
      </iconSet>
    </cfRule>
  </conditionalFormatting>
  <conditionalFormatting sqref="N23">
    <cfRule type="iconSet" priority="19">
      <iconSet iconSet="3Arrows">
        <cfvo type="percent" val="0"/>
        <cfvo type="formula" val="$O$23"/>
        <cfvo type="formula" val="$O$23"/>
      </iconSet>
    </cfRule>
  </conditionalFormatting>
  <conditionalFormatting sqref="N24">
    <cfRule type="iconSet" priority="18">
      <iconSet iconSet="3Arrows">
        <cfvo type="percent" val="0"/>
        <cfvo type="formula" val="$O$24"/>
        <cfvo type="formula" val="$O$24"/>
      </iconSet>
    </cfRule>
  </conditionalFormatting>
  <conditionalFormatting sqref="N25">
    <cfRule type="iconSet" priority="17">
      <iconSet iconSet="3Arrows">
        <cfvo type="percent" val="0"/>
        <cfvo type="formula" val="$O$25"/>
        <cfvo type="formula" val="$O$25"/>
      </iconSet>
    </cfRule>
  </conditionalFormatting>
  <conditionalFormatting sqref="N29">
    <cfRule type="iconSet" priority="16">
      <iconSet iconSet="3Arrows">
        <cfvo type="percent" val="0"/>
        <cfvo type="formula" val="$O$29"/>
        <cfvo type="formula" val="$O$29"/>
      </iconSet>
    </cfRule>
  </conditionalFormatting>
  <conditionalFormatting sqref="G67:H77">
    <cfRule type="cellIs" dxfId="21" priority="13" operator="lessThan">
      <formula>0.9</formula>
    </cfRule>
  </conditionalFormatting>
  <conditionalFormatting sqref="G67:H77">
    <cfRule type="cellIs" dxfId="20" priority="12" operator="between">
      <formula>0.9</formula>
      <formula>1</formula>
    </cfRule>
  </conditionalFormatting>
  <conditionalFormatting sqref="G67:H77">
    <cfRule type="cellIs" dxfId="19" priority="11" operator="greaterThanOrEqual">
      <formula>1</formula>
    </cfRule>
  </conditionalFormatting>
  <conditionalFormatting sqref="G80:G90">
    <cfRule type="dataBar" priority="14">
      <dataBar>
        <cfvo type="min"/>
        <cfvo type="max"/>
        <color rgb="FF92D050"/>
      </dataBar>
      <extLst>
        <ext xmlns:x14="http://schemas.microsoft.com/office/spreadsheetml/2009/9/main" uri="{B025F937-C7B1-47D3-B67F-A62EFF666E3E}">
          <x14:id>{ABA9F041-1EDA-4775-B33D-140DFA2B16B9}</x14:id>
        </ext>
      </extLst>
    </cfRule>
    <cfRule type="iconSet" priority="15">
      <iconSet iconSet="3Arrows">
        <cfvo type="percent" val="0"/>
        <cfvo type="num" val="0"/>
        <cfvo type="num" val="0" gte="0"/>
      </iconSet>
    </cfRule>
  </conditionalFormatting>
  <conditionalFormatting sqref="G97:H106">
    <cfRule type="cellIs" dxfId="18" priority="8" operator="lessThan">
      <formula>0.9</formula>
    </cfRule>
  </conditionalFormatting>
  <conditionalFormatting sqref="G97:H106">
    <cfRule type="cellIs" dxfId="17" priority="7" operator="between">
      <formula>0.9</formula>
      <formula>1</formula>
    </cfRule>
  </conditionalFormatting>
  <conditionalFormatting sqref="G97:H106">
    <cfRule type="cellIs" dxfId="16" priority="6" operator="greaterThanOrEqual">
      <formula>1</formula>
    </cfRule>
  </conditionalFormatting>
  <conditionalFormatting sqref="G109:G118">
    <cfRule type="dataBar" priority="9">
      <dataBar>
        <cfvo type="min"/>
        <cfvo type="max"/>
        <color rgb="FF92D050"/>
      </dataBar>
      <extLst>
        <ext xmlns:x14="http://schemas.microsoft.com/office/spreadsheetml/2009/9/main" uri="{B025F937-C7B1-47D3-B67F-A62EFF666E3E}">
          <x14:id>{C9CE83CC-F651-4FE2-9067-AABF49862CFA}</x14:id>
        </ext>
      </extLst>
    </cfRule>
    <cfRule type="iconSet" priority="10">
      <iconSet iconSet="3Arrows">
        <cfvo type="percent" val="0"/>
        <cfvo type="num" val="0"/>
        <cfvo type="num" val="0" gte="0"/>
      </iconSet>
    </cfRule>
  </conditionalFormatting>
  <conditionalFormatting sqref="G125:H137">
    <cfRule type="cellIs" dxfId="15" priority="3" operator="lessThan">
      <formula>0.9</formula>
    </cfRule>
  </conditionalFormatting>
  <conditionalFormatting sqref="G125:H137">
    <cfRule type="cellIs" dxfId="14" priority="2" operator="between">
      <formula>0.9</formula>
      <formula>1</formula>
    </cfRule>
  </conditionalFormatting>
  <conditionalFormatting sqref="G125:H137">
    <cfRule type="cellIs" dxfId="13" priority="1" operator="greaterThanOrEqual">
      <formula>1</formula>
    </cfRule>
  </conditionalFormatting>
  <conditionalFormatting sqref="G140:G152">
    <cfRule type="dataBar" priority="4">
      <dataBar>
        <cfvo type="min"/>
        <cfvo type="max"/>
        <color rgb="FF92D050"/>
      </dataBar>
      <extLst>
        <ext xmlns:x14="http://schemas.microsoft.com/office/spreadsheetml/2009/9/main" uri="{B025F937-C7B1-47D3-B67F-A62EFF666E3E}">
          <x14:id>{8127B2FF-D0D5-4119-9F6D-D999E8ADC341}</x14:id>
        </ext>
      </extLst>
    </cfRule>
    <cfRule type="iconSet" priority="5">
      <iconSet iconSet="3Arrows">
        <cfvo type="percent" val="0"/>
        <cfvo type="num" val="0"/>
        <cfvo type="num" val="0" gte="0"/>
      </iconSet>
    </cfRule>
  </conditionalFormatting>
  <dataValidations count="2">
    <dataValidation type="list" allowBlank="1" showInputMessage="1" showErrorMessage="1" sqref="U3">
      <formula1>$AD$1:$AD$12</formula1>
    </dataValidation>
    <dataValidation type="list" allowBlank="1" showInputMessage="1" showErrorMessage="1" sqref="C9">
      <formula1>$AC$1:$AC$14</formula1>
    </dataValidation>
  </dataValidations>
  <pageMargins left="0.51181102362204722" right="0.51181102362204722" top="1.9685039370078741" bottom="0.15748031496062992" header="0" footer="0.11811023622047245"/>
  <pageSetup paperSize="9" orientation="portrait" horizontalDpi="1200" verticalDpi="1200" r:id="rId1"/>
  <headerFooter>
    <oddHeader>&amp;L&amp;G&amp;R&amp;"NissanAG-Bold,Normal"&amp;14&amp;K00-027
NISSAN AFTERSALES
&amp;"NissanAG-Bold,Gras"&amp;7&amp;KF62626__________________________________________</oddHeader>
  </headerFooter>
  <rowBreaks count="1" manualBreakCount="1">
    <brk id="47" max="16383" man="1"/>
  </rowBreaks>
  <drawing r:id="rId2"/>
  <legacyDrawingHF r:id="rId3"/>
  <tableParts count="3">
    <tablePart r:id="rId4"/>
    <tablePart r:id="rId5"/>
    <tablePart r:id="rId6"/>
  </tableParts>
  <extLst>
    <ext xmlns:x14="http://schemas.microsoft.com/office/spreadsheetml/2009/9/main" uri="{78C0D931-6437-407d-A8EE-F0AAD7539E65}">
      <x14:conditionalFormattings>
        <x14:conditionalFormatting xmlns:xm="http://schemas.microsoft.com/office/excel/2006/main">
          <x14:cfRule type="dataBar" id="{ABA9F041-1EDA-4775-B33D-140DFA2B16B9}">
            <x14:dataBar minLength="0" maxLength="100" gradient="0">
              <x14:cfvo type="autoMin"/>
              <x14:cfvo type="autoMax"/>
              <x14:negativeFillColor rgb="FFFF0000"/>
              <x14:axisColor rgb="FF000000"/>
            </x14:dataBar>
          </x14:cfRule>
          <xm:sqref>G80:G90</xm:sqref>
        </x14:conditionalFormatting>
        <x14:conditionalFormatting xmlns:xm="http://schemas.microsoft.com/office/excel/2006/main">
          <x14:cfRule type="dataBar" id="{C9CE83CC-F651-4FE2-9067-AABF49862CFA}">
            <x14:dataBar minLength="0" maxLength="100" gradient="0">
              <x14:cfvo type="autoMin"/>
              <x14:cfvo type="autoMax"/>
              <x14:negativeFillColor rgb="FFFF0000"/>
              <x14:axisColor rgb="FF000000"/>
            </x14:dataBar>
          </x14:cfRule>
          <xm:sqref>G109:G118</xm:sqref>
        </x14:conditionalFormatting>
        <x14:conditionalFormatting xmlns:xm="http://schemas.microsoft.com/office/excel/2006/main">
          <x14:cfRule type="dataBar" id="{8127B2FF-D0D5-4119-9F6D-D999E8ADC341}">
            <x14:dataBar minLength="0" maxLength="100" gradient="0">
              <x14:cfvo type="autoMin"/>
              <x14:cfvo type="autoMax"/>
              <x14:negativeFillColor rgb="FFFF0000"/>
              <x14:axisColor rgb="FF000000"/>
            </x14:dataBar>
          </x14:cfRule>
          <xm:sqref>G140:G152</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G15"/>
  <sheetViews>
    <sheetView workbookViewId="0">
      <selection activeCell="F2" sqref="F2"/>
    </sheetView>
  </sheetViews>
  <sheetFormatPr baseColWidth="10" defaultRowHeight="12.75" x14ac:dyDescent="0.2"/>
  <cols>
    <col min="1" max="1" width="4" bestFit="1" customWidth="1"/>
    <col min="2" max="2" width="17.28515625" style="104" bestFit="1" customWidth="1"/>
    <col min="3" max="3" width="15.5703125" style="104" bestFit="1" customWidth="1"/>
    <col min="4" max="4" width="13.5703125" style="103" bestFit="1" customWidth="1"/>
    <col min="5" max="5" width="17.28515625" style="104" bestFit="1" customWidth="1"/>
  </cols>
  <sheetData>
    <row r="1" spans="1:7" x14ac:dyDescent="0.2">
      <c r="B1" s="104" t="s">
        <v>17</v>
      </c>
      <c r="C1" s="104" t="s">
        <v>6</v>
      </c>
      <c r="D1" s="103" t="s">
        <v>20</v>
      </c>
      <c r="E1" s="104" t="s">
        <v>21</v>
      </c>
      <c r="F1" s="324" t="s">
        <v>88</v>
      </c>
      <c r="G1" s="324" t="s">
        <v>64</v>
      </c>
    </row>
    <row r="2" spans="1:7" x14ac:dyDescent="0.2">
      <c r="A2">
        <v>19</v>
      </c>
      <c r="B2" s="102"/>
      <c r="C2" s="102"/>
      <c r="D2" s="105"/>
      <c r="E2" s="102"/>
      <c r="F2" s="235" t="s">
        <v>74</v>
      </c>
      <c r="G2" s="235" t="s">
        <v>59</v>
      </c>
    </row>
    <row r="3" spans="1:7" x14ac:dyDescent="0.2">
      <c r="A3">
        <v>32</v>
      </c>
      <c r="B3" s="102"/>
      <c r="C3" s="102"/>
      <c r="D3" s="105"/>
      <c r="E3" s="102"/>
      <c r="F3" s="235" t="s">
        <v>75</v>
      </c>
      <c r="G3" s="235" t="s">
        <v>59</v>
      </c>
    </row>
    <row r="4" spans="1:7" x14ac:dyDescent="0.2">
      <c r="A4">
        <v>40</v>
      </c>
      <c r="B4" s="102"/>
      <c r="C4" s="102"/>
      <c r="D4" s="105"/>
      <c r="E4" s="102"/>
      <c r="F4" s="235" t="s">
        <v>76</v>
      </c>
      <c r="G4" s="235" t="s">
        <v>59</v>
      </c>
    </row>
    <row r="5" spans="1:7" x14ac:dyDescent="0.2">
      <c r="A5">
        <v>85</v>
      </c>
      <c r="B5" s="102"/>
      <c r="C5" s="102"/>
      <c r="D5" s="105"/>
      <c r="E5" s="102"/>
      <c r="F5" s="235" t="s">
        <v>77</v>
      </c>
      <c r="G5" s="235" t="s">
        <v>59</v>
      </c>
    </row>
    <row r="6" spans="1:7" x14ac:dyDescent="0.2">
      <c r="A6">
        <v>263</v>
      </c>
      <c r="B6" s="102"/>
      <c r="C6" s="102"/>
      <c r="D6" s="105"/>
      <c r="E6" s="102"/>
      <c r="F6" s="235" t="s">
        <v>78</v>
      </c>
      <c r="G6" s="235" t="s">
        <v>59</v>
      </c>
    </row>
    <row r="7" spans="1:7" x14ac:dyDescent="0.2">
      <c r="A7">
        <v>305</v>
      </c>
      <c r="B7" s="102"/>
      <c r="C7" s="102"/>
      <c r="D7" s="105"/>
      <c r="E7" s="102"/>
      <c r="F7" s="235" t="s">
        <v>79</v>
      </c>
      <c r="G7" s="235" t="s">
        <v>59</v>
      </c>
    </row>
    <row r="8" spans="1:7" x14ac:dyDescent="0.2">
      <c r="A8">
        <v>453</v>
      </c>
      <c r="B8" s="102"/>
      <c r="C8" s="102"/>
      <c r="D8" s="105"/>
      <c r="E8" s="102"/>
      <c r="F8" s="235" t="s">
        <v>80</v>
      </c>
      <c r="G8" s="235" t="s">
        <v>59</v>
      </c>
    </row>
    <row r="9" spans="1:7" x14ac:dyDescent="0.2">
      <c r="A9">
        <v>459</v>
      </c>
      <c r="B9" s="102"/>
      <c r="C9" s="102"/>
      <c r="D9" s="105"/>
      <c r="E9" s="102"/>
      <c r="F9" s="235" t="s">
        <v>81</v>
      </c>
      <c r="G9" s="235" t="s">
        <v>58</v>
      </c>
    </row>
    <row r="10" spans="1:7" x14ac:dyDescent="0.2">
      <c r="A10">
        <v>487</v>
      </c>
      <c r="B10" s="102"/>
      <c r="C10" s="102"/>
      <c r="D10" s="105"/>
      <c r="E10" s="102"/>
      <c r="F10" s="235" t="s">
        <v>82</v>
      </c>
      <c r="G10" s="235" t="s">
        <v>58</v>
      </c>
    </row>
    <row r="11" spans="1:7" x14ac:dyDescent="0.2">
      <c r="A11">
        <v>497</v>
      </c>
      <c r="B11" s="102"/>
      <c r="C11" s="102"/>
      <c r="D11" s="105"/>
      <c r="E11" s="102"/>
      <c r="F11" s="235" t="s">
        <v>83</v>
      </c>
      <c r="G11" s="235" t="s">
        <v>58</v>
      </c>
    </row>
    <row r="12" spans="1:7" x14ac:dyDescent="0.2">
      <c r="A12">
        <v>499</v>
      </c>
      <c r="B12" s="102"/>
      <c r="C12" s="102"/>
      <c r="D12" s="105"/>
      <c r="E12" s="102"/>
      <c r="F12" s="235" t="s">
        <v>84</v>
      </c>
      <c r="G12" s="235" t="s">
        <v>59</v>
      </c>
    </row>
    <row r="13" spans="1:7" x14ac:dyDescent="0.2">
      <c r="A13">
        <v>541</v>
      </c>
      <c r="B13" s="102"/>
      <c r="C13" s="102"/>
      <c r="D13" s="105"/>
      <c r="E13" s="102"/>
      <c r="F13" s="235" t="s">
        <v>85</v>
      </c>
      <c r="G13" s="235" t="s">
        <v>59</v>
      </c>
    </row>
    <row r="14" spans="1:7" x14ac:dyDescent="0.2">
      <c r="A14">
        <v>629</v>
      </c>
      <c r="B14" s="102"/>
      <c r="C14" s="102"/>
      <c r="D14" s="105"/>
      <c r="E14" s="102"/>
      <c r="F14" s="235" t="s">
        <v>86</v>
      </c>
      <c r="G14" s="235" t="s">
        <v>58</v>
      </c>
    </row>
    <row r="15" spans="1:7" x14ac:dyDescent="0.2">
      <c r="A15">
        <v>712</v>
      </c>
      <c r="B15" s="102"/>
      <c r="C15" s="102"/>
      <c r="D15" s="105"/>
      <c r="E15" s="102"/>
      <c r="F15" s="235" t="s">
        <v>87</v>
      </c>
      <c r="G15" s="235"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5</vt:i4>
      </vt:variant>
    </vt:vector>
  </HeadingPairs>
  <TitlesOfParts>
    <vt:vector size="9" baseType="lpstr">
      <vt:lpstr>TDB F+D</vt:lpstr>
      <vt:lpstr>Tableau de bord direkt HDL</vt:lpstr>
      <vt:lpstr>Niiiiice</vt:lpstr>
      <vt:lpstr>RL Ziele</vt:lpstr>
      <vt:lpstr>'Tableau de bord direkt HDL'!Zone_d_impression</vt:lpstr>
      <vt:lpstr>'TDB F+D'!Zone_d_impression</vt:lpstr>
      <vt:lpstr>Zone19</vt:lpstr>
      <vt:lpstr>Zone32</vt:lpstr>
      <vt:lpstr>Zone40</vt:lpstr>
    </vt:vector>
  </TitlesOfParts>
  <Company>RENAULT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as00042</dc:creator>
  <cp:lastModifiedBy>Guy</cp:lastModifiedBy>
  <cp:lastPrinted>2013-05-21T13:56:54Z</cp:lastPrinted>
  <dcterms:created xsi:type="dcterms:W3CDTF">2012-04-10T13:22:09Z</dcterms:created>
  <dcterms:modified xsi:type="dcterms:W3CDTF">2013-05-22T14:40:59Z</dcterms:modified>
</cp:coreProperties>
</file>