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75" windowHeight="9840" tabRatio="880" firstSheet="1" activeTab="6"/>
  </bookViews>
  <sheets>
    <sheet name="Base de données sociale" sheetId="3" r:id="rId1"/>
    <sheet name="suivi bulletins" sheetId="1" r:id="rId2"/>
    <sheet name="SMIC" sheetId="5" r:id="rId3"/>
    <sheet name="DUBREUIL JEAN" sheetId="6" r:id="rId4"/>
    <sheet name="ROBERT DUVERGNE" sheetId="7" r:id="rId5"/>
    <sheet name="Ess" sheetId="8" r:id="rId6"/>
    <sheet name="Controle des charges" sheetId="4" r:id="rId7"/>
  </sheets>
  <definedNames>
    <definedName name="_xlnm._FilterDatabase" localSheetId="0" hidden="1">'Base de données sociale'!$B$26:$Q$26</definedName>
    <definedName name="Assiette_Fillon" localSheetId="3">'DUBREUIL JEAN'!#REF!</definedName>
    <definedName name="Assiette_Fillon" localSheetId="5">Ess!#REF!</definedName>
    <definedName name="Assiette_Fillon" localSheetId="4">'ROBERT DUVERGNE'!#REF!</definedName>
    <definedName name="Assiette_Fillon">#REF!</definedName>
    <definedName name="Coeff.effectif" localSheetId="3">'DUBREUIL JEAN'!$C$15</definedName>
    <definedName name="Coeff.effectif" localSheetId="5">Ess!$C$15</definedName>
    <definedName name="Coeff.effectif" localSheetId="4">'ROBERT DUVERGNE'!$C$15</definedName>
    <definedName name="Coeff.effectif">#REF!</definedName>
    <definedName name="Horaire_collectif_mensuel" localSheetId="3">'DUBREUIL JEAN'!$C$13</definedName>
    <definedName name="Horaire_collectif_mensuel" localSheetId="5">Ess!$C$13</definedName>
    <definedName name="Horaire_collectif_mensuel" localSheetId="4">'ROBERT DUVERGNE'!$C$13</definedName>
    <definedName name="Horaire_collectif_mensuel">#REF!</definedName>
    <definedName name="Mode_calcul" localSheetId="5">Ess!$C$11</definedName>
    <definedName name="Mode_calcul" localSheetId="4">'ROBERT DUVERGNE'!$C$11</definedName>
    <definedName name="Mode_calcul">'DUBREUIL JEAN'!$C$11</definedName>
    <definedName name="Montant_absences_non_rémunérées" localSheetId="3">'DUBREUIL JEAN'!#REF!</definedName>
    <definedName name="Montant_absences_non_rémunérées" localSheetId="5">Ess!#REF!</definedName>
    <definedName name="Montant_absences_non_rémunérées" localSheetId="4">'ROBERT DUVERGNE'!#REF!</definedName>
    <definedName name="Montant_absences_non_rémunérées">#REF!</definedName>
    <definedName name="Montant_annuel_absences_non_rémunérées" localSheetId="3">'DUBREUIL JEAN'!#REF!</definedName>
    <definedName name="Montant_annuel_absences_non_rémunérées" localSheetId="5">Ess!#REF!</definedName>
    <definedName name="Montant_annuel_absences_non_rémunérées" localSheetId="4">'ROBERT DUVERGNE'!#REF!</definedName>
    <definedName name="Montant_annuel_absences_non_rémunérées">#REF!</definedName>
    <definedName name="Montant_annuel_gain_des_heures_compl._et_suppl." localSheetId="3">'DUBREUIL JEAN'!#REF!</definedName>
    <definedName name="Montant_annuel_gain_des_heures_compl._et_suppl." localSheetId="5">Ess!#REF!</definedName>
    <definedName name="Montant_annuel_gain_des_heures_compl._et_suppl." localSheetId="4">'ROBERT DUVERGNE'!#REF!</definedName>
    <definedName name="Montant_annuel_gain_des_heures_compl._et_suppl.">#REF!</definedName>
    <definedName name="Montant_annuel_retenu_ijss_brutes" localSheetId="3">'DUBREUIL JEAN'!#REF!</definedName>
    <definedName name="Montant_annuel_retenu_ijss_brutes" localSheetId="5">Ess!#REF!</definedName>
    <definedName name="Montant_annuel_retenu_ijss_brutes" localSheetId="4">'ROBERT DUVERGNE'!#REF!</definedName>
    <definedName name="Montant_annuel_retenu_ijss_brutes">#REF!</definedName>
    <definedName name="Montant_retenu_ijss_brutes" localSheetId="3">'DUBREUIL JEAN'!#REF!</definedName>
    <definedName name="Montant_retenu_ijss_brutes" localSheetId="5">Ess!#REF!</definedName>
    <definedName name="Montant_retenu_ijss_brutes" localSheetId="4">'ROBERT DUVERGNE'!#REF!</definedName>
    <definedName name="Montant_retenu_ijss_brutes">#REF!</definedName>
    <definedName name="Nb_heures_supp" localSheetId="3">'DUBREUIL JEAN'!#REF!</definedName>
    <definedName name="Nb_heures_supp" localSheetId="5">Ess!#REF!</definedName>
    <definedName name="Nb_heures_supp" localSheetId="4">'ROBERT DUVERGNE'!#REF!</definedName>
    <definedName name="Nb_heures_supp">#REF!</definedName>
    <definedName name="Prorata_horaire_annuel" localSheetId="3">'DUBREUIL JEAN'!#REF!</definedName>
    <definedName name="Prorata_horaire_annuel" localSheetId="5">Ess!#REF!</definedName>
    <definedName name="Prorata_horaire_annuel" localSheetId="4">'ROBERT DUVERGNE'!#REF!</definedName>
    <definedName name="Prorata_horaire_annuel">#REF!</definedName>
    <definedName name="Prorata_horaire_mensuel" localSheetId="3">'DUBREUIL JEAN'!#REF!</definedName>
    <definedName name="Prorata_horaire_mensuel" localSheetId="5">Ess!#REF!</definedName>
    <definedName name="Prorata_horaire_mensuel" localSheetId="4">'ROBERT DUVERGNE'!#REF!</definedName>
    <definedName name="Prorata_horaire_mensuel">#REF!</definedName>
    <definedName name="Salaire_brut_annuel_total" localSheetId="3">'DUBREUIL JEAN'!#REF!</definedName>
    <definedName name="Salaire_brut_annuel_total" localSheetId="5">Ess!#REF!</definedName>
    <definedName name="Salaire_brut_annuel_total" localSheetId="4">'ROBERT DUVERGNE'!#REF!</definedName>
    <definedName name="Salaire_brut_annuel_total">#REF!</definedName>
    <definedName name="Salaire_brut_annuel_total__sauf_HS_et_IJSS" localSheetId="3">'DUBREUIL JEAN'!#REF!</definedName>
    <definedName name="Salaire_brut_annuel_total__sauf_HS_et_IJSS" localSheetId="5">Ess!#REF!</definedName>
    <definedName name="Salaire_brut_annuel_total__sauf_HS_et_IJSS" localSheetId="4">'ROBERT DUVERGNE'!#REF!</definedName>
    <definedName name="Salaire_brut_annuel_total__sauf_HS_et_IJSS">#REF!</definedName>
    <definedName name="Salaire_brut_août" localSheetId="5">Ess!$D$30</definedName>
    <definedName name="Salaire_brut_août" localSheetId="4">'ROBERT DUVERGNE'!$D$30</definedName>
    <definedName name="Salaire_brut_août">'DUBREUIL JEAN'!$D$30</definedName>
    <definedName name="Salaire_brut_avril" localSheetId="5">Ess!$D$26</definedName>
    <definedName name="Salaire_brut_avril" localSheetId="4">'ROBERT DUVERGNE'!$D$26</definedName>
    <definedName name="Salaire_brut_avril">'DUBREUIL JEAN'!$D$26</definedName>
    <definedName name="Salaire_brut_décembre" localSheetId="5">Ess!$D$34</definedName>
    <definedName name="Salaire_brut_décembre" localSheetId="4">'ROBERT DUVERGNE'!$D$34</definedName>
    <definedName name="Salaire_brut_décembre">'DUBREUIL JEAN'!$D$34</definedName>
    <definedName name="Salaire_brut_février" localSheetId="5">Ess!$D$24</definedName>
    <definedName name="Salaire_brut_février" localSheetId="4">'ROBERT DUVERGNE'!$D$24</definedName>
    <definedName name="Salaire_brut_février">'DUBREUIL JEAN'!$D$24</definedName>
    <definedName name="Salaire_brut_janvier" localSheetId="5">Ess!$D$23</definedName>
    <definedName name="Salaire_brut_janvier" localSheetId="4">'ROBERT DUVERGNE'!$D$23</definedName>
    <definedName name="Salaire_brut_janvier">'DUBREUIL JEAN'!$D$23</definedName>
    <definedName name="Salaire_brut_juillet" localSheetId="5">Ess!$D$29</definedName>
    <definedName name="Salaire_brut_juillet" localSheetId="4">'ROBERT DUVERGNE'!$D$29</definedName>
    <definedName name="Salaire_brut_juillet">'DUBREUIL JEAN'!$D$29</definedName>
    <definedName name="Salaire_brut_juin" localSheetId="5">Ess!$D$28</definedName>
    <definedName name="Salaire_brut_juin" localSheetId="4">'ROBERT DUVERGNE'!$D$28</definedName>
    <definedName name="Salaire_brut_juin">'DUBREUIL JEAN'!$D$28</definedName>
    <definedName name="Salaire_brut_mai" localSheetId="5">Ess!$D$27</definedName>
    <definedName name="Salaire_brut_mai" localSheetId="4">'ROBERT DUVERGNE'!$D$27</definedName>
    <definedName name="Salaire_brut_mai">'DUBREUIL JEAN'!$D$27</definedName>
    <definedName name="Salaire_brut_mars" localSheetId="5">Ess!$D$25</definedName>
    <definedName name="Salaire_brut_mars" localSheetId="4">'ROBERT DUVERGNE'!$D$25</definedName>
    <definedName name="Salaire_brut_mars">'DUBREUIL JEAN'!$D$25</definedName>
    <definedName name="Salaire_brut_novembre" localSheetId="5">Ess!$D$33</definedName>
    <definedName name="Salaire_brut_novembre" localSheetId="4">'ROBERT DUVERGNE'!$D$33</definedName>
    <definedName name="Salaire_brut_novembre">'DUBREUIL JEAN'!$D$33</definedName>
    <definedName name="Salaire_brut_octobre" localSheetId="5">Ess!$D$32</definedName>
    <definedName name="Salaire_brut_octobre" localSheetId="4">'ROBERT DUVERGNE'!$D$32</definedName>
    <definedName name="Salaire_brut_octobre">'DUBREUIL JEAN'!$D$32</definedName>
    <definedName name="Salaire_brut_septembre" localSheetId="5">Ess!$D$31</definedName>
    <definedName name="Salaire_brut_septembre" localSheetId="4">'ROBERT DUVERGNE'!$D$31</definedName>
    <definedName name="Salaire_brut_septembre">'DUBREUIL JEAN'!$D$31</definedName>
    <definedName name="Salaire_brut_total__sauf_HS_et_IJSS" localSheetId="3">'DUBREUIL JEAN'!#REF!</definedName>
    <definedName name="Salaire_brut_total__sauf_HS_et_IJSS" localSheetId="5">Ess!#REF!</definedName>
    <definedName name="Salaire_brut_total__sauf_HS_et_IJSS" localSheetId="4">'ROBERT DUVERGNE'!#REF!</definedName>
    <definedName name="Salaire_brut_total__sauf_HS_et_IJSS">#REF!</definedName>
    <definedName name="Salaire_mensuel" localSheetId="3">'DUBREUIL JEAN'!#REF!</definedName>
    <definedName name="Salaire_mensuel" localSheetId="5">Ess!#REF!</definedName>
    <definedName name="Salaire_mensuel" localSheetId="4">'ROBERT DUVERGNE'!#REF!</definedName>
    <definedName name="Salaire_mensuel">#REF!</definedName>
    <definedName name="Smic_août" localSheetId="5">Ess!#REF!</definedName>
    <definedName name="Smic_août" localSheetId="4">'ROBERT DUVERGNE'!#REF!</definedName>
    <definedName name="Smic_août">'DUBREUIL JEAN'!#REF!</definedName>
    <definedName name="Smic_avril" localSheetId="5">Ess!#REF!</definedName>
    <definedName name="Smic_avril" localSheetId="4">'ROBERT DUVERGNE'!#REF!</definedName>
    <definedName name="Smic_avril">'DUBREUIL JEAN'!#REF!</definedName>
    <definedName name="Smic_décembre" localSheetId="5">Ess!#REF!</definedName>
    <definedName name="Smic_décembre" localSheetId="4">'ROBERT DUVERGNE'!#REF!</definedName>
    <definedName name="Smic_décembre">'DUBREUIL JEAN'!#REF!</definedName>
    <definedName name="Smic_février" localSheetId="5">Ess!#REF!</definedName>
    <definedName name="Smic_février" localSheetId="4">'ROBERT DUVERGNE'!#REF!</definedName>
    <definedName name="Smic_février">'DUBREUIL JEAN'!#REF!</definedName>
    <definedName name="Smic_janvier" localSheetId="5">Ess!#REF!</definedName>
    <definedName name="Smic_janvier" localSheetId="4">'ROBERT DUVERGNE'!#REF!</definedName>
    <definedName name="Smic_janvier">'DUBREUIL JEAN'!#REF!</definedName>
    <definedName name="Smic_juillet" localSheetId="5">Ess!#REF!</definedName>
    <definedName name="Smic_juillet" localSheetId="4">'ROBERT DUVERGNE'!#REF!</definedName>
    <definedName name="Smic_juillet">'DUBREUIL JEAN'!#REF!</definedName>
    <definedName name="Smic_juin" localSheetId="5">Ess!#REF!</definedName>
    <definedName name="Smic_juin" localSheetId="4">'ROBERT DUVERGNE'!#REF!</definedName>
    <definedName name="Smic_juin">'DUBREUIL JEAN'!#REF!</definedName>
    <definedName name="Smic_mai" localSheetId="5">Ess!#REF!</definedName>
    <definedName name="Smic_mai" localSheetId="4">'ROBERT DUVERGNE'!#REF!</definedName>
    <definedName name="Smic_mai">'DUBREUIL JEAN'!#REF!</definedName>
    <definedName name="Smic_mars" localSheetId="5">Ess!#REF!</definedName>
    <definedName name="Smic_mars" localSheetId="4">'ROBERT DUVERGNE'!#REF!</definedName>
    <definedName name="Smic_mars">'DUBREUIL JEAN'!#REF!</definedName>
    <definedName name="Smic_mensuel" localSheetId="3">'DUBREUIL JEAN'!#REF!</definedName>
    <definedName name="Smic_mensuel" localSheetId="5">Ess!#REF!</definedName>
    <definedName name="Smic_mensuel" localSheetId="4">'ROBERT DUVERGNE'!#REF!</definedName>
    <definedName name="Smic_mensuel">#REF!</definedName>
    <definedName name="Smic_novembre" localSheetId="5">Ess!#REF!</definedName>
    <definedName name="Smic_novembre" localSheetId="4">'ROBERT DUVERGNE'!#REF!</definedName>
    <definedName name="Smic_novembre">'DUBREUIL JEAN'!#REF!</definedName>
    <definedName name="Smic_octobre" localSheetId="5">Ess!#REF!</definedName>
    <definedName name="Smic_octobre" localSheetId="4">'ROBERT DUVERGNE'!#REF!</definedName>
    <definedName name="Smic_octobre">'DUBREUIL JEAN'!#REF!</definedName>
    <definedName name="Smic_septembre" localSheetId="5">Ess!#REF!</definedName>
    <definedName name="Smic_septembre" localSheetId="4">'ROBERT DUVERGNE'!#REF!</definedName>
    <definedName name="Smic_septembre">'DUBREUIL JEAN'!#REF!</definedName>
    <definedName name="Taux_horaire_smic" localSheetId="3">'DUBREUIL JEAN'!#REF!</definedName>
    <definedName name="Taux_horaire_smic" localSheetId="5">Ess!#REF!</definedName>
    <definedName name="Taux_horaire_smic" localSheetId="4">'ROBERT DUVERGNE'!#REF!</definedName>
    <definedName name="Taux_horaire_smic">#REF!</definedName>
    <definedName name="_xlnm.Print_Area" localSheetId="3">'DUBREUIL JEAN'!$B$1:$W$51</definedName>
    <definedName name="_xlnm.Print_Area" localSheetId="5">Ess!$B$1:$W$51</definedName>
    <definedName name="_xlnm.Print_Area" localSheetId="4">'ROBERT DUVERGNE'!$B$1:$W$51</definedName>
  </definedNames>
  <calcPr calcId="152511"/>
</workbook>
</file>

<file path=xl/calcChain.xml><?xml version="1.0" encoding="utf-8"?>
<calcChain xmlns="http://schemas.openxmlformats.org/spreadsheetml/2006/main">
  <c r="D35" i="8" l="1"/>
  <c r="T34" i="8"/>
  <c r="Q34" i="8"/>
  <c r="N34" i="8"/>
  <c r="K34" i="8"/>
  <c r="J34" i="8"/>
  <c r="P34" i="8" s="1"/>
  <c r="S34" i="8" s="1"/>
  <c r="H34" i="8"/>
  <c r="G34" i="8"/>
  <c r="C34" i="8"/>
  <c r="N33" i="8"/>
  <c r="K33" i="8"/>
  <c r="J33" i="8"/>
  <c r="H33" i="8"/>
  <c r="G33" i="8"/>
  <c r="C33" i="8"/>
  <c r="N32" i="8"/>
  <c r="K32" i="8"/>
  <c r="J32" i="8"/>
  <c r="P32" i="8" s="1"/>
  <c r="S32" i="8" s="1"/>
  <c r="U32" i="8" s="1"/>
  <c r="H32" i="8"/>
  <c r="G32" i="8"/>
  <c r="C32" i="8"/>
  <c r="N31" i="8"/>
  <c r="K31" i="8"/>
  <c r="J31" i="8"/>
  <c r="H31" i="8"/>
  <c r="G31" i="8"/>
  <c r="C31" i="8"/>
  <c r="N30" i="8"/>
  <c r="K30" i="8"/>
  <c r="J30" i="8"/>
  <c r="P30" i="8" s="1"/>
  <c r="S30" i="8" s="1"/>
  <c r="U30" i="8" s="1"/>
  <c r="H30" i="8"/>
  <c r="G30" i="8"/>
  <c r="C30" i="8"/>
  <c r="N29" i="8"/>
  <c r="K29" i="8"/>
  <c r="J29" i="8"/>
  <c r="H29" i="8"/>
  <c r="G29" i="8"/>
  <c r="C29" i="8"/>
  <c r="N28" i="8"/>
  <c r="K28" i="8"/>
  <c r="J28" i="8"/>
  <c r="P28" i="8" s="1"/>
  <c r="S28" i="8" s="1"/>
  <c r="U28" i="8" s="1"/>
  <c r="H28" i="8"/>
  <c r="G28" i="8"/>
  <c r="C28" i="8"/>
  <c r="N27" i="8"/>
  <c r="K27" i="8"/>
  <c r="J27" i="8"/>
  <c r="H27" i="8"/>
  <c r="G27" i="8"/>
  <c r="C27" i="8"/>
  <c r="N26" i="8"/>
  <c r="K26" i="8"/>
  <c r="J26" i="8"/>
  <c r="P26" i="8" s="1"/>
  <c r="S26" i="8" s="1"/>
  <c r="U26" i="8" s="1"/>
  <c r="H26" i="8"/>
  <c r="G26" i="8"/>
  <c r="C26" i="8"/>
  <c r="N25" i="8"/>
  <c r="K25" i="8"/>
  <c r="J25" i="8"/>
  <c r="H25" i="8"/>
  <c r="G25" i="8"/>
  <c r="C25" i="8"/>
  <c r="N24" i="8"/>
  <c r="K24" i="8"/>
  <c r="J24" i="8"/>
  <c r="P24" i="8" s="1"/>
  <c r="S24" i="8" s="1"/>
  <c r="U24" i="8" s="1"/>
  <c r="H24" i="8"/>
  <c r="G24" i="8"/>
  <c r="C24" i="8"/>
  <c r="N23" i="8"/>
  <c r="K23" i="8"/>
  <c r="H23" i="8"/>
  <c r="G23" i="8"/>
  <c r="J23" i="8" s="1"/>
  <c r="L23" i="8" s="1"/>
  <c r="L24" i="8" s="1"/>
  <c r="L25" i="8" s="1"/>
  <c r="L26" i="8" s="1"/>
  <c r="L27" i="8" s="1"/>
  <c r="L28" i="8" s="1"/>
  <c r="L29" i="8" s="1"/>
  <c r="L30" i="8" s="1"/>
  <c r="L31" i="8" s="1"/>
  <c r="L32" i="8" s="1"/>
  <c r="L33" i="8" s="1"/>
  <c r="L34" i="8" s="1"/>
  <c r="C23" i="8"/>
  <c r="M23" i="8" s="1"/>
  <c r="M24" i="8" s="1"/>
  <c r="M25" i="8" s="1"/>
  <c r="M26" i="8" s="1"/>
  <c r="M27" i="8" s="1"/>
  <c r="M28" i="8" s="1"/>
  <c r="M29" i="8" s="1"/>
  <c r="M30" i="8" s="1"/>
  <c r="M31" i="8" s="1"/>
  <c r="M32" i="8" s="1"/>
  <c r="M33" i="8" s="1"/>
  <c r="M34" i="8" s="1"/>
  <c r="E19" i="8"/>
  <c r="E18" i="8"/>
  <c r="C15" i="8"/>
  <c r="B2" i="4"/>
  <c r="G23" i="6"/>
  <c r="D35" i="7"/>
  <c r="T34" i="7"/>
  <c r="Q34" i="7"/>
  <c r="N34" i="7"/>
  <c r="K34" i="7"/>
  <c r="J34" i="7"/>
  <c r="H34" i="7"/>
  <c r="G34" i="7"/>
  <c r="N33" i="7"/>
  <c r="K33" i="7"/>
  <c r="J33" i="7"/>
  <c r="H33" i="7"/>
  <c r="G33" i="7"/>
  <c r="N32" i="7"/>
  <c r="K32" i="7"/>
  <c r="J32" i="7"/>
  <c r="H32" i="7"/>
  <c r="G32" i="7"/>
  <c r="N31" i="7"/>
  <c r="K31" i="7"/>
  <c r="J31" i="7"/>
  <c r="H31" i="7"/>
  <c r="G31" i="7"/>
  <c r="N30" i="7"/>
  <c r="K30" i="7"/>
  <c r="J30" i="7"/>
  <c r="H30" i="7"/>
  <c r="G30" i="7"/>
  <c r="N29" i="7"/>
  <c r="K29" i="7"/>
  <c r="J29" i="7"/>
  <c r="H29" i="7"/>
  <c r="G29" i="7"/>
  <c r="C29" i="7"/>
  <c r="N28" i="7"/>
  <c r="K28" i="7"/>
  <c r="J28" i="7"/>
  <c r="H28" i="7"/>
  <c r="G28" i="7"/>
  <c r="N27" i="7"/>
  <c r="K27" i="7"/>
  <c r="J27" i="7"/>
  <c r="H27" i="7"/>
  <c r="G27" i="7"/>
  <c r="N26" i="7"/>
  <c r="K26" i="7"/>
  <c r="J26" i="7"/>
  <c r="H26" i="7"/>
  <c r="G26" i="7"/>
  <c r="N25" i="7"/>
  <c r="K25" i="7"/>
  <c r="J25" i="7"/>
  <c r="H25" i="7"/>
  <c r="G25" i="7"/>
  <c r="N24" i="7"/>
  <c r="K24" i="7"/>
  <c r="J24" i="7"/>
  <c r="H24" i="7"/>
  <c r="G24" i="7"/>
  <c r="N23" i="7"/>
  <c r="K23" i="7"/>
  <c r="H23" i="7"/>
  <c r="G23" i="7"/>
  <c r="C23" i="7"/>
  <c r="J23" i="7" s="1"/>
  <c r="L23" i="7" s="1"/>
  <c r="E19" i="7"/>
  <c r="E18" i="7"/>
  <c r="C15" i="7"/>
  <c r="D35" i="6"/>
  <c r="T34" i="6"/>
  <c r="Q34" i="6"/>
  <c r="N34" i="6"/>
  <c r="K34" i="6"/>
  <c r="J34" i="6"/>
  <c r="H34" i="6"/>
  <c r="G34" i="6"/>
  <c r="N33" i="6"/>
  <c r="K33" i="6"/>
  <c r="J33" i="6"/>
  <c r="H33" i="6"/>
  <c r="G33" i="6"/>
  <c r="N32" i="6"/>
  <c r="K32" i="6"/>
  <c r="J32" i="6"/>
  <c r="H32" i="6"/>
  <c r="G32" i="6"/>
  <c r="N31" i="6"/>
  <c r="K31" i="6"/>
  <c r="J31" i="6"/>
  <c r="H31" i="6"/>
  <c r="G31" i="6"/>
  <c r="N30" i="6"/>
  <c r="K30" i="6"/>
  <c r="J30" i="6"/>
  <c r="H30" i="6"/>
  <c r="G30" i="6"/>
  <c r="N29" i="6"/>
  <c r="K29" i="6"/>
  <c r="H29" i="6"/>
  <c r="G29" i="6"/>
  <c r="C29" i="6"/>
  <c r="J29" i="6" s="1"/>
  <c r="N28" i="6"/>
  <c r="K28" i="6"/>
  <c r="J28" i="6"/>
  <c r="H28" i="6"/>
  <c r="G28" i="6"/>
  <c r="N27" i="6"/>
  <c r="K27" i="6"/>
  <c r="J27" i="6"/>
  <c r="H27" i="6"/>
  <c r="G27" i="6"/>
  <c r="N26" i="6"/>
  <c r="K26" i="6"/>
  <c r="J26" i="6"/>
  <c r="H26" i="6"/>
  <c r="G26" i="6"/>
  <c r="N25" i="6"/>
  <c r="K25" i="6"/>
  <c r="J25" i="6"/>
  <c r="H25" i="6"/>
  <c r="G25" i="6"/>
  <c r="N24" i="6"/>
  <c r="K24" i="6"/>
  <c r="J24" i="6"/>
  <c r="H24" i="6"/>
  <c r="G24" i="6"/>
  <c r="N23" i="6"/>
  <c r="K23" i="6"/>
  <c r="H23" i="6"/>
  <c r="C23" i="6"/>
  <c r="M23" i="6" s="1"/>
  <c r="E19" i="6"/>
  <c r="E18" i="6"/>
  <c r="C15" i="6"/>
  <c r="B3" i="4" s="1"/>
  <c r="B11" i="5"/>
  <c r="C30" i="6" s="1"/>
  <c r="B5" i="5"/>
  <c r="C24" i="6" s="1"/>
  <c r="B15" i="4"/>
  <c r="C11" i="4"/>
  <c r="V24" i="8" l="1"/>
  <c r="W24" i="8"/>
  <c r="V26" i="8"/>
  <c r="W26" i="8"/>
  <c r="V28" i="8"/>
  <c r="W28" i="8"/>
  <c r="V30" i="8"/>
  <c r="W30" i="8"/>
  <c r="V32" i="8"/>
  <c r="W32" i="8"/>
  <c r="O34" i="8"/>
  <c r="O33" i="8"/>
  <c r="Q33" i="8" s="1"/>
  <c r="O32" i="8"/>
  <c r="O31" i="8"/>
  <c r="Q31" i="8" s="1"/>
  <c r="O30" i="8"/>
  <c r="O29" i="8"/>
  <c r="Q29" i="8" s="1"/>
  <c r="O28" i="8"/>
  <c r="O27" i="8"/>
  <c r="Q27" i="8" s="1"/>
  <c r="O26" i="8"/>
  <c r="O25" i="8"/>
  <c r="Q25" i="8" s="1"/>
  <c r="O24" i="8"/>
  <c r="O23" i="8"/>
  <c r="R23" i="8" s="1"/>
  <c r="P23" i="8"/>
  <c r="S23" i="8" s="1"/>
  <c r="Q24" i="8"/>
  <c r="P25" i="8"/>
  <c r="S25" i="8" s="1"/>
  <c r="U25" i="8" s="1"/>
  <c r="Q26" i="8"/>
  <c r="P27" i="8"/>
  <c r="S27" i="8" s="1"/>
  <c r="U27" i="8" s="1"/>
  <c r="Q28" i="8"/>
  <c r="P29" i="8"/>
  <c r="S29" i="8" s="1"/>
  <c r="U29" i="8" s="1"/>
  <c r="Q30" i="8"/>
  <c r="P31" i="8"/>
  <c r="S31" i="8" s="1"/>
  <c r="U31" i="8" s="1"/>
  <c r="Q32" i="8"/>
  <c r="P33" i="8"/>
  <c r="S33" i="8" s="1"/>
  <c r="U33" i="8" s="1"/>
  <c r="B6" i="5"/>
  <c r="B12" i="5"/>
  <c r="C24" i="7"/>
  <c r="C30" i="7"/>
  <c r="P30" i="7" s="1"/>
  <c r="S30" i="7" s="1"/>
  <c r="U30" i="7" s="1"/>
  <c r="J23" i="6"/>
  <c r="L23" i="6" s="1"/>
  <c r="L24" i="6" s="1"/>
  <c r="L25" i="6" s="1"/>
  <c r="L26" i="6" s="1"/>
  <c r="L27" i="6" s="1"/>
  <c r="L28" i="6" s="1"/>
  <c r="L29" i="6" s="1"/>
  <c r="L30" i="6" s="1"/>
  <c r="L31" i="6" s="1"/>
  <c r="L32" i="6" s="1"/>
  <c r="L33" i="6" s="1"/>
  <c r="L34" i="6" s="1"/>
  <c r="L24" i="7"/>
  <c r="M23" i="7"/>
  <c r="M24" i="7" s="1"/>
  <c r="P23" i="7"/>
  <c r="S23" i="7" s="1"/>
  <c r="P24" i="7"/>
  <c r="S24" i="7" s="1"/>
  <c r="U24" i="7" s="1"/>
  <c r="P29" i="7"/>
  <c r="S29" i="7" s="1"/>
  <c r="U29" i="7" s="1"/>
  <c r="M24" i="6"/>
  <c r="B7" i="5"/>
  <c r="P24" i="6"/>
  <c r="S24" i="6" s="1"/>
  <c r="U24" i="6" s="1"/>
  <c r="P29" i="6"/>
  <c r="S29" i="6" s="1"/>
  <c r="U29" i="6" s="1"/>
  <c r="P30" i="6"/>
  <c r="S30" i="6" s="1"/>
  <c r="U30" i="6" s="1"/>
  <c r="C26" i="6"/>
  <c r="P26" i="6" s="1"/>
  <c r="S26" i="6" s="1"/>
  <c r="U26" i="6" s="1"/>
  <c r="B16" i="4"/>
  <c r="C16" i="4"/>
  <c r="B11" i="4"/>
  <c r="C15" i="4"/>
  <c r="R24" i="8" l="1"/>
  <c r="R25" i="8" s="1"/>
  <c r="V33" i="8"/>
  <c r="W33" i="8"/>
  <c r="V31" i="8"/>
  <c r="W31" i="8"/>
  <c r="X41" i="8"/>
  <c r="D48" i="8" s="1"/>
  <c r="V29" i="8"/>
  <c r="Y41" i="8"/>
  <c r="E48" i="8" s="1"/>
  <c r="W29" i="8"/>
  <c r="V27" i="8"/>
  <c r="W27" i="8"/>
  <c r="V25" i="8"/>
  <c r="W25" i="8"/>
  <c r="S35" i="8"/>
  <c r="U23" i="8"/>
  <c r="Q23" i="8"/>
  <c r="Y40" i="8"/>
  <c r="E47" i="8" s="1"/>
  <c r="X40" i="8"/>
  <c r="D47" i="8" s="1"/>
  <c r="H15" i="4"/>
  <c r="I15" i="4"/>
  <c r="G15" i="4"/>
  <c r="F15" i="4"/>
  <c r="B17" i="4"/>
  <c r="B8" i="5"/>
  <c r="C26" i="7"/>
  <c r="P26" i="7" s="1"/>
  <c r="S26" i="7" s="1"/>
  <c r="U26" i="7" s="1"/>
  <c r="B13" i="5"/>
  <c r="C31" i="7"/>
  <c r="P31" i="7" s="1"/>
  <c r="S31" i="7" s="1"/>
  <c r="U31" i="7" s="1"/>
  <c r="C31" i="6"/>
  <c r="P31" i="6" s="1"/>
  <c r="S31" i="6" s="1"/>
  <c r="U31" i="6" s="1"/>
  <c r="Y41" i="6" s="1"/>
  <c r="C25" i="6"/>
  <c r="C25" i="7"/>
  <c r="P25" i="7" s="1"/>
  <c r="S25" i="7" s="1"/>
  <c r="U25" i="7" s="1"/>
  <c r="P23" i="6"/>
  <c r="S23" i="6" s="1"/>
  <c r="U23" i="6" s="1"/>
  <c r="W23" i="6" s="1"/>
  <c r="O24" i="6"/>
  <c r="Q24" i="6" s="1"/>
  <c r="O23" i="6"/>
  <c r="R23" i="6" s="1"/>
  <c r="W29" i="7"/>
  <c r="X41" i="7"/>
  <c r="D48" i="7" s="1"/>
  <c r="V29" i="7"/>
  <c r="Y41" i="7"/>
  <c r="E48" i="7" s="1"/>
  <c r="U23" i="7"/>
  <c r="O23" i="7"/>
  <c r="V25" i="7"/>
  <c r="W25" i="7"/>
  <c r="L25" i="7"/>
  <c r="O24" i="7"/>
  <c r="Q24" i="7" s="1"/>
  <c r="V30" i="7"/>
  <c r="W30" i="7"/>
  <c r="W26" i="7"/>
  <c r="V26" i="7"/>
  <c r="W31" i="7"/>
  <c r="V31" i="7"/>
  <c r="W24" i="7"/>
  <c r="V24" i="7"/>
  <c r="V24" i="6"/>
  <c r="W24" i="6"/>
  <c r="X41" i="6"/>
  <c r="B19" i="4"/>
  <c r="V39" i="8" l="1"/>
  <c r="W39" i="8"/>
  <c r="R26" i="8"/>
  <c r="X39" i="8"/>
  <c r="D46" i="8" s="1"/>
  <c r="V23" i="8"/>
  <c r="Y39" i="8"/>
  <c r="E46" i="8" s="1"/>
  <c r="W23" i="8"/>
  <c r="M25" i="6"/>
  <c r="P25" i="6"/>
  <c r="S25" i="6" s="1"/>
  <c r="U25" i="6" s="1"/>
  <c r="Y39" i="6" s="1"/>
  <c r="C32" i="7"/>
  <c r="P32" i="7" s="1"/>
  <c r="S32" i="7" s="1"/>
  <c r="U32" i="7" s="1"/>
  <c r="B14" i="5"/>
  <c r="C32" i="6"/>
  <c r="P32" i="6" s="1"/>
  <c r="S32" i="6" s="1"/>
  <c r="U32" i="6" s="1"/>
  <c r="C27" i="7"/>
  <c r="P27" i="7" s="1"/>
  <c r="S27" i="7" s="1"/>
  <c r="C27" i="6"/>
  <c r="P27" i="6" s="1"/>
  <c r="S27" i="6" s="1"/>
  <c r="U27" i="6" s="1"/>
  <c r="B9" i="5"/>
  <c r="M25" i="7"/>
  <c r="M26" i="7" s="1"/>
  <c r="Q23" i="6"/>
  <c r="R24" i="6"/>
  <c r="R23" i="7"/>
  <c r="Q23" i="7"/>
  <c r="X39" i="7"/>
  <c r="D46" i="7" s="1"/>
  <c r="V23" i="7"/>
  <c r="Y39" i="7"/>
  <c r="E46" i="7" s="1"/>
  <c r="W23" i="7"/>
  <c r="L26" i="7"/>
  <c r="O25" i="7"/>
  <c r="Q25" i="7" s="1"/>
  <c r="V23" i="6"/>
  <c r="X39" i="6"/>
  <c r="D46" i="6" s="1"/>
  <c r="V25" i="6"/>
  <c r="C19" i="4"/>
  <c r="B18" i="4"/>
  <c r="R27" i="8" l="1"/>
  <c r="C28" i="6"/>
  <c r="P28" i="6" s="1"/>
  <c r="S28" i="6" s="1"/>
  <c r="C28" i="7"/>
  <c r="P28" i="7" s="1"/>
  <c r="S28" i="7" s="1"/>
  <c r="U28" i="7" s="1"/>
  <c r="U27" i="7"/>
  <c r="C33" i="7"/>
  <c r="P33" i="7" s="1"/>
  <c r="S33" i="7" s="1"/>
  <c r="U33" i="7" s="1"/>
  <c r="B15" i="5"/>
  <c r="C33" i="6"/>
  <c r="P33" i="6" s="1"/>
  <c r="S33" i="6" s="1"/>
  <c r="U33" i="6" s="1"/>
  <c r="W25" i="6"/>
  <c r="M27" i="7"/>
  <c r="M28" i="7" s="1"/>
  <c r="M29" i="7" s="1"/>
  <c r="M30" i="7" s="1"/>
  <c r="M31" i="7" s="1"/>
  <c r="M32" i="7" s="1"/>
  <c r="M33" i="7" s="1"/>
  <c r="V32" i="7"/>
  <c r="W32" i="7"/>
  <c r="O25" i="6"/>
  <c r="Q25" i="6" s="1"/>
  <c r="R25" i="6" s="1"/>
  <c r="M26" i="6"/>
  <c r="E19" i="4"/>
  <c r="C18" i="4"/>
  <c r="R24" i="7"/>
  <c r="R25" i="7" s="1"/>
  <c r="L27" i="7"/>
  <c r="O26" i="7"/>
  <c r="Q26" i="7" s="1"/>
  <c r="E46" i="6"/>
  <c r="V26" i="6"/>
  <c r="W26" i="6"/>
  <c r="R28" i="8" l="1"/>
  <c r="V39" i="6"/>
  <c r="W39" i="6"/>
  <c r="O26" i="6"/>
  <c r="Q26" i="6" s="1"/>
  <c r="R26" i="6" s="1"/>
  <c r="M27" i="6"/>
  <c r="C34" i="6"/>
  <c r="P34" i="6" s="1"/>
  <c r="S34" i="6" s="1"/>
  <c r="S35" i="6" s="1"/>
  <c r="C34" i="7"/>
  <c r="P34" i="7" s="1"/>
  <c r="S34" i="7" s="1"/>
  <c r="S35" i="7" s="1"/>
  <c r="V28" i="7"/>
  <c r="W28" i="7"/>
  <c r="W33" i="7"/>
  <c r="V33" i="7"/>
  <c r="Y40" i="7"/>
  <c r="E47" i="7" s="1"/>
  <c r="X40" i="7"/>
  <c r="D47" i="7" s="1"/>
  <c r="V27" i="7"/>
  <c r="W27" i="7"/>
  <c r="U28" i="6"/>
  <c r="R26" i="7"/>
  <c r="V39" i="7"/>
  <c r="L28" i="7"/>
  <c r="O27" i="7"/>
  <c r="Q27" i="7" s="1"/>
  <c r="W39" i="7"/>
  <c r="V27" i="6"/>
  <c r="W27" i="6"/>
  <c r="R29" i="8" l="1"/>
  <c r="R30" i="8"/>
  <c r="V40" i="8"/>
  <c r="W40" i="8"/>
  <c r="X40" i="6"/>
  <c r="Y40" i="6"/>
  <c r="O27" i="6"/>
  <c r="Q27" i="6" s="1"/>
  <c r="R27" i="6" s="1"/>
  <c r="M28" i="6"/>
  <c r="M34" i="7"/>
  <c r="R27" i="7"/>
  <c r="L29" i="7"/>
  <c r="O28" i="7"/>
  <c r="Q28" i="7" s="1"/>
  <c r="R28" i="7" s="1"/>
  <c r="W40" i="7" s="1"/>
  <c r="V28" i="6"/>
  <c r="W28" i="6"/>
  <c r="V41" i="8" l="1"/>
  <c r="R33" i="8"/>
  <c r="R34" i="8" s="1"/>
  <c r="U34" i="8" s="1"/>
  <c r="R31" i="8"/>
  <c r="R32" i="8" s="1"/>
  <c r="M29" i="6"/>
  <c r="O28" i="6"/>
  <c r="Q28" i="6" s="1"/>
  <c r="R28" i="6" s="1"/>
  <c r="V40" i="7"/>
  <c r="L30" i="7"/>
  <c r="O29" i="7"/>
  <c r="Q29" i="7" s="1"/>
  <c r="R29" i="7" s="1"/>
  <c r="V29" i="6"/>
  <c r="W29" i="6"/>
  <c r="V42" i="8" l="1"/>
  <c r="W42" i="8"/>
  <c r="W41" i="8"/>
  <c r="W34" i="8"/>
  <c r="V34" i="8"/>
  <c r="V35" i="8" s="1"/>
  <c r="Y42" i="8"/>
  <c r="E49" i="8" s="1"/>
  <c r="X42" i="8"/>
  <c r="D49" i="8" s="1"/>
  <c r="D50" i="8" s="1"/>
  <c r="V40" i="6"/>
  <c r="D47" i="6" s="1"/>
  <c r="W40" i="6"/>
  <c r="E47" i="6" s="1"/>
  <c r="M30" i="6"/>
  <c r="O29" i="6"/>
  <c r="Q29" i="6" s="1"/>
  <c r="R29" i="6" s="1"/>
  <c r="L31" i="7"/>
  <c r="O30" i="7"/>
  <c r="Q30" i="7" s="1"/>
  <c r="R30" i="7" s="1"/>
  <c r="V30" i="6"/>
  <c r="W30" i="6"/>
  <c r="O30" i="6" l="1"/>
  <c r="Q30" i="6" s="1"/>
  <c r="R30" i="6" s="1"/>
  <c r="M31" i="6"/>
  <c r="L32" i="7"/>
  <c r="O31" i="7"/>
  <c r="Q31" i="7" s="1"/>
  <c r="R31" i="7" s="1"/>
  <c r="W41" i="7" s="1"/>
  <c r="V31" i="6"/>
  <c r="W31" i="6"/>
  <c r="M32" i="6" l="1"/>
  <c r="O31" i="6"/>
  <c r="Q31" i="6" s="1"/>
  <c r="R31" i="6" s="1"/>
  <c r="V41" i="7"/>
  <c r="L33" i="7"/>
  <c r="O32" i="7"/>
  <c r="Q32" i="7" s="1"/>
  <c r="R32" i="7" s="1"/>
  <c r="V32" i="6"/>
  <c r="W32" i="6"/>
  <c r="W41" i="6" l="1"/>
  <c r="E48" i="6" s="1"/>
  <c r="V41" i="6"/>
  <c r="D48" i="6" s="1"/>
  <c r="O32" i="6"/>
  <c r="Q32" i="6" s="1"/>
  <c r="R32" i="6" s="1"/>
  <c r="M33" i="6"/>
  <c r="L34" i="7"/>
  <c r="O34" i="7" s="1"/>
  <c r="O33" i="7"/>
  <c r="Q33" i="7" s="1"/>
  <c r="R33" i="7" s="1"/>
  <c r="V33" i="6"/>
  <c r="W33" i="6"/>
  <c r="O33" i="6" l="1"/>
  <c r="Q33" i="6" s="1"/>
  <c r="R33" i="6" s="1"/>
  <c r="R34" i="6" s="1"/>
  <c r="M34" i="6"/>
  <c r="O34" i="6" s="1"/>
  <c r="R34" i="7"/>
  <c r="V42" i="7" s="1"/>
  <c r="W42" i="6"/>
  <c r="V42" i="6" l="1"/>
  <c r="U34" i="6"/>
  <c r="W34" i="6" s="1"/>
  <c r="W42" i="7"/>
  <c r="U34" i="7"/>
  <c r="W34" i="7" s="1"/>
  <c r="V34" i="6"/>
  <c r="V35" i="6" s="1"/>
  <c r="X42" i="6"/>
  <c r="D49" i="6" s="1"/>
  <c r="Y42" i="6"/>
  <c r="E49" i="6" s="1"/>
  <c r="D50" i="6" l="1"/>
  <c r="Y42" i="7"/>
  <c r="E49" i="7" s="1"/>
  <c r="X42" i="7"/>
  <c r="D49" i="7" s="1"/>
  <c r="V34" i="7"/>
  <c r="V35" i="7" s="1"/>
  <c r="D50" i="7" l="1"/>
  <c r="B26" i="4" l="1"/>
  <c r="B13" i="4"/>
  <c r="D139" i="4"/>
  <c r="D138" i="4"/>
  <c r="C137" i="4"/>
  <c r="B137" i="4"/>
  <c r="C136" i="4"/>
  <c r="B136" i="4"/>
  <c r="D135" i="4"/>
  <c r="D131" i="4"/>
  <c r="C130" i="4"/>
  <c r="B130" i="4"/>
  <c r="D121" i="4"/>
  <c r="C120" i="4"/>
  <c r="B120" i="4"/>
  <c r="D111" i="4"/>
  <c r="C110" i="4"/>
  <c r="B110" i="4"/>
  <c r="D108" i="4"/>
  <c r="D105" i="4"/>
  <c r="C103" i="4"/>
  <c r="B103" i="4"/>
  <c r="C102" i="4"/>
  <c r="B102" i="4"/>
  <c r="D101" i="4"/>
  <c r="D97" i="4"/>
  <c r="C96" i="4"/>
  <c r="B96" i="4"/>
  <c r="D87" i="4"/>
  <c r="C86" i="4"/>
  <c r="B86" i="4"/>
  <c r="D77" i="4"/>
  <c r="C76" i="4"/>
  <c r="B76" i="4"/>
  <c r="D70" i="4"/>
  <c r="C68" i="4"/>
  <c r="B68" i="4"/>
  <c r="C67" i="4"/>
  <c r="B67" i="4"/>
  <c r="D66" i="4"/>
  <c r="D62" i="4"/>
  <c r="C61" i="4"/>
  <c r="B61" i="4"/>
  <c r="D53" i="4"/>
  <c r="C52" i="4"/>
  <c r="B52" i="4"/>
  <c r="D44" i="4"/>
  <c r="C43" i="4"/>
  <c r="B43" i="4"/>
  <c r="D41" i="4"/>
  <c r="D40" i="4"/>
  <c r="C38" i="4"/>
  <c r="B38" i="4"/>
  <c r="B49" i="4" s="1"/>
  <c r="C37" i="4"/>
  <c r="C48" i="4" s="1"/>
  <c r="C57" i="4" s="1"/>
  <c r="B37" i="4"/>
  <c r="D36" i="4"/>
  <c r="C35" i="4"/>
  <c r="D32" i="4"/>
  <c r="C31" i="4"/>
  <c r="B31" i="4"/>
  <c r="C27" i="4"/>
  <c r="B27" i="4"/>
  <c r="D23" i="4"/>
  <c r="C22" i="4"/>
  <c r="B22" i="4"/>
  <c r="C17" i="4"/>
  <c r="C25" i="4" s="1"/>
  <c r="D15" i="4"/>
  <c r="C14" i="4"/>
  <c r="B14" i="4"/>
  <c r="C47" i="4" l="1"/>
  <c r="D61" i="4"/>
  <c r="D68" i="4"/>
  <c r="D86" i="4"/>
  <c r="B35" i="4"/>
  <c r="B47" i="4" s="1"/>
  <c r="D43" i="4"/>
  <c r="D96" i="4"/>
  <c r="D120" i="4"/>
  <c r="D110" i="4"/>
  <c r="D31" i="4"/>
  <c r="D76" i="4"/>
  <c r="D102" i="4"/>
  <c r="D103" i="4"/>
  <c r="D130" i="4"/>
  <c r="D136" i="4"/>
  <c r="D137" i="4"/>
  <c r="C72" i="4"/>
  <c r="C83" i="4" s="1"/>
  <c r="C13" i="4"/>
  <c r="B25" i="4"/>
  <c r="B34" i="4" s="1"/>
  <c r="C71" i="4"/>
  <c r="C82" i="4" s="1"/>
  <c r="B72" i="4"/>
  <c r="B83" i="4" s="1"/>
  <c r="B93" i="4" s="1"/>
  <c r="C34" i="4"/>
  <c r="C21" i="4"/>
  <c r="B58" i="4"/>
  <c r="D14" i="4"/>
  <c r="B71" i="4"/>
  <c r="B48" i="4"/>
  <c r="D37" i="4"/>
  <c r="C49" i="4"/>
  <c r="D22" i="4"/>
  <c r="D52" i="4"/>
  <c r="E18" i="4"/>
  <c r="D38" i="4"/>
  <c r="D67" i="4"/>
  <c r="B21" i="4" l="1"/>
  <c r="E22" i="4" s="1"/>
  <c r="E14" i="4"/>
  <c r="E15" i="4"/>
  <c r="E26" i="4"/>
  <c r="C30" i="4"/>
  <c r="C46" i="4"/>
  <c r="B107" i="4"/>
  <c r="C92" i="4"/>
  <c r="C58" i="4"/>
  <c r="C56" i="4"/>
  <c r="B30" i="4"/>
  <c r="B46" i="4"/>
  <c r="C93" i="4"/>
  <c r="B57" i="4"/>
  <c r="B82" i="4"/>
  <c r="D71" i="4"/>
  <c r="B56" i="4"/>
  <c r="E23" i="4" l="1"/>
  <c r="E47" i="4"/>
  <c r="C65" i="4"/>
  <c r="C80" i="4" s="1"/>
  <c r="C90" i="4" s="1"/>
  <c r="C100" i="4" s="1"/>
  <c r="E35" i="4"/>
  <c r="E39" i="4" s="1"/>
  <c r="B65" i="4"/>
  <c r="B80" i="4" s="1"/>
  <c r="B90" i="4" s="1"/>
  <c r="C106" i="4"/>
  <c r="E56" i="4"/>
  <c r="C107" i="4"/>
  <c r="B117" i="4"/>
  <c r="D39" i="4"/>
  <c r="B55" i="4"/>
  <c r="B42" i="4"/>
  <c r="D69" i="4"/>
  <c r="B92" i="4"/>
  <c r="E32" i="4"/>
  <c r="E31" i="4"/>
  <c r="D30" i="4"/>
  <c r="C42" i="4"/>
  <c r="C55" i="4"/>
  <c r="E80" i="4" l="1"/>
  <c r="E65" i="4"/>
  <c r="E69" i="4" s="1"/>
  <c r="C64" i="4"/>
  <c r="C51" i="4"/>
  <c r="E44" i="4"/>
  <c r="E43" i="4"/>
  <c r="C114" i="4"/>
  <c r="C117" i="4"/>
  <c r="B106" i="4"/>
  <c r="B100" i="4"/>
  <c r="B127" i="4"/>
  <c r="C116" i="4"/>
  <c r="B64" i="4"/>
  <c r="B51" i="4"/>
  <c r="D104" i="4" l="1"/>
  <c r="E53" i="4"/>
  <c r="E52" i="4"/>
  <c r="C126" i="4"/>
  <c r="B116" i="4"/>
  <c r="B114" i="4"/>
  <c r="C127" i="4"/>
  <c r="C124" i="4"/>
  <c r="B79" i="4"/>
  <c r="B60" i="4"/>
  <c r="B141" i="4"/>
  <c r="C79" i="4"/>
  <c r="C60" i="4"/>
  <c r="E100" i="4" l="1"/>
  <c r="E90" i="4"/>
  <c r="B89" i="4"/>
  <c r="B75" i="4"/>
  <c r="C141" i="4"/>
  <c r="C134" i="4"/>
  <c r="C140" i="4"/>
  <c r="C89" i="4"/>
  <c r="C75" i="4"/>
  <c r="E61" i="4"/>
  <c r="D60" i="4"/>
  <c r="E62" i="4"/>
  <c r="B126" i="4"/>
  <c r="B124" i="4"/>
  <c r="E104" i="4" l="1"/>
  <c r="B140" i="4"/>
  <c r="B134" i="4"/>
  <c r="D141" i="4"/>
  <c r="B99" i="4"/>
  <c r="B85" i="4"/>
  <c r="E77" i="4"/>
  <c r="E76" i="4"/>
  <c r="C99" i="4"/>
  <c r="C85" i="4"/>
  <c r="E114" i="4" l="1"/>
  <c r="D140" i="4"/>
  <c r="E86" i="4"/>
  <c r="E87" i="4"/>
  <c r="C113" i="4"/>
  <c r="C95" i="4"/>
  <c r="B113" i="4"/>
  <c r="B95" i="4"/>
  <c r="E134" i="4" l="1"/>
  <c r="E124" i="4"/>
  <c r="E96" i="4"/>
  <c r="D95" i="4"/>
  <c r="E97" i="4"/>
  <c r="B123" i="4"/>
  <c r="B109" i="4"/>
  <c r="C123" i="4"/>
  <c r="C109" i="4"/>
  <c r="E138" i="4" l="1"/>
  <c r="E140" i="4" s="1"/>
  <c r="C133" i="4"/>
  <c r="C129" i="4" s="1"/>
  <c r="C119" i="4"/>
  <c r="B133" i="4"/>
  <c r="B129" i="4" s="1"/>
  <c r="B119" i="4"/>
  <c r="E110" i="4"/>
  <c r="E111" i="4"/>
  <c r="D129" i="4" l="1"/>
  <c r="E131" i="4"/>
  <c r="E130" i="4"/>
  <c r="E121" i="4"/>
  <c r="E120" i="4"/>
  <c r="Q7" i="1" l="1"/>
  <c r="Q8" i="1"/>
  <c r="Q9" i="1"/>
  <c r="Q10" i="1"/>
  <c r="Q12" i="1"/>
  <c r="Q14" i="1"/>
  <c r="Q15" i="1"/>
  <c r="Q17" i="1"/>
  <c r="Q19" i="1"/>
  <c r="Q20" i="1"/>
  <c r="Q21" i="1"/>
  <c r="Q22" i="1"/>
  <c r="Q23" i="1"/>
  <c r="Q25" i="1"/>
  <c r="Q6" i="1" l="1"/>
</calcChain>
</file>

<file path=xl/comments1.xml><?xml version="1.0" encoding="utf-8"?>
<comments xmlns="http://schemas.openxmlformats.org/spreadsheetml/2006/main">
  <authors>
    <author>UTIL10</author>
  </authors>
  <commentList>
    <comment ref="E21" authorId="0" shapeId="0">
      <text>
        <r>
          <rPr>
            <b/>
            <sz val="8"/>
            <color indexed="81"/>
            <rFont val="Tahoma"/>
            <family val="2"/>
          </rPr>
          <t>En cas d'embauche, de départ, d'absences ...</t>
        </r>
        <r>
          <rPr>
            <sz val="8"/>
            <color indexed="81"/>
            <rFont val="Tahoma"/>
            <family val="2"/>
          </rPr>
          <t xml:space="preserve">
Renseigner La rémunération qui aurait été versée pour le mois entier à temps complet
</t>
        </r>
      </text>
    </comment>
  </commentList>
</comments>
</file>

<file path=xl/comments2.xml><?xml version="1.0" encoding="utf-8"?>
<comments xmlns="http://schemas.openxmlformats.org/spreadsheetml/2006/main">
  <authors>
    <author>UTIL10</author>
  </authors>
  <commentList>
    <comment ref="E21" authorId="0" shapeId="0">
      <text>
        <r>
          <rPr>
            <b/>
            <sz val="8"/>
            <color indexed="81"/>
            <rFont val="Tahoma"/>
            <family val="2"/>
          </rPr>
          <t>En cas d'embauche, de départ, d'absences ...</t>
        </r>
        <r>
          <rPr>
            <sz val="8"/>
            <color indexed="81"/>
            <rFont val="Tahoma"/>
            <family val="2"/>
          </rPr>
          <t xml:space="preserve">
Renseigner La rémunération qui aurait été versée pour le mois entier à temps complet
</t>
        </r>
      </text>
    </comment>
  </commentList>
</comments>
</file>

<file path=xl/comments3.xml><?xml version="1.0" encoding="utf-8"?>
<comments xmlns="http://schemas.openxmlformats.org/spreadsheetml/2006/main">
  <authors>
    <author>UTIL10</author>
  </authors>
  <commentList>
    <comment ref="E21" authorId="0" shapeId="0">
      <text>
        <r>
          <rPr>
            <b/>
            <sz val="8"/>
            <color indexed="81"/>
            <rFont val="Tahoma"/>
            <family val="2"/>
          </rPr>
          <t>En cas d'embauche, de départ, d'absences ...</t>
        </r>
        <r>
          <rPr>
            <sz val="8"/>
            <color indexed="81"/>
            <rFont val="Tahoma"/>
            <family val="2"/>
          </rPr>
          <t xml:space="preserve">
Renseigner La rémunération qui aurait été versée pour le mois entier à temps complet
</t>
        </r>
      </text>
    </comment>
  </commentList>
</comments>
</file>

<file path=xl/sharedStrings.xml><?xml version="1.0" encoding="utf-8"?>
<sst xmlns="http://schemas.openxmlformats.org/spreadsheetml/2006/main" count="493" uniqueCount="201">
  <si>
    <t>Liste des salariés de l'entreprise</t>
  </si>
  <si>
    <t>salarié 1</t>
  </si>
  <si>
    <t>salarié 2</t>
  </si>
  <si>
    <t>salarié 3</t>
  </si>
  <si>
    <t>salarié 4</t>
  </si>
  <si>
    <t>Nom</t>
  </si>
  <si>
    <t>date d entrée</t>
  </si>
  <si>
    <t>date de sortie</t>
  </si>
  <si>
    <t>type de contrat</t>
  </si>
  <si>
    <t>si cdd, Date de fin</t>
  </si>
  <si>
    <t>apprentissage</t>
  </si>
  <si>
    <t>professionnalisation</t>
  </si>
  <si>
    <t>handicap</t>
  </si>
  <si>
    <t>Contrat de génération</t>
  </si>
  <si>
    <t>CIE</t>
  </si>
  <si>
    <t>Dirigeant</t>
  </si>
  <si>
    <t>Cumul emploi retraite</t>
  </si>
  <si>
    <t>associé</t>
  </si>
  <si>
    <t>conjoint(e) associé ou dirigeant</t>
  </si>
  <si>
    <t>due établis</t>
  </si>
  <si>
    <t>contrat établis</t>
  </si>
  <si>
    <t>retour contrat signé</t>
  </si>
  <si>
    <t>Nom entreprise</t>
  </si>
  <si>
    <t>Nombre d'établissement</t>
  </si>
  <si>
    <t>effectifs au 31/12/N-1</t>
  </si>
  <si>
    <t>date de versement des salaires</t>
  </si>
  <si>
    <t>contact principal</t>
  </si>
  <si>
    <t>coordonées du contact principal</t>
  </si>
  <si>
    <t>périodicité des charges sociales</t>
  </si>
  <si>
    <t>Spécificité 1**</t>
  </si>
  <si>
    <t>caisse des congés payés</t>
  </si>
  <si>
    <t>prime d'ancienneté</t>
  </si>
  <si>
    <t>prime diverses</t>
  </si>
  <si>
    <t>si oui, préciser</t>
  </si>
  <si>
    <t>mensuelle</t>
  </si>
  <si>
    <t>trimestrielle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</si>
  <si>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</si>
  <si>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</si>
  <si>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</si>
  <si>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</si>
  <si>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</si>
  <si>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</si>
  <si>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</si>
  <si>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</si>
  <si>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</si>
  <si>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</si>
  <si>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</si>
  <si>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</si>
  <si>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</si>
  <si>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temps partiel</t>
  </si>
  <si>
    <t>multiemployeurs</t>
  </si>
  <si>
    <t>statut</t>
  </si>
  <si>
    <t>ETAM</t>
  </si>
  <si>
    <t>Cadre</t>
  </si>
  <si>
    <t>Mandataire social</t>
  </si>
  <si>
    <t>Ouvrier</t>
  </si>
  <si>
    <t>Non cadre</t>
  </si>
  <si>
    <t>date dernière visite médicale</t>
  </si>
  <si>
    <t>mutuelle</t>
  </si>
  <si>
    <t>avantage en nature</t>
  </si>
  <si>
    <t>oui</t>
  </si>
  <si>
    <t>non</t>
  </si>
  <si>
    <t>véhicule</t>
  </si>
  <si>
    <t>repas pris</t>
  </si>
  <si>
    <t>repas non pris</t>
  </si>
  <si>
    <t>logement</t>
  </si>
  <si>
    <t>autres( à préciser)</t>
  </si>
  <si>
    <t>matricule</t>
  </si>
  <si>
    <t>A</t>
  </si>
  <si>
    <t>machin@machine,com</t>
  </si>
  <si>
    <t>albert robert</t>
  </si>
  <si>
    <t>NA</t>
  </si>
  <si>
    <t>DUCHMOLE</t>
  </si>
  <si>
    <t>bulletins initiaux</t>
  </si>
  <si>
    <t>Total bulletins</t>
  </si>
  <si>
    <t>procédure de licenciement*</t>
  </si>
  <si>
    <t>rupture conventionnelle*</t>
  </si>
  <si>
    <t>* précisez le nom du salarié concerné en commentaires</t>
  </si>
  <si>
    <t>dont solde de tout compte*</t>
  </si>
  <si>
    <t>dont bulletins spécifiques*</t>
  </si>
  <si>
    <t>bulletins refaits erreurs client*</t>
  </si>
  <si>
    <t>bulletins refaits erreurs cabinet*</t>
  </si>
  <si>
    <t>total procédures</t>
  </si>
  <si>
    <t>Bordereau de charges URSSAF</t>
  </si>
  <si>
    <t>bordereau de charges retraite</t>
  </si>
  <si>
    <t>Bordereau de charges prévoyance</t>
  </si>
  <si>
    <t>Bordereau de charges Mutuelle</t>
  </si>
  <si>
    <t>bordereau de caisse des congés payés</t>
  </si>
  <si>
    <t>Total Bordereaux</t>
  </si>
  <si>
    <t>SMIC</t>
  </si>
  <si>
    <t>TOTAL CUMULE</t>
  </si>
  <si>
    <t>ELIGIBLE CICE ET REDUC FILLON</t>
  </si>
  <si>
    <t>Effectif</t>
  </si>
  <si>
    <t>Salaire brut</t>
  </si>
  <si>
    <t>Nombre d'heures travaillées</t>
  </si>
  <si>
    <t>Majoration 2,5 fois SMIC</t>
  </si>
  <si>
    <t>REDUCTION FILLON</t>
  </si>
  <si>
    <t>FEVRIER</t>
  </si>
  <si>
    <t>SALAIRE CUMULE</t>
  </si>
  <si>
    <t>MARS</t>
  </si>
  <si>
    <t>SB 1T13</t>
  </si>
  <si>
    <t>NBH 1T13</t>
  </si>
  <si>
    <t>REDUCTION FILLON 1T13</t>
  </si>
  <si>
    <t>AVRIL</t>
  </si>
  <si>
    <t>HEURES CUMULE</t>
  </si>
  <si>
    <t>MAI</t>
  </si>
  <si>
    <t>HEURES CUMULES</t>
  </si>
  <si>
    <t>JUIN</t>
  </si>
  <si>
    <t>SB2T13</t>
  </si>
  <si>
    <t>NBH 2T13</t>
  </si>
  <si>
    <t>REDUC FILLON 2T13</t>
  </si>
  <si>
    <t>JUILLET</t>
  </si>
  <si>
    <t>AOUT</t>
  </si>
  <si>
    <t>SEPTEMBRE</t>
  </si>
  <si>
    <t>SB 3T13</t>
  </si>
  <si>
    <t>NBH 3T13</t>
  </si>
  <si>
    <t>REDUC FILLON 3T13</t>
  </si>
  <si>
    <t>SALAIRES CUMULE</t>
  </si>
  <si>
    <t>OCTOBRE</t>
  </si>
  <si>
    <t>NOVEMBRE</t>
  </si>
  <si>
    <t>DECEMBRE</t>
  </si>
  <si>
    <t>SB 4T13</t>
  </si>
  <si>
    <t>NBH 4T13</t>
  </si>
  <si>
    <t>REDUC FILLON 4T13</t>
  </si>
  <si>
    <t>TOTAL ANNUEL BRUT</t>
  </si>
  <si>
    <t>TOTAL ANNUEL HEURES</t>
  </si>
  <si>
    <t>COEFFICIENT</t>
  </si>
  <si>
    <t>Table SMIC horaire</t>
  </si>
  <si>
    <t>Smic hor 2012</t>
  </si>
  <si>
    <r>
      <rPr>
        <u/>
        <sz val="8"/>
        <color theme="1"/>
        <rFont val="Century Gothic"/>
        <family val="2"/>
      </rPr>
      <t>Coefficient</t>
    </r>
    <r>
      <rPr>
        <sz val="11"/>
        <color theme="1"/>
        <rFont val="Calibri"/>
        <family val="2"/>
        <scheme val="minor"/>
      </rPr>
      <t xml:space="preserve"> = 0,26/0,6 x [1,6 x Smic mensuel base 151,67 heures/Rémunération mensuelle brute - 1] </t>
    </r>
  </si>
  <si>
    <t>Remarques sur le calcul Fillon:</t>
  </si>
  <si>
    <t>le résultat du coefficient obtenu est arrondi à quatre décimales au dix millième le plus proche. Il est pris en compte pour une valeur égale à 0,281 s'il est supérieur à 0,281</t>
  </si>
  <si>
    <t>Pour le calcul de ce coefficient, la rémunération des heures supplémentaires ou complémentaires défiscalisées (c’est-à-dire dans la limite, en ce qui concerne la majoration salariale, des taux de 25 % ou de 50 % selon le cas) sont à exclure</t>
  </si>
  <si>
    <t>les entreprises qui atteignent ou franchissent le seuil de 19 salariés pour la première fois, maintiennent ce coefficient maximal à 0,2810 pendant 3 ans (article 48 de la loi n° 2008-776 de modernisation de l'économie du 4 août 2008).</t>
  </si>
  <si>
    <t>CALCUL DE LA REDUCTION FILLON</t>
  </si>
  <si>
    <t xml:space="preserve">Année : </t>
  </si>
  <si>
    <t>Nom / Prénom :</t>
  </si>
  <si>
    <t>Matricule :</t>
  </si>
  <si>
    <t>0004</t>
  </si>
  <si>
    <t>Effectif de l'entreprise :</t>
  </si>
  <si>
    <t>Choix du mode de calcul de la régularisation :</t>
  </si>
  <si>
    <t>Horaire collectif mensuel :</t>
  </si>
  <si>
    <t>Coefficient effectif :</t>
  </si>
  <si>
    <t>Temps partiel :</t>
  </si>
  <si>
    <t>Horaire hebdo contractuel :</t>
  </si>
  <si>
    <t>ex. : 17h</t>
  </si>
  <si>
    <t>Horaire hebdo conventionnel :</t>
  </si>
  <si>
    <t>ex. : 35h</t>
  </si>
  <si>
    <t>Mois incomplet</t>
  </si>
  <si>
    <t>Tps partiel</t>
  </si>
  <si>
    <t>Réduction calculée</t>
  </si>
  <si>
    <t>Smic mensuel</t>
  </si>
  <si>
    <t>Salaire brut total versé</t>
  </si>
  <si>
    <t xml:space="preserve">Base rémunération mensuelle </t>
  </si>
  <si>
    <t>Nb d'h.suppl.</t>
  </si>
  <si>
    <t>horaire hebdo contractuel</t>
  </si>
  <si>
    <t>horaire hebdo conventionnel</t>
  </si>
  <si>
    <t>Smic brut mensuel</t>
  </si>
  <si>
    <t>Assiette Fillon</t>
  </si>
  <si>
    <t>Cumul smic mensuel</t>
  </si>
  <si>
    <t>Cumul HS SMIC</t>
  </si>
  <si>
    <t>Cumul SB mensuel</t>
  </si>
  <si>
    <t>Coeff.progr</t>
  </si>
  <si>
    <t>Coeff.annuel</t>
  </si>
  <si>
    <t xml:space="preserve">Réduction Fillon réelle cumulée </t>
  </si>
  <si>
    <t>Mtt réduction Fillon progr.</t>
  </si>
  <si>
    <t>Calcul par régularisation annuelle</t>
  </si>
  <si>
    <t>Mtt réduction Fillon annuel</t>
  </si>
  <si>
    <t>Réduction 
(code 671)</t>
  </si>
  <si>
    <t>Régularisation
 (code 801)</t>
  </si>
  <si>
    <t>Total</t>
  </si>
  <si>
    <t>Progressif</t>
  </si>
  <si>
    <t>Annuel</t>
  </si>
  <si>
    <t>Code 671</t>
  </si>
  <si>
    <t>Code 801</t>
  </si>
  <si>
    <t>1er trimestre</t>
  </si>
  <si>
    <t>2ème trimestre</t>
  </si>
  <si>
    <t>3ème trimestre</t>
  </si>
  <si>
    <t>4ème trimestre</t>
  </si>
  <si>
    <t>RECAPITULATIF TRIMESTRIEL</t>
  </si>
  <si>
    <t>Réduction (code 671)</t>
  </si>
  <si>
    <t>Régularisation
(code 801)</t>
  </si>
  <si>
    <t>ROBERT DUVERGNE</t>
  </si>
  <si>
    <t>STATUT</t>
  </si>
  <si>
    <t>TOTAL CADRE</t>
  </si>
  <si>
    <t>TOTAL NON CADRE</t>
  </si>
  <si>
    <t>TOTAL APPRENTIS</t>
  </si>
  <si>
    <t>TOTAL DIRIGEANT</t>
  </si>
  <si>
    <t>Régularisation réduction fillon</t>
  </si>
  <si>
    <t>Réduction fillon</t>
  </si>
  <si>
    <t>CONTRÔLE DES CHARGES SOCIALES</t>
  </si>
  <si>
    <t>N : Non cadre</t>
  </si>
  <si>
    <t>C : Cadre</t>
  </si>
  <si>
    <t>A : Apprentis</t>
  </si>
  <si>
    <t>D : Dirigeant</t>
  </si>
  <si>
    <t>NOM</t>
  </si>
  <si>
    <t>cadre</t>
  </si>
  <si>
    <t>DUBREUIL JEAN</t>
  </si>
  <si>
    <t>non cadre</t>
  </si>
  <si>
    <t>Statut :</t>
  </si>
  <si>
    <t>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</si>
</sst>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0\ _€_-;\-* #,##0.000\ _€_-;_-* &quot;-&quot;??\ _€_-;_-@_-"/>
    <numFmt numFmtId="166" formatCode="0.00?&quot;h&quot;"/>
    <numFmt numFmtId="167" formatCode="0.0000"/>
    <numFmt numFmtId="168" formatCode="0.000"/>
  </numFmts>
  <fonts count="18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entury Gothic"/>
      <family val="2"/>
    </font>
    <font>
      <sz val="8"/>
      <name val="Century Gothic"/>
      <family val="2"/>
    </font>
    <font>
      <u/>
      <sz val="8"/>
      <color theme="1"/>
      <name val="Century Gothic"/>
      <family val="2"/>
    </font>
    <font>
      <sz val="8"/>
      <name val="Tahoma"/>
      <family val="2"/>
    </font>
    <font>
      <b/>
      <sz val="8"/>
      <color theme="1"/>
      <name val="Century Gothic"/>
      <family val="2"/>
    </font>
    <font>
      <sz val="8"/>
      <color rgb="FFFF0000"/>
      <name val="Century Gothic"/>
      <family val="2"/>
    </font>
    <font>
      <sz val="11"/>
      <color theme="1"/>
      <name val="Franklin Gothic Heavy"/>
      <family val="2"/>
    </font>
    <font>
      <i/>
      <sz val="8"/>
      <color theme="1"/>
      <name val="Century Gothic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</cellStyleXfs>
  <cellXfs count="131">
    <xf numFmtId="0" fontId="0" fillId="0" borderId="0" xfId="0"/>
    <xf numFmtId="2" fontId="0" fillId="0" borderId="0" xfId="0" applyNumberFormat="1" applyAlignment="1">
      <alignment horizontal="center" vertical="distributed"/>
    </xf>
    <xf numFmtId="0" fontId="0" fillId="0" borderId="1" xfId="0" applyBorder="1"/>
    <xf numFmtId="0" fontId="1" fillId="0" borderId="0" xfId="0" applyFont="1"/>
    <xf numFmtId="2" fontId="0" fillId="0" borderId="0" xfId="0" applyNumberFormat="1"/>
    <xf numFmtId="2" fontId="0" fillId="0" borderId="0" xfId="0" applyNumberFormat="1" applyAlignment="1"/>
    <xf numFmtId="2" fontId="0" fillId="0" borderId="0" xfId="0" applyNumberFormat="1" applyAlignment="1">
      <alignment horizontal="left"/>
    </xf>
    <xf numFmtId="0" fontId="2" fillId="0" borderId="1" xfId="1" applyBorder="1" applyAlignment="1" applyProtection="1"/>
    <xf numFmtId="14" fontId="0" fillId="0" borderId="0" xfId="0" applyNumberFormat="1"/>
    <xf numFmtId="43" fontId="0" fillId="0" borderId="0" xfId="2" applyFont="1"/>
    <xf numFmtId="43" fontId="0" fillId="0" borderId="0" xfId="2" applyFont="1" applyBorder="1"/>
    <xf numFmtId="164" fontId="0" fillId="0" borderId="0" xfId="2" applyNumberFormat="1" applyFont="1"/>
    <xf numFmtId="0" fontId="7" fillId="0" borderId="0" xfId="3"/>
    <xf numFmtId="0" fontId="7" fillId="0" borderId="0" xfId="3" applyAlignment="1">
      <alignment horizontal="center"/>
    </xf>
    <xf numFmtId="0" fontId="8" fillId="0" borderId="0" xfId="3" applyFont="1" applyAlignment="1">
      <alignment horizontal="right" vertical="center"/>
    </xf>
    <xf numFmtId="44" fontId="0" fillId="2" borderId="0" xfId="4" applyFont="1" applyFill="1" applyAlignment="1" applyProtection="1">
      <alignment vertical="center"/>
      <protection locked="0"/>
    </xf>
    <xf numFmtId="0" fontId="7" fillId="0" borderId="0" xfId="3" applyAlignment="1">
      <alignment vertical="top"/>
    </xf>
    <xf numFmtId="0" fontId="9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11" fillId="0" borderId="0" xfId="3" applyFont="1" applyAlignment="1">
      <alignment vertical="top"/>
    </xf>
    <xf numFmtId="0" fontId="13" fillId="0" borderId="1" xfId="3" applyFont="1" applyBorder="1" applyAlignment="1">
      <alignment horizontal="center" vertical="center"/>
    </xf>
    <xf numFmtId="0" fontId="7" fillId="0" borderId="0" xfId="3" applyAlignment="1">
      <alignment vertical="center"/>
    </xf>
    <xf numFmtId="0" fontId="7" fillId="2" borderId="0" xfId="3" applyFill="1" applyAlignment="1" applyProtection="1">
      <alignment vertical="center"/>
      <protection locked="0"/>
    </xf>
    <xf numFmtId="0" fontId="7" fillId="0" borderId="0" xfId="3" applyFont="1"/>
    <xf numFmtId="49" fontId="7" fillId="2" borderId="0" xfId="3" applyNumberFormat="1" applyFill="1" applyAlignment="1" applyProtection="1">
      <alignment vertical="center"/>
      <protection locked="0"/>
    </xf>
    <xf numFmtId="0" fontId="11" fillId="0" borderId="0" xfId="3" applyFont="1" applyAlignment="1">
      <alignment horizontal="left" vertical="center" wrapText="1"/>
    </xf>
    <xf numFmtId="0" fontId="7" fillId="0" borderId="0" xfId="3" applyFont="1" applyAlignment="1">
      <alignment horizontal="left" vertical="center" wrapText="1"/>
    </xf>
    <xf numFmtId="0" fontId="12" fillId="0" borderId="0" xfId="3" applyFont="1" applyAlignment="1" applyProtection="1">
      <alignment vertical="center"/>
      <protection locked="0"/>
    </xf>
    <xf numFmtId="166" fontId="0" fillId="2" borderId="1" xfId="4" applyNumberFormat="1" applyFont="1" applyFill="1" applyBorder="1" applyAlignment="1" applyProtection="1">
      <alignment horizontal="center" vertical="center"/>
      <protection locked="0"/>
    </xf>
    <xf numFmtId="44" fontId="7" fillId="0" borderId="0" xfId="3" applyNumberFormat="1" applyFont="1" applyAlignment="1">
      <alignment vertical="center"/>
    </xf>
    <xf numFmtId="0" fontId="7" fillId="0" borderId="1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0" fontId="12" fillId="0" borderId="0" xfId="3" applyFont="1" applyAlignment="1">
      <alignment vertical="center" wrapText="1"/>
    </xf>
    <xf numFmtId="0" fontId="7" fillId="0" borderId="0" xfId="3" applyAlignment="1">
      <alignment horizontal="left" vertical="center" wrapText="1"/>
    </xf>
    <xf numFmtId="0" fontId="14" fillId="0" borderId="0" xfId="3" applyFont="1" applyAlignment="1">
      <alignment horizontal="left" vertical="center" wrapText="1"/>
    </xf>
    <xf numFmtId="0" fontId="7" fillId="0" borderId="0" xfId="3" applyFont="1" applyAlignment="1">
      <alignment vertical="center" wrapText="1"/>
    </xf>
    <xf numFmtId="0" fontId="7" fillId="3" borderId="2" xfId="3" applyFill="1" applyBorder="1" applyAlignment="1">
      <alignment vertical="center" wrapText="1"/>
    </xf>
    <xf numFmtId="0" fontId="7" fillId="0" borderId="0" xfId="3" applyAlignment="1">
      <alignment horizontal="center" vertical="center" wrapText="1"/>
    </xf>
    <xf numFmtId="0" fontId="7" fillId="3" borderId="7" xfId="3" applyFont="1" applyFill="1" applyBorder="1" applyAlignment="1">
      <alignment horizontal="center" vertical="center" wrapText="1"/>
    </xf>
    <xf numFmtId="0" fontId="7" fillId="3" borderId="8" xfId="3" applyFill="1" applyBorder="1" applyAlignment="1">
      <alignment horizontal="center" vertical="center" wrapText="1"/>
    </xf>
    <xf numFmtId="0" fontId="7" fillId="3" borderId="9" xfId="3" applyFill="1" applyBorder="1" applyAlignment="1">
      <alignment horizontal="center" vertical="center" wrapText="1"/>
    </xf>
    <xf numFmtId="0" fontId="7" fillId="3" borderId="9" xfId="3" applyFont="1" applyFill="1" applyBorder="1" applyAlignment="1">
      <alignment horizontal="center" vertical="center" wrapText="1"/>
    </xf>
    <xf numFmtId="0" fontId="7" fillId="3" borderId="7" xfId="3" applyFill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7" fillId="3" borderId="10" xfId="3" applyFont="1" applyFill="1" applyBorder="1" applyAlignment="1">
      <alignment horizontal="center" vertical="center" wrapText="1"/>
    </xf>
    <xf numFmtId="0" fontId="7" fillId="3" borderId="11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right" vertical="center"/>
    </xf>
    <xf numFmtId="44" fontId="0" fillId="0" borderId="12" xfId="4" applyFont="1" applyFill="1" applyBorder="1" applyAlignment="1">
      <alignment vertical="center"/>
    </xf>
    <xf numFmtId="44" fontId="0" fillId="2" borderId="13" xfId="4" applyFont="1" applyFill="1" applyBorder="1" applyAlignment="1" applyProtection="1">
      <alignment vertical="center"/>
      <protection locked="0"/>
    </xf>
    <xf numFmtId="166" fontId="0" fillId="2" borderId="13" xfId="4" applyNumberFormat="1" applyFont="1" applyFill="1" applyBorder="1" applyAlignment="1" applyProtection="1">
      <alignment horizontal="center" vertical="center"/>
      <protection locked="0"/>
    </xf>
    <xf numFmtId="166" fontId="0" fillId="0" borderId="14" xfId="4" applyNumberFormat="1" applyFont="1" applyFill="1" applyBorder="1" applyAlignment="1">
      <alignment horizontal="center" vertical="center"/>
    </xf>
    <xf numFmtId="44" fontId="12" fillId="0" borderId="0" xfId="3" applyNumberFormat="1" applyFont="1" applyAlignment="1">
      <alignment vertical="center"/>
    </xf>
    <xf numFmtId="167" fontId="12" fillId="0" borderId="0" xfId="3" applyNumberFormat="1" applyFont="1" applyAlignment="1">
      <alignment vertical="center"/>
    </xf>
    <xf numFmtId="44" fontId="12" fillId="0" borderId="0" xfId="3" applyNumberFormat="1" applyFont="1" applyBorder="1" applyAlignment="1">
      <alignment vertical="center" wrapText="1"/>
    </xf>
    <xf numFmtId="44" fontId="7" fillId="0" borderId="15" xfId="3" applyNumberFormat="1" applyFont="1" applyBorder="1" applyAlignment="1">
      <alignment vertical="center"/>
    </xf>
    <xf numFmtId="44" fontId="7" fillId="0" borderId="16" xfId="3" applyNumberFormat="1" applyFont="1" applyBorder="1" applyAlignment="1">
      <alignment vertical="center"/>
    </xf>
    <xf numFmtId="166" fontId="0" fillId="0" borderId="13" xfId="4" applyNumberFormat="1" applyFont="1" applyFill="1" applyBorder="1" applyAlignment="1">
      <alignment horizontal="center" vertical="center"/>
    </xf>
    <xf numFmtId="44" fontId="7" fillId="0" borderId="17" xfId="3" applyNumberFormat="1" applyFont="1" applyBorder="1" applyAlignment="1">
      <alignment vertical="center"/>
    </xf>
    <xf numFmtId="44" fontId="0" fillId="0" borderId="18" xfId="4" applyFont="1" applyFill="1" applyBorder="1" applyAlignment="1">
      <alignment vertical="center"/>
    </xf>
    <xf numFmtId="44" fontId="0" fillId="2" borderId="19" xfId="4" applyFont="1" applyFill="1" applyBorder="1" applyAlignment="1" applyProtection="1">
      <alignment vertical="center"/>
      <protection locked="0"/>
    </xf>
    <xf numFmtId="166" fontId="0" fillId="2" borderId="19" xfId="4" applyNumberFormat="1" applyFont="1" applyFill="1" applyBorder="1" applyAlignment="1" applyProtection="1">
      <alignment horizontal="center" vertical="center"/>
      <protection locked="0"/>
    </xf>
    <xf numFmtId="166" fontId="0" fillId="0" borderId="19" xfId="4" applyNumberFormat="1" applyFont="1" applyFill="1" applyBorder="1" applyAlignment="1">
      <alignment horizontal="center" vertical="center"/>
    </xf>
    <xf numFmtId="44" fontId="7" fillId="0" borderId="20" xfId="3" applyNumberFormat="1" applyFont="1" applyBorder="1" applyAlignment="1">
      <alignment vertical="center"/>
    </xf>
    <xf numFmtId="0" fontId="11" fillId="0" borderId="0" xfId="3" applyFont="1" applyAlignment="1">
      <alignment horizontal="right" vertical="center"/>
    </xf>
    <xf numFmtId="0" fontId="7" fillId="0" borderId="8" xfId="3" applyFont="1" applyBorder="1" applyAlignment="1">
      <alignment vertical="center"/>
    </xf>
    <xf numFmtId="44" fontId="11" fillId="0" borderId="8" xfId="3" applyNumberFormat="1" applyFont="1" applyBorder="1" applyAlignment="1">
      <alignment vertical="center"/>
    </xf>
    <xf numFmtId="44" fontId="11" fillId="0" borderId="21" xfId="3" applyNumberFormat="1" applyFont="1" applyBorder="1" applyAlignment="1">
      <alignment vertical="center"/>
    </xf>
    <xf numFmtId="0" fontId="7" fillId="0" borderId="21" xfId="3" applyFont="1" applyBorder="1" applyAlignment="1">
      <alignment vertical="center"/>
    </xf>
    <xf numFmtId="44" fontId="8" fillId="0" borderId="0" xfId="3" applyNumberFormat="1" applyFont="1" applyAlignment="1">
      <alignment vertical="center"/>
    </xf>
    <xf numFmtId="0" fontId="7" fillId="0" borderId="0" xfId="3" applyAlignment="1">
      <alignment horizontal="right" vertical="center"/>
    </xf>
    <xf numFmtId="0" fontId="7" fillId="0" borderId="0" xfId="3" applyAlignment="1">
      <alignment horizontal="center" vertical="center"/>
    </xf>
    <xf numFmtId="0" fontId="12" fillId="0" borderId="0" xfId="3" applyFont="1" applyAlignment="1">
      <alignment horizontal="center" vertical="center"/>
    </xf>
    <xf numFmtId="0" fontId="12" fillId="0" borderId="0" xfId="3" applyFont="1" applyAlignment="1">
      <alignment horizontal="right" vertical="center"/>
    </xf>
    <xf numFmtId="44" fontId="12" fillId="0" borderId="0" xfId="3" applyNumberFormat="1" applyFont="1" applyBorder="1" applyAlignment="1">
      <alignment vertical="center"/>
    </xf>
    <xf numFmtId="0" fontId="7" fillId="0" borderId="0" xfId="3" applyFont="1" applyBorder="1" applyAlignment="1">
      <alignment vertical="center"/>
    </xf>
    <xf numFmtId="0" fontId="12" fillId="0" borderId="0" xfId="3" applyFont="1" applyBorder="1" applyAlignment="1">
      <alignment vertical="center"/>
    </xf>
    <xf numFmtId="0" fontId="7" fillId="3" borderId="23" xfId="3" applyFont="1" applyFill="1" applyBorder="1" applyAlignment="1">
      <alignment horizontal="center" vertical="center" wrapText="1"/>
    </xf>
    <xf numFmtId="0" fontId="7" fillId="3" borderId="16" xfId="3" applyFont="1" applyFill="1" applyBorder="1" applyAlignment="1">
      <alignment horizontal="center" vertical="center" wrapText="1"/>
    </xf>
    <xf numFmtId="0" fontId="8" fillId="0" borderId="24" xfId="3" applyFont="1" applyBorder="1" applyAlignment="1">
      <alignment horizontal="right" vertical="center"/>
    </xf>
    <xf numFmtId="44" fontId="7" fillId="0" borderId="25" xfId="3" applyNumberFormat="1" applyFont="1" applyFill="1" applyBorder="1" applyAlignment="1">
      <alignment vertical="center"/>
    </xf>
    <xf numFmtId="44" fontId="7" fillId="0" borderId="26" xfId="3" applyNumberFormat="1" applyFont="1" applyFill="1" applyBorder="1" applyAlignment="1">
      <alignment vertical="center"/>
    </xf>
    <xf numFmtId="2" fontId="7" fillId="0" borderId="0" xfId="3" applyNumberFormat="1" applyFont="1" applyAlignment="1">
      <alignment vertical="center"/>
    </xf>
    <xf numFmtId="0" fontId="11" fillId="0" borderId="0" xfId="3" applyFont="1" applyAlignment="1">
      <alignment vertical="center"/>
    </xf>
    <xf numFmtId="44" fontId="11" fillId="0" borderId="0" xfId="3" applyNumberFormat="1" applyFont="1" applyAlignment="1">
      <alignment vertical="center"/>
    </xf>
    <xf numFmtId="168" fontId="7" fillId="0" borderId="0" xfId="3" applyNumberFormat="1" applyFont="1" applyAlignment="1">
      <alignment vertical="center"/>
    </xf>
    <xf numFmtId="0" fontId="7" fillId="0" borderId="0" xfId="3" applyFont="1" applyBorder="1" applyAlignment="1">
      <alignment horizontal="center" vertical="center" wrapText="1"/>
    </xf>
    <xf numFmtId="0" fontId="0" fillId="0" borderId="0" xfId="0" applyBorder="1"/>
    <xf numFmtId="164" fontId="0" fillId="0" borderId="0" xfId="2" applyNumberFormat="1" applyFont="1" applyBorder="1"/>
    <xf numFmtId="0" fontId="17" fillId="0" borderId="0" xfId="0" applyFont="1" applyBorder="1"/>
    <xf numFmtId="43" fontId="5" fillId="0" borderId="0" xfId="2" applyFont="1" applyBorder="1" applyAlignment="1">
      <alignment horizontal="center"/>
    </xf>
    <xf numFmtId="43" fontId="6" fillId="0" borderId="0" xfId="2" applyFont="1" applyBorder="1"/>
    <xf numFmtId="43" fontId="4" fillId="3" borderId="0" xfId="2" applyFont="1" applyFill="1" applyBorder="1"/>
    <xf numFmtId="0" fontId="4" fillId="0" borderId="0" xfId="0" applyFont="1" applyBorder="1" applyAlignment="1">
      <alignment horizontal="center"/>
    </xf>
    <xf numFmtId="43" fontId="0" fillId="0" borderId="0" xfId="2" applyFont="1" applyBorder="1" applyAlignment="1">
      <alignment horizontal="center"/>
    </xf>
    <xf numFmtId="164" fontId="0" fillId="0" borderId="0" xfId="2" applyNumberFormat="1" applyFont="1" applyBorder="1" applyAlignment="1">
      <alignment horizontal="center"/>
    </xf>
    <xf numFmtId="43" fontId="0" fillId="0" borderId="0" xfId="2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43" fontId="6" fillId="0" borderId="0" xfId="2" applyFont="1" applyBorder="1" applyAlignment="1">
      <alignment horizontal="center"/>
    </xf>
    <xf numFmtId="2" fontId="0" fillId="0" borderId="0" xfId="2" applyNumberFormat="1" applyFont="1" applyBorder="1" applyAlignment="1">
      <alignment horizontal="center"/>
    </xf>
    <xf numFmtId="43" fontId="0" fillId="0" borderId="0" xfId="2" applyFont="1" applyFill="1" applyBorder="1" applyAlignment="1">
      <alignment horizontal="center"/>
    </xf>
    <xf numFmtId="0" fontId="4" fillId="0" borderId="0" xfId="0" applyFont="1" applyBorder="1"/>
    <xf numFmtId="43" fontId="4" fillId="0" borderId="0" xfId="2" applyFont="1" applyBorder="1"/>
    <xf numFmtId="165" fontId="4" fillId="0" borderId="0" xfId="2" applyNumberFormat="1" applyFont="1" applyBorder="1"/>
    <xf numFmtId="0" fontId="4" fillId="3" borderId="0" xfId="0" applyFont="1" applyFill="1" applyBorder="1" applyAlignment="1">
      <alignment horizontal="center"/>
    </xf>
    <xf numFmtId="0" fontId="4" fillId="0" borderId="0" xfId="0" applyFont="1"/>
    <xf numFmtId="165" fontId="4" fillId="0" borderId="0" xfId="2" applyNumberFormat="1" applyFont="1" applyBorder="1" applyProtection="1">
      <protection locked="0"/>
    </xf>
    <xf numFmtId="0" fontId="0" fillId="4" borderId="0" xfId="0" quotePrefix="1" applyFill="1"/>
    <xf numFmtId="0" fontId="12" fillId="0" borderId="0" xfId="3" applyFont="1" applyAlignment="1">
      <alignment horizontal="center" vertical="center"/>
    </xf>
    <xf numFmtId="0" fontId="7" fillId="3" borderId="8" xfId="3" applyFill="1" applyBorder="1" applyAlignment="1">
      <alignment horizontal="center" vertical="center" wrapText="1"/>
    </xf>
    <xf numFmtId="43" fontId="4" fillId="3" borderId="0" xfId="2" applyFont="1" applyFill="1" applyBorder="1" applyAlignment="1">
      <alignment horizontal="center"/>
    </xf>
    <xf numFmtId="2" fontId="0" fillId="4" borderId="0" xfId="0" quotePrefix="1" applyNumberFormat="1" applyFill="1"/>
    <xf numFmtId="2" fontId="0" fillId="0" borderId="0" xfId="0" applyNumberFormat="1" applyAlignment="1">
      <alignment horizontal="center" vertical="distributed"/>
    </xf>
    <xf numFmtId="0" fontId="7" fillId="0" borderId="0" xfId="3" applyFont="1" applyBorder="1" applyAlignment="1">
      <alignment horizontal="left" vertical="center" wrapText="1"/>
    </xf>
    <xf numFmtId="0" fontId="11" fillId="3" borderId="0" xfId="3" applyFont="1" applyFill="1" applyAlignment="1">
      <alignment horizontal="center" vertical="center"/>
    </xf>
    <xf numFmtId="0" fontId="7" fillId="3" borderId="3" xfId="3" applyFill="1" applyBorder="1" applyAlignment="1">
      <alignment horizontal="center" vertical="center" wrapText="1"/>
    </xf>
    <xf numFmtId="0" fontId="7" fillId="3" borderId="4" xfId="3" applyFill="1" applyBorder="1" applyAlignment="1">
      <alignment horizontal="center" vertical="center" wrapText="1"/>
    </xf>
    <xf numFmtId="0" fontId="7" fillId="3" borderId="5" xfId="3" applyFill="1" applyBorder="1" applyAlignment="1">
      <alignment horizontal="center" vertical="center" wrapText="1"/>
    </xf>
    <xf numFmtId="0" fontId="7" fillId="3" borderId="6" xfId="3" applyFont="1" applyFill="1" applyBorder="1" applyAlignment="1">
      <alignment horizontal="center" vertical="center" wrapText="1"/>
    </xf>
    <xf numFmtId="0" fontId="12" fillId="0" borderId="0" xfId="3" applyFont="1" applyAlignment="1">
      <alignment horizontal="center" vertical="center"/>
    </xf>
    <xf numFmtId="44" fontId="11" fillId="0" borderId="10" xfId="3" applyNumberFormat="1" applyFont="1" applyBorder="1" applyAlignment="1">
      <alignment horizontal="center" vertical="center"/>
    </xf>
    <xf numFmtId="44" fontId="11" fillId="0" borderId="22" xfId="3" applyNumberFormat="1" applyFont="1" applyBorder="1" applyAlignment="1">
      <alignment horizontal="center" vertical="center"/>
    </xf>
    <xf numFmtId="0" fontId="7" fillId="3" borderId="8" xfId="3" applyFill="1" applyBorder="1" applyAlignment="1">
      <alignment horizontal="center" vertical="center" wrapText="1"/>
    </xf>
    <xf numFmtId="0" fontId="7" fillId="0" borderId="0" xfId="3" applyAlignment="1">
      <alignment horizontal="center" wrapText="1"/>
    </xf>
    <xf numFmtId="0" fontId="7" fillId="0" borderId="0" xfId="3" applyFont="1" applyAlignment="1">
      <alignment horizontal="center" wrapText="1"/>
    </xf>
    <xf numFmtId="44" fontId="11" fillId="0" borderId="8" xfId="3" applyNumberFormat="1" applyFont="1" applyBorder="1" applyAlignment="1">
      <alignment horizontal="center" vertical="center"/>
    </xf>
    <xf numFmtId="43" fontId="4" fillId="5" borderId="0" xfId="2" applyFont="1" applyFill="1" applyBorder="1"/>
    <xf numFmtId="43" fontId="4" fillId="5" borderId="0" xfId="2" applyFont="1" applyFill="1" applyBorder="1" applyAlignment="1">
      <alignment horizontal="center" vertical="distributed"/>
    </xf>
    <xf numFmtId="0" fontId="4" fillId="5" borderId="0" xfId="0" applyFont="1" applyFill="1" applyBorder="1"/>
    <xf numFmtId="43" fontId="4" fillId="3" borderId="0" xfId="2" applyFont="1" applyFill="1" applyBorder="1" applyAlignment="1">
      <alignment horizontal="centerContinuous"/>
    </xf>
  </cellXfs>
  <cellStyles count="5">
    <cellStyle name="Lien hypertexte" xfId="1" builtinId="8"/>
    <cellStyle name="Milliers" xfId="2" builtinId="3"/>
    <cellStyle name="Monétaire 2" xfId="4"/>
    <cellStyle name="Normal" xfId="0" builtinId="0"/>
    <cellStyle name="Norm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firstButton="1" fmlaLink="$C$11" lockText="1" noThreeD="1"/>
</file>

<file path=xl/ctrlProps/ctrlProp2.xml><?xml version="1.0" encoding="utf-8"?>
<formControlPr xmlns="http://schemas.microsoft.com/office/spreadsheetml/2009/9/main" objectType="Radio" checked="Checked" firstButton="1" fmlaLink="$C$7" lockText="1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Radio" checked="Checked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firstButton="1" fmlaLink="$C$11" lockText="1" noThreeD="1"/>
</file>

<file path=xl/ctrlProps/ctrlProp8.xml><?xml version="1.0" encoding="utf-8"?>
<formControlPr xmlns="http://schemas.microsoft.com/office/spreadsheetml/2009/9/main" objectType="Radio" checked="Checked" firstButton="1" fmlaLink="$C$7" lockText="1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GBox" noThreeD="1"/>
</file>

<file path=xl/ctrlProps/ctrlProp11.xml><?xml version="1.0" encoding="utf-8"?>
<formControlPr xmlns="http://schemas.microsoft.com/office/spreadsheetml/2009/9/main" objectType="Radio" checked="Checked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firstButton="1" fmlaLink="$C$11" lockText="1" noThreeD="1"/>
</file>

<file path=xl/ctrlProps/ctrlProp14.xml><?xml version="1.0" encoding="utf-8"?>
<formControlPr xmlns="http://schemas.microsoft.com/office/spreadsheetml/2009/9/main" objectType="Radio" checked="Checked" firstButton="1" fmlaLink="$C$7" lockText="1" noThreeD="1"/>
</file>

<file path=xl/ctrlProps/ctrlProp15.xml><?xml version="1.0" encoding="utf-8"?>
<formControlPr xmlns="http://schemas.microsoft.com/office/spreadsheetml/2009/9/main" objectType="GBox" noThreeD="1"/>
</file>

<file path=xl/ctrlProps/ctrlProp16.xml><?xml version="1.0" encoding="utf-8"?>
<formControlPr xmlns="http://schemas.microsoft.com/office/spreadsheetml/2009/9/main" objectType="GBox" noThreeD="1"/>
</file>

<file path=xl/ctrlProps/ctrlProp17.xml><?xml version="1.0" encoding="utf-8"?>
<formControlPr xmlns="http://schemas.microsoft.com/office/spreadsheetml/2009/9/main" objectType="Radio" checked="Checked" lockText="1" noThreeD="1"/>
</file>

<file path=xl/ctrlProps/ctrlProp18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9</xdr:row>
          <xdr:rowOff>47625</xdr:rowOff>
        </xdr:from>
        <xdr:to>
          <xdr:col>3</xdr:col>
          <xdr:colOff>704850</xdr:colOff>
          <xdr:row>9</xdr:row>
          <xdr:rowOff>266700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Progressive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4</xdr:row>
          <xdr:rowOff>66675</xdr:rowOff>
        </xdr:from>
        <xdr:to>
          <xdr:col>3</xdr:col>
          <xdr:colOff>57150</xdr:colOff>
          <xdr:row>4</xdr:row>
          <xdr:rowOff>285750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à 19 salariés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228600</xdr:rowOff>
        </xdr:from>
        <xdr:to>
          <xdr:col>5</xdr:col>
          <xdr:colOff>314325</xdr:colOff>
          <xdr:row>5</xdr:row>
          <xdr:rowOff>66675</xdr:rowOff>
        </xdr:to>
        <xdr:sp macro="" textlink="">
          <xdr:nvSpPr>
            <xdr:cNvPr id="1027" name="Group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Sélectionner l'effectif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114300</xdr:rowOff>
        </xdr:from>
        <xdr:to>
          <xdr:col>4</xdr:col>
          <xdr:colOff>323850</xdr:colOff>
          <xdr:row>11</xdr:row>
          <xdr:rowOff>19050</xdr:rowOff>
        </xdr:to>
        <xdr:sp macro="" textlink="">
          <xdr:nvSpPr>
            <xdr:cNvPr id="1028" name="Group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Sélectionner le mode de calcul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9</xdr:row>
          <xdr:rowOff>57150</xdr:rowOff>
        </xdr:from>
        <xdr:to>
          <xdr:col>4</xdr:col>
          <xdr:colOff>28575</xdr:colOff>
          <xdr:row>9</xdr:row>
          <xdr:rowOff>276225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Annuelle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4</xdr:row>
          <xdr:rowOff>66675</xdr:rowOff>
        </xdr:from>
        <xdr:to>
          <xdr:col>5</xdr:col>
          <xdr:colOff>57150</xdr:colOff>
          <xdr:row>4</xdr:row>
          <xdr:rowOff>285750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de 19 salariés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9</xdr:row>
          <xdr:rowOff>47625</xdr:rowOff>
        </xdr:from>
        <xdr:to>
          <xdr:col>3</xdr:col>
          <xdr:colOff>704850</xdr:colOff>
          <xdr:row>9</xdr:row>
          <xdr:rowOff>266700</xdr:rowOff>
        </xdr:to>
        <xdr:sp macro="" textlink="">
          <xdr:nvSpPr>
            <xdr:cNvPr id="2049" name="Option 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Progressive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4</xdr:row>
          <xdr:rowOff>66675</xdr:rowOff>
        </xdr:from>
        <xdr:to>
          <xdr:col>3</xdr:col>
          <xdr:colOff>57150</xdr:colOff>
          <xdr:row>4</xdr:row>
          <xdr:rowOff>285750</xdr:rowOff>
        </xdr:to>
        <xdr:sp macro="" textlink="">
          <xdr:nvSpPr>
            <xdr:cNvPr id="2050" name="Option 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à 19 salariés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228600</xdr:rowOff>
        </xdr:from>
        <xdr:to>
          <xdr:col>5</xdr:col>
          <xdr:colOff>314325</xdr:colOff>
          <xdr:row>5</xdr:row>
          <xdr:rowOff>66675</xdr:rowOff>
        </xdr:to>
        <xdr:sp macro="" textlink="">
          <xdr:nvSpPr>
            <xdr:cNvPr id="2051" name="Group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Sélectionner l'effectif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114300</xdr:rowOff>
        </xdr:from>
        <xdr:to>
          <xdr:col>4</xdr:col>
          <xdr:colOff>323850</xdr:colOff>
          <xdr:row>11</xdr:row>
          <xdr:rowOff>19050</xdr:rowOff>
        </xdr:to>
        <xdr:sp macro="" textlink="">
          <xdr:nvSpPr>
            <xdr:cNvPr id="2052" name="Group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Sélectionner le mode de calcul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9</xdr:row>
          <xdr:rowOff>57150</xdr:rowOff>
        </xdr:from>
        <xdr:to>
          <xdr:col>4</xdr:col>
          <xdr:colOff>28575</xdr:colOff>
          <xdr:row>9</xdr:row>
          <xdr:rowOff>276225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Annuelle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4</xdr:row>
          <xdr:rowOff>66675</xdr:rowOff>
        </xdr:from>
        <xdr:to>
          <xdr:col>5</xdr:col>
          <xdr:colOff>57150</xdr:colOff>
          <xdr:row>4</xdr:row>
          <xdr:rowOff>285750</xdr:rowOff>
        </xdr:to>
        <xdr:sp macro="" textlink="">
          <xdr:nvSpPr>
            <xdr:cNvPr id="2054" name="Option 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de 19 salariés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9</xdr:row>
          <xdr:rowOff>47625</xdr:rowOff>
        </xdr:from>
        <xdr:to>
          <xdr:col>3</xdr:col>
          <xdr:colOff>704850</xdr:colOff>
          <xdr:row>9</xdr:row>
          <xdr:rowOff>266700</xdr:rowOff>
        </xdr:to>
        <xdr:sp macro="" textlink="">
          <xdr:nvSpPr>
            <xdr:cNvPr id="7169" name="Option 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Progressive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</xdr:colOff>
          <xdr:row>4</xdr:row>
          <xdr:rowOff>66675</xdr:rowOff>
        </xdr:from>
        <xdr:to>
          <xdr:col>3</xdr:col>
          <xdr:colOff>57150</xdr:colOff>
          <xdr:row>4</xdr:row>
          <xdr:rowOff>285750</xdr:rowOff>
        </xdr:to>
        <xdr:sp macro="" textlink="">
          <xdr:nvSpPr>
            <xdr:cNvPr id="7170" name="Option 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à 19 salariés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228600</xdr:rowOff>
        </xdr:from>
        <xdr:to>
          <xdr:col>5</xdr:col>
          <xdr:colOff>314325</xdr:colOff>
          <xdr:row>5</xdr:row>
          <xdr:rowOff>66675</xdr:rowOff>
        </xdr:to>
        <xdr:sp macro="" textlink="">
          <xdr:nvSpPr>
            <xdr:cNvPr id="7171" name="Group Box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Sélectionner l'effectif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8</xdr:row>
          <xdr:rowOff>114300</xdr:rowOff>
        </xdr:from>
        <xdr:to>
          <xdr:col>4</xdr:col>
          <xdr:colOff>323850</xdr:colOff>
          <xdr:row>11</xdr:row>
          <xdr:rowOff>19050</xdr:rowOff>
        </xdr:to>
        <xdr:sp macro="" textlink="">
          <xdr:nvSpPr>
            <xdr:cNvPr id="7172" name="Group Box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Sélectionner le mode de calcul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9</xdr:row>
          <xdr:rowOff>57150</xdr:rowOff>
        </xdr:from>
        <xdr:to>
          <xdr:col>4</xdr:col>
          <xdr:colOff>28575</xdr:colOff>
          <xdr:row>9</xdr:row>
          <xdr:rowOff>276225</xdr:rowOff>
        </xdr:to>
        <xdr:sp macro="" textlink="">
          <xdr:nvSpPr>
            <xdr:cNvPr id="7173" name="Option Button 5" hidden="1">
              <a:extLst>
                <a:ext uri="{63B3BB69-23CF-44E3-9099-C40C66FF867C}">
                  <a14:compatExt spid="_x0000_s7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Annuelle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4</xdr:row>
          <xdr:rowOff>66675</xdr:rowOff>
        </xdr:from>
        <xdr:to>
          <xdr:col>5</xdr:col>
          <xdr:colOff>57150</xdr:colOff>
          <xdr:row>4</xdr:row>
          <xdr:rowOff>285750</xdr:rowOff>
        </xdr:to>
        <xdr:sp macro="" textlink="">
          <xdr:nvSpPr>
            <xdr:cNvPr id="7174" name="Option Button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+ de 19 salariés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chin@machine,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10" Type="http://schemas.openxmlformats.org/officeDocument/2006/relationships/comments" Target="../comments2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10" Type="http://schemas.openxmlformats.org/officeDocument/2006/relationships/comments" Target="../comments3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V69"/>
  <sheetViews>
    <sheetView workbookViewId="0">
      <selection activeCell="L27" sqref="L27"/>
    </sheetView>
  </sheetViews>
  <sheetFormatPr baseColWidth="10" defaultRowHeight="15"/>
  <cols>
    <col min="4" max="4" width="13" bestFit="1" customWidth="1"/>
    <col min="5" max="5" width="13.28515625" bestFit="1" customWidth="1"/>
    <col min="6" max="6" width="21.42578125" bestFit="1" customWidth="1"/>
    <col min="10" max="10" width="16.7109375" bestFit="1" customWidth="1"/>
    <col min="11" max="11" width="29.28515625" bestFit="1" customWidth="1"/>
    <col min="15" max="15" width="13.7109375" bestFit="1" customWidth="1"/>
    <col min="22" max="22" width="11.42578125" customWidth="1"/>
  </cols>
  <sheetData>
    <row r="1" spans="2:22" ht="15.75" thickBot="1"/>
    <row r="2" spans="2:22" ht="15.75" thickBot="1">
      <c r="B2" t="s">
        <v>22</v>
      </c>
      <c r="F2" s="2" t="s">
        <v>68</v>
      </c>
    </row>
    <row r="3" spans="2:22" ht="15.75" thickBot="1">
      <c r="V3" t="s">
        <v>60</v>
      </c>
    </row>
    <row r="4" spans="2:22" ht="15.75" thickBot="1">
      <c r="B4" t="s">
        <v>23</v>
      </c>
      <c r="F4" s="2">
        <v>1</v>
      </c>
      <c r="V4" t="s">
        <v>61</v>
      </c>
    </row>
    <row r="5" spans="2:22" ht="15.75" thickBot="1"/>
    <row r="6" spans="2:22" ht="15.75" thickBot="1">
      <c r="B6" t="s">
        <v>24</v>
      </c>
      <c r="F6" s="2">
        <v>5</v>
      </c>
    </row>
    <row r="7" spans="2:22" ht="15.75" thickBot="1"/>
    <row r="8" spans="2:22" ht="15.75" thickBot="1">
      <c r="B8" t="s">
        <v>25</v>
      </c>
      <c r="F8" s="2">
        <v>30</v>
      </c>
    </row>
    <row r="9" spans="2:22" ht="15.75" thickBot="1"/>
    <row r="10" spans="2:22" ht="15.75" thickBot="1">
      <c r="B10" t="s">
        <v>28</v>
      </c>
      <c r="F10" s="2" t="s">
        <v>35</v>
      </c>
      <c r="V10" t="s">
        <v>34</v>
      </c>
    </row>
    <row r="11" spans="2:22" ht="15.75" thickBot="1">
      <c r="V11" t="s">
        <v>35</v>
      </c>
    </row>
    <row r="12" spans="2:22" ht="15.75" thickBot="1">
      <c r="B12" t="s">
        <v>26</v>
      </c>
      <c r="F12" s="7" t="s">
        <v>69</v>
      </c>
    </row>
    <row r="13" spans="2:22" ht="15.75" thickBot="1"/>
    <row r="14" spans="2:22" ht="15.75" thickBot="1">
      <c r="B14" t="s">
        <v>27</v>
      </c>
      <c r="F14" s="2" t="s">
        <v>70</v>
      </c>
      <c r="V14">
        <v>1</v>
      </c>
    </row>
    <row r="15" spans="2:22" ht="15.75" thickBot="1">
      <c r="V15">
        <v>2</v>
      </c>
    </row>
    <row r="16" spans="2:22" ht="15.75" thickBot="1">
      <c r="B16" t="s">
        <v>30</v>
      </c>
      <c r="F16" s="2" t="s">
        <v>61</v>
      </c>
      <c r="V16">
        <v>3</v>
      </c>
    </row>
    <row r="17" spans="2:22" ht="15.75" thickBot="1">
      <c r="V17">
        <v>4</v>
      </c>
    </row>
    <row r="18" spans="2:22" ht="15.75" thickBot="1">
      <c r="B18" t="s">
        <v>31</v>
      </c>
      <c r="F18" s="2" t="s">
        <v>60</v>
      </c>
      <c r="V18">
        <v>5</v>
      </c>
    </row>
    <row r="19" spans="2:22" ht="15.75" thickBot="1">
      <c r="V19">
        <v>6</v>
      </c>
    </row>
    <row r="20" spans="2:22" ht="15.75" thickBot="1">
      <c r="B20" t="s">
        <v>32</v>
      </c>
      <c r="F20" s="2" t="s">
        <v>61</v>
      </c>
      <c r="V20">
        <v>7</v>
      </c>
    </row>
    <row r="21" spans="2:22" ht="15.75" thickBot="1">
      <c r="B21" t="s">
        <v>33</v>
      </c>
      <c r="F21" s="2" t="s">
        <v>71</v>
      </c>
      <c r="V21">
        <v>8</v>
      </c>
    </row>
    <row r="22" spans="2:22">
      <c r="V22">
        <v>9</v>
      </c>
    </row>
    <row r="23" spans="2:22" ht="18.75">
      <c r="B23" s="3" t="s">
        <v>0</v>
      </c>
      <c r="C23" s="3"/>
      <c r="D23" s="3"/>
      <c r="V23">
        <v>10</v>
      </c>
    </row>
    <row r="24" spans="2:22">
      <c r="V24">
        <v>11</v>
      </c>
    </row>
    <row r="25" spans="2:22">
      <c r="V25">
        <v>12</v>
      </c>
    </row>
    <row r="26" spans="2:22" s="1" customFormat="1" ht="45">
      <c r="B26" s="1" t="s">
        <v>5</v>
      </c>
      <c r="C26" s="1" t="s">
        <v>67</v>
      </c>
      <c r="D26" s="1" t="s">
        <v>6</v>
      </c>
      <c r="E26" s="1" t="s">
        <v>7</v>
      </c>
      <c r="F26" s="1" t="s">
        <v>8</v>
      </c>
      <c r="G26" s="1" t="s">
        <v>9</v>
      </c>
      <c r="H26" s="1" t="s">
        <v>49</v>
      </c>
      <c r="I26" s="1" t="s">
        <v>50</v>
      </c>
      <c r="J26" s="1" t="s">
        <v>51</v>
      </c>
      <c r="K26" s="1" t="s">
        <v>29</v>
      </c>
      <c r="L26" s="1" t="s">
        <v>19</v>
      </c>
      <c r="M26" s="1" t="s">
        <v>20</v>
      </c>
      <c r="N26" s="1" t="s">
        <v>21</v>
      </c>
      <c r="O26" s="1" t="s">
        <v>57</v>
      </c>
      <c r="P26" s="1" t="s">
        <v>58</v>
      </c>
      <c r="Q26" s="1" t="s">
        <v>59</v>
      </c>
      <c r="V26">
        <v>13</v>
      </c>
    </row>
    <row r="27" spans="2:22">
      <c r="B27" t="s">
        <v>1</v>
      </c>
      <c r="C27" t="s">
        <v>72</v>
      </c>
      <c r="D27" s="8">
        <v>38838</v>
      </c>
      <c r="G27" t="s">
        <v>71</v>
      </c>
      <c r="J27" t="s">
        <v>55</v>
      </c>
      <c r="Q27" t="s">
        <v>65</v>
      </c>
      <c r="V27">
        <v>14</v>
      </c>
    </row>
    <row r="28" spans="2:22">
      <c r="B28" t="s">
        <v>2</v>
      </c>
      <c r="J28" t="s">
        <v>56</v>
      </c>
      <c r="K28" t="s">
        <v>12</v>
      </c>
      <c r="V28">
        <v>15</v>
      </c>
    </row>
    <row r="29" spans="2:22">
      <c r="B29" t="s">
        <v>3</v>
      </c>
      <c r="J29" t="s">
        <v>53</v>
      </c>
      <c r="K29" t="s">
        <v>18</v>
      </c>
      <c r="V29">
        <v>16</v>
      </c>
    </row>
    <row r="30" spans="2:22">
      <c r="B30" t="s">
        <v>4</v>
      </c>
      <c r="J30" t="s">
        <v>54</v>
      </c>
      <c r="V30">
        <v>17</v>
      </c>
    </row>
    <row r="31" spans="2:22">
      <c r="V31">
        <v>18</v>
      </c>
    </row>
    <row r="32" spans="2:22">
      <c r="V32">
        <v>19</v>
      </c>
    </row>
    <row r="33" spans="22:22">
      <c r="V33">
        <v>20</v>
      </c>
    </row>
    <row r="34" spans="22:22">
      <c r="V34">
        <v>21</v>
      </c>
    </row>
    <row r="35" spans="22:22">
      <c r="V35">
        <v>22</v>
      </c>
    </row>
    <row r="36" spans="22:22">
      <c r="V36">
        <v>23</v>
      </c>
    </row>
    <row r="37" spans="22:22">
      <c r="V37">
        <v>24</v>
      </c>
    </row>
    <row r="38" spans="22:22">
      <c r="V38">
        <v>25</v>
      </c>
    </row>
    <row r="39" spans="22:22">
      <c r="V39">
        <v>26</v>
      </c>
    </row>
    <row r="40" spans="22:22">
      <c r="V40">
        <v>27</v>
      </c>
    </row>
    <row r="41" spans="22:22">
      <c r="V41">
        <v>28</v>
      </c>
    </row>
    <row r="42" spans="22:22">
      <c r="V42">
        <v>29</v>
      </c>
    </row>
    <row r="43" spans="22:22">
      <c r="V43">
        <v>30</v>
      </c>
    </row>
    <row r="44" spans="22:22">
      <c r="V44">
        <v>31</v>
      </c>
    </row>
    <row r="46" spans="22:22">
      <c r="V46" t="s">
        <v>55</v>
      </c>
    </row>
    <row r="47" spans="22:22">
      <c r="V47" t="s">
        <v>56</v>
      </c>
    </row>
    <row r="48" spans="22:22">
      <c r="V48" t="s">
        <v>52</v>
      </c>
    </row>
    <row r="49" spans="22:22">
      <c r="V49" t="s">
        <v>53</v>
      </c>
    </row>
    <row r="50" spans="22:22">
      <c r="V50" t="s">
        <v>54</v>
      </c>
    </row>
    <row r="54" spans="22:22">
      <c r="V54" t="s">
        <v>10</v>
      </c>
    </row>
    <row r="55" spans="22:22">
      <c r="V55" t="s">
        <v>11</v>
      </c>
    </row>
    <row r="56" spans="22:22">
      <c r="V56" t="s">
        <v>12</v>
      </c>
    </row>
    <row r="57" spans="22:22">
      <c r="V57" t="s">
        <v>13</v>
      </c>
    </row>
    <row r="58" spans="22:22">
      <c r="V58" t="s">
        <v>14</v>
      </c>
    </row>
    <row r="59" spans="22:22">
      <c r="V59" t="s">
        <v>15</v>
      </c>
    </row>
    <row r="60" spans="22:22">
      <c r="V60" t="s">
        <v>16</v>
      </c>
    </row>
    <row r="61" spans="22:22">
      <c r="V61" t="s">
        <v>17</v>
      </c>
    </row>
    <row r="62" spans="22:22">
      <c r="V62" t="s">
        <v>18</v>
      </c>
    </row>
    <row r="65" spans="22:22">
      <c r="V65" t="s">
        <v>62</v>
      </c>
    </row>
    <row r="66" spans="22:22">
      <c r="V66" t="s">
        <v>63</v>
      </c>
    </row>
    <row r="67" spans="22:22">
      <c r="V67" t="s">
        <v>64</v>
      </c>
    </row>
    <row r="68" spans="22:22">
      <c r="V68" t="s">
        <v>65</v>
      </c>
    </row>
    <row r="69" spans="22:22">
      <c r="V69" t="s">
        <v>66</v>
      </c>
    </row>
  </sheetData>
  <autoFilter ref="B26:Q26"/>
  <dataValidations count="6">
    <dataValidation type="list" allowBlank="1" showInputMessage="1" showErrorMessage="1" sqref="J27:J30">
      <formula1>$V$46:$V$50</formula1>
    </dataValidation>
    <dataValidation type="list" allowBlank="1" showInputMessage="1" showErrorMessage="1" sqref="F8">
      <formula1>$V$13:$V$44</formula1>
    </dataValidation>
    <dataValidation type="list" allowBlank="1" showInputMessage="1" showErrorMessage="1" sqref="F10">
      <formula1>$V$9:$V$11</formula1>
    </dataValidation>
    <dataValidation type="list" allowBlank="1" showInputMessage="1" showErrorMessage="1" sqref="F20 P27:P30 L27:N30 F18 F16">
      <formula1>$V$2:$V$4</formula1>
    </dataValidation>
    <dataValidation type="list" allowBlank="1" showInputMessage="1" showErrorMessage="1" sqref="K27:K30">
      <formula1>$V$53:$V$62</formula1>
    </dataValidation>
    <dataValidation type="list" allowBlank="1" showInputMessage="1" showErrorMessage="1" sqref="Q27:Q30">
      <formula1>$V$64:$V$69</formula1>
    </dataValidation>
  </dataValidations>
  <hyperlinks>
    <hyperlink ref="F12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Q45"/>
  <sheetViews>
    <sheetView showGridLines="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C3" sqref="C3"/>
    </sheetView>
  </sheetViews>
  <sheetFormatPr baseColWidth="10" defaultRowHeight="15"/>
  <cols>
    <col min="4" max="4" width="35" bestFit="1" customWidth="1"/>
  </cols>
  <sheetData>
    <row r="3" spans="1:17">
      <c r="A3" t="s">
        <v>77</v>
      </c>
    </row>
    <row r="4" spans="1:17">
      <c r="C4" s="4"/>
      <c r="D4" s="4"/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  <c r="O4" t="s">
        <v>46</v>
      </c>
      <c r="P4" t="s">
        <v>47</v>
      </c>
      <c r="Q4" t="s">
        <v>48</v>
      </c>
    </row>
    <row r="5" spans="1:17">
      <c r="C5" s="113"/>
      <c r="D5" s="4"/>
    </row>
    <row r="6" spans="1:17">
      <c r="C6" s="113"/>
      <c r="D6" s="6" t="s">
        <v>73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f>+SUM(E6:P6)</f>
        <v>12</v>
      </c>
    </row>
    <row r="7" spans="1:17">
      <c r="C7" s="113"/>
      <c r="D7" s="6" t="s">
        <v>79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f t="shared" ref="Q7:Q25" si="0">+SUM(E7:P7)</f>
        <v>0</v>
      </c>
    </row>
    <row r="8" spans="1:17">
      <c r="C8" s="113"/>
      <c r="D8" s="6" t="s">
        <v>78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f t="shared" si="0"/>
        <v>0</v>
      </c>
    </row>
    <row r="9" spans="1:17">
      <c r="C9" s="113"/>
      <c r="D9" s="6" t="s">
        <v>80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f t="shared" si="0"/>
        <v>1</v>
      </c>
    </row>
    <row r="10" spans="1:17">
      <c r="C10" s="113"/>
      <c r="D10" s="6" t="s">
        <v>81</v>
      </c>
      <c r="E10">
        <v>0</v>
      </c>
      <c r="F10">
        <v>0</v>
      </c>
      <c r="G10">
        <v>0</v>
      </c>
      <c r="H10">
        <v>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f t="shared" si="0"/>
        <v>1</v>
      </c>
    </row>
    <row r="11" spans="1:17">
      <c r="C11" s="5"/>
      <c r="D11" s="6"/>
    </row>
    <row r="12" spans="1:17">
      <c r="C12" s="113"/>
      <c r="D12" s="4" t="s">
        <v>74</v>
      </c>
      <c r="Q12">
        <f t="shared" si="0"/>
        <v>0</v>
      </c>
    </row>
    <row r="13" spans="1:17">
      <c r="C13" s="113"/>
      <c r="D13" s="6"/>
    </row>
    <row r="14" spans="1:17">
      <c r="C14" s="113"/>
      <c r="D14" s="6" t="s">
        <v>75</v>
      </c>
      <c r="Q14">
        <f t="shared" si="0"/>
        <v>0</v>
      </c>
    </row>
    <row r="15" spans="1:17">
      <c r="C15" s="113"/>
      <c r="D15" s="6" t="s">
        <v>76</v>
      </c>
      <c r="Q15">
        <f t="shared" si="0"/>
        <v>0</v>
      </c>
    </row>
    <row r="16" spans="1:17">
      <c r="C16" s="113"/>
      <c r="D16" s="6"/>
    </row>
    <row r="17" spans="3:17">
      <c r="C17" s="113"/>
      <c r="D17" s="6" t="s">
        <v>82</v>
      </c>
      <c r="Q17">
        <f t="shared" si="0"/>
        <v>0</v>
      </c>
    </row>
    <row r="18" spans="3:17">
      <c r="C18" s="5"/>
      <c r="D18" s="6"/>
    </row>
    <row r="19" spans="3:17">
      <c r="C19" s="113"/>
      <c r="D19" s="4" t="s">
        <v>83</v>
      </c>
      <c r="Q19">
        <f t="shared" si="0"/>
        <v>0</v>
      </c>
    </row>
    <row r="20" spans="3:17">
      <c r="C20" s="113"/>
      <c r="D20" s="6" t="s">
        <v>84</v>
      </c>
      <c r="Q20">
        <f t="shared" si="0"/>
        <v>0</v>
      </c>
    </row>
    <row r="21" spans="3:17">
      <c r="C21" s="113"/>
      <c r="D21" s="6" t="s">
        <v>85</v>
      </c>
      <c r="Q21">
        <f t="shared" si="0"/>
        <v>0</v>
      </c>
    </row>
    <row r="22" spans="3:17">
      <c r="C22" s="113"/>
      <c r="D22" s="6" t="s">
        <v>86</v>
      </c>
      <c r="Q22">
        <f t="shared" si="0"/>
        <v>0</v>
      </c>
    </row>
    <row r="23" spans="3:17">
      <c r="C23" s="113"/>
      <c r="D23" s="6" t="s">
        <v>87</v>
      </c>
      <c r="Q23">
        <f t="shared" si="0"/>
        <v>0</v>
      </c>
    </row>
    <row r="24" spans="3:17">
      <c r="C24" s="113"/>
      <c r="D24" s="6"/>
    </row>
    <row r="25" spans="3:17">
      <c r="C25" s="5"/>
      <c r="D25" s="5" t="s">
        <v>88</v>
      </c>
      <c r="Q25">
        <f t="shared" si="0"/>
        <v>0</v>
      </c>
    </row>
    <row r="26" spans="3:17">
      <c r="C26" s="113"/>
      <c r="D26" s="4"/>
    </row>
    <row r="27" spans="3:17">
      <c r="C27" s="113"/>
      <c r="D27" s="6"/>
    </row>
    <row r="28" spans="3:17">
      <c r="C28" s="113"/>
      <c r="D28" s="6"/>
    </row>
    <row r="29" spans="3:17">
      <c r="C29" s="113"/>
      <c r="D29" s="6"/>
    </row>
    <row r="30" spans="3:17">
      <c r="C30" s="113"/>
      <c r="D30" s="6"/>
    </row>
    <row r="31" spans="3:17">
      <c r="C31" s="113"/>
      <c r="D31" s="6"/>
    </row>
    <row r="32" spans="3:17">
      <c r="C32" s="5"/>
      <c r="D32" s="5"/>
    </row>
    <row r="33" spans="3:4">
      <c r="C33" s="5"/>
      <c r="D33" s="5"/>
    </row>
    <row r="34" spans="3:4">
      <c r="C34" s="5"/>
      <c r="D34" s="5"/>
    </row>
    <row r="35" spans="3:4">
      <c r="C35" s="5"/>
      <c r="D35" s="5"/>
    </row>
    <row r="36" spans="3:4">
      <c r="C36" s="5"/>
      <c r="D36" s="5"/>
    </row>
    <row r="37" spans="3:4">
      <c r="C37" s="5"/>
      <c r="D37" s="5"/>
    </row>
    <row r="38" spans="3:4">
      <c r="C38" s="5"/>
      <c r="D38" s="5"/>
    </row>
    <row r="39" spans="3:4">
      <c r="C39" s="5"/>
      <c r="D39" s="5"/>
    </row>
    <row r="40" spans="3:4">
      <c r="C40" s="5"/>
      <c r="D40" s="5"/>
    </row>
    <row r="41" spans="3:4">
      <c r="C41" s="5"/>
      <c r="D41" s="5"/>
    </row>
    <row r="42" spans="3:4">
      <c r="C42" s="5"/>
      <c r="D42" s="5"/>
    </row>
    <row r="43" spans="3:4">
      <c r="D43" s="5"/>
    </row>
    <row r="44" spans="3:4">
      <c r="D44" s="5"/>
    </row>
    <row r="45" spans="3:4">
      <c r="D45" s="5"/>
    </row>
  </sheetData>
  <mergeCells count="4">
    <mergeCell ref="C5:C10"/>
    <mergeCell ref="C12:C17"/>
    <mergeCell ref="C19:C24"/>
    <mergeCell ref="C26:C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3"/>
  <sheetViews>
    <sheetView showGridLines="0" showRowColHeaders="0" workbookViewId="0">
      <selection activeCell="D6" sqref="D6"/>
    </sheetView>
  </sheetViews>
  <sheetFormatPr baseColWidth="10" defaultColWidth="11.42578125" defaultRowHeight="13.5"/>
  <cols>
    <col min="1" max="16384" width="11.42578125" style="12"/>
  </cols>
  <sheetData>
    <row r="1" spans="1:2">
      <c r="A1" s="12" t="s">
        <v>127</v>
      </c>
    </row>
    <row r="3" spans="1:2">
      <c r="B3" s="13" t="s">
        <v>128</v>
      </c>
    </row>
    <row r="4" spans="1:2" ht="15">
      <c r="A4" s="14" t="s">
        <v>36</v>
      </c>
      <c r="B4" s="15">
        <v>9.5299999999999994</v>
      </c>
    </row>
    <row r="5" spans="1:2" ht="15">
      <c r="A5" s="14" t="s">
        <v>37</v>
      </c>
      <c r="B5" s="15">
        <f>B4</f>
        <v>9.5299999999999994</v>
      </c>
    </row>
    <row r="6" spans="1:2" ht="15">
      <c r="A6" s="14" t="s">
        <v>38</v>
      </c>
      <c r="B6" s="15">
        <f>B5</f>
        <v>9.5299999999999994</v>
      </c>
    </row>
    <row r="7" spans="1:2" ht="15">
      <c r="A7" s="14" t="s">
        <v>39</v>
      </c>
      <c r="B7" s="15">
        <f>B6</f>
        <v>9.5299999999999994</v>
      </c>
    </row>
    <row r="8" spans="1:2" ht="15">
      <c r="A8" s="14" t="s">
        <v>40</v>
      </c>
      <c r="B8" s="15">
        <f t="shared" ref="B8:B15" si="0">B7</f>
        <v>9.5299999999999994</v>
      </c>
    </row>
    <row r="9" spans="1:2" ht="15">
      <c r="A9" s="14" t="s">
        <v>41</v>
      </c>
      <c r="B9" s="15">
        <f t="shared" si="0"/>
        <v>9.5299999999999994</v>
      </c>
    </row>
    <row r="10" spans="1:2" ht="15">
      <c r="A10" s="14" t="s">
        <v>42</v>
      </c>
      <c r="B10" s="15">
        <v>9.5299999999999994</v>
      </c>
    </row>
    <row r="11" spans="1:2" ht="15">
      <c r="A11" s="14" t="s">
        <v>43</v>
      </c>
      <c r="B11" s="15">
        <f t="shared" si="0"/>
        <v>9.5299999999999994</v>
      </c>
    </row>
    <row r="12" spans="1:2" ht="15">
      <c r="A12" s="14" t="s">
        <v>44</v>
      </c>
      <c r="B12" s="15">
        <f t="shared" si="0"/>
        <v>9.5299999999999994</v>
      </c>
    </row>
    <row r="13" spans="1:2" ht="15">
      <c r="A13" s="14" t="s">
        <v>45</v>
      </c>
      <c r="B13" s="15">
        <f t="shared" si="0"/>
        <v>9.5299999999999994</v>
      </c>
    </row>
    <row r="14" spans="1:2" ht="15">
      <c r="A14" s="14" t="s">
        <v>46</v>
      </c>
      <c r="B14" s="15">
        <f t="shared" si="0"/>
        <v>9.5299999999999994</v>
      </c>
    </row>
    <row r="15" spans="1:2" ht="15">
      <c r="A15" s="14" t="s">
        <v>47</v>
      </c>
      <c r="B15" s="15">
        <f t="shared" si="0"/>
        <v>9.5299999999999994</v>
      </c>
    </row>
    <row r="17" spans="2:11" ht="15">
      <c r="B17" s="16" t="s">
        <v>129</v>
      </c>
    </row>
    <row r="19" spans="2:11">
      <c r="B19" s="17" t="s">
        <v>130</v>
      </c>
      <c r="C19" s="18"/>
      <c r="D19" s="18"/>
      <c r="E19" s="18"/>
      <c r="F19" s="18"/>
      <c r="G19" s="18"/>
      <c r="H19" s="18"/>
      <c r="I19" s="18"/>
      <c r="J19" s="18"/>
      <c r="K19" s="18"/>
    </row>
    <row r="20" spans="2:11">
      <c r="B20" s="114" t="s">
        <v>131</v>
      </c>
      <c r="C20" s="114"/>
      <c r="D20" s="114"/>
      <c r="E20" s="114"/>
      <c r="F20" s="114"/>
      <c r="G20" s="114"/>
      <c r="H20" s="114"/>
      <c r="I20" s="114"/>
      <c r="J20" s="114"/>
      <c r="K20" s="114"/>
    </row>
    <row r="21" spans="2:11" ht="25.5" customHeight="1">
      <c r="B21" s="114" t="s">
        <v>132</v>
      </c>
      <c r="C21" s="114"/>
      <c r="D21" s="114"/>
      <c r="E21" s="114"/>
      <c r="F21" s="114"/>
      <c r="G21" s="114"/>
      <c r="H21" s="114"/>
      <c r="I21" s="114"/>
      <c r="J21" s="114"/>
      <c r="K21" s="114"/>
    </row>
    <row r="22" spans="2:11" ht="23.25" customHeight="1">
      <c r="B22" s="114" t="s">
        <v>133</v>
      </c>
      <c r="C22" s="114"/>
      <c r="D22" s="114"/>
      <c r="E22" s="114"/>
      <c r="F22" s="114"/>
      <c r="G22" s="114"/>
      <c r="H22" s="114"/>
      <c r="I22" s="114"/>
      <c r="J22" s="114"/>
      <c r="K22" s="114"/>
    </row>
    <row r="23" spans="2:11">
      <c r="B23" s="18"/>
      <c r="C23" s="18"/>
      <c r="D23" s="18"/>
      <c r="E23" s="18"/>
      <c r="F23" s="18"/>
      <c r="G23" s="18"/>
      <c r="H23" s="18"/>
      <c r="I23" s="18"/>
      <c r="J23" s="18"/>
      <c r="K23" s="18"/>
    </row>
  </sheetData>
  <sheetProtection password="C75A" sheet="1" objects="1" scenarios="1"/>
  <mergeCells count="3">
    <mergeCell ref="B20:K20"/>
    <mergeCell ref="B21:K21"/>
    <mergeCell ref="B22:K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E69"/>
  <sheetViews>
    <sheetView showGridLines="0" showRowColHeaders="0" topLeftCell="A4" workbookViewId="0">
      <selection activeCell="F31" sqref="F31"/>
    </sheetView>
  </sheetViews>
  <sheetFormatPr baseColWidth="10" defaultColWidth="0" defaultRowHeight="13.5"/>
  <cols>
    <col min="1" max="1" width="2.7109375" style="18" customWidth="1"/>
    <col min="2" max="2" width="25.28515625" style="18" customWidth="1"/>
    <col min="3" max="9" width="13.5703125" style="18" customWidth="1"/>
    <col min="10" max="14" width="12.7109375" style="18" hidden="1" customWidth="1"/>
    <col min="15" max="16" width="10.85546875" style="19" hidden="1" customWidth="1"/>
    <col min="17" max="17" width="12.7109375" style="19" hidden="1" customWidth="1"/>
    <col min="18" max="18" width="11.28515625" style="19" hidden="1" customWidth="1"/>
    <col min="19" max="19" width="14.7109375" style="19" hidden="1" customWidth="1"/>
    <col min="20" max="20" width="14.7109375" style="18" hidden="1" customWidth="1"/>
    <col min="21" max="21" width="14.28515625" style="18" hidden="1" customWidth="1"/>
    <col min="22" max="23" width="15.7109375" style="18" customWidth="1"/>
    <col min="24" max="24" width="2.5703125" style="18" customWidth="1"/>
    <col min="25" max="33" width="10.28515625" style="18" hidden="1" customWidth="1"/>
    <col min="34" max="16384" width="10.28515625" style="18" hidden="1"/>
  </cols>
  <sheetData>
    <row r="1" spans="2:23" ht="25.5" customHeight="1">
      <c r="B1" s="115" t="s">
        <v>134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</row>
    <row r="2" spans="2:23" ht="14.25" thickBot="1"/>
    <row r="3" spans="2:23" ht="21.75" customHeight="1" thickBot="1">
      <c r="B3" s="20" t="s">
        <v>135</v>
      </c>
      <c r="C3" s="21">
        <v>2013</v>
      </c>
      <c r="H3" s="22" t="s">
        <v>136</v>
      </c>
      <c r="I3" s="23" t="s">
        <v>197</v>
      </c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2:23" ht="20.25" customHeight="1">
      <c r="B4" s="24"/>
      <c r="H4" s="22" t="s">
        <v>137</v>
      </c>
      <c r="I4" s="25" t="s">
        <v>138</v>
      </c>
    </row>
    <row r="5" spans="2:23" ht="27" customHeight="1">
      <c r="B5" s="26" t="s">
        <v>139</v>
      </c>
      <c r="H5" s="18" t="s">
        <v>199</v>
      </c>
      <c r="I5" s="18" t="s">
        <v>196</v>
      </c>
    </row>
    <row r="6" spans="2:23" ht="9.75" customHeight="1">
      <c r="B6" s="27"/>
    </row>
    <row r="7" spans="2:23" hidden="1">
      <c r="B7" s="27"/>
      <c r="C7" s="28">
        <v>1</v>
      </c>
    </row>
    <row r="8" spans="2:23" ht="5.25" customHeight="1">
      <c r="B8" s="27"/>
    </row>
    <row r="9" spans="2:23" ht="15" customHeight="1">
      <c r="B9" s="27"/>
    </row>
    <row r="10" spans="2:23" ht="29.25" customHeight="1">
      <c r="B10" s="26" t="s">
        <v>140</v>
      </c>
    </row>
    <row r="11" spans="2:23" ht="15" hidden="1" customHeight="1">
      <c r="B11" s="27"/>
      <c r="C11" s="28">
        <v>2</v>
      </c>
    </row>
    <row r="12" spans="2:23" ht="15" customHeight="1" thickBot="1">
      <c r="B12" s="27"/>
    </row>
    <row r="13" spans="2:23" ht="15.75" thickBot="1">
      <c r="B13" s="26" t="s">
        <v>141</v>
      </c>
      <c r="C13" s="29">
        <v>151.66999999999999</v>
      </c>
      <c r="G13" s="30"/>
    </row>
    <row r="14" spans="2:23" ht="14.25" thickBot="1">
      <c r="B14" s="27"/>
    </row>
    <row r="15" spans="2:23" ht="14.25" thickBot="1">
      <c r="B15" s="26" t="s">
        <v>142</v>
      </c>
      <c r="C15" s="31">
        <f>IF(C7=1,0.281,0.26)</f>
        <v>0.28100000000000003</v>
      </c>
      <c r="G15" s="30"/>
    </row>
    <row r="16" spans="2:23" s="32" customFormat="1" ht="15" customHeight="1">
      <c r="B16" s="27"/>
      <c r="S16" s="33"/>
    </row>
    <row r="17" spans="2:23" s="32" customFormat="1" ht="15" customHeight="1" thickBot="1">
      <c r="B17" s="26" t="s">
        <v>143</v>
      </c>
      <c r="S17" s="33"/>
      <c r="U17" s="34"/>
    </row>
    <row r="18" spans="2:23" s="32" customFormat="1" ht="15" customHeight="1" thickBot="1">
      <c r="B18" s="35" t="s">
        <v>144</v>
      </c>
      <c r="C18" s="29">
        <v>35</v>
      </c>
      <c r="D18" s="36" t="s">
        <v>145</v>
      </c>
      <c r="E18" s="19" t="str">
        <f>IF(AND(C19&lt;&gt;"",OR(C18="",C18=0)),"&lt;&lt;&lt;&lt;&lt; info à compléter","")</f>
        <v/>
      </c>
      <c r="S18" s="33"/>
      <c r="U18" s="34"/>
    </row>
    <row r="19" spans="2:23" s="32" customFormat="1" ht="15" customHeight="1" thickBot="1">
      <c r="B19" s="35" t="s">
        <v>146</v>
      </c>
      <c r="C19" s="29">
        <v>35</v>
      </c>
      <c r="D19" s="36" t="s">
        <v>147</v>
      </c>
      <c r="E19" s="19" t="str">
        <f>IF(AND(C18&lt;&gt;"",OR(C19="",C19=0)),"&lt;&lt;&lt;&lt;&lt; info à compléter","")</f>
        <v/>
      </c>
      <c r="S19" s="33"/>
      <c r="U19" s="34"/>
    </row>
    <row r="20" spans="2:23" s="32" customFormat="1" ht="15" customHeight="1">
      <c r="B20" s="37"/>
      <c r="S20" s="33"/>
      <c r="U20" s="34"/>
    </row>
    <row r="21" spans="2:23" s="32" customFormat="1" ht="14.25" customHeight="1" thickBot="1">
      <c r="B21" s="37"/>
      <c r="C21" s="37"/>
      <c r="D21" s="37"/>
      <c r="E21" s="38" t="s">
        <v>148</v>
      </c>
      <c r="F21" s="37"/>
      <c r="G21" s="116" t="s">
        <v>149</v>
      </c>
      <c r="H21" s="117"/>
      <c r="I21" s="39"/>
      <c r="U21" s="34"/>
      <c r="V21" s="118" t="s">
        <v>150</v>
      </c>
      <c r="W21" s="119"/>
    </row>
    <row r="22" spans="2:23" s="32" customFormat="1" ht="27" customHeight="1" thickBot="1">
      <c r="C22" s="40" t="s">
        <v>151</v>
      </c>
      <c r="D22" s="41" t="s">
        <v>152</v>
      </c>
      <c r="E22" s="42" t="s">
        <v>153</v>
      </c>
      <c r="F22" s="43" t="s">
        <v>154</v>
      </c>
      <c r="G22" s="44" t="s">
        <v>155</v>
      </c>
      <c r="H22" s="42" t="s">
        <v>156</v>
      </c>
      <c r="I22" s="39"/>
      <c r="J22" s="33" t="s">
        <v>157</v>
      </c>
      <c r="K22" s="33" t="s">
        <v>158</v>
      </c>
      <c r="L22" s="33" t="s">
        <v>159</v>
      </c>
      <c r="M22" s="33" t="s">
        <v>160</v>
      </c>
      <c r="N22" s="33" t="s">
        <v>161</v>
      </c>
      <c r="O22" s="33" t="s">
        <v>162</v>
      </c>
      <c r="P22" s="33" t="s">
        <v>163</v>
      </c>
      <c r="Q22" s="33" t="s">
        <v>164</v>
      </c>
      <c r="R22" s="33" t="s">
        <v>165</v>
      </c>
      <c r="S22" s="120" t="s">
        <v>166</v>
      </c>
      <c r="T22" s="120"/>
      <c r="U22" s="45" t="s">
        <v>167</v>
      </c>
      <c r="V22" s="46" t="s">
        <v>168</v>
      </c>
      <c r="W22" s="47" t="s">
        <v>169</v>
      </c>
    </row>
    <row r="23" spans="2:23" ht="15">
      <c r="B23" s="48" t="s">
        <v>36</v>
      </c>
      <c r="C23" s="49">
        <f>SMIC!B4</f>
        <v>9.5299999999999994</v>
      </c>
      <c r="D23" s="15">
        <v>1833.69</v>
      </c>
      <c r="E23" s="50"/>
      <c r="F23" s="51"/>
      <c r="G23" s="52">
        <f>IF(AND($C$18&lt;&gt;0,$C$18&lt;&gt;""),$C$18,"")</f>
        <v>35</v>
      </c>
      <c r="H23" s="52">
        <f>IF(AND($C$19&lt;&gt;0,$C$19&lt;&gt;""),$C$19,"")</f>
        <v>35</v>
      </c>
      <c r="I23" s="48" t="s">
        <v>36</v>
      </c>
      <c r="J23" s="53">
        <f>IF(Salaire_brut_janvier="",0,(Horaire_collectif_mensuel*C23*IF(G23&lt;&gt;"",G23,Salaire_brut_janvier)/IF(H23&lt;&gt;"",H23,IF(E23&lt;&gt;"",E23,Salaire_brut_janvier))))</f>
        <v>1445.4150999999997</v>
      </c>
      <c r="K23" s="53">
        <f t="shared" ref="K23:K34" si="0">D23</f>
        <v>1833.69</v>
      </c>
      <c r="L23" s="53">
        <f>J23</f>
        <v>1445.4150999999997</v>
      </c>
      <c r="M23" s="53">
        <f>C23*F23</f>
        <v>0</v>
      </c>
      <c r="N23" s="53">
        <f>D23</f>
        <v>1833.69</v>
      </c>
      <c r="O23" s="54">
        <f t="shared" ref="O23:O34" si="1">IF(IF(ROUND(((Coeff.effectif/0.6)*((1.6*(L23+M23)/N23)-1)),4)&gt;0,ROUND(((Coeff.effectif/0.6)*((1.6*(L23+M23)/N23)-1)),4),0)&gt;Coeff.effectif,Coeff.effectif,IF(ROUND(((Coeff.effectif/0.6)*((1.6*(L23+M23)/N23)-1)),4)&gt;0,ROUND(((Coeff.effectif/0.6)*((1.6*(L23+M23)/N23)-1)),4),0))</f>
        <v>0.12230000000000001</v>
      </c>
      <c r="P23" s="54">
        <f>IF(IF(ROUND(((Coeff.effectif/0.6)*((1.6*(J23+(C23*F23))/Salaire_brut_janvier)-1)),4)&gt;0,ROUND(((Coeff.effectif/0.6)*((1.6*(J23+(C23*F23))/Salaire_brut_janvier)-1)),4),0)&gt;Coeff.effectif,Coeff.effectif,IF(ROUND(((Coeff.effectif/0.6)*((1.6*(J23+(C23*F23))/Salaire_brut_janvier)-1)),4)&gt;0,ROUND(((Coeff.effectif/0.6)*((1.6*(J23+(C23*F23))/Salaire_brut_janvier)-1)),4),0))</f>
        <v>0.12230000000000001</v>
      </c>
      <c r="Q23" s="53">
        <f>IF(ISERR(N23*O23),0,N23*O23)</f>
        <v>224.26028700000001</v>
      </c>
      <c r="R23" s="53">
        <f>IF(ISERR(Salaire_brut_janvier*O23),0,Salaire_brut_janvier*O23)</f>
        <v>224.26028700000001</v>
      </c>
      <c r="S23" s="53">
        <f>IF(ISERR(P23),0,Salaire_brut_janvier*P23)</f>
        <v>224.26028700000001</v>
      </c>
      <c r="T23" s="53"/>
      <c r="U23" s="55">
        <f>S23</f>
        <v>224.26028700000001</v>
      </c>
      <c r="V23" s="56">
        <f t="shared" ref="V23:V34" si="2">IF(Mode_calcul=1,IF(R23&gt;0,R23,""),IF(U23&gt;0,U23,""))</f>
        <v>224.26028700000001</v>
      </c>
      <c r="W23" s="57" t="str">
        <f t="shared" ref="W23:W33" si="3">IF(Mode_calcul=1,IF(R23&lt;0,-R23,""),IF(U23&lt;0,-U23,""))</f>
        <v/>
      </c>
    </row>
    <row r="24" spans="2:23" ht="15">
      <c r="B24" s="48" t="s">
        <v>37</v>
      </c>
      <c r="C24" s="49">
        <f>SMIC!B5</f>
        <v>9.5299999999999994</v>
      </c>
      <c r="D24" s="15"/>
      <c r="E24" s="50"/>
      <c r="F24" s="51"/>
      <c r="G24" s="58">
        <f t="shared" ref="G24:G34" si="4">IF(AND($C$18&lt;&gt;0,$C$18&lt;&gt;""),$C$18,"")</f>
        <v>35</v>
      </c>
      <c r="H24" s="58">
        <f t="shared" ref="H24:H34" si="5">IF(AND($C$19&lt;&gt;0,$C$19&lt;&gt;""),$C$19,"")</f>
        <v>35</v>
      </c>
      <c r="I24" s="48" t="s">
        <v>37</v>
      </c>
      <c r="J24" s="53">
        <f>IF(Salaire_brut_février="",0,Horaire_collectif_mensuel*C24*IF(G24&lt;&gt;"",G24,Salaire_brut_février)/IF(H24&lt;&gt;"",H24,IF(E24&lt;&gt;"",E24,Salaire_brut_février)))</f>
        <v>0</v>
      </c>
      <c r="K24" s="53">
        <f t="shared" si="0"/>
        <v>0</v>
      </c>
      <c r="L24" s="53">
        <f>L23+J24</f>
        <v>1445.4150999999997</v>
      </c>
      <c r="M24" s="53">
        <f t="shared" ref="M24:M34" si="6">M23+C24*F24</f>
        <v>0</v>
      </c>
      <c r="N24" s="53">
        <f>Salaire_brut_janvier+Salaire_brut_février</f>
        <v>1833.69</v>
      </c>
      <c r="O24" s="54">
        <f t="shared" si="1"/>
        <v>0.12230000000000001</v>
      </c>
      <c r="P24" s="54" t="e">
        <f>IF(IF(ROUND(((Coeff.effectif/0.6)*((1.6*(J24+(C24*F24))/Salaire_brut_février)-1)),4)&gt;0,ROUND(((Coeff.effectif/0.6)*((1.6*(J24+(C24*F24))/Salaire_brut_février)-1)),4),0)&gt;Coeff.effectif,Coeff.effectif,IF(ROUND(((Coeff.effectif/0.6)*((1.6*(J24+(C24*F24))/Salaire_brut_février)-1)),4)&gt;0,ROUND(((Coeff.effectif/0.6)*((1.6*(J24+(C24*F24))/Salaire_brut_février)-1)),4),0))</f>
        <v>#DIV/0!</v>
      </c>
      <c r="Q24" s="53">
        <f t="shared" ref="Q24:Q33" si="7">IF(ISERR(N24*O24),0,N24*O24)</f>
        <v>224.26028700000001</v>
      </c>
      <c r="R24" s="53">
        <f>Q24-SUM(R23)</f>
        <v>0</v>
      </c>
      <c r="S24" s="53">
        <f>IF(ISERR(P24),0,Salaire_brut_février*P24)</f>
        <v>0</v>
      </c>
      <c r="T24" s="53"/>
      <c r="U24" s="53">
        <f t="shared" ref="U24:U33" si="8">S24</f>
        <v>0</v>
      </c>
      <c r="V24" s="56" t="str">
        <f t="shared" si="2"/>
        <v/>
      </c>
      <c r="W24" s="59" t="str">
        <f t="shared" si="3"/>
        <v/>
      </c>
    </row>
    <row r="25" spans="2:23" ht="15">
      <c r="B25" s="48" t="s">
        <v>38</v>
      </c>
      <c r="C25" s="49">
        <f>SMIC!B6</f>
        <v>9.5299999999999994</v>
      </c>
      <c r="D25" s="15"/>
      <c r="E25" s="50"/>
      <c r="F25" s="51"/>
      <c r="G25" s="58">
        <f t="shared" si="4"/>
        <v>35</v>
      </c>
      <c r="H25" s="58">
        <f t="shared" si="5"/>
        <v>35</v>
      </c>
      <c r="I25" s="48" t="s">
        <v>38</v>
      </c>
      <c r="J25" s="53">
        <f>IF(Salaire_brut_mars="",0,Horaire_collectif_mensuel*C25*IF(G25&lt;&gt;"",G25,Salaire_brut_mars)/IF(H25&lt;&gt;"",H25,IF(E25&lt;&gt;"",E25,Salaire_brut_mars)))</f>
        <v>0</v>
      </c>
      <c r="K25" s="53">
        <f t="shared" si="0"/>
        <v>0</v>
      </c>
      <c r="L25" s="53">
        <f t="shared" ref="L25:L34" si="9">L24+J25</f>
        <v>1445.4150999999997</v>
      </c>
      <c r="M25" s="53">
        <f t="shared" si="6"/>
        <v>0</v>
      </c>
      <c r="N25" s="53">
        <f>Salaire_brut_janvier+Salaire_brut_février+Salaire_brut_mars</f>
        <v>1833.69</v>
      </c>
      <c r="O25" s="54">
        <f t="shared" si="1"/>
        <v>0.12230000000000001</v>
      </c>
      <c r="P25" s="54" t="e">
        <f>IF(IF(ROUND(((Coeff.effectif/0.6)*((1.6*(J25+(C25*F25))/Salaire_brut_mars)-1)),4)&gt;0,ROUND(((Coeff.effectif/0.6)*((1.6*(J25+(C25*F25))/Salaire_brut_mars)-1)),4),0)&gt;Coeff.effectif,Coeff.effectif,IF(ROUND(((Coeff.effectif/0.6)*((1.6*(J25+(C25*F25))/Salaire_brut_mars)-1)),4)&gt;0,ROUND(((Coeff.effectif/0.6)*((1.6*(J25+(C25*F25))/Salaire_brut_mars)-1)),4),0))</f>
        <v>#DIV/0!</v>
      </c>
      <c r="Q25" s="53">
        <f t="shared" si="7"/>
        <v>224.26028700000001</v>
      </c>
      <c r="R25" s="53">
        <f>Q25-SUM(R23:R24)</f>
        <v>0</v>
      </c>
      <c r="S25" s="53">
        <f>IF(ISERR(P25),0,Salaire_brut_mars*P25)</f>
        <v>0</v>
      </c>
      <c r="T25" s="53"/>
      <c r="U25" s="53">
        <f t="shared" si="8"/>
        <v>0</v>
      </c>
      <c r="V25" s="56" t="str">
        <f t="shared" si="2"/>
        <v/>
      </c>
      <c r="W25" s="59" t="str">
        <f t="shared" si="3"/>
        <v/>
      </c>
    </row>
    <row r="26" spans="2:23" ht="15">
      <c r="B26" s="48" t="s">
        <v>39</v>
      </c>
      <c r="C26" s="49">
        <f>SMIC!B7</f>
        <v>9.5299999999999994</v>
      </c>
      <c r="D26" s="15"/>
      <c r="E26" s="50"/>
      <c r="F26" s="51"/>
      <c r="G26" s="58">
        <f t="shared" si="4"/>
        <v>35</v>
      </c>
      <c r="H26" s="58">
        <f t="shared" si="5"/>
        <v>35</v>
      </c>
      <c r="I26" s="48" t="s">
        <v>39</v>
      </c>
      <c r="J26" s="53">
        <f>IF(Salaire_brut_avril="",0,Horaire_collectif_mensuel*C26*IF(G26&lt;&gt;"",G26,Salaire_brut_avril)/IF(H26&lt;&gt;"",H26,IF(E26&lt;&gt;"",E26,Salaire_brut_avril)))</f>
        <v>0</v>
      </c>
      <c r="K26" s="53">
        <f t="shared" si="0"/>
        <v>0</v>
      </c>
      <c r="L26" s="53">
        <f t="shared" si="9"/>
        <v>1445.4150999999997</v>
      </c>
      <c r="M26" s="53">
        <f t="shared" si="6"/>
        <v>0</v>
      </c>
      <c r="N26" s="53">
        <f>Salaire_brut_janvier+Salaire_brut_février+Salaire_brut_mars+Salaire_brut_avril</f>
        <v>1833.69</v>
      </c>
      <c r="O26" s="54">
        <f t="shared" si="1"/>
        <v>0.12230000000000001</v>
      </c>
      <c r="P26" s="54" t="e">
        <f>IF(IF(ROUND(((Coeff.effectif/0.6)*((1.6*(J26+(C26*F26))/Salaire_brut_avril)-1)),4)&gt;0,ROUND(((Coeff.effectif/0.6)*((1.6*(J26+(C26*F26))/Salaire_brut_avril)-1)),4),0)&gt;Coeff.effectif,Coeff.effectif,IF(ROUND(((Coeff.effectif/0.6)*((1.6*(J26+(C26*F26))/Salaire_brut_avril)-1)),4)&gt;0,ROUND(((Coeff.effectif/0.6)*((1.6*(J26+(C26*F26))/Salaire_brut_avril)-1)),4),0))</f>
        <v>#DIV/0!</v>
      </c>
      <c r="Q26" s="53">
        <f t="shared" si="7"/>
        <v>224.26028700000001</v>
      </c>
      <c r="R26" s="53">
        <f>Q26-SUM(R23:R25)</f>
        <v>0</v>
      </c>
      <c r="S26" s="53">
        <f>IF(ISERR(P26),0,Salaire_brut_avril*P26)</f>
        <v>0</v>
      </c>
      <c r="T26" s="53"/>
      <c r="U26" s="53">
        <f t="shared" si="8"/>
        <v>0</v>
      </c>
      <c r="V26" s="56" t="str">
        <f t="shared" si="2"/>
        <v/>
      </c>
      <c r="W26" s="59" t="str">
        <f t="shared" si="3"/>
        <v/>
      </c>
    </row>
    <row r="27" spans="2:23" ht="15">
      <c r="B27" s="48" t="s">
        <v>40</v>
      </c>
      <c r="C27" s="49">
        <f>SMIC!B8</f>
        <v>9.5299999999999994</v>
      </c>
      <c r="D27" s="15"/>
      <c r="E27" s="50"/>
      <c r="F27" s="51"/>
      <c r="G27" s="58">
        <f t="shared" si="4"/>
        <v>35</v>
      </c>
      <c r="H27" s="58">
        <f t="shared" si="5"/>
        <v>35</v>
      </c>
      <c r="I27" s="48" t="s">
        <v>40</v>
      </c>
      <c r="J27" s="53">
        <f>IF(Salaire_brut_mai="",0,Horaire_collectif_mensuel*C27*IF(G27&lt;&gt;"",G27,Salaire_brut_mai)/IF(H27&lt;&gt;"",H27,IF(E27&lt;&gt;"",E27,Salaire_brut_mai)))</f>
        <v>0</v>
      </c>
      <c r="K27" s="53">
        <f t="shared" si="0"/>
        <v>0</v>
      </c>
      <c r="L27" s="53">
        <f t="shared" si="9"/>
        <v>1445.4150999999997</v>
      </c>
      <c r="M27" s="53">
        <f t="shared" si="6"/>
        <v>0</v>
      </c>
      <c r="N27" s="53">
        <f>Salaire_brut_janvier+Salaire_brut_février+Salaire_brut_mars+Salaire_brut_avril+Salaire_brut_mai</f>
        <v>1833.69</v>
      </c>
      <c r="O27" s="54">
        <f t="shared" si="1"/>
        <v>0.12230000000000001</v>
      </c>
      <c r="P27" s="54" t="e">
        <f>IF(IF(ROUND(((Coeff.effectif/0.6)*((1.6*(J27+(C27*F27))/Salaire_brut_mai)-1)),4)&gt;0,ROUND(((Coeff.effectif/0.6)*((1.6*(J27+(C27*F27))/Salaire_brut_mai)-1)),4),0)&gt;Coeff.effectif,Coeff.effectif,IF(ROUND(((Coeff.effectif/0.6)*((1.6*(J27+(C27*F27))/Salaire_brut_mai)-1)),4)&gt;0,ROUND(((Coeff.effectif/0.6)*((1.6*(J27+(C27*F27))/Salaire_brut_mai)-1)),4),0))</f>
        <v>#DIV/0!</v>
      </c>
      <c r="Q27" s="53">
        <f t="shared" si="7"/>
        <v>224.26028700000001</v>
      </c>
      <c r="R27" s="53">
        <f>Q27-SUM(R23:R26)</f>
        <v>0</v>
      </c>
      <c r="S27" s="53">
        <f>IF(ISERR(P27),0,Salaire_brut_mai*P27)</f>
        <v>0</v>
      </c>
      <c r="T27" s="53"/>
      <c r="U27" s="53">
        <f t="shared" si="8"/>
        <v>0</v>
      </c>
      <c r="V27" s="56" t="str">
        <f t="shared" si="2"/>
        <v/>
      </c>
      <c r="W27" s="59" t="str">
        <f t="shared" si="3"/>
        <v/>
      </c>
    </row>
    <row r="28" spans="2:23" ht="15">
      <c r="B28" s="48" t="s">
        <v>41</v>
      </c>
      <c r="C28" s="49">
        <f>SMIC!B9</f>
        <v>9.5299999999999994</v>
      </c>
      <c r="D28" s="15"/>
      <c r="E28" s="50"/>
      <c r="F28" s="51"/>
      <c r="G28" s="58">
        <f t="shared" si="4"/>
        <v>35</v>
      </c>
      <c r="H28" s="58">
        <f t="shared" si="5"/>
        <v>35</v>
      </c>
      <c r="I28" s="48" t="s">
        <v>41</v>
      </c>
      <c r="J28" s="53">
        <f>IF(Salaire_brut_juin="",0,Horaire_collectif_mensuel*C28*IF(G28&lt;&gt;"",G28,Salaire_brut_juin)/IF(H28&lt;&gt;"",H28,IF(E28&lt;&gt;"",E28,Salaire_brut_juin)))</f>
        <v>0</v>
      </c>
      <c r="K28" s="53">
        <f t="shared" si="0"/>
        <v>0</v>
      </c>
      <c r="L28" s="53">
        <f t="shared" si="9"/>
        <v>1445.4150999999997</v>
      </c>
      <c r="M28" s="53">
        <f t="shared" si="6"/>
        <v>0</v>
      </c>
      <c r="N28" s="53">
        <f>Salaire_brut_janvier+Salaire_brut_février+Salaire_brut_mars+Salaire_brut_avril+Salaire_brut_mai+Salaire_brut_juin</f>
        <v>1833.69</v>
      </c>
      <c r="O28" s="54">
        <f t="shared" si="1"/>
        <v>0.12230000000000001</v>
      </c>
      <c r="P28" s="54" t="e">
        <f>IF(IF(ROUND(((Coeff.effectif/0.6)*((1.6*(J28+(C28*F28))/Salaire_brut_juin)-1)),4)&gt;0,ROUND(((Coeff.effectif/0.6)*((1.6*(J28+(C28*F28))/Salaire_brut_juin)-1)),4),0)&gt;Coeff.effectif,Coeff.effectif,IF(ROUND(((Coeff.effectif/0.6)*((1.6*(J28+(C28*F28))/Salaire_brut_juin)-1)),4)&gt;0,ROUND(((Coeff.effectif/0.6)*((1.6*(J28+(C28*F28))/Salaire_brut_juin)-1)),4),0))</f>
        <v>#DIV/0!</v>
      </c>
      <c r="Q28" s="53">
        <f t="shared" si="7"/>
        <v>224.26028700000001</v>
      </c>
      <c r="R28" s="53">
        <f>Q28-SUM(R23:R27)</f>
        <v>0</v>
      </c>
      <c r="S28" s="53">
        <f>IF(ISERR(P28),0,Salaire_brut_juin*P28)</f>
        <v>0</v>
      </c>
      <c r="T28" s="53"/>
      <c r="U28" s="53">
        <f t="shared" si="8"/>
        <v>0</v>
      </c>
      <c r="V28" s="56" t="str">
        <f t="shared" si="2"/>
        <v/>
      </c>
      <c r="W28" s="59" t="str">
        <f t="shared" si="3"/>
        <v/>
      </c>
    </row>
    <row r="29" spans="2:23" ht="15">
      <c r="B29" s="48" t="s">
        <v>42</v>
      </c>
      <c r="C29" s="49">
        <f>SMIC!B10</f>
        <v>9.5299999999999994</v>
      </c>
      <c r="D29" s="15"/>
      <c r="E29" s="50"/>
      <c r="F29" s="51"/>
      <c r="G29" s="58">
        <f t="shared" si="4"/>
        <v>35</v>
      </c>
      <c r="H29" s="58">
        <f t="shared" si="5"/>
        <v>35</v>
      </c>
      <c r="I29" s="48" t="s">
        <v>42</v>
      </c>
      <c r="J29" s="53">
        <f>IF(Salaire_brut_juillet="",0,Horaire_collectif_mensuel*C29*IF(G29&lt;&gt;"",G29,Salaire_brut_juillet)/IF(H29&lt;&gt;"",H29,IF(E29&lt;&gt;"",E29,Salaire_brut_juillet)))</f>
        <v>0</v>
      </c>
      <c r="K29" s="53">
        <f t="shared" si="0"/>
        <v>0</v>
      </c>
      <c r="L29" s="53">
        <f t="shared" si="9"/>
        <v>1445.4150999999997</v>
      </c>
      <c r="M29" s="53">
        <f t="shared" si="6"/>
        <v>0</v>
      </c>
      <c r="N29" s="53">
        <f>Salaire_brut_janvier+Salaire_brut_février+Salaire_brut_mars+Salaire_brut_avril+Salaire_brut_mai+Salaire_brut_juin+Salaire_brut_juillet</f>
        <v>1833.69</v>
      </c>
      <c r="O29" s="54">
        <f t="shared" si="1"/>
        <v>0.12230000000000001</v>
      </c>
      <c r="P29" s="54" t="e">
        <f>IF(IF(ROUND(((Coeff.effectif/0.6)*((1.6*(J29+(C29*F29))/Salaire_brut_juillet)-1)),4)&gt;0,ROUND(((Coeff.effectif/0.6)*((1.6*(J29+(C29*F29))/Salaire_brut_juillet)-1)),4),0)&gt;Coeff.effectif,Coeff.effectif,IF(ROUND(((Coeff.effectif/0.6)*((1.6*(J29+(C29*F29))/Salaire_brut_juillet)-1)),4)&gt;0,ROUND(((Coeff.effectif/0.6)*((1.6*(J29+(C29*F29))/Salaire_brut_juillet)-1)),4),0))</f>
        <v>#DIV/0!</v>
      </c>
      <c r="Q29" s="53">
        <f t="shared" si="7"/>
        <v>224.26028700000001</v>
      </c>
      <c r="R29" s="53">
        <f>Q29-SUM(R23:R28)</f>
        <v>0</v>
      </c>
      <c r="S29" s="53">
        <f>IF(ISERR(P29),0,Salaire_brut_juillet*P29)</f>
        <v>0</v>
      </c>
      <c r="T29" s="53"/>
      <c r="U29" s="53">
        <f t="shared" si="8"/>
        <v>0</v>
      </c>
      <c r="V29" s="56" t="str">
        <f t="shared" si="2"/>
        <v/>
      </c>
      <c r="W29" s="59" t="str">
        <f t="shared" si="3"/>
        <v/>
      </c>
    </row>
    <row r="30" spans="2:23" ht="15">
      <c r="B30" s="48" t="s">
        <v>43</v>
      </c>
      <c r="C30" s="49">
        <f>SMIC!B11</f>
        <v>9.5299999999999994</v>
      </c>
      <c r="D30" s="15"/>
      <c r="E30" s="50"/>
      <c r="F30" s="51"/>
      <c r="G30" s="58">
        <f t="shared" si="4"/>
        <v>35</v>
      </c>
      <c r="H30" s="58">
        <f t="shared" si="5"/>
        <v>35</v>
      </c>
      <c r="I30" s="48" t="s">
        <v>43</v>
      </c>
      <c r="J30" s="53">
        <f>IF(Salaire_brut_août="",0,Horaire_collectif_mensuel*C30*IF(G30&lt;&gt;"",G30,Salaire_brut_août)/IF(H30&lt;&gt;"",H30,IF(E30&lt;&gt;"",E30,Salaire_brut_août)))</f>
        <v>0</v>
      </c>
      <c r="K30" s="53">
        <f t="shared" si="0"/>
        <v>0</v>
      </c>
      <c r="L30" s="53">
        <f t="shared" si="9"/>
        <v>1445.4150999999997</v>
      </c>
      <c r="M30" s="53">
        <f t="shared" si="6"/>
        <v>0</v>
      </c>
      <c r="N30" s="53">
        <f>Salaire_brut_janvier+Salaire_brut_février+Salaire_brut_mars+Salaire_brut_avril+Salaire_brut_mai+Salaire_brut_juin+Salaire_brut_juillet+Salaire_brut_août</f>
        <v>1833.69</v>
      </c>
      <c r="O30" s="54">
        <f t="shared" si="1"/>
        <v>0.12230000000000001</v>
      </c>
      <c r="P30" s="54" t="e">
        <f>IF(IF(ROUND(((Coeff.effectif/0.6)*((1.6*(J30+(C30*F30))/Salaire_brut_août)-1)),4)&gt;0,ROUND(((Coeff.effectif/0.6)*((1.6*(J30+(C30*F30))/Salaire_brut_août)-1)),4),0)&gt;Coeff.effectif,Coeff.effectif,IF(ROUND(((Coeff.effectif/0.6)*((1.6*(J30+(C30*F30))/Salaire_brut_août)-1)),4)&gt;0,ROUND(((Coeff.effectif/0.6)*((1.6*(J30+(C30*F30))/Salaire_brut_août)-1)),4),0))</f>
        <v>#DIV/0!</v>
      </c>
      <c r="Q30" s="53">
        <f t="shared" si="7"/>
        <v>224.26028700000001</v>
      </c>
      <c r="R30" s="53">
        <f>Q30-SUM(R23:R29)</f>
        <v>0</v>
      </c>
      <c r="S30" s="53">
        <f>IF(ISERR(P30),0,Salaire_brut_août*P30)</f>
        <v>0</v>
      </c>
      <c r="T30" s="53"/>
      <c r="U30" s="53">
        <f t="shared" si="8"/>
        <v>0</v>
      </c>
      <c r="V30" s="56" t="str">
        <f t="shared" si="2"/>
        <v/>
      </c>
      <c r="W30" s="59" t="str">
        <f t="shared" si="3"/>
        <v/>
      </c>
    </row>
    <row r="31" spans="2:23" ht="15">
      <c r="B31" s="48" t="s">
        <v>44</v>
      </c>
      <c r="C31" s="49">
        <f>SMIC!B12</f>
        <v>9.5299999999999994</v>
      </c>
      <c r="D31" s="15"/>
      <c r="E31" s="50"/>
      <c r="F31" s="51"/>
      <c r="G31" s="58">
        <f t="shared" si="4"/>
        <v>35</v>
      </c>
      <c r="H31" s="58">
        <f t="shared" si="5"/>
        <v>35</v>
      </c>
      <c r="I31" s="48" t="s">
        <v>44</v>
      </c>
      <c r="J31" s="53">
        <f>IF(Salaire_brut_septembre="",0,Horaire_collectif_mensuel*C31*IF(G31&lt;&gt;"",G31,Salaire_brut_septembre)/IF(H31&lt;&gt;"",H31,IF(E31&lt;&gt;"",E31,Salaire_brut_septembre)))</f>
        <v>0</v>
      </c>
      <c r="K31" s="53">
        <f t="shared" si="0"/>
        <v>0</v>
      </c>
      <c r="L31" s="53">
        <f t="shared" si="9"/>
        <v>1445.4150999999997</v>
      </c>
      <c r="M31" s="53">
        <f t="shared" si="6"/>
        <v>0</v>
      </c>
      <c r="N31" s="53">
        <f>Salaire_brut_janvier+Salaire_brut_février+Salaire_brut_mars+Salaire_brut_avril+Salaire_brut_mai+Salaire_brut_juin+Salaire_brut_juillet+Salaire_brut_août+Salaire_brut_septembre</f>
        <v>1833.69</v>
      </c>
      <c r="O31" s="54">
        <f t="shared" si="1"/>
        <v>0.12230000000000001</v>
      </c>
      <c r="P31" s="54" t="e">
        <f>IF(IF(ROUND(((Coeff.effectif/0.6)*((1.6*(J31+(C31*F31))/Salaire_brut_septembre)-1)),4)&gt;0,ROUND(((Coeff.effectif/0.6)*((1.6*(J31+(C31*F31))/Salaire_brut_septembre)-1)),4),0)&gt;Coeff.effectif,Coeff.effectif,IF(ROUND(((Coeff.effectif/0.6)*((1.6*(J31+(C31*F31))/Salaire_brut_septembre)-1)),4)&gt;0,ROUND(((Coeff.effectif/0.6)*((1.6*(J31+(C31*F31))/Salaire_brut_septembre)-1)),4),0))</f>
        <v>#DIV/0!</v>
      </c>
      <c r="Q31" s="53">
        <f t="shared" si="7"/>
        <v>224.26028700000001</v>
      </c>
      <c r="R31" s="53">
        <f>Q31-SUM(R23:R30)</f>
        <v>0</v>
      </c>
      <c r="S31" s="53">
        <f>IF(ISERR(P31),0,Salaire_brut_septembre*P31)</f>
        <v>0</v>
      </c>
      <c r="T31" s="53"/>
      <c r="U31" s="53">
        <f t="shared" si="8"/>
        <v>0</v>
      </c>
      <c r="V31" s="56" t="str">
        <f t="shared" si="2"/>
        <v/>
      </c>
      <c r="W31" s="59" t="str">
        <f t="shared" si="3"/>
        <v/>
      </c>
    </row>
    <row r="32" spans="2:23" ht="15">
      <c r="B32" s="48" t="s">
        <v>45</v>
      </c>
      <c r="C32" s="49">
        <f>SMIC!B13</f>
        <v>9.5299999999999994</v>
      </c>
      <c r="D32" s="15"/>
      <c r="E32" s="50"/>
      <c r="F32" s="51"/>
      <c r="G32" s="58">
        <f t="shared" si="4"/>
        <v>35</v>
      </c>
      <c r="H32" s="58">
        <f t="shared" si="5"/>
        <v>35</v>
      </c>
      <c r="I32" s="48" t="s">
        <v>45</v>
      </c>
      <c r="J32" s="53">
        <f>IF(Salaire_brut_octobre="",0,Horaire_collectif_mensuel*C32*IF(G32&lt;&gt;"",G32,Salaire_brut_octobre)/IF(H32&lt;&gt;"",H32,IF(E32&lt;&gt;"",E32,Salaire_brut_octobre)))</f>
        <v>0</v>
      </c>
      <c r="K32" s="53">
        <f t="shared" si="0"/>
        <v>0</v>
      </c>
      <c r="L32" s="53">
        <f t="shared" si="9"/>
        <v>1445.4150999999997</v>
      </c>
      <c r="M32" s="53">
        <f t="shared" si="6"/>
        <v>0</v>
      </c>
      <c r="N32" s="53">
        <f>Salaire_brut_janvier+Salaire_brut_février+Salaire_brut_mars+Salaire_brut_avril+Salaire_brut_mai+Salaire_brut_juin+Salaire_brut_juillet+Salaire_brut_août+Salaire_brut_septembre+Salaire_brut_octobre</f>
        <v>1833.69</v>
      </c>
      <c r="O32" s="54">
        <f t="shared" si="1"/>
        <v>0.12230000000000001</v>
      </c>
      <c r="P32" s="54" t="e">
        <f>IF(IF(ROUND(((Coeff.effectif/0.6)*((1.6*(J32+(C32*F32))/Salaire_brut_octobre)-1)),4)&gt;0,ROUND(((Coeff.effectif/0.6)*((1.6*(J32+(C32*F32))/Salaire_brut_octobre)-1)),4),0)&gt;Coeff.effectif,Coeff.effectif,IF(ROUND(((Coeff.effectif/0.6)*((1.6*(J32+(C32*F32))/Salaire_brut_octobre)-1)),4)&gt;0,ROUND(((Coeff.effectif/0.6)*((1.6*(J32+(C32*F32))/Salaire_brut_octobre)-1)),4),0))</f>
        <v>#DIV/0!</v>
      </c>
      <c r="Q32" s="53">
        <f t="shared" si="7"/>
        <v>224.26028700000001</v>
      </c>
      <c r="R32" s="53">
        <f>Q32-SUM(R23:R31)</f>
        <v>0</v>
      </c>
      <c r="S32" s="53">
        <f>IF(ISERR(P32),0,Salaire_brut_octobre*P32)</f>
        <v>0</v>
      </c>
      <c r="T32" s="53"/>
      <c r="U32" s="53">
        <f t="shared" si="8"/>
        <v>0</v>
      </c>
      <c r="V32" s="56" t="str">
        <f t="shared" si="2"/>
        <v/>
      </c>
      <c r="W32" s="59" t="str">
        <f t="shared" si="3"/>
        <v/>
      </c>
    </row>
    <row r="33" spans="2:31" ht="15">
      <c r="B33" s="48" t="s">
        <v>46</v>
      </c>
      <c r="C33" s="49">
        <f>SMIC!B14</f>
        <v>9.5299999999999994</v>
      </c>
      <c r="D33" s="15"/>
      <c r="E33" s="50"/>
      <c r="F33" s="51"/>
      <c r="G33" s="58">
        <f t="shared" si="4"/>
        <v>35</v>
      </c>
      <c r="H33" s="58">
        <f t="shared" si="5"/>
        <v>35</v>
      </c>
      <c r="I33" s="48" t="s">
        <v>46</v>
      </c>
      <c r="J33" s="53">
        <f>IF(Salaire_brut_novembre="",0,Horaire_collectif_mensuel*C33*IF(G33&lt;&gt;"",G33,Salaire_brut_novembre)/IF(H33&lt;&gt;"",H33,IF(E33&lt;&gt;"",E33,Salaire_brut_novembre)))</f>
        <v>0</v>
      </c>
      <c r="K33" s="53">
        <f t="shared" si="0"/>
        <v>0</v>
      </c>
      <c r="L33" s="53">
        <f t="shared" si="9"/>
        <v>1445.4150999999997</v>
      </c>
      <c r="M33" s="53">
        <f t="shared" si="6"/>
        <v>0</v>
      </c>
      <c r="N33" s="53">
        <f>Salaire_brut_janvier+Salaire_brut_février+Salaire_brut_mars+Salaire_brut_avril+Salaire_brut_mai+Salaire_brut_juin+Salaire_brut_juillet+Salaire_brut_août+Salaire_brut_septembre+Salaire_brut_octobre+Salaire_brut_novembre</f>
        <v>1833.69</v>
      </c>
      <c r="O33" s="54">
        <f t="shared" si="1"/>
        <v>0.12230000000000001</v>
      </c>
      <c r="P33" s="54" t="e">
        <f>IF(IF(ROUND(((Coeff.effectif/0.6)*((1.6*(J33+(C33*F33))/Salaire_brut_novembre)-1)),4)&gt;0,ROUND(((Coeff.effectif/0.6)*((1.6*(J33+(C33*F33))/Salaire_brut_novembre)-1)),4),0)&gt;Coeff.effectif,Coeff.effectif,IF(ROUND(((Coeff.effectif/0.6)*((1.6*(J33+(C33*F33))/Salaire_brut_novembre)-1)),4)&gt;0,ROUND(((Coeff.effectif/0.6)*((1.6*(J33+(C33*F33))/Salaire_brut_novembre)-1)),4),0))</f>
        <v>#DIV/0!</v>
      </c>
      <c r="Q33" s="53">
        <f t="shared" si="7"/>
        <v>224.26028700000001</v>
      </c>
      <c r="R33" s="53">
        <f>Q33-SUM(R23:R32)</f>
        <v>0</v>
      </c>
      <c r="S33" s="53">
        <f>IF(ISERR(P33),0,Salaire_brut_novembre*P33)</f>
        <v>0</v>
      </c>
      <c r="U33" s="53">
        <f t="shared" si="8"/>
        <v>0</v>
      </c>
      <c r="V33" s="56" t="str">
        <f t="shared" si="2"/>
        <v/>
      </c>
      <c r="W33" s="59" t="str">
        <f t="shared" si="3"/>
        <v/>
      </c>
    </row>
    <row r="34" spans="2:31" ht="15.75" thickBot="1">
      <c r="B34" s="48" t="s">
        <v>47</v>
      </c>
      <c r="C34" s="60">
        <f>SMIC!B15</f>
        <v>9.5299999999999994</v>
      </c>
      <c r="D34" s="15"/>
      <c r="E34" s="61"/>
      <c r="F34" s="62"/>
      <c r="G34" s="63">
        <f t="shared" si="4"/>
        <v>35</v>
      </c>
      <c r="H34" s="63">
        <f t="shared" si="5"/>
        <v>35</v>
      </c>
      <c r="I34" s="48" t="s">
        <v>47</v>
      </c>
      <c r="J34" s="53">
        <f>IF(Salaire_brut_décembre="",0,Horaire_collectif_mensuel*C34*IF(G34&lt;&gt;"",G34,Salaire_brut_décembre)/IF(H34&lt;&gt;"",H34,IF(E34&lt;&gt;"",E34,Salaire_brut_décembre)))</f>
        <v>0</v>
      </c>
      <c r="K34" s="53">
        <f t="shared" si="0"/>
        <v>0</v>
      </c>
      <c r="L34" s="53">
        <f t="shared" si="9"/>
        <v>1445.4150999999997</v>
      </c>
      <c r="M34" s="53">
        <f t="shared" si="6"/>
        <v>0</v>
      </c>
      <c r="N34" s="53">
        <f>Salaire_brut_janvier+Salaire_brut_février+Salaire_brut_mars+Salaire_brut_avril+Salaire_brut_mai+Salaire_brut_juin+Salaire_brut_juillet+Salaire_brut_août+Salaire_brut_septembre+Salaire_brut_octobre+Salaire_brut_novembre+Salaire_brut_décembre</f>
        <v>1833.69</v>
      </c>
      <c r="O34" s="54">
        <f t="shared" si="1"/>
        <v>0.12230000000000001</v>
      </c>
      <c r="P34" s="54" t="e">
        <f>IF(IF(ROUND(((Coeff.effectif/0.6)*((1.6*(J34+(C34*F34))/Salaire_brut_décembre)-1)),4)&gt;0,ROUND(((Coeff.effectif/0.6)*((1.6*(J34+(C34*F34))/Salaire_brut_décembre)-1)),4),0)&gt;Coeff.effectif,Coeff.effectif,IF(ROUND(((Coeff.effectif/0.6)*((1.6*(J34+(C34*F34))/Salaire_brut_décembre)-1)),4)&gt;0,ROUND(((Coeff.effectif/0.6)*((1.6*(J34+(C34*F34))/Salaire_brut_décembre)-1)),4),0))</f>
        <v>#DIV/0!</v>
      </c>
      <c r="Q34" s="53">
        <f>IF(Salaire_brut_décembre=0,0,N34*O34)</f>
        <v>0</v>
      </c>
      <c r="R34" s="53" t="str">
        <f>IF(Q34-SUM(R23:R33)&lt;0,"",Q34-SUM(R23:R33))</f>
        <v/>
      </c>
      <c r="S34" s="53">
        <f>IF(ISERR(P34),0,Salaire_brut_décembre*P34)</f>
        <v>0</v>
      </c>
      <c r="T34" s="53">
        <f>IF(Salaire_brut_décembre="",0,IF(Q34-SUM(R23:R33)&gt;0,"",Q34-SUM(R23:R33)))</f>
        <v>0</v>
      </c>
      <c r="U34" s="53">
        <f>(SUM(R23:R33)+IF(R34&lt;&gt;"",R34,0)+IF(T34&lt;&gt;"",T34,0))-SUM(U23:U33)</f>
        <v>0</v>
      </c>
      <c r="V34" s="56" t="str">
        <f t="shared" si="2"/>
        <v/>
      </c>
      <c r="W34" s="64" t="str">
        <f>IF(Mode_calcul=1,IF(T34&lt;0,-T34,""),IF(U34&lt;0,-U34,""))</f>
        <v/>
      </c>
    </row>
    <row r="35" spans="2:31" ht="21" customHeight="1" thickBot="1">
      <c r="B35" s="65" t="s">
        <v>170</v>
      </c>
      <c r="C35" s="66"/>
      <c r="D35" s="67">
        <f>SUM(D23:D34)</f>
        <v>1833.69</v>
      </c>
      <c r="E35" s="68"/>
      <c r="F35" s="69"/>
      <c r="G35" s="66"/>
      <c r="H35" s="66"/>
      <c r="I35" s="65" t="s">
        <v>170</v>
      </c>
      <c r="Q35" s="53"/>
      <c r="R35" s="70"/>
      <c r="S35" s="53">
        <f>SUM(S23:S34)</f>
        <v>224.26028700000001</v>
      </c>
      <c r="V35" s="121">
        <f>SUM(V23:V33)+IF(V34="",0,V34)-SUM(W23:W33)-IF(W34="",0,W34)</f>
        <v>224.26028700000001</v>
      </c>
      <c r="W35" s="122"/>
    </row>
    <row r="36" spans="2:31" ht="21" customHeight="1" thickBot="1">
      <c r="C36" s="71"/>
      <c r="F36" s="30"/>
      <c r="Q36" s="53"/>
      <c r="R36" s="70"/>
      <c r="S36" s="53"/>
    </row>
    <row r="37" spans="2:31" ht="21" hidden="1" customHeight="1">
      <c r="C37" s="71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53"/>
      <c r="V37" s="120" t="s">
        <v>171</v>
      </c>
      <c r="W37" s="120"/>
      <c r="X37" s="120" t="s">
        <v>172</v>
      </c>
      <c r="Y37" s="120"/>
    </row>
    <row r="38" spans="2:31" ht="21" hidden="1" customHeight="1">
      <c r="C38" s="71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53"/>
      <c r="V38" s="19" t="s">
        <v>173</v>
      </c>
      <c r="W38" s="19" t="s">
        <v>174</v>
      </c>
      <c r="X38" s="19" t="s">
        <v>173</v>
      </c>
      <c r="Y38" s="19" t="s">
        <v>174</v>
      </c>
      <c r="AB38" s="19"/>
      <c r="AC38" s="19"/>
      <c r="AD38" s="53"/>
      <c r="AE38" s="22"/>
    </row>
    <row r="39" spans="2:31" ht="21" hidden="1" customHeight="1">
      <c r="C39" s="71"/>
      <c r="D39" s="72"/>
      <c r="E39" s="72"/>
      <c r="F39" s="72"/>
      <c r="H39" s="73"/>
      <c r="I39" s="73"/>
      <c r="J39" s="72"/>
      <c r="K39" s="72"/>
      <c r="L39" s="72"/>
      <c r="M39" s="72"/>
      <c r="N39" s="72"/>
      <c r="O39" s="72"/>
      <c r="P39" s="72"/>
      <c r="Q39" s="72"/>
      <c r="R39" s="72"/>
      <c r="S39" s="53"/>
      <c r="U39" s="74" t="s">
        <v>175</v>
      </c>
      <c r="V39" s="75">
        <f>IF(R23+R24+R25&lt;0,"",R23+R24+R25)</f>
        <v>224.26028700000001</v>
      </c>
      <c r="W39" s="75" t="str">
        <f>IF(R23+R24+R25&gt;0,"",-(R23+R24+R25))</f>
        <v/>
      </c>
      <c r="X39" s="75">
        <f>IF(U23+U24+U25&lt;0,"",U23+U24+U25)</f>
        <v>224.26028700000001</v>
      </c>
      <c r="Y39" s="75" t="str">
        <f>IF(U23+U24+U25&gt;0,"",-(U23+U24+U25))</f>
        <v/>
      </c>
      <c r="Z39" s="76"/>
      <c r="AA39" s="76"/>
      <c r="AB39" s="77"/>
      <c r="AC39" s="77"/>
      <c r="AD39" s="77"/>
    </row>
    <row r="40" spans="2:31" ht="21" hidden="1" customHeight="1">
      <c r="C40" s="71"/>
      <c r="D40" s="72"/>
      <c r="E40" s="72"/>
      <c r="F40" s="72"/>
      <c r="H40" s="73"/>
      <c r="I40" s="73"/>
      <c r="J40" s="72"/>
      <c r="K40" s="72"/>
      <c r="L40" s="72"/>
      <c r="M40" s="72"/>
      <c r="N40" s="72"/>
      <c r="O40" s="72"/>
      <c r="P40" s="72"/>
      <c r="Q40" s="72"/>
      <c r="R40" s="72"/>
      <c r="S40" s="53"/>
      <c r="U40" s="74" t="s">
        <v>176</v>
      </c>
      <c r="V40" s="75">
        <f>IF(R26+R27+R28&lt;0,"",R26+R27+R28)</f>
        <v>0</v>
      </c>
      <c r="W40" s="75">
        <f>IF(R26+R27+R28&gt;0,"",-(R26+R27+R28))</f>
        <v>0</v>
      </c>
      <c r="X40" s="75">
        <f>IF(U26+U27+U28&lt;0,"",U26+U27+U28)</f>
        <v>0</v>
      </c>
      <c r="Y40" s="75">
        <f>IF(U26+U27+U28&gt;0,"",-(U26+U27+U28))</f>
        <v>0</v>
      </c>
      <c r="Z40" s="76"/>
      <c r="AA40" s="76"/>
      <c r="AB40" s="77"/>
      <c r="AC40" s="77"/>
      <c r="AD40" s="77"/>
    </row>
    <row r="41" spans="2:31" ht="21" hidden="1" customHeight="1">
      <c r="C41" s="71"/>
      <c r="D41" s="72"/>
      <c r="E41" s="72"/>
      <c r="F41" s="72"/>
      <c r="H41" s="73"/>
      <c r="I41" s="73"/>
      <c r="J41" s="72"/>
      <c r="K41" s="72"/>
      <c r="L41" s="72"/>
      <c r="M41" s="72"/>
      <c r="N41" s="72"/>
      <c r="O41" s="72"/>
      <c r="P41" s="72"/>
      <c r="Q41" s="72"/>
      <c r="R41" s="72"/>
      <c r="S41" s="53"/>
      <c r="U41" s="74" t="s">
        <v>177</v>
      </c>
      <c r="V41" s="75">
        <f>IF(R29+R30+R31&lt;0,"",R29+R30+R31)</f>
        <v>0</v>
      </c>
      <c r="W41" s="75">
        <f>IF(R29+R30+R31&gt;0,"",-(R29+R30+R31))</f>
        <v>0</v>
      </c>
      <c r="X41" s="75">
        <f>IF(U29+U30+U31&lt;0,"",U29+U30+U31)</f>
        <v>0</v>
      </c>
      <c r="Y41" s="75">
        <f>IF(U29+U30+U31&gt;0,"",-(U29+U30+U31))</f>
        <v>0</v>
      </c>
      <c r="Z41" s="76"/>
      <c r="AA41" s="76"/>
      <c r="AB41" s="77"/>
      <c r="AC41" s="77"/>
      <c r="AD41" s="77"/>
    </row>
    <row r="42" spans="2:31" ht="21" hidden="1" customHeight="1" thickBot="1">
      <c r="C42" s="71"/>
      <c r="D42" s="72"/>
      <c r="E42" s="72"/>
      <c r="F42" s="72"/>
      <c r="H42" s="73"/>
      <c r="I42" s="73"/>
      <c r="J42" s="72"/>
      <c r="K42" s="72"/>
      <c r="L42" s="72"/>
      <c r="M42" s="72"/>
      <c r="N42" s="72"/>
      <c r="O42" s="72"/>
      <c r="P42" s="72"/>
      <c r="Q42" s="72"/>
      <c r="R42" s="72"/>
      <c r="S42" s="53"/>
      <c r="U42" s="74" t="s">
        <v>178</v>
      </c>
      <c r="V42" s="75">
        <f>IF(R32+R33+IF(R34&lt;&gt;"",R34,0)+IF(T34&lt;&gt;"",T34,0)&lt;0,"",R32+R33+IF(R34&lt;&gt;"",R34,0)+IF(T34&lt;&gt;"",T34,0))</f>
        <v>0</v>
      </c>
      <c r="W42" s="75">
        <f>IF(R32+R33+IF(R34&lt;&gt;"",R34,0)+IF(T34&lt;&gt;"",T34,0)&gt;0,"",-(R32+R33+IF(R34&lt;&gt;"",R34,0)+IF(T34&lt;&gt;"",T34,0)))</f>
        <v>0</v>
      </c>
      <c r="X42" s="75">
        <f>IF(U32+U33+U34&lt;0,"",U32+U33+U34)</f>
        <v>0</v>
      </c>
      <c r="Y42" s="75">
        <f>IF(U32+U33+U34&gt;0,"",-(U32+U33+U34))</f>
        <v>0</v>
      </c>
      <c r="Z42" s="76"/>
      <c r="AA42" s="76"/>
      <c r="AB42" s="77"/>
      <c r="AC42" s="77"/>
      <c r="AD42" s="77"/>
    </row>
    <row r="43" spans="2:31" ht="21" customHeight="1" thickBot="1">
      <c r="C43" s="123" t="s">
        <v>179</v>
      </c>
      <c r="D43" s="123"/>
      <c r="E43" s="123"/>
      <c r="F43" s="123"/>
      <c r="G43" s="123"/>
      <c r="H43" s="123"/>
      <c r="I43" s="73"/>
      <c r="J43" s="72"/>
      <c r="K43" s="72"/>
      <c r="L43" s="72"/>
      <c r="M43" s="72"/>
      <c r="N43" s="72"/>
      <c r="O43" s="72"/>
      <c r="P43" s="72"/>
      <c r="Q43" s="72"/>
      <c r="R43" s="72"/>
      <c r="S43" s="53"/>
      <c r="U43" s="74"/>
      <c r="V43" s="75"/>
      <c r="W43" s="75"/>
      <c r="X43" s="75"/>
      <c r="Y43" s="75"/>
      <c r="Z43" s="76"/>
      <c r="AA43" s="76"/>
      <c r="AB43" s="77"/>
      <c r="AC43" s="77"/>
      <c r="AD43" s="77"/>
    </row>
    <row r="44" spans="2:31" ht="21" customHeight="1" thickBot="1">
      <c r="C44" s="71"/>
      <c r="D44" s="124" t="s">
        <v>150</v>
      </c>
      <c r="E44" s="124"/>
      <c r="F44" s="125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53"/>
    </row>
    <row r="45" spans="2:31" ht="32.25" customHeight="1">
      <c r="C45" s="71"/>
      <c r="D45" s="78" t="s">
        <v>180</v>
      </c>
      <c r="E45" s="79" t="s">
        <v>181</v>
      </c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53"/>
    </row>
    <row r="46" spans="2:31">
      <c r="C46" s="80" t="s">
        <v>175</v>
      </c>
      <c r="D46" s="81">
        <f t="shared" ref="D46:E49" si="10">IF(Mode_calcul=1,V39,X39)</f>
        <v>224.26028700000001</v>
      </c>
      <c r="E46" s="81" t="str">
        <f t="shared" si="10"/>
        <v/>
      </c>
      <c r="O46" s="18"/>
      <c r="P46" s="18"/>
      <c r="Q46" s="18"/>
      <c r="R46" s="18"/>
    </row>
    <row r="47" spans="2:31">
      <c r="C47" s="80" t="s">
        <v>176</v>
      </c>
      <c r="D47" s="81">
        <f t="shared" si="10"/>
        <v>0</v>
      </c>
      <c r="E47" s="81">
        <f t="shared" si="10"/>
        <v>0</v>
      </c>
      <c r="O47" s="18"/>
      <c r="P47" s="18"/>
      <c r="Q47" s="18"/>
      <c r="R47" s="18"/>
    </row>
    <row r="48" spans="2:31">
      <c r="C48" s="80" t="s">
        <v>177</v>
      </c>
      <c r="D48" s="81">
        <f t="shared" si="10"/>
        <v>0</v>
      </c>
      <c r="E48" s="81">
        <f t="shared" si="10"/>
        <v>0</v>
      </c>
      <c r="O48" s="18"/>
      <c r="P48" s="18"/>
      <c r="Q48" s="18"/>
      <c r="R48" s="18"/>
    </row>
    <row r="49" spans="3:19" ht="14.25" thickBot="1">
      <c r="C49" s="80" t="s">
        <v>178</v>
      </c>
      <c r="D49" s="82">
        <f t="shared" si="10"/>
        <v>0</v>
      </c>
      <c r="E49" s="82">
        <f t="shared" si="10"/>
        <v>0</v>
      </c>
      <c r="O49" s="18"/>
      <c r="P49" s="18"/>
      <c r="Q49" s="18"/>
      <c r="R49" s="18"/>
    </row>
    <row r="50" spans="3:19" ht="14.25" thickBot="1">
      <c r="C50" s="65" t="s">
        <v>170</v>
      </c>
      <c r="D50" s="126">
        <f>+SUM(D46:D49)-SUM(E46:E49)</f>
        <v>224.26028700000001</v>
      </c>
      <c r="E50" s="126"/>
      <c r="K50" s="83"/>
      <c r="L50" s="83"/>
      <c r="M50" s="83"/>
      <c r="N50" s="83"/>
      <c r="S50" s="54"/>
    </row>
    <row r="51" spans="3:19">
      <c r="K51" s="83"/>
      <c r="L51" s="83"/>
      <c r="M51" s="83"/>
      <c r="N51" s="83"/>
      <c r="S51" s="54"/>
    </row>
    <row r="52" spans="3:19">
      <c r="C52" s="84"/>
      <c r="D52" s="85"/>
      <c r="E52" s="85"/>
      <c r="F52" s="85"/>
      <c r="G52" s="85"/>
      <c r="H52" s="85"/>
      <c r="I52" s="85"/>
      <c r="K52" s="83"/>
      <c r="L52" s="83"/>
      <c r="M52" s="83"/>
      <c r="N52" s="83"/>
      <c r="S52" s="54"/>
    </row>
    <row r="53" spans="3:19">
      <c r="K53" s="83"/>
      <c r="L53" s="83"/>
      <c r="M53" s="83"/>
      <c r="N53" s="83"/>
      <c r="S53" s="54"/>
    </row>
    <row r="54" spans="3:19">
      <c r="K54" s="83"/>
      <c r="L54" s="83"/>
      <c r="M54" s="83"/>
      <c r="N54" s="83"/>
      <c r="S54" s="54"/>
    </row>
    <row r="55" spans="3:19">
      <c r="K55" s="83"/>
      <c r="L55" s="83"/>
      <c r="M55" s="83"/>
      <c r="N55" s="83"/>
      <c r="S55" s="54"/>
    </row>
    <row r="56" spans="3:19">
      <c r="K56" s="83"/>
      <c r="L56" s="83"/>
      <c r="M56" s="83"/>
      <c r="N56" s="83"/>
      <c r="S56" s="54"/>
    </row>
    <row r="57" spans="3:19">
      <c r="K57" s="83"/>
      <c r="L57" s="83"/>
      <c r="M57" s="83"/>
      <c r="N57" s="83"/>
      <c r="S57" s="54"/>
    </row>
    <row r="58" spans="3:19">
      <c r="K58" s="83"/>
      <c r="L58" s="83"/>
      <c r="M58" s="83"/>
      <c r="N58" s="83"/>
      <c r="S58" s="54"/>
    </row>
    <row r="59" spans="3:19">
      <c r="K59" s="83"/>
      <c r="L59" s="83"/>
      <c r="M59" s="83"/>
      <c r="N59" s="83"/>
      <c r="S59" s="54"/>
    </row>
    <row r="60" spans="3:19">
      <c r="K60" s="83"/>
      <c r="L60" s="83"/>
      <c r="M60" s="83"/>
      <c r="N60" s="83"/>
      <c r="S60" s="54"/>
    </row>
    <row r="61" spans="3:19">
      <c r="K61" s="83"/>
      <c r="L61" s="83"/>
      <c r="M61" s="83"/>
      <c r="N61" s="83"/>
      <c r="S61" s="54"/>
    </row>
    <row r="63" spans="3:19">
      <c r="G63" s="86"/>
      <c r="H63" s="86"/>
      <c r="I63" s="86"/>
    </row>
    <row r="65" spans="2:14">
      <c r="B65" s="114"/>
      <c r="C65" s="114"/>
      <c r="D65" s="114"/>
      <c r="E65" s="114"/>
      <c r="F65" s="114"/>
      <c r="G65" s="114"/>
      <c r="H65" s="114"/>
      <c r="I65" s="114"/>
      <c r="J65" s="114"/>
      <c r="K65" s="114"/>
      <c r="L65" s="87"/>
      <c r="M65" s="87"/>
      <c r="N65" s="87"/>
    </row>
    <row r="67" spans="2:14">
      <c r="B67" s="114"/>
      <c r="C67" s="114"/>
      <c r="D67" s="114"/>
      <c r="E67" s="114"/>
      <c r="F67" s="114"/>
      <c r="G67" s="114"/>
      <c r="H67" s="114"/>
      <c r="I67" s="114"/>
      <c r="J67" s="114"/>
      <c r="K67" s="114"/>
      <c r="L67" s="87"/>
      <c r="M67" s="87"/>
      <c r="N67" s="87"/>
    </row>
    <row r="69" spans="2:14">
      <c r="B69" s="114"/>
      <c r="C69" s="114"/>
      <c r="D69" s="114"/>
      <c r="E69" s="114"/>
      <c r="F69" s="114"/>
      <c r="G69" s="114"/>
      <c r="H69" s="114"/>
      <c r="I69" s="114"/>
      <c r="J69" s="114"/>
      <c r="K69" s="114"/>
      <c r="L69" s="87"/>
      <c r="M69" s="87"/>
      <c r="N69" s="87"/>
    </row>
  </sheetData>
  <mergeCells count="13">
    <mergeCell ref="B69:K69"/>
    <mergeCell ref="X37:Y37"/>
    <mergeCell ref="C43:H43"/>
    <mergeCell ref="D44:F44"/>
    <mergeCell ref="D50:E50"/>
    <mergeCell ref="B65:K65"/>
    <mergeCell ref="B67:K67"/>
    <mergeCell ref="V37:W37"/>
    <mergeCell ref="B1:W1"/>
    <mergeCell ref="G21:H21"/>
    <mergeCell ref="V21:W21"/>
    <mergeCell ref="S22:T22"/>
    <mergeCell ref="V35:W35"/>
  </mergeCells>
  <dataValidations count="1">
    <dataValidation allowBlank="1" showInputMessage="1" showErrorMessage="1" sqref="I25:I34 B25:B34"/>
  </dataValidations>
  <pageMargins left="0.24" right="0.24" top="0.4" bottom="0.74803149606299213" header="0.17" footer="0.31496062992125984"/>
  <pageSetup paperSize="9" scale="71" orientation="portrait" verticalDpi="14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2</xdr:col>
                    <xdr:colOff>38100</xdr:colOff>
                    <xdr:row>9</xdr:row>
                    <xdr:rowOff>47625</xdr:rowOff>
                  </from>
                  <to>
                    <xdr:col>3</xdr:col>
                    <xdr:colOff>704850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 sizeWithCells="1">
                  <from>
                    <xdr:col>2</xdr:col>
                    <xdr:colOff>28575</xdr:colOff>
                    <xdr:row>4</xdr:row>
                    <xdr:rowOff>66675</xdr:rowOff>
                  </from>
                  <to>
                    <xdr:col>3</xdr:col>
                    <xdr:colOff>57150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Group Box 3">
              <controlPr defaultSize="0" autoFill="0" autoPict="0">
                <anchor moveWithCells="1" sizeWithCells="1">
                  <from>
                    <xdr:col>2</xdr:col>
                    <xdr:colOff>0</xdr:colOff>
                    <xdr:row>3</xdr:row>
                    <xdr:rowOff>228600</xdr:rowOff>
                  </from>
                  <to>
                    <xdr:col>5</xdr:col>
                    <xdr:colOff>314325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Group Box 4">
              <controlPr defaultSize="0" autoFill="0" autoPict="0">
                <anchor moveWithCells="1">
                  <from>
                    <xdr:col>2</xdr:col>
                    <xdr:colOff>0</xdr:colOff>
                    <xdr:row>8</xdr:row>
                    <xdr:rowOff>114300</xdr:rowOff>
                  </from>
                  <to>
                    <xdr:col>4</xdr:col>
                    <xdr:colOff>323850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Option Button 5">
              <controlPr defaultSize="0" autoFill="0" autoLine="0" autoPict="0">
                <anchor moveWithCells="1">
                  <from>
                    <xdr:col>3</xdr:col>
                    <xdr:colOff>190500</xdr:colOff>
                    <xdr:row>9</xdr:row>
                    <xdr:rowOff>57150</xdr:rowOff>
                  </from>
                  <to>
                    <xdr:col>4</xdr:col>
                    <xdr:colOff>28575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Option Button 6">
              <controlPr defaultSize="0" autoFill="0" autoLine="0" autoPict="0">
                <anchor moveWithCells="1" sizeWithCells="1">
                  <from>
                    <xdr:col>3</xdr:col>
                    <xdr:colOff>28575</xdr:colOff>
                    <xdr:row>4</xdr:row>
                    <xdr:rowOff>66675</xdr:rowOff>
                  </from>
                  <to>
                    <xdr:col>5</xdr:col>
                    <xdr:colOff>57150</xdr:colOff>
                    <xdr:row>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AE69"/>
  <sheetViews>
    <sheetView showGridLines="0" showRowColHeaders="0" workbookViewId="0">
      <selection activeCell="H5" sqref="H5"/>
    </sheetView>
  </sheetViews>
  <sheetFormatPr baseColWidth="10" defaultColWidth="0" defaultRowHeight="13.5"/>
  <cols>
    <col min="1" max="1" width="2.7109375" style="18" customWidth="1"/>
    <col min="2" max="2" width="25.28515625" style="18" customWidth="1"/>
    <col min="3" max="9" width="13.5703125" style="18" customWidth="1"/>
    <col min="10" max="14" width="12.7109375" style="18" hidden="1" customWidth="1"/>
    <col min="15" max="16" width="10.85546875" style="19" hidden="1" customWidth="1"/>
    <col min="17" max="17" width="12.7109375" style="19" hidden="1" customWidth="1"/>
    <col min="18" max="18" width="11.28515625" style="19" hidden="1" customWidth="1"/>
    <col min="19" max="19" width="14.7109375" style="19" hidden="1" customWidth="1"/>
    <col min="20" max="20" width="14.7109375" style="18" hidden="1" customWidth="1"/>
    <col min="21" max="21" width="14.28515625" style="18" hidden="1" customWidth="1"/>
    <col min="22" max="23" width="15.7109375" style="18" customWidth="1"/>
    <col min="24" max="24" width="2.5703125" style="18" customWidth="1"/>
    <col min="25" max="33" width="10.28515625" style="18" hidden="1" customWidth="1"/>
    <col min="34" max="16384" width="10.28515625" style="18" hidden="1"/>
  </cols>
  <sheetData>
    <row r="1" spans="2:23" ht="25.5" customHeight="1">
      <c r="B1" s="115" t="s">
        <v>134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</row>
    <row r="2" spans="2:23" ht="14.25" thickBot="1"/>
    <row r="3" spans="2:23" ht="21.75" customHeight="1" thickBot="1">
      <c r="B3" s="20" t="s">
        <v>135</v>
      </c>
      <c r="C3" s="21">
        <v>2013</v>
      </c>
      <c r="H3" s="22" t="s">
        <v>136</v>
      </c>
      <c r="I3" s="23" t="s">
        <v>182</v>
      </c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2:23" ht="20.25" customHeight="1">
      <c r="B4" s="24"/>
      <c r="H4" s="22" t="s">
        <v>137</v>
      </c>
      <c r="I4" s="25" t="s">
        <v>138</v>
      </c>
    </row>
    <row r="5" spans="2:23" ht="27" customHeight="1">
      <c r="B5" s="26" t="s">
        <v>139</v>
      </c>
      <c r="H5" s="18" t="s">
        <v>199</v>
      </c>
      <c r="I5" s="18" t="s">
        <v>198</v>
      </c>
    </row>
    <row r="6" spans="2:23" ht="9.75" customHeight="1">
      <c r="B6" s="27"/>
    </row>
    <row r="7" spans="2:23" hidden="1">
      <c r="B7" s="27"/>
      <c r="C7" s="28">
        <v>1</v>
      </c>
    </row>
    <row r="8" spans="2:23" ht="5.25" customHeight="1">
      <c r="B8" s="27"/>
    </row>
    <row r="9" spans="2:23" ht="15" customHeight="1">
      <c r="B9" s="27"/>
    </row>
    <row r="10" spans="2:23" ht="29.25" customHeight="1">
      <c r="B10" s="26" t="s">
        <v>140</v>
      </c>
    </row>
    <row r="11" spans="2:23" ht="15" hidden="1" customHeight="1">
      <c r="B11" s="27"/>
      <c r="C11" s="28">
        <v>2</v>
      </c>
    </row>
    <row r="12" spans="2:23" ht="15" customHeight="1" thickBot="1">
      <c r="B12" s="27"/>
    </row>
    <row r="13" spans="2:23" ht="15.75" thickBot="1">
      <c r="B13" s="26" t="s">
        <v>141</v>
      </c>
      <c r="C13" s="29">
        <v>151.66999999999999</v>
      </c>
      <c r="G13" s="30"/>
    </row>
    <row r="14" spans="2:23" ht="14.25" thickBot="1">
      <c r="B14" s="27"/>
    </row>
    <row r="15" spans="2:23" ht="14.25" thickBot="1">
      <c r="B15" s="26" t="s">
        <v>142</v>
      </c>
      <c r="C15" s="31">
        <f>IF(C7=1,0.281,0.26)</f>
        <v>0.28100000000000003</v>
      </c>
      <c r="G15" s="30"/>
    </row>
    <row r="16" spans="2:23" s="32" customFormat="1" ht="15" customHeight="1">
      <c r="B16" s="27"/>
      <c r="S16" s="33"/>
    </row>
    <row r="17" spans="2:23" s="32" customFormat="1" ht="15" customHeight="1" thickBot="1">
      <c r="B17" s="26" t="s">
        <v>143</v>
      </c>
      <c r="S17" s="33"/>
      <c r="U17" s="34"/>
    </row>
    <row r="18" spans="2:23" s="32" customFormat="1" ht="15" customHeight="1" thickBot="1">
      <c r="B18" s="35" t="s">
        <v>144</v>
      </c>
      <c r="C18" s="29">
        <v>35</v>
      </c>
      <c r="D18" s="36" t="s">
        <v>145</v>
      </c>
      <c r="E18" s="19" t="str">
        <f>IF(AND(C19&lt;&gt;"",OR(C18="",C18=0)),"&lt;&lt;&lt;&lt;&lt; info à compléter","")</f>
        <v/>
      </c>
      <c r="S18" s="33"/>
      <c r="U18" s="34"/>
    </row>
    <row r="19" spans="2:23" s="32" customFormat="1" ht="15" customHeight="1" thickBot="1">
      <c r="B19" s="35" t="s">
        <v>146</v>
      </c>
      <c r="C19" s="29">
        <v>35</v>
      </c>
      <c r="D19" s="36" t="s">
        <v>147</v>
      </c>
      <c r="E19" s="19" t="str">
        <f>IF(AND(C18&lt;&gt;"",OR(C19="",C19=0)),"&lt;&lt;&lt;&lt;&lt; info à compléter","")</f>
        <v/>
      </c>
      <c r="S19" s="33"/>
      <c r="U19" s="34"/>
    </row>
    <row r="20" spans="2:23" s="32" customFormat="1" ht="15" customHeight="1">
      <c r="B20" s="37"/>
      <c r="S20" s="33"/>
      <c r="U20" s="34"/>
    </row>
    <row r="21" spans="2:23" s="32" customFormat="1" ht="14.25" customHeight="1" thickBot="1">
      <c r="B21" s="37"/>
      <c r="C21" s="37"/>
      <c r="D21" s="37"/>
      <c r="E21" s="38" t="s">
        <v>148</v>
      </c>
      <c r="F21" s="37"/>
      <c r="G21" s="116" t="s">
        <v>149</v>
      </c>
      <c r="H21" s="117"/>
      <c r="I21" s="39"/>
      <c r="U21" s="34"/>
      <c r="V21" s="118" t="s">
        <v>150</v>
      </c>
      <c r="W21" s="119"/>
    </row>
    <row r="22" spans="2:23" s="32" customFormat="1" ht="27" customHeight="1" thickBot="1">
      <c r="C22" s="40" t="s">
        <v>151</v>
      </c>
      <c r="D22" s="41" t="s">
        <v>152</v>
      </c>
      <c r="E22" s="42" t="s">
        <v>153</v>
      </c>
      <c r="F22" s="43" t="s">
        <v>154</v>
      </c>
      <c r="G22" s="44" t="s">
        <v>155</v>
      </c>
      <c r="H22" s="42" t="s">
        <v>156</v>
      </c>
      <c r="I22" s="39"/>
      <c r="J22" s="33" t="s">
        <v>157</v>
      </c>
      <c r="K22" s="33" t="s">
        <v>158</v>
      </c>
      <c r="L22" s="33" t="s">
        <v>159</v>
      </c>
      <c r="M22" s="33" t="s">
        <v>160</v>
      </c>
      <c r="N22" s="33" t="s">
        <v>161</v>
      </c>
      <c r="O22" s="33" t="s">
        <v>162</v>
      </c>
      <c r="P22" s="33" t="s">
        <v>163</v>
      </c>
      <c r="Q22" s="33" t="s">
        <v>164</v>
      </c>
      <c r="R22" s="33" t="s">
        <v>165</v>
      </c>
      <c r="S22" s="120" t="s">
        <v>166</v>
      </c>
      <c r="T22" s="120"/>
      <c r="U22" s="45" t="s">
        <v>167</v>
      </c>
      <c r="V22" s="46" t="s">
        <v>168</v>
      </c>
      <c r="W22" s="47" t="s">
        <v>169</v>
      </c>
    </row>
    <row r="23" spans="2:23" ht="15">
      <c r="B23" s="48" t="s">
        <v>36</v>
      </c>
      <c r="C23" s="49">
        <f>SMIC!B4</f>
        <v>9.5299999999999994</v>
      </c>
      <c r="D23" s="15">
        <v>2100</v>
      </c>
      <c r="E23" s="50"/>
      <c r="F23" s="51"/>
      <c r="G23" s="52">
        <f>IF(AND($C$18&lt;&gt;0,$C$18&lt;&gt;""),$C$18,"")</f>
        <v>35</v>
      </c>
      <c r="H23" s="52">
        <f>IF(AND($C$19&lt;&gt;0,$C$19&lt;&gt;""),$C$19,"")</f>
        <v>35</v>
      </c>
      <c r="I23" s="48" t="s">
        <v>36</v>
      </c>
      <c r="J23" s="53">
        <f>IF(Salaire_brut_janvier="",0,(Horaire_collectif_mensuel*C23*IF(G23&lt;&gt;"",G23,Salaire_brut_janvier)/IF(H23&lt;&gt;"",H23,IF(E23&lt;&gt;"",E23,Salaire_brut_janvier))))</f>
        <v>1445.4150999999997</v>
      </c>
      <c r="K23" s="53">
        <f t="shared" ref="K23:K34" si="0">D23</f>
        <v>2100</v>
      </c>
      <c r="L23" s="53">
        <f>J23</f>
        <v>1445.4150999999997</v>
      </c>
      <c r="M23" s="53">
        <f>C23*F23</f>
        <v>0</v>
      </c>
      <c r="N23" s="53">
        <f>D23</f>
        <v>2100</v>
      </c>
      <c r="O23" s="54">
        <f t="shared" ref="O23:O34" si="1">IF(IF(ROUND(((Coeff.effectif/0.6)*((1.6*(L23+M23)/N23)-1)),4)&gt;0,ROUND(((Coeff.effectif/0.6)*((1.6*(L23+M23)/N23)-1)),4),0)&gt;Coeff.effectif,Coeff.effectif,IF(ROUND(((Coeff.effectif/0.6)*((1.6*(L23+M23)/N23)-1)),4)&gt;0,ROUND(((Coeff.effectif/0.6)*((1.6*(L23+M23)/N23)-1)),4),0))</f>
        <v>4.7399999999999998E-2</v>
      </c>
      <c r="P23" s="54">
        <f>IF(IF(ROUND(((Coeff.effectif/0.6)*((1.6*(J23+(C23*F23))/Salaire_brut_janvier)-1)),4)&gt;0,ROUND(((Coeff.effectif/0.6)*((1.6*(J23+(C23*F23))/Salaire_brut_janvier)-1)),4),0)&gt;Coeff.effectif,Coeff.effectif,IF(ROUND(((Coeff.effectif/0.6)*((1.6*(J23+(C23*F23))/Salaire_brut_janvier)-1)),4)&gt;0,ROUND(((Coeff.effectif/0.6)*((1.6*(J23+(C23*F23))/Salaire_brut_janvier)-1)),4),0))</f>
        <v>4.7399999999999998E-2</v>
      </c>
      <c r="Q23" s="53">
        <f>IF(ISERR(N23*O23),0,N23*O23)</f>
        <v>99.539999999999992</v>
      </c>
      <c r="R23" s="53">
        <f>IF(ISERR(Salaire_brut_janvier*O23),0,Salaire_brut_janvier*O23)</f>
        <v>99.539999999999992</v>
      </c>
      <c r="S23" s="53">
        <f>IF(ISERR(P23),0,Salaire_brut_janvier*P23)</f>
        <v>99.539999999999992</v>
      </c>
      <c r="T23" s="53"/>
      <c r="U23" s="55">
        <f>S23</f>
        <v>99.539999999999992</v>
      </c>
      <c r="V23" s="56">
        <f t="shared" ref="V23:V34" si="2">IF(Mode_calcul=1,IF(R23&gt;0,R23,""),IF(U23&gt;0,U23,""))</f>
        <v>99.539999999999992</v>
      </c>
      <c r="W23" s="57" t="str">
        <f t="shared" ref="W23:W33" si="3">IF(Mode_calcul=1,IF(R23&lt;0,-R23,""),IF(U23&lt;0,-U23,""))</f>
        <v/>
      </c>
    </row>
    <row r="24" spans="2:23" ht="15">
      <c r="B24" s="48" t="s">
        <v>37</v>
      </c>
      <c r="C24" s="49">
        <f>SMIC!B5</f>
        <v>9.5299999999999994</v>
      </c>
      <c r="D24" s="15"/>
      <c r="E24" s="50"/>
      <c r="F24" s="51"/>
      <c r="G24" s="58">
        <f t="shared" ref="G24:G34" si="4">IF(AND($C$18&lt;&gt;0,$C$18&lt;&gt;""),$C$18,"")</f>
        <v>35</v>
      </c>
      <c r="H24" s="58">
        <f t="shared" ref="H24:H34" si="5">IF(AND($C$19&lt;&gt;0,$C$19&lt;&gt;""),$C$19,"")</f>
        <v>35</v>
      </c>
      <c r="I24" s="48" t="s">
        <v>37</v>
      </c>
      <c r="J24" s="53">
        <f>IF(Salaire_brut_février="",0,Horaire_collectif_mensuel*C24*IF(G24&lt;&gt;"",G24,Salaire_brut_février)/IF(H24&lt;&gt;"",H24,IF(E24&lt;&gt;"",E24,Salaire_brut_février)))</f>
        <v>0</v>
      </c>
      <c r="K24" s="53">
        <f t="shared" si="0"/>
        <v>0</v>
      </c>
      <c r="L24" s="53">
        <f>L23+J24</f>
        <v>1445.4150999999997</v>
      </c>
      <c r="M24" s="53">
        <f t="shared" ref="M24:M34" si="6">M23+C24*F24</f>
        <v>0</v>
      </c>
      <c r="N24" s="53">
        <f>Salaire_brut_janvier+Salaire_brut_février</f>
        <v>2100</v>
      </c>
      <c r="O24" s="54">
        <f t="shared" si="1"/>
        <v>4.7399999999999998E-2</v>
      </c>
      <c r="P24" s="54" t="e">
        <f>IF(IF(ROUND(((Coeff.effectif/0.6)*((1.6*(J24+(C24*F24))/Salaire_brut_février)-1)),4)&gt;0,ROUND(((Coeff.effectif/0.6)*((1.6*(J24+(C24*F24))/Salaire_brut_février)-1)),4),0)&gt;Coeff.effectif,Coeff.effectif,IF(ROUND(((Coeff.effectif/0.6)*((1.6*(J24+(C24*F24))/Salaire_brut_février)-1)),4)&gt;0,ROUND(((Coeff.effectif/0.6)*((1.6*(J24+(C24*F24))/Salaire_brut_février)-1)),4),0))</f>
        <v>#DIV/0!</v>
      </c>
      <c r="Q24" s="53">
        <f t="shared" ref="Q24:Q33" si="7">IF(ISERR(N24*O24),0,N24*O24)</f>
        <v>99.539999999999992</v>
      </c>
      <c r="R24" s="53">
        <f>Q24-SUM(R23)</f>
        <v>0</v>
      </c>
      <c r="S24" s="53">
        <f>IF(ISERR(P24),0,Salaire_brut_février*P24)</f>
        <v>0</v>
      </c>
      <c r="T24" s="53"/>
      <c r="U24" s="53">
        <f t="shared" ref="U24:U33" si="8">S24</f>
        <v>0</v>
      </c>
      <c r="V24" s="56" t="str">
        <f t="shared" si="2"/>
        <v/>
      </c>
      <c r="W24" s="59" t="str">
        <f t="shared" si="3"/>
        <v/>
      </c>
    </row>
    <row r="25" spans="2:23" ht="15">
      <c r="B25" s="48" t="s">
        <v>38</v>
      </c>
      <c r="C25" s="49">
        <f>SMIC!B6</f>
        <v>9.5299999999999994</v>
      </c>
      <c r="D25" s="15"/>
      <c r="E25" s="50"/>
      <c r="F25" s="51"/>
      <c r="G25" s="58">
        <f t="shared" si="4"/>
        <v>35</v>
      </c>
      <c r="H25" s="58">
        <f t="shared" si="5"/>
        <v>35</v>
      </c>
      <c r="I25" s="48" t="s">
        <v>38</v>
      </c>
      <c r="J25" s="53">
        <f>IF(Salaire_brut_mars="",0,Horaire_collectif_mensuel*C25*IF(G25&lt;&gt;"",G25,Salaire_brut_mars)/IF(H25&lt;&gt;"",H25,IF(E25&lt;&gt;"",E25,Salaire_brut_mars)))</f>
        <v>0</v>
      </c>
      <c r="K25" s="53">
        <f t="shared" si="0"/>
        <v>0</v>
      </c>
      <c r="L25" s="53">
        <f t="shared" ref="L25:L34" si="9">L24+J25</f>
        <v>1445.4150999999997</v>
      </c>
      <c r="M25" s="53">
        <f t="shared" si="6"/>
        <v>0</v>
      </c>
      <c r="N25" s="53">
        <f>Salaire_brut_janvier+Salaire_brut_février+Salaire_brut_mars</f>
        <v>2100</v>
      </c>
      <c r="O25" s="54">
        <f t="shared" si="1"/>
        <v>4.7399999999999998E-2</v>
      </c>
      <c r="P25" s="54" t="e">
        <f>IF(IF(ROUND(((Coeff.effectif/0.6)*((1.6*(J25+(C25*F25))/Salaire_brut_mars)-1)),4)&gt;0,ROUND(((Coeff.effectif/0.6)*((1.6*(J25+(C25*F25))/Salaire_brut_mars)-1)),4),0)&gt;Coeff.effectif,Coeff.effectif,IF(ROUND(((Coeff.effectif/0.6)*((1.6*(J25+(C25*F25))/Salaire_brut_mars)-1)),4)&gt;0,ROUND(((Coeff.effectif/0.6)*((1.6*(J25+(C25*F25))/Salaire_brut_mars)-1)),4),0))</f>
        <v>#DIV/0!</v>
      </c>
      <c r="Q25" s="53">
        <f t="shared" si="7"/>
        <v>99.539999999999992</v>
      </c>
      <c r="R25" s="53">
        <f>Q25-SUM(R23:R24)</f>
        <v>0</v>
      </c>
      <c r="S25" s="53">
        <f>IF(ISERR(P25),0,Salaire_brut_mars*P25)</f>
        <v>0</v>
      </c>
      <c r="T25" s="53"/>
      <c r="U25" s="53">
        <f t="shared" si="8"/>
        <v>0</v>
      </c>
      <c r="V25" s="56" t="str">
        <f t="shared" si="2"/>
        <v/>
      </c>
      <c r="W25" s="59" t="str">
        <f t="shared" si="3"/>
        <v/>
      </c>
    </row>
    <row r="26" spans="2:23" ht="15">
      <c r="B26" s="48" t="s">
        <v>39</v>
      </c>
      <c r="C26" s="49">
        <f>SMIC!B7</f>
        <v>9.5299999999999994</v>
      </c>
      <c r="D26" s="15"/>
      <c r="E26" s="50"/>
      <c r="F26" s="51"/>
      <c r="G26" s="58">
        <f t="shared" si="4"/>
        <v>35</v>
      </c>
      <c r="H26" s="58">
        <f t="shared" si="5"/>
        <v>35</v>
      </c>
      <c r="I26" s="48" t="s">
        <v>39</v>
      </c>
      <c r="J26" s="53">
        <f>IF(Salaire_brut_avril="",0,Horaire_collectif_mensuel*C26*IF(G26&lt;&gt;"",G26,Salaire_brut_avril)/IF(H26&lt;&gt;"",H26,IF(E26&lt;&gt;"",E26,Salaire_brut_avril)))</f>
        <v>0</v>
      </c>
      <c r="K26" s="53">
        <f t="shared" si="0"/>
        <v>0</v>
      </c>
      <c r="L26" s="53">
        <f t="shared" si="9"/>
        <v>1445.4150999999997</v>
      </c>
      <c r="M26" s="53">
        <f t="shared" si="6"/>
        <v>0</v>
      </c>
      <c r="N26" s="53">
        <f>Salaire_brut_janvier+Salaire_brut_février+Salaire_brut_mars+Salaire_brut_avril</f>
        <v>2100</v>
      </c>
      <c r="O26" s="54">
        <f t="shared" si="1"/>
        <v>4.7399999999999998E-2</v>
      </c>
      <c r="P26" s="54" t="e">
        <f>IF(IF(ROUND(((Coeff.effectif/0.6)*((1.6*(J26+(C26*F26))/Salaire_brut_avril)-1)),4)&gt;0,ROUND(((Coeff.effectif/0.6)*((1.6*(J26+(C26*F26))/Salaire_brut_avril)-1)),4),0)&gt;Coeff.effectif,Coeff.effectif,IF(ROUND(((Coeff.effectif/0.6)*((1.6*(J26+(C26*F26))/Salaire_brut_avril)-1)),4)&gt;0,ROUND(((Coeff.effectif/0.6)*((1.6*(J26+(C26*F26))/Salaire_brut_avril)-1)),4),0))</f>
        <v>#DIV/0!</v>
      </c>
      <c r="Q26" s="53">
        <f t="shared" si="7"/>
        <v>99.539999999999992</v>
      </c>
      <c r="R26" s="53">
        <f>Q26-SUM(R23:R25)</f>
        <v>0</v>
      </c>
      <c r="S26" s="53">
        <f>IF(ISERR(P26),0,Salaire_brut_avril*P26)</f>
        <v>0</v>
      </c>
      <c r="T26" s="53"/>
      <c r="U26" s="53">
        <f t="shared" si="8"/>
        <v>0</v>
      </c>
      <c r="V26" s="56" t="str">
        <f t="shared" si="2"/>
        <v/>
      </c>
      <c r="W26" s="59" t="str">
        <f t="shared" si="3"/>
        <v/>
      </c>
    </row>
    <row r="27" spans="2:23" ht="15">
      <c r="B27" s="48" t="s">
        <v>40</v>
      </c>
      <c r="C27" s="49">
        <f>SMIC!B8</f>
        <v>9.5299999999999994</v>
      </c>
      <c r="D27" s="15"/>
      <c r="E27" s="50"/>
      <c r="F27" s="51"/>
      <c r="G27" s="58">
        <f t="shared" si="4"/>
        <v>35</v>
      </c>
      <c r="H27" s="58">
        <f t="shared" si="5"/>
        <v>35</v>
      </c>
      <c r="I27" s="48" t="s">
        <v>40</v>
      </c>
      <c r="J27" s="53">
        <f>IF(Salaire_brut_mai="",0,Horaire_collectif_mensuel*C27*IF(G27&lt;&gt;"",G27,Salaire_brut_mai)/IF(H27&lt;&gt;"",H27,IF(E27&lt;&gt;"",E27,Salaire_brut_mai)))</f>
        <v>0</v>
      </c>
      <c r="K27" s="53">
        <f t="shared" si="0"/>
        <v>0</v>
      </c>
      <c r="L27" s="53">
        <f t="shared" si="9"/>
        <v>1445.4150999999997</v>
      </c>
      <c r="M27" s="53">
        <f t="shared" si="6"/>
        <v>0</v>
      </c>
      <c r="N27" s="53">
        <f>Salaire_brut_janvier+Salaire_brut_février+Salaire_brut_mars+Salaire_brut_avril+Salaire_brut_mai</f>
        <v>2100</v>
      </c>
      <c r="O27" s="54">
        <f t="shared" si="1"/>
        <v>4.7399999999999998E-2</v>
      </c>
      <c r="P27" s="54" t="e">
        <f>IF(IF(ROUND(((Coeff.effectif/0.6)*((1.6*(J27+(C27*F27))/Salaire_brut_mai)-1)),4)&gt;0,ROUND(((Coeff.effectif/0.6)*((1.6*(J27+(C27*F27))/Salaire_brut_mai)-1)),4),0)&gt;Coeff.effectif,Coeff.effectif,IF(ROUND(((Coeff.effectif/0.6)*((1.6*(J27+(C27*F27))/Salaire_brut_mai)-1)),4)&gt;0,ROUND(((Coeff.effectif/0.6)*((1.6*(J27+(C27*F27))/Salaire_brut_mai)-1)),4),0))</f>
        <v>#DIV/0!</v>
      </c>
      <c r="Q27" s="53">
        <f t="shared" si="7"/>
        <v>99.539999999999992</v>
      </c>
      <c r="R27" s="53">
        <f>Q27-SUM(R23:R26)</f>
        <v>0</v>
      </c>
      <c r="S27" s="53">
        <f>IF(ISERR(P27),0,Salaire_brut_mai*P27)</f>
        <v>0</v>
      </c>
      <c r="T27" s="53"/>
      <c r="U27" s="53">
        <f t="shared" si="8"/>
        <v>0</v>
      </c>
      <c r="V27" s="56" t="str">
        <f t="shared" si="2"/>
        <v/>
      </c>
      <c r="W27" s="59" t="str">
        <f t="shared" si="3"/>
        <v/>
      </c>
    </row>
    <row r="28" spans="2:23" ht="15">
      <c r="B28" s="48" t="s">
        <v>41</v>
      </c>
      <c r="C28" s="49">
        <f>SMIC!B9</f>
        <v>9.5299999999999994</v>
      </c>
      <c r="D28" s="15"/>
      <c r="E28" s="50"/>
      <c r="F28" s="51"/>
      <c r="G28" s="58">
        <f t="shared" si="4"/>
        <v>35</v>
      </c>
      <c r="H28" s="58">
        <f t="shared" si="5"/>
        <v>35</v>
      </c>
      <c r="I28" s="48" t="s">
        <v>41</v>
      </c>
      <c r="J28" s="53">
        <f>IF(Salaire_brut_juin="",0,Horaire_collectif_mensuel*C28*IF(G28&lt;&gt;"",G28,Salaire_brut_juin)/IF(H28&lt;&gt;"",H28,IF(E28&lt;&gt;"",E28,Salaire_brut_juin)))</f>
        <v>0</v>
      </c>
      <c r="K28" s="53">
        <f t="shared" si="0"/>
        <v>0</v>
      </c>
      <c r="L28" s="53">
        <f t="shared" si="9"/>
        <v>1445.4150999999997</v>
      </c>
      <c r="M28" s="53">
        <f t="shared" si="6"/>
        <v>0</v>
      </c>
      <c r="N28" s="53">
        <f>Salaire_brut_janvier+Salaire_brut_février+Salaire_brut_mars+Salaire_brut_avril+Salaire_brut_mai+Salaire_brut_juin</f>
        <v>2100</v>
      </c>
      <c r="O28" s="54">
        <f t="shared" si="1"/>
        <v>4.7399999999999998E-2</v>
      </c>
      <c r="P28" s="54" t="e">
        <f>IF(IF(ROUND(((Coeff.effectif/0.6)*((1.6*(J28+(C28*F28))/Salaire_brut_juin)-1)),4)&gt;0,ROUND(((Coeff.effectif/0.6)*((1.6*(J28+(C28*F28))/Salaire_brut_juin)-1)),4),0)&gt;Coeff.effectif,Coeff.effectif,IF(ROUND(((Coeff.effectif/0.6)*((1.6*(J28+(C28*F28))/Salaire_brut_juin)-1)),4)&gt;0,ROUND(((Coeff.effectif/0.6)*((1.6*(J28+(C28*F28))/Salaire_brut_juin)-1)),4),0))</f>
        <v>#DIV/0!</v>
      </c>
      <c r="Q28" s="53">
        <f t="shared" si="7"/>
        <v>99.539999999999992</v>
      </c>
      <c r="R28" s="53">
        <f>Q28-SUM(R23:R27)</f>
        <v>0</v>
      </c>
      <c r="S28" s="53">
        <f>IF(ISERR(P28),0,Salaire_brut_juin*P28)</f>
        <v>0</v>
      </c>
      <c r="T28" s="53"/>
      <c r="U28" s="53">
        <f t="shared" si="8"/>
        <v>0</v>
      </c>
      <c r="V28" s="56" t="str">
        <f t="shared" si="2"/>
        <v/>
      </c>
      <c r="W28" s="59" t="str">
        <f t="shared" si="3"/>
        <v/>
      </c>
    </row>
    <row r="29" spans="2:23" ht="15">
      <c r="B29" s="48" t="s">
        <v>42</v>
      </c>
      <c r="C29" s="49">
        <f>SMIC!B10</f>
        <v>9.5299999999999994</v>
      </c>
      <c r="D29" s="15"/>
      <c r="E29" s="50"/>
      <c r="F29" s="51"/>
      <c r="G29" s="58">
        <f t="shared" si="4"/>
        <v>35</v>
      </c>
      <c r="H29" s="58">
        <f t="shared" si="5"/>
        <v>35</v>
      </c>
      <c r="I29" s="48" t="s">
        <v>42</v>
      </c>
      <c r="J29" s="53">
        <f>IF(Salaire_brut_juillet="",0,Horaire_collectif_mensuel*C29*IF(G29&lt;&gt;"",G29,Salaire_brut_juillet)/IF(H29&lt;&gt;"",H29,IF(E29&lt;&gt;"",E29,Salaire_brut_juillet)))</f>
        <v>0</v>
      </c>
      <c r="K29" s="53">
        <f t="shared" si="0"/>
        <v>0</v>
      </c>
      <c r="L29" s="53">
        <f t="shared" si="9"/>
        <v>1445.4150999999997</v>
      </c>
      <c r="M29" s="53">
        <f t="shared" si="6"/>
        <v>0</v>
      </c>
      <c r="N29" s="53">
        <f>Salaire_brut_janvier+Salaire_brut_février+Salaire_brut_mars+Salaire_brut_avril+Salaire_brut_mai+Salaire_brut_juin+Salaire_brut_juillet</f>
        <v>2100</v>
      </c>
      <c r="O29" s="54">
        <f t="shared" si="1"/>
        <v>4.7399999999999998E-2</v>
      </c>
      <c r="P29" s="54" t="e">
        <f>IF(IF(ROUND(((Coeff.effectif/0.6)*((1.6*(J29+(C29*F29))/Salaire_brut_juillet)-1)),4)&gt;0,ROUND(((Coeff.effectif/0.6)*((1.6*(J29+(C29*F29))/Salaire_brut_juillet)-1)),4),0)&gt;Coeff.effectif,Coeff.effectif,IF(ROUND(((Coeff.effectif/0.6)*((1.6*(J29+(C29*F29))/Salaire_brut_juillet)-1)),4)&gt;0,ROUND(((Coeff.effectif/0.6)*((1.6*(J29+(C29*F29))/Salaire_brut_juillet)-1)),4),0))</f>
        <v>#DIV/0!</v>
      </c>
      <c r="Q29" s="53">
        <f t="shared" si="7"/>
        <v>99.539999999999992</v>
      </c>
      <c r="R29" s="53">
        <f>Q29-SUM(R23:R28)</f>
        <v>0</v>
      </c>
      <c r="S29" s="53">
        <f>IF(ISERR(P29),0,Salaire_brut_juillet*P29)</f>
        <v>0</v>
      </c>
      <c r="T29" s="53"/>
      <c r="U29" s="53">
        <f t="shared" si="8"/>
        <v>0</v>
      </c>
      <c r="V29" s="56" t="str">
        <f t="shared" si="2"/>
        <v/>
      </c>
      <c r="W29" s="59" t="str">
        <f t="shared" si="3"/>
        <v/>
      </c>
    </row>
    <row r="30" spans="2:23" ht="15">
      <c r="B30" s="48" t="s">
        <v>43</v>
      </c>
      <c r="C30" s="49">
        <f>SMIC!B11</f>
        <v>9.5299999999999994</v>
      </c>
      <c r="D30" s="15"/>
      <c r="E30" s="50"/>
      <c r="F30" s="51"/>
      <c r="G30" s="58">
        <f t="shared" si="4"/>
        <v>35</v>
      </c>
      <c r="H30" s="58">
        <f t="shared" si="5"/>
        <v>35</v>
      </c>
      <c r="I30" s="48" t="s">
        <v>43</v>
      </c>
      <c r="J30" s="53">
        <f>IF(Salaire_brut_août="",0,Horaire_collectif_mensuel*C30*IF(G30&lt;&gt;"",G30,Salaire_brut_août)/IF(H30&lt;&gt;"",H30,IF(E30&lt;&gt;"",E30,Salaire_brut_août)))</f>
        <v>0</v>
      </c>
      <c r="K30" s="53">
        <f t="shared" si="0"/>
        <v>0</v>
      </c>
      <c r="L30" s="53">
        <f t="shared" si="9"/>
        <v>1445.4150999999997</v>
      </c>
      <c r="M30" s="53">
        <f t="shared" si="6"/>
        <v>0</v>
      </c>
      <c r="N30" s="53">
        <f>Salaire_brut_janvier+Salaire_brut_février+Salaire_brut_mars+Salaire_brut_avril+Salaire_brut_mai+Salaire_brut_juin+Salaire_brut_juillet+Salaire_brut_août</f>
        <v>2100</v>
      </c>
      <c r="O30" s="54">
        <f t="shared" si="1"/>
        <v>4.7399999999999998E-2</v>
      </c>
      <c r="P30" s="54" t="e">
        <f>IF(IF(ROUND(((Coeff.effectif/0.6)*((1.6*(J30+(C30*F30))/Salaire_brut_août)-1)),4)&gt;0,ROUND(((Coeff.effectif/0.6)*((1.6*(J30+(C30*F30))/Salaire_brut_août)-1)),4),0)&gt;Coeff.effectif,Coeff.effectif,IF(ROUND(((Coeff.effectif/0.6)*((1.6*(J30+(C30*F30))/Salaire_brut_août)-1)),4)&gt;0,ROUND(((Coeff.effectif/0.6)*((1.6*(J30+(C30*F30))/Salaire_brut_août)-1)),4),0))</f>
        <v>#DIV/0!</v>
      </c>
      <c r="Q30" s="53">
        <f t="shared" si="7"/>
        <v>99.539999999999992</v>
      </c>
      <c r="R30" s="53">
        <f>Q30-SUM(R23:R29)</f>
        <v>0</v>
      </c>
      <c r="S30" s="53">
        <f>IF(ISERR(P30),0,Salaire_brut_août*P30)</f>
        <v>0</v>
      </c>
      <c r="T30" s="53"/>
      <c r="U30" s="53">
        <f t="shared" si="8"/>
        <v>0</v>
      </c>
      <c r="V30" s="56" t="str">
        <f t="shared" si="2"/>
        <v/>
      </c>
      <c r="W30" s="59" t="str">
        <f t="shared" si="3"/>
        <v/>
      </c>
    </row>
    <row r="31" spans="2:23" ht="15">
      <c r="B31" s="48" t="s">
        <v>44</v>
      </c>
      <c r="C31" s="49">
        <f>SMIC!B12</f>
        <v>9.5299999999999994</v>
      </c>
      <c r="D31" s="15"/>
      <c r="E31" s="50"/>
      <c r="F31" s="51"/>
      <c r="G31" s="58">
        <f t="shared" si="4"/>
        <v>35</v>
      </c>
      <c r="H31" s="58">
        <f t="shared" si="5"/>
        <v>35</v>
      </c>
      <c r="I31" s="48" t="s">
        <v>44</v>
      </c>
      <c r="J31" s="53">
        <f>IF(Salaire_brut_septembre="",0,Horaire_collectif_mensuel*C31*IF(G31&lt;&gt;"",G31,Salaire_brut_septembre)/IF(H31&lt;&gt;"",H31,IF(E31&lt;&gt;"",E31,Salaire_brut_septembre)))</f>
        <v>0</v>
      </c>
      <c r="K31" s="53">
        <f t="shared" si="0"/>
        <v>0</v>
      </c>
      <c r="L31" s="53">
        <f t="shared" si="9"/>
        <v>1445.4150999999997</v>
      </c>
      <c r="M31" s="53">
        <f t="shared" si="6"/>
        <v>0</v>
      </c>
      <c r="N31" s="53">
        <f>Salaire_brut_janvier+Salaire_brut_février+Salaire_brut_mars+Salaire_brut_avril+Salaire_brut_mai+Salaire_brut_juin+Salaire_brut_juillet+Salaire_brut_août+Salaire_brut_septembre</f>
        <v>2100</v>
      </c>
      <c r="O31" s="54">
        <f t="shared" si="1"/>
        <v>4.7399999999999998E-2</v>
      </c>
      <c r="P31" s="54" t="e">
        <f>IF(IF(ROUND(((Coeff.effectif/0.6)*((1.6*(J31+(C31*F31))/Salaire_brut_septembre)-1)),4)&gt;0,ROUND(((Coeff.effectif/0.6)*((1.6*(J31+(C31*F31))/Salaire_brut_septembre)-1)),4),0)&gt;Coeff.effectif,Coeff.effectif,IF(ROUND(((Coeff.effectif/0.6)*((1.6*(J31+(C31*F31))/Salaire_brut_septembre)-1)),4)&gt;0,ROUND(((Coeff.effectif/0.6)*((1.6*(J31+(C31*F31))/Salaire_brut_septembre)-1)),4),0))</f>
        <v>#DIV/0!</v>
      </c>
      <c r="Q31" s="53">
        <f t="shared" si="7"/>
        <v>99.539999999999992</v>
      </c>
      <c r="R31" s="53">
        <f>Q31-SUM(R23:R30)</f>
        <v>0</v>
      </c>
      <c r="S31" s="53">
        <f>IF(ISERR(P31),0,Salaire_brut_septembre*P31)</f>
        <v>0</v>
      </c>
      <c r="T31" s="53"/>
      <c r="U31" s="53">
        <f t="shared" si="8"/>
        <v>0</v>
      </c>
      <c r="V31" s="56" t="str">
        <f t="shared" si="2"/>
        <v/>
      </c>
      <c r="W31" s="59" t="str">
        <f t="shared" si="3"/>
        <v/>
      </c>
    </row>
    <row r="32" spans="2:23" ht="15">
      <c r="B32" s="48" t="s">
        <v>45</v>
      </c>
      <c r="C32" s="49">
        <f>SMIC!B13</f>
        <v>9.5299999999999994</v>
      </c>
      <c r="D32" s="15"/>
      <c r="E32" s="50"/>
      <c r="F32" s="51"/>
      <c r="G32" s="58">
        <f t="shared" si="4"/>
        <v>35</v>
      </c>
      <c r="H32" s="58">
        <f t="shared" si="5"/>
        <v>35</v>
      </c>
      <c r="I32" s="48" t="s">
        <v>45</v>
      </c>
      <c r="J32" s="53">
        <f>IF(Salaire_brut_octobre="",0,Horaire_collectif_mensuel*C32*IF(G32&lt;&gt;"",G32,Salaire_brut_octobre)/IF(H32&lt;&gt;"",H32,IF(E32&lt;&gt;"",E32,Salaire_brut_octobre)))</f>
        <v>0</v>
      </c>
      <c r="K32" s="53">
        <f t="shared" si="0"/>
        <v>0</v>
      </c>
      <c r="L32" s="53">
        <f t="shared" si="9"/>
        <v>1445.4150999999997</v>
      </c>
      <c r="M32" s="53">
        <f t="shared" si="6"/>
        <v>0</v>
      </c>
      <c r="N32" s="53">
        <f>Salaire_brut_janvier+Salaire_brut_février+Salaire_brut_mars+Salaire_brut_avril+Salaire_brut_mai+Salaire_brut_juin+Salaire_brut_juillet+Salaire_brut_août+Salaire_brut_septembre+Salaire_brut_octobre</f>
        <v>2100</v>
      </c>
      <c r="O32" s="54">
        <f t="shared" si="1"/>
        <v>4.7399999999999998E-2</v>
      </c>
      <c r="P32" s="54" t="e">
        <f>IF(IF(ROUND(((Coeff.effectif/0.6)*((1.6*(J32+(C32*F32))/Salaire_brut_octobre)-1)),4)&gt;0,ROUND(((Coeff.effectif/0.6)*((1.6*(J32+(C32*F32))/Salaire_brut_octobre)-1)),4),0)&gt;Coeff.effectif,Coeff.effectif,IF(ROUND(((Coeff.effectif/0.6)*((1.6*(J32+(C32*F32))/Salaire_brut_octobre)-1)),4)&gt;0,ROUND(((Coeff.effectif/0.6)*((1.6*(J32+(C32*F32))/Salaire_brut_octobre)-1)),4),0))</f>
        <v>#DIV/0!</v>
      </c>
      <c r="Q32" s="53">
        <f t="shared" si="7"/>
        <v>99.539999999999992</v>
      </c>
      <c r="R32" s="53">
        <f>Q32-SUM(R23:R31)</f>
        <v>0</v>
      </c>
      <c r="S32" s="53">
        <f>IF(ISERR(P32),0,Salaire_brut_octobre*P32)</f>
        <v>0</v>
      </c>
      <c r="T32" s="53"/>
      <c r="U32" s="53">
        <f t="shared" si="8"/>
        <v>0</v>
      </c>
      <c r="V32" s="56" t="str">
        <f t="shared" si="2"/>
        <v/>
      </c>
      <c r="W32" s="59" t="str">
        <f t="shared" si="3"/>
        <v/>
      </c>
    </row>
    <row r="33" spans="2:31" ht="15">
      <c r="B33" s="48" t="s">
        <v>46</v>
      </c>
      <c r="C33" s="49">
        <f>SMIC!B14</f>
        <v>9.5299999999999994</v>
      </c>
      <c r="D33" s="15"/>
      <c r="E33" s="50"/>
      <c r="F33" s="51"/>
      <c r="G33" s="58">
        <f t="shared" si="4"/>
        <v>35</v>
      </c>
      <c r="H33" s="58">
        <f t="shared" si="5"/>
        <v>35</v>
      </c>
      <c r="I33" s="48" t="s">
        <v>46</v>
      </c>
      <c r="J33" s="53">
        <f>IF(Salaire_brut_novembre="",0,Horaire_collectif_mensuel*C33*IF(G33&lt;&gt;"",G33,Salaire_brut_novembre)/IF(H33&lt;&gt;"",H33,IF(E33&lt;&gt;"",E33,Salaire_brut_novembre)))</f>
        <v>0</v>
      </c>
      <c r="K33" s="53">
        <f t="shared" si="0"/>
        <v>0</v>
      </c>
      <c r="L33" s="53">
        <f t="shared" si="9"/>
        <v>1445.4150999999997</v>
      </c>
      <c r="M33" s="53">
        <f t="shared" si="6"/>
        <v>0</v>
      </c>
      <c r="N33" s="53">
        <f>Salaire_brut_janvier+Salaire_brut_février+Salaire_brut_mars+Salaire_brut_avril+Salaire_brut_mai+Salaire_brut_juin+Salaire_brut_juillet+Salaire_brut_août+Salaire_brut_septembre+Salaire_brut_octobre+Salaire_brut_novembre</f>
        <v>2100</v>
      </c>
      <c r="O33" s="54">
        <f t="shared" si="1"/>
        <v>4.7399999999999998E-2</v>
      </c>
      <c r="P33" s="54" t="e">
        <f>IF(IF(ROUND(((Coeff.effectif/0.6)*((1.6*(J33+(C33*F33))/Salaire_brut_novembre)-1)),4)&gt;0,ROUND(((Coeff.effectif/0.6)*((1.6*(J33+(C33*F33))/Salaire_brut_novembre)-1)),4),0)&gt;Coeff.effectif,Coeff.effectif,IF(ROUND(((Coeff.effectif/0.6)*((1.6*(J33+(C33*F33))/Salaire_brut_novembre)-1)),4)&gt;0,ROUND(((Coeff.effectif/0.6)*((1.6*(J33+(C33*F33))/Salaire_brut_novembre)-1)),4),0))</f>
        <v>#DIV/0!</v>
      </c>
      <c r="Q33" s="53">
        <f t="shared" si="7"/>
        <v>99.539999999999992</v>
      </c>
      <c r="R33" s="53">
        <f>Q33-SUM(R23:R32)</f>
        <v>0</v>
      </c>
      <c r="S33" s="53">
        <f>IF(ISERR(P33),0,Salaire_brut_novembre*P33)</f>
        <v>0</v>
      </c>
      <c r="U33" s="53">
        <f t="shared" si="8"/>
        <v>0</v>
      </c>
      <c r="V33" s="56" t="str">
        <f t="shared" si="2"/>
        <v/>
      </c>
      <c r="W33" s="59" t="str">
        <f t="shared" si="3"/>
        <v/>
      </c>
    </row>
    <row r="34" spans="2:31" ht="15.75" thickBot="1">
      <c r="B34" s="48" t="s">
        <v>47</v>
      </c>
      <c r="C34" s="60">
        <f>SMIC!B15</f>
        <v>9.5299999999999994</v>
      </c>
      <c r="D34" s="15"/>
      <c r="E34" s="61"/>
      <c r="F34" s="62"/>
      <c r="G34" s="63">
        <f t="shared" si="4"/>
        <v>35</v>
      </c>
      <c r="H34" s="63">
        <f t="shared" si="5"/>
        <v>35</v>
      </c>
      <c r="I34" s="48" t="s">
        <v>47</v>
      </c>
      <c r="J34" s="53">
        <f>IF(Salaire_brut_décembre="",0,Horaire_collectif_mensuel*C34*IF(G34&lt;&gt;"",G34,Salaire_brut_décembre)/IF(H34&lt;&gt;"",H34,IF(E34&lt;&gt;"",E34,Salaire_brut_décembre)))</f>
        <v>0</v>
      </c>
      <c r="K34" s="53">
        <f t="shared" si="0"/>
        <v>0</v>
      </c>
      <c r="L34" s="53">
        <f t="shared" si="9"/>
        <v>1445.4150999999997</v>
      </c>
      <c r="M34" s="53">
        <f t="shared" si="6"/>
        <v>0</v>
      </c>
      <c r="N34" s="53">
        <f>Salaire_brut_janvier+Salaire_brut_février+Salaire_brut_mars+Salaire_brut_avril+Salaire_brut_mai+Salaire_brut_juin+Salaire_brut_juillet+Salaire_brut_août+Salaire_brut_septembre+Salaire_brut_octobre+Salaire_brut_novembre+Salaire_brut_décembre</f>
        <v>2100</v>
      </c>
      <c r="O34" s="54">
        <f t="shared" si="1"/>
        <v>4.7399999999999998E-2</v>
      </c>
      <c r="P34" s="54" t="e">
        <f>IF(IF(ROUND(((Coeff.effectif/0.6)*((1.6*(J34+(C34*F34))/Salaire_brut_décembre)-1)),4)&gt;0,ROUND(((Coeff.effectif/0.6)*((1.6*(J34+(C34*F34))/Salaire_brut_décembre)-1)),4),0)&gt;Coeff.effectif,Coeff.effectif,IF(ROUND(((Coeff.effectif/0.6)*((1.6*(J34+(C34*F34))/Salaire_brut_décembre)-1)),4)&gt;0,ROUND(((Coeff.effectif/0.6)*((1.6*(J34+(C34*F34))/Salaire_brut_décembre)-1)),4),0))</f>
        <v>#DIV/0!</v>
      </c>
      <c r="Q34" s="53">
        <f>IF(Salaire_brut_décembre=0,0,N34*O34)</f>
        <v>0</v>
      </c>
      <c r="R34" s="53" t="str">
        <f>IF(Q34-SUM(R23:R33)&lt;0,"",Q34-SUM(R23:R33))</f>
        <v/>
      </c>
      <c r="S34" s="53">
        <f>IF(ISERR(P34),0,Salaire_brut_décembre*P34)</f>
        <v>0</v>
      </c>
      <c r="T34" s="53">
        <f>IF(Salaire_brut_décembre="",0,IF(Q34-SUM(R23:R33)&gt;0,"",Q34-SUM(R23:R33)))</f>
        <v>0</v>
      </c>
      <c r="U34" s="53">
        <f>(SUM(R23:R33)+IF(R34&lt;&gt;"",R34,0)+IF(T34&lt;&gt;"",T34,0))-SUM(U23:U33)</f>
        <v>0</v>
      </c>
      <c r="V34" s="56" t="str">
        <f t="shared" si="2"/>
        <v/>
      </c>
      <c r="W34" s="64" t="str">
        <f>IF(Mode_calcul=1,IF(T34&lt;0,-T34,""),IF(U34&lt;0,-U34,""))</f>
        <v/>
      </c>
    </row>
    <row r="35" spans="2:31" ht="21" customHeight="1" thickBot="1">
      <c r="B35" s="65" t="s">
        <v>170</v>
      </c>
      <c r="C35" s="66"/>
      <c r="D35" s="67">
        <f>SUM(D23:D34)</f>
        <v>2100</v>
      </c>
      <c r="E35" s="68"/>
      <c r="F35" s="69"/>
      <c r="G35" s="66"/>
      <c r="H35" s="66"/>
      <c r="I35" s="65" t="s">
        <v>170</v>
      </c>
      <c r="Q35" s="53"/>
      <c r="R35" s="70"/>
      <c r="S35" s="53">
        <f>SUM(S23:S34)</f>
        <v>99.539999999999992</v>
      </c>
      <c r="V35" s="121">
        <f>SUM(V23:V33)+IF(V34="",0,V34)-SUM(W23:W33)-IF(W34="",0,W34)</f>
        <v>99.539999999999992</v>
      </c>
      <c r="W35" s="122"/>
    </row>
    <row r="36" spans="2:31" ht="21" customHeight="1" thickBot="1">
      <c r="C36" s="71"/>
      <c r="F36" s="30"/>
      <c r="Q36" s="53"/>
      <c r="R36" s="70"/>
      <c r="S36" s="53"/>
    </row>
    <row r="37" spans="2:31" ht="21" hidden="1" customHeight="1">
      <c r="C37" s="71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53"/>
      <c r="V37" s="120" t="s">
        <v>171</v>
      </c>
      <c r="W37" s="120"/>
      <c r="X37" s="120" t="s">
        <v>172</v>
      </c>
      <c r="Y37" s="120"/>
    </row>
    <row r="38" spans="2:31" ht="21" hidden="1" customHeight="1">
      <c r="C38" s="71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53"/>
      <c r="V38" s="19" t="s">
        <v>173</v>
      </c>
      <c r="W38" s="19" t="s">
        <v>174</v>
      </c>
      <c r="X38" s="19" t="s">
        <v>173</v>
      </c>
      <c r="Y38" s="19" t="s">
        <v>174</v>
      </c>
      <c r="AB38" s="19"/>
      <c r="AC38" s="19"/>
      <c r="AD38" s="53"/>
      <c r="AE38" s="22"/>
    </row>
    <row r="39" spans="2:31" ht="21" hidden="1" customHeight="1">
      <c r="C39" s="71"/>
      <c r="D39" s="72"/>
      <c r="E39" s="72"/>
      <c r="F39" s="72"/>
      <c r="H39" s="73"/>
      <c r="I39" s="73"/>
      <c r="J39" s="72"/>
      <c r="K39" s="72"/>
      <c r="L39" s="72"/>
      <c r="M39" s="72"/>
      <c r="N39" s="72"/>
      <c r="O39" s="72"/>
      <c r="P39" s="72"/>
      <c r="Q39" s="72"/>
      <c r="R39" s="72"/>
      <c r="S39" s="53"/>
      <c r="U39" s="74" t="s">
        <v>175</v>
      </c>
      <c r="V39" s="75">
        <f>IF(R23+R24+R25&lt;0,"",R23+R24+R25)</f>
        <v>99.539999999999992</v>
      </c>
      <c r="W39" s="75" t="str">
        <f>IF(R23+R24+R25&gt;0,"",-(R23+R24+R25))</f>
        <v/>
      </c>
      <c r="X39" s="75">
        <f>IF(U23+U24+U25&lt;0,"",U23+U24+U25)</f>
        <v>99.539999999999992</v>
      </c>
      <c r="Y39" s="75" t="str">
        <f>IF(U23+U24+U25&gt;0,"",-(U23+U24+U25))</f>
        <v/>
      </c>
      <c r="Z39" s="76"/>
      <c r="AA39" s="76"/>
      <c r="AB39" s="77"/>
      <c r="AC39" s="77"/>
      <c r="AD39" s="77"/>
    </row>
    <row r="40" spans="2:31" ht="21" hidden="1" customHeight="1">
      <c r="C40" s="71"/>
      <c r="D40" s="72"/>
      <c r="E40" s="72"/>
      <c r="F40" s="72"/>
      <c r="H40" s="73"/>
      <c r="I40" s="73"/>
      <c r="J40" s="72"/>
      <c r="K40" s="72"/>
      <c r="L40" s="72"/>
      <c r="M40" s="72"/>
      <c r="N40" s="72"/>
      <c r="O40" s="72"/>
      <c r="P40" s="72"/>
      <c r="Q40" s="72"/>
      <c r="R40" s="72"/>
      <c r="S40" s="53"/>
      <c r="U40" s="74" t="s">
        <v>176</v>
      </c>
      <c r="V40" s="75">
        <f>IF(R26+R27+R28&lt;0,"",R26+R27+R28)</f>
        <v>0</v>
      </c>
      <c r="W40" s="75">
        <f>IF(R26+R27+R28&gt;0,"",-(R26+R27+R28))</f>
        <v>0</v>
      </c>
      <c r="X40" s="75">
        <f>IF(U26+U27+U28&lt;0,"",U26+U27+U28)</f>
        <v>0</v>
      </c>
      <c r="Y40" s="75">
        <f>IF(U26+U27+U28&gt;0,"",-(U26+U27+U28))</f>
        <v>0</v>
      </c>
      <c r="Z40" s="76"/>
      <c r="AA40" s="76"/>
      <c r="AB40" s="77"/>
      <c r="AC40" s="77"/>
      <c r="AD40" s="77"/>
    </row>
    <row r="41" spans="2:31" ht="21" hidden="1" customHeight="1">
      <c r="C41" s="71"/>
      <c r="D41" s="72"/>
      <c r="E41" s="72"/>
      <c r="F41" s="72"/>
      <c r="H41" s="73"/>
      <c r="I41" s="73"/>
      <c r="J41" s="72"/>
      <c r="K41" s="72"/>
      <c r="L41" s="72"/>
      <c r="M41" s="72"/>
      <c r="N41" s="72"/>
      <c r="O41" s="72"/>
      <c r="P41" s="72"/>
      <c r="Q41" s="72"/>
      <c r="R41" s="72"/>
      <c r="S41" s="53"/>
      <c r="U41" s="74" t="s">
        <v>177</v>
      </c>
      <c r="V41" s="75">
        <f>IF(R29+R30+R31&lt;0,"",R29+R30+R31)</f>
        <v>0</v>
      </c>
      <c r="W41" s="75">
        <f>IF(R29+R30+R31&gt;0,"",-(R29+R30+R31))</f>
        <v>0</v>
      </c>
      <c r="X41" s="75">
        <f>IF(U29+U30+U31&lt;0,"",U29+U30+U31)</f>
        <v>0</v>
      </c>
      <c r="Y41" s="75">
        <f>IF(U29+U30+U31&gt;0,"",-(U29+U30+U31))</f>
        <v>0</v>
      </c>
      <c r="Z41" s="76"/>
      <c r="AA41" s="76"/>
      <c r="AB41" s="77"/>
      <c r="AC41" s="77"/>
      <c r="AD41" s="77"/>
    </row>
    <row r="42" spans="2:31" ht="21" hidden="1" customHeight="1" thickBot="1">
      <c r="C42" s="71"/>
      <c r="D42" s="72"/>
      <c r="E42" s="72"/>
      <c r="F42" s="72"/>
      <c r="H42" s="73"/>
      <c r="I42" s="73"/>
      <c r="J42" s="72"/>
      <c r="K42" s="72"/>
      <c r="L42" s="72"/>
      <c r="M42" s="72"/>
      <c r="N42" s="72"/>
      <c r="O42" s="72"/>
      <c r="P42" s="72"/>
      <c r="Q42" s="72"/>
      <c r="R42" s="72"/>
      <c r="S42" s="53"/>
      <c r="U42" s="74" t="s">
        <v>178</v>
      </c>
      <c r="V42" s="75">
        <f>IF(R32+R33+IF(R34&lt;&gt;"",R34,0)+IF(T34&lt;&gt;"",T34,0)&lt;0,"",R32+R33+IF(R34&lt;&gt;"",R34,0)+IF(T34&lt;&gt;"",T34,0))</f>
        <v>0</v>
      </c>
      <c r="W42" s="75">
        <f>IF(R32+R33+IF(R34&lt;&gt;"",R34,0)+IF(T34&lt;&gt;"",T34,0)&gt;0,"",-(R32+R33+IF(R34&lt;&gt;"",R34,0)+IF(T34&lt;&gt;"",T34,0)))</f>
        <v>0</v>
      </c>
      <c r="X42" s="75">
        <f>IF(U32+U33+U34&lt;0,"",U32+U33+U34)</f>
        <v>0</v>
      </c>
      <c r="Y42" s="75">
        <f>IF(U32+U33+U34&gt;0,"",-(U32+U33+U34))</f>
        <v>0</v>
      </c>
      <c r="Z42" s="76"/>
      <c r="AA42" s="76"/>
      <c r="AB42" s="77"/>
      <c r="AC42" s="77"/>
      <c r="AD42" s="77"/>
    </row>
    <row r="43" spans="2:31" ht="21" customHeight="1" thickBot="1">
      <c r="C43" s="123" t="s">
        <v>179</v>
      </c>
      <c r="D43" s="123"/>
      <c r="E43" s="123"/>
      <c r="F43" s="123"/>
      <c r="G43" s="123"/>
      <c r="H43" s="123"/>
      <c r="I43" s="73"/>
      <c r="J43" s="72"/>
      <c r="K43" s="72"/>
      <c r="L43" s="72"/>
      <c r="M43" s="72"/>
      <c r="N43" s="72"/>
      <c r="O43" s="72"/>
      <c r="P43" s="72"/>
      <c r="Q43" s="72"/>
      <c r="R43" s="72"/>
      <c r="S43" s="53"/>
      <c r="U43" s="74"/>
      <c r="V43" s="75"/>
      <c r="W43" s="75"/>
      <c r="X43" s="75"/>
      <c r="Y43" s="75"/>
      <c r="Z43" s="76"/>
      <c r="AA43" s="76"/>
      <c r="AB43" s="77"/>
      <c r="AC43" s="77"/>
      <c r="AD43" s="77"/>
    </row>
    <row r="44" spans="2:31" ht="21" customHeight="1" thickBot="1">
      <c r="C44" s="71"/>
      <c r="D44" s="124" t="s">
        <v>150</v>
      </c>
      <c r="E44" s="124"/>
      <c r="F44" s="125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53"/>
    </row>
    <row r="45" spans="2:31" ht="32.25" customHeight="1">
      <c r="C45" s="71"/>
      <c r="D45" s="78" t="s">
        <v>180</v>
      </c>
      <c r="E45" s="79" t="s">
        <v>181</v>
      </c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53"/>
    </row>
    <row r="46" spans="2:31">
      <c r="C46" s="80" t="s">
        <v>175</v>
      </c>
      <c r="D46" s="81">
        <f t="shared" ref="D46:E49" si="10">IF(Mode_calcul=1,V39,X39)</f>
        <v>99.539999999999992</v>
      </c>
      <c r="E46" s="81" t="str">
        <f t="shared" si="10"/>
        <v/>
      </c>
      <c r="O46" s="18"/>
      <c r="P46" s="18"/>
      <c r="Q46" s="18"/>
      <c r="R46" s="18"/>
    </row>
    <row r="47" spans="2:31">
      <c r="C47" s="80" t="s">
        <v>176</v>
      </c>
      <c r="D47" s="81">
        <f t="shared" si="10"/>
        <v>0</v>
      </c>
      <c r="E47" s="81">
        <f t="shared" si="10"/>
        <v>0</v>
      </c>
      <c r="O47" s="18"/>
      <c r="P47" s="18"/>
      <c r="Q47" s="18"/>
      <c r="R47" s="18"/>
    </row>
    <row r="48" spans="2:31">
      <c r="C48" s="80" t="s">
        <v>177</v>
      </c>
      <c r="D48" s="81">
        <f t="shared" si="10"/>
        <v>0</v>
      </c>
      <c r="E48" s="81">
        <f t="shared" si="10"/>
        <v>0</v>
      </c>
      <c r="O48" s="18"/>
      <c r="P48" s="18"/>
      <c r="Q48" s="18"/>
      <c r="R48" s="18"/>
    </row>
    <row r="49" spans="3:19" ht="14.25" thickBot="1">
      <c r="C49" s="80" t="s">
        <v>178</v>
      </c>
      <c r="D49" s="82">
        <f t="shared" si="10"/>
        <v>0</v>
      </c>
      <c r="E49" s="82">
        <f t="shared" si="10"/>
        <v>0</v>
      </c>
      <c r="O49" s="18"/>
      <c r="P49" s="18"/>
      <c r="Q49" s="18"/>
      <c r="R49" s="18"/>
    </row>
    <row r="50" spans="3:19" ht="14.25" thickBot="1">
      <c r="C50" s="65" t="s">
        <v>170</v>
      </c>
      <c r="D50" s="126">
        <f>+SUM(D46:D49)-SUM(E46:E49)</f>
        <v>99.539999999999992</v>
      </c>
      <c r="E50" s="126"/>
      <c r="K50" s="83"/>
      <c r="L50" s="83"/>
      <c r="M50" s="83"/>
      <c r="N50" s="83"/>
      <c r="S50" s="54"/>
    </row>
    <row r="51" spans="3:19">
      <c r="K51" s="83"/>
      <c r="L51" s="83"/>
      <c r="M51" s="83"/>
      <c r="N51" s="83"/>
      <c r="S51" s="54"/>
    </row>
    <row r="52" spans="3:19">
      <c r="C52" s="84"/>
      <c r="D52" s="85"/>
      <c r="E52" s="85"/>
      <c r="F52" s="85"/>
      <c r="G52" s="85"/>
      <c r="H52" s="85"/>
      <c r="I52" s="85"/>
      <c r="K52" s="83"/>
      <c r="L52" s="83"/>
      <c r="M52" s="83"/>
      <c r="N52" s="83"/>
      <c r="S52" s="54"/>
    </row>
    <row r="53" spans="3:19">
      <c r="K53" s="83"/>
      <c r="L53" s="83"/>
      <c r="M53" s="83"/>
      <c r="N53" s="83"/>
      <c r="S53" s="54"/>
    </row>
    <row r="54" spans="3:19">
      <c r="K54" s="83"/>
      <c r="L54" s="83"/>
      <c r="M54" s="83"/>
      <c r="N54" s="83"/>
      <c r="S54" s="54"/>
    </row>
    <row r="55" spans="3:19">
      <c r="K55" s="83"/>
      <c r="L55" s="83"/>
      <c r="M55" s="83"/>
      <c r="N55" s="83"/>
      <c r="S55" s="54"/>
    </row>
    <row r="56" spans="3:19">
      <c r="K56" s="83"/>
      <c r="L56" s="83"/>
      <c r="M56" s="83"/>
      <c r="N56" s="83"/>
      <c r="S56" s="54"/>
    </row>
    <row r="57" spans="3:19">
      <c r="K57" s="83"/>
      <c r="L57" s="83"/>
      <c r="M57" s="83"/>
      <c r="N57" s="83"/>
      <c r="S57" s="54"/>
    </row>
    <row r="58" spans="3:19">
      <c r="K58" s="83"/>
      <c r="L58" s="83"/>
      <c r="M58" s="83"/>
      <c r="N58" s="83"/>
      <c r="S58" s="54"/>
    </row>
    <row r="59" spans="3:19">
      <c r="K59" s="83"/>
      <c r="L59" s="83"/>
      <c r="M59" s="83"/>
      <c r="N59" s="83"/>
      <c r="S59" s="54"/>
    </row>
    <row r="60" spans="3:19">
      <c r="K60" s="83"/>
      <c r="L60" s="83"/>
      <c r="M60" s="83"/>
      <c r="N60" s="83"/>
      <c r="S60" s="54"/>
    </row>
    <row r="61" spans="3:19">
      <c r="K61" s="83"/>
      <c r="L61" s="83"/>
      <c r="M61" s="83"/>
      <c r="N61" s="83"/>
      <c r="S61" s="54"/>
    </row>
    <row r="63" spans="3:19">
      <c r="G63" s="86"/>
      <c r="H63" s="86"/>
      <c r="I63" s="86"/>
    </row>
    <row r="65" spans="2:14">
      <c r="B65" s="114"/>
      <c r="C65" s="114"/>
      <c r="D65" s="114"/>
      <c r="E65" s="114"/>
      <c r="F65" s="114"/>
      <c r="G65" s="114"/>
      <c r="H65" s="114"/>
      <c r="I65" s="114"/>
      <c r="J65" s="114"/>
      <c r="K65" s="114"/>
      <c r="L65" s="87"/>
      <c r="M65" s="87"/>
      <c r="N65" s="87"/>
    </row>
    <row r="67" spans="2:14">
      <c r="B67" s="114"/>
      <c r="C67" s="114"/>
      <c r="D67" s="114"/>
      <c r="E67" s="114"/>
      <c r="F67" s="114"/>
      <c r="G67" s="114"/>
      <c r="H67" s="114"/>
      <c r="I67" s="114"/>
      <c r="J67" s="114"/>
      <c r="K67" s="114"/>
      <c r="L67" s="87"/>
      <c r="M67" s="87"/>
      <c r="N67" s="87"/>
    </row>
    <row r="69" spans="2:14">
      <c r="B69" s="114"/>
      <c r="C69" s="114"/>
      <c r="D69" s="114"/>
      <c r="E69" s="114"/>
      <c r="F69" s="114"/>
      <c r="G69" s="114"/>
      <c r="H69" s="114"/>
      <c r="I69" s="114"/>
      <c r="J69" s="114"/>
      <c r="K69" s="114"/>
      <c r="L69" s="87"/>
      <c r="M69" s="87"/>
      <c r="N69" s="87"/>
    </row>
  </sheetData>
  <mergeCells count="13">
    <mergeCell ref="B69:K69"/>
    <mergeCell ref="X37:Y37"/>
    <mergeCell ref="C43:H43"/>
    <mergeCell ref="D44:F44"/>
    <mergeCell ref="D50:E50"/>
    <mergeCell ref="B65:K65"/>
    <mergeCell ref="B67:K67"/>
    <mergeCell ref="V37:W37"/>
    <mergeCell ref="B1:W1"/>
    <mergeCell ref="G21:H21"/>
    <mergeCell ref="V21:W21"/>
    <mergeCell ref="S22:T22"/>
    <mergeCell ref="V35:W35"/>
  </mergeCells>
  <dataValidations count="1">
    <dataValidation allowBlank="1" showInputMessage="1" showErrorMessage="1" sqref="I25:I34 B25:B34"/>
  </dataValidations>
  <pageMargins left="0.24" right="0.24" top="0.4" bottom="0.74803149606299213" header="0.17" footer="0.31496062992125984"/>
  <pageSetup paperSize="9" scale="71" orientation="portrait" verticalDpi="14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>
                <anchor moveWithCells="1">
                  <from>
                    <xdr:col>2</xdr:col>
                    <xdr:colOff>38100</xdr:colOff>
                    <xdr:row>9</xdr:row>
                    <xdr:rowOff>47625</xdr:rowOff>
                  </from>
                  <to>
                    <xdr:col>3</xdr:col>
                    <xdr:colOff>704850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Option Button 2">
              <controlPr defaultSize="0" autoFill="0" autoLine="0" autoPict="0">
                <anchor moveWithCells="1" sizeWithCells="1">
                  <from>
                    <xdr:col>2</xdr:col>
                    <xdr:colOff>28575</xdr:colOff>
                    <xdr:row>4</xdr:row>
                    <xdr:rowOff>66675</xdr:rowOff>
                  </from>
                  <to>
                    <xdr:col>3</xdr:col>
                    <xdr:colOff>57150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Group Box 3">
              <controlPr defaultSize="0" autoFill="0" autoPict="0">
                <anchor moveWithCells="1" sizeWithCells="1">
                  <from>
                    <xdr:col>2</xdr:col>
                    <xdr:colOff>0</xdr:colOff>
                    <xdr:row>3</xdr:row>
                    <xdr:rowOff>228600</xdr:rowOff>
                  </from>
                  <to>
                    <xdr:col>5</xdr:col>
                    <xdr:colOff>314325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Group Box 4">
              <controlPr defaultSize="0" autoFill="0" autoPict="0">
                <anchor moveWithCells="1">
                  <from>
                    <xdr:col>2</xdr:col>
                    <xdr:colOff>0</xdr:colOff>
                    <xdr:row>8</xdr:row>
                    <xdr:rowOff>114300</xdr:rowOff>
                  </from>
                  <to>
                    <xdr:col>4</xdr:col>
                    <xdr:colOff>323850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Option Button 5">
              <controlPr defaultSize="0" autoFill="0" autoLine="0" autoPict="0">
                <anchor moveWithCells="1">
                  <from>
                    <xdr:col>3</xdr:col>
                    <xdr:colOff>190500</xdr:colOff>
                    <xdr:row>9</xdr:row>
                    <xdr:rowOff>57150</xdr:rowOff>
                  </from>
                  <to>
                    <xdr:col>4</xdr:col>
                    <xdr:colOff>28575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Option Button 6">
              <controlPr defaultSize="0" autoFill="0" autoLine="0" autoPict="0">
                <anchor moveWithCells="1" sizeWithCells="1">
                  <from>
                    <xdr:col>3</xdr:col>
                    <xdr:colOff>28575</xdr:colOff>
                    <xdr:row>4</xdr:row>
                    <xdr:rowOff>66675</xdr:rowOff>
                  </from>
                  <to>
                    <xdr:col>5</xdr:col>
                    <xdr:colOff>57150</xdr:colOff>
                    <xdr:row>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AE69"/>
  <sheetViews>
    <sheetView showGridLines="0" showRowColHeaders="0" workbookViewId="0">
      <selection activeCell="E29" sqref="E29"/>
    </sheetView>
  </sheetViews>
  <sheetFormatPr baseColWidth="10" defaultColWidth="0" defaultRowHeight="13.5"/>
  <cols>
    <col min="1" max="1" width="2.7109375" style="18" customWidth="1"/>
    <col min="2" max="2" width="25.28515625" style="18" customWidth="1"/>
    <col min="3" max="9" width="13.5703125" style="18" customWidth="1"/>
    <col min="10" max="14" width="12.7109375" style="18" hidden="1" customWidth="1"/>
    <col min="15" max="16" width="10.85546875" style="19" hidden="1" customWidth="1"/>
    <col min="17" max="17" width="12.7109375" style="19" hidden="1" customWidth="1"/>
    <col min="18" max="18" width="11.28515625" style="19" hidden="1" customWidth="1"/>
    <col min="19" max="19" width="14.7109375" style="19" hidden="1" customWidth="1"/>
    <col min="20" max="20" width="14.7109375" style="18" hidden="1" customWidth="1"/>
    <col min="21" max="21" width="14.28515625" style="18" hidden="1" customWidth="1"/>
    <col min="22" max="23" width="15.7109375" style="18" customWidth="1"/>
    <col min="24" max="24" width="2.5703125" style="18" customWidth="1"/>
    <col min="25" max="33" width="10.28515625" style="18" hidden="1" customWidth="1"/>
    <col min="34" max="16384" width="10.28515625" style="18" hidden="1"/>
  </cols>
  <sheetData>
    <row r="1" spans="2:23" ht="25.5" customHeight="1">
      <c r="B1" s="115" t="s">
        <v>134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15"/>
      <c r="V1" s="115"/>
      <c r="W1" s="115"/>
    </row>
    <row r="2" spans="2:23" ht="14.25" thickBot="1"/>
    <row r="3" spans="2:23" ht="21.75" customHeight="1" thickBot="1">
      <c r="B3" s="20" t="s">
        <v>135</v>
      </c>
      <c r="C3" s="21">
        <v>2013</v>
      </c>
      <c r="H3" s="22" t="s">
        <v>136</v>
      </c>
      <c r="I3" s="23" t="s">
        <v>200</v>
      </c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2:23" ht="20.25" customHeight="1">
      <c r="B4" s="24"/>
      <c r="H4" s="22" t="s">
        <v>137</v>
      </c>
      <c r="I4" s="25" t="s">
        <v>138</v>
      </c>
    </row>
    <row r="5" spans="2:23" ht="27" customHeight="1">
      <c r="B5" s="26" t="s">
        <v>139</v>
      </c>
      <c r="H5" s="18" t="s">
        <v>199</v>
      </c>
      <c r="I5" s="18" t="s">
        <v>198</v>
      </c>
    </row>
    <row r="6" spans="2:23" ht="9.75" customHeight="1">
      <c r="B6" s="27"/>
    </row>
    <row r="7" spans="2:23" hidden="1">
      <c r="B7" s="27"/>
      <c r="C7" s="28">
        <v>1</v>
      </c>
    </row>
    <row r="8" spans="2:23" ht="5.25" customHeight="1">
      <c r="B8" s="27"/>
    </row>
    <row r="9" spans="2:23" ht="15" customHeight="1">
      <c r="B9" s="27"/>
    </row>
    <row r="10" spans="2:23" ht="29.25" customHeight="1">
      <c r="B10" s="26" t="s">
        <v>140</v>
      </c>
    </row>
    <row r="11" spans="2:23" ht="15" hidden="1" customHeight="1">
      <c r="B11" s="27"/>
      <c r="C11" s="28">
        <v>2</v>
      </c>
    </row>
    <row r="12" spans="2:23" ht="15" customHeight="1" thickBot="1">
      <c r="B12" s="27"/>
    </row>
    <row r="13" spans="2:23" ht="15.75" thickBot="1">
      <c r="B13" s="26" t="s">
        <v>141</v>
      </c>
      <c r="C13" s="29">
        <v>151.66999999999999</v>
      </c>
      <c r="G13" s="30"/>
    </row>
    <row r="14" spans="2:23" ht="14.25" thickBot="1">
      <c r="B14" s="27"/>
    </row>
    <row r="15" spans="2:23" ht="14.25" thickBot="1">
      <c r="B15" s="26" t="s">
        <v>142</v>
      </c>
      <c r="C15" s="31">
        <f>IF(C7=1,0.281,0.26)</f>
        <v>0.28100000000000003</v>
      </c>
      <c r="G15" s="30"/>
    </row>
    <row r="16" spans="2:23" s="32" customFormat="1" ht="15" customHeight="1">
      <c r="B16" s="27"/>
      <c r="S16" s="33"/>
    </row>
    <row r="17" spans="2:23" s="32" customFormat="1" ht="15" customHeight="1" thickBot="1">
      <c r="B17" s="26" t="s">
        <v>143</v>
      </c>
      <c r="S17" s="33"/>
      <c r="U17" s="34"/>
    </row>
    <row r="18" spans="2:23" s="32" customFormat="1" ht="15" customHeight="1" thickBot="1">
      <c r="B18" s="35" t="s">
        <v>144</v>
      </c>
      <c r="C18" s="29">
        <v>35</v>
      </c>
      <c r="D18" s="36" t="s">
        <v>145</v>
      </c>
      <c r="E18" s="19" t="str">
        <f>IF(AND(C19&lt;&gt;"",OR(C18="",C18=0)),"&lt;&lt;&lt;&lt;&lt; info à compléter","")</f>
        <v/>
      </c>
      <c r="S18" s="33"/>
      <c r="U18" s="34"/>
    </row>
    <row r="19" spans="2:23" s="32" customFormat="1" ht="15" customHeight="1" thickBot="1">
      <c r="B19" s="35" t="s">
        <v>146</v>
      </c>
      <c r="C19" s="29">
        <v>35</v>
      </c>
      <c r="D19" s="36" t="s">
        <v>147</v>
      </c>
      <c r="E19" s="19" t="str">
        <f>IF(AND(C18&lt;&gt;"",OR(C19="",C19=0)),"&lt;&lt;&lt;&lt;&lt; info à compléter","")</f>
        <v/>
      </c>
      <c r="S19" s="33"/>
      <c r="U19" s="34"/>
    </row>
    <row r="20" spans="2:23" s="32" customFormat="1" ht="15" customHeight="1">
      <c r="B20" s="37"/>
      <c r="S20" s="33"/>
      <c r="U20" s="34"/>
    </row>
    <row r="21" spans="2:23" s="32" customFormat="1" ht="14.25" customHeight="1" thickBot="1">
      <c r="B21" s="37"/>
      <c r="C21" s="37"/>
      <c r="D21" s="37"/>
      <c r="E21" s="38" t="s">
        <v>148</v>
      </c>
      <c r="F21" s="37"/>
      <c r="G21" s="116" t="s">
        <v>149</v>
      </c>
      <c r="H21" s="117"/>
      <c r="I21" s="39"/>
      <c r="U21" s="34"/>
      <c r="V21" s="118" t="s">
        <v>150</v>
      </c>
      <c r="W21" s="119"/>
    </row>
    <row r="22" spans="2:23" s="32" customFormat="1" ht="27" customHeight="1" thickBot="1">
      <c r="C22" s="40" t="s">
        <v>151</v>
      </c>
      <c r="D22" s="110" t="s">
        <v>152</v>
      </c>
      <c r="E22" s="42" t="s">
        <v>153</v>
      </c>
      <c r="F22" s="43" t="s">
        <v>154</v>
      </c>
      <c r="G22" s="44" t="s">
        <v>155</v>
      </c>
      <c r="H22" s="42" t="s">
        <v>156</v>
      </c>
      <c r="I22" s="39"/>
      <c r="J22" s="33" t="s">
        <v>157</v>
      </c>
      <c r="K22" s="33" t="s">
        <v>158</v>
      </c>
      <c r="L22" s="33" t="s">
        <v>159</v>
      </c>
      <c r="M22" s="33" t="s">
        <v>160</v>
      </c>
      <c r="N22" s="33" t="s">
        <v>161</v>
      </c>
      <c r="O22" s="33" t="s">
        <v>162</v>
      </c>
      <c r="P22" s="33" t="s">
        <v>163</v>
      </c>
      <c r="Q22" s="33" t="s">
        <v>164</v>
      </c>
      <c r="R22" s="33" t="s">
        <v>165</v>
      </c>
      <c r="S22" s="120" t="s">
        <v>166</v>
      </c>
      <c r="T22" s="120"/>
      <c r="U22" s="45" t="s">
        <v>167</v>
      </c>
      <c r="V22" s="46" t="s">
        <v>168</v>
      </c>
      <c r="W22" s="47" t="s">
        <v>169</v>
      </c>
    </row>
    <row r="23" spans="2:23" ht="15">
      <c r="B23" s="48" t="s">
        <v>36</v>
      </c>
      <c r="C23" s="49">
        <f>SMIC!B4</f>
        <v>9.5299999999999994</v>
      </c>
      <c r="D23" s="15">
        <v>2100</v>
      </c>
      <c r="E23" s="50"/>
      <c r="F23" s="51"/>
      <c r="G23" s="52">
        <f>IF(AND($C$18&lt;&gt;0,$C$18&lt;&gt;""),$C$18,"")</f>
        <v>35</v>
      </c>
      <c r="H23" s="52">
        <f>IF(AND($C$19&lt;&gt;0,$C$19&lt;&gt;""),$C$19,"")</f>
        <v>35</v>
      </c>
      <c r="I23" s="48" t="s">
        <v>36</v>
      </c>
      <c r="J23" s="53">
        <f>IF(Salaire_brut_janvier="",0,(Horaire_collectif_mensuel*C23*IF(G23&lt;&gt;"",G23,Salaire_brut_janvier)/IF(H23&lt;&gt;"",H23,IF(E23&lt;&gt;"",E23,Salaire_brut_janvier))))</f>
        <v>1445.4150999999997</v>
      </c>
      <c r="K23" s="53">
        <f t="shared" ref="K23:K34" si="0">D23</f>
        <v>2100</v>
      </c>
      <c r="L23" s="53">
        <f>J23</f>
        <v>1445.4150999999997</v>
      </c>
      <c r="M23" s="53">
        <f>C23*F23</f>
        <v>0</v>
      </c>
      <c r="N23" s="53">
        <f>D23</f>
        <v>2100</v>
      </c>
      <c r="O23" s="54">
        <f t="shared" ref="O23:O34" si="1">IF(IF(ROUND(((Coeff.effectif/0.6)*((1.6*(L23+M23)/N23)-1)),4)&gt;0,ROUND(((Coeff.effectif/0.6)*((1.6*(L23+M23)/N23)-1)),4),0)&gt;Coeff.effectif,Coeff.effectif,IF(ROUND(((Coeff.effectif/0.6)*((1.6*(L23+M23)/N23)-1)),4)&gt;0,ROUND(((Coeff.effectif/0.6)*((1.6*(L23+M23)/N23)-1)),4),0))</f>
        <v>4.7399999999999998E-2</v>
      </c>
      <c r="P23" s="54">
        <f>IF(IF(ROUND(((Coeff.effectif/0.6)*((1.6*(J23+(C23*F23))/Salaire_brut_janvier)-1)),4)&gt;0,ROUND(((Coeff.effectif/0.6)*((1.6*(J23+(C23*F23))/Salaire_brut_janvier)-1)),4),0)&gt;Coeff.effectif,Coeff.effectif,IF(ROUND(((Coeff.effectif/0.6)*((1.6*(J23+(C23*F23))/Salaire_brut_janvier)-1)),4)&gt;0,ROUND(((Coeff.effectif/0.6)*((1.6*(J23+(C23*F23))/Salaire_brut_janvier)-1)),4),0))</f>
        <v>4.7399999999999998E-2</v>
      </c>
      <c r="Q23" s="53">
        <f>IF(ISERR(N23*O23),0,N23*O23)</f>
        <v>99.539999999999992</v>
      </c>
      <c r="R23" s="53">
        <f>IF(ISERR(Salaire_brut_janvier*O23),0,Salaire_brut_janvier*O23)</f>
        <v>99.539999999999992</v>
      </c>
      <c r="S23" s="53">
        <f>IF(ISERR(P23),0,Salaire_brut_janvier*P23)</f>
        <v>99.539999999999992</v>
      </c>
      <c r="T23" s="53"/>
      <c r="U23" s="55">
        <f>S23</f>
        <v>99.539999999999992</v>
      </c>
      <c r="V23" s="56">
        <f t="shared" ref="V23:V34" si="2">IF(Mode_calcul=1,IF(R23&gt;0,R23,""),IF(U23&gt;0,U23,""))</f>
        <v>99.539999999999992</v>
      </c>
      <c r="W23" s="57" t="str">
        <f t="shared" ref="W23:W33" si="3">IF(Mode_calcul=1,IF(R23&lt;0,-R23,""),IF(U23&lt;0,-U23,""))</f>
        <v/>
      </c>
    </row>
    <row r="24" spans="2:23" ht="15">
      <c r="B24" s="48" t="s">
        <v>37</v>
      </c>
      <c r="C24" s="49">
        <f>SMIC!B5</f>
        <v>9.5299999999999994</v>
      </c>
      <c r="D24" s="15"/>
      <c r="E24" s="50"/>
      <c r="F24" s="51"/>
      <c r="G24" s="58">
        <f t="shared" ref="G24:G34" si="4">IF(AND($C$18&lt;&gt;0,$C$18&lt;&gt;""),$C$18,"")</f>
        <v>35</v>
      </c>
      <c r="H24" s="58">
        <f t="shared" ref="H24:H34" si="5">IF(AND($C$19&lt;&gt;0,$C$19&lt;&gt;""),$C$19,"")</f>
        <v>35</v>
      </c>
      <c r="I24" s="48" t="s">
        <v>37</v>
      </c>
      <c r="J24" s="53">
        <f>IF(Salaire_brut_février="",0,Horaire_collectif_mensuel*C24*IF(G24&lt;&gt;"",G24,Salaire_brut_février)/IF(H24&lt;&gt;"",H24,IF(E24&lt;&gt;"",E24,Salaire_brut_février)))</f>
        <v>0</v>
      </c>
      <c r="K24" s="53">
        <f t="shared" si="0"/>
        <v>0</v>
      </c>
      <c r="L24" s="53">
        <f>L23+J24</f>
        <v>1445.4150999999997</v>
      </c>
      <c r="M24" s="53">
        <f t="shared" ref="M24:M34" si="6">M23+C24*F24</f>
        <v>0</v>
      </c>
      <c r="N24" s="53">
        <f>Salaire_brut_janvier+Salaire_brut_février</f>
        <v>2100</v>
      </c>
      <c r="O24" s="54">
        <f t="shared" si="1"/>
        <v>4.7399999999999998E-2</v>
      </c>
      <c r="P24" s="54" t="e">
        <f>IF(IF(ROUND(((Coeff.effectif/0.6)*((1.6*(J24+(C24*F24))/Salaire_brut_février)-1)),4)&gt;0,ROUND(((Coeff.effectif/0.6)*((1.6*(J24+(C24*F24))/Salaire_brut_février)-1)),4),0)&gt;Coeff.effectif,Coeff.effectif,IF(ROUND(((Coeff.effectif/0.6)*((1.6*(J24+(C24*F24))/Salaire_brut_février)-1)),4)&gt;0,ROUND(((Coeff.effectif/0.6)*((1.6*(J24+(C24*F24))/Salaire_brut_février)-1)),4),0))</f>
        <v>#DIV/0!</v>
      </c>
      <c r="Q24" s="53">
        <f t="shared" ref="Q24:Q33" si="7">IF(ISERR(N24*O24),0,N24*O24)</f>
        <v>99.539999999999992</v>
      </c>
      <c r="R24" s="53">
        <f>Q24-SUM(R23)</f>
        <v>0</v>
      </c>
      <c r="S24" s="53">
        <f>IF(ISERR(P24),0,Salaire_brut_février*P24)</f>
        <v>0</v>
      </c>
      <c r="T24" s="53"/>
      <c r="U24" s="53">
        <f t="shared" ref="U24:U33" si="8">S24</f>
        <v>0</v>
      </c>
      <c r="V24" s="56" t="str">
        <f t="shared" si="2"/>
        <v/>
      </c>
      <c r="W24" s="59" t="str">
        <f t="shared" si="3"/>
        <v/>
      </c>
    </row>
    <row r="25" spans="2:23" ht="15">
      <c r="B25" s="48" t="s">
        <v>38</v>
      </c>
      <c r="C25" s="49">
        <f>SMIC!B6</f>
        <v>9.5299999999999994</v>
      </c>
      <c r="D25" s="15"/>
      <c r="E25" s="50"/>
      <c r="F25" s="51"/>
      <c r="G25" s="58">
        <f t="shared" si="4"/>
        <v>35</v>
      </c>
      <c r="H25" s="58">
        <f t="shared" si="5"/>
        <v>35</v>
      </c>
      <c r="I25" s="48" t="s">
        <v>38</v>
      </c>
      <c r="J25" s="53">
        <f>IF(Salaire_brut_mars="",0,Horaire_collectif_mensuel*C25*IF(G25&lt;&gt;"",G25,Salaire_brut_mars)/IF(H25&lt;&gt;"",H25,IF(E25&lt;&gt;"",E25,Salaire_brut_mars)))</f>
        <v>0</v>
      </c>
      <c r="K25" s="53">
        <f t="shared" si="0"/>
        <v>0</v>
      </c>
      <c r="L25" s="53">
        <f t="shared" ref="L25:L34" si="9">L24+J25</f>
        <v>1445.4150999999997</v>
      </c>
      <c r="M25" s="53">
        <f t="shared" si="6"/>
        <v>0</v>
      </c>
      <c r="N25" s="53">
        <f>Salaire_brut_janvier+Salaire_brut_février+Salaire_brut_mars</f>
        <v>2100</v>
      </c>
      <c r="O25" s="54">
        <f t="shared" si="1"/>
        <v>4.7399999999999998E-2</v>
      </c>
      <c r="P25" s="54" t="e">
        <f>IF(IF(ROUND(((Coeff.effectif/0.6)*((1.6*(J25+(C25*F25))/Salaire_brut_mars)-1)),4)&gt;0,ROUND(((Coeff.effectif/0.6)*((1.6*(J25+(C25*F25))/Salaire_brut_mars)-1)),4),0)&gt;Coeff.effectif,Coeff.effectif,IF(ROUND(((Coeff.effectif/0.6)*((1.6*(J25+(C25*F25))/Salaire_brut_mars)-1)),4)&gt;0,ROUND(((Coeff.effectif/0.6)*((1.6*(J25+(C25*F25))/Salaire_brut_mars)-1)),4),0))</f>
        <v>#DIV/0!</v>
      </c>
      <c r="Q25" s="53">
        <f t="shared" si="7"/>
        <v>99.539999999999992</v>
      </c>
      <c r="R25" s="53">
        <f>Q25-SUM(R23:R24)</f>
        <v>0</v>
      </c>
      <c r="S25" s="53">
        <f>IF(ISERR(P25),0,Salaire_brut_mars*P25)</f>
        <v>0</v>
      </c>
      <c r="T25" s="53"/>
      <c r="U25" s="53">
        <f t="shared" si="8"/>
        <v>0</v>
      </c>
      <c r="V25" s="56" t="str">
        <f t="shared" si="2"/>
        <v/>
      </c>
      <c r="W25" s="59" t="str">
        <f t="shared" si="3"/>
        <v/>
      </c>
    </row>
    <row r="26" spans="2:23" ht="15">
      <c r="B26" s="48" t="s">
        <v>39</v>
      </c>
      <c r="C26" s="49">
        <f>SMIC!B7</f>
        <v>9.5299999999999994</v>
      </c>
      <c r="D26" s="15"/>
      <c r="E26" s="50"/>
      <c r="F26" s="51"/>
      <c r="G26" s="58">
        <f t="shared" si="4"/>
        <v>35</v>
      </c>
      <c r="H26" s="58">
        <f t="shared" si="5"/>
        <v>35</v>
      </c>
      <c r="I26" s="48" t="s">
        <v>39</v>
      </c>
      <c r="J26" s="53">
        <f>IF(Salaire_brut_avril="",0,Horaire_collectif_mensuel*C26*IF(G26&lt;&gt;"",G26,Salaire_brut_avril)/IF(H26&lt;&gt;"",H26,IF(E26&lt;&gt;"",E26,Salaire_brut_avril)))</f>
        <v>0</v>
      </c>
      <c r="K26" s="53">
        <f t="shared" si="0"/>
        <v>0</v>
      </c>
      <c r="L26" s="53">
        <f t="shared" si="9"/>
        <v>1445.4150999999997</v>
      </c>
      <c r="M26" s="53">
        <f t="shared" si="6"/>
        <v>0</v>
      </c>
      <c r="N26" s="53">
        <f>Salaire_brut_janvier+Salaire_brut_février+Salaire_brut_mars+Salaire_brut_avril</f>
        <v>2100</v>
      </c>
      <c r="O26" s="54">
        <f t="shared" si="1"/>
        <v>4.7399999999999998E-2</v>
      </c>
      <c r="P26" s="54" t="e">
        <f>IF(IF(ROUND(((Coeff.effectif/0.6)*((1.6*(J26+(C26*F26))/Salaire_brut_avril)-1)),4)&gt;0,ROUND(((Coeff.effectif/0.6)*((1.6*(J26+(C26*F26))/Salaire_brut_avril)-1)),4),0)&gt;Coeff.effectif,Coeff.effectif,IF(ROUND(((Coeff.effectif/0.6)*((1.6*(J26+(C26*F26))/Salaire_brut_avril)-1)),4)&gt;0,ROUND(((Coeff.effectif/0.6)*((1.6*(J26+(C26*F26))/Salaire_brut_avril)-1)),4),0))</f>
        <v>#DIV/0!</v>
      </c>
      <c r="Q26" s="53">
        <f t="shared" si="7"/>
        <v>99.539999999999992</v>
      </c>
      <c r="R26" s="53">
        <f>Q26-SUM(R23:R25)</f>
        <v>0</v>
      </c>
      <c r="S26" s="53">
        <f>IF(ISERR(P26),0,Salaire_brut_avril*P26)</f>
        <v>0</v>
      </c>
      <c r="T26" s="53"/>
      <c r="U26" s="53">
        <f t="shared" si="8"/>
        <v>0</v>
      </c>
      <c r="V26" s="56" t="str">
        <f t="shared" si="2"/>
        <v/>
      </c>
      <c r="W26" s="59" t="str">
        <f t="shared" si="3"/>
        <v/>
      </c>
    </row>
    <row r="27" spans="2:23" ht="15">
      <c r="B27" s="48" t="s">
        <v>40</v>
      </c>
      <c r="C27" s="49">
        <f>SMIC!B8</f>
        <v>9.5299999999999994</v>
      </c>
      <c r="D27" s="15"/>
      <c r="E27" s="50"/>
      <c r="F27" s="51"/>
      <c r="G27" s="58">
        <f t="shared" si="4"/>
        <v>35</v>
      </c>
      <c r="H27" s="58">
        <f t="shared" si="5"/>
        <v>35</v>
      </c>
      <c r="I27" s="48" t="s">
        <v>40</v>
      </c>
      <c r="J27" s="53">
        <f>IF(Salaire_brut_mai="",0,Horaire_collectif_mensuel*C27*IF(G27&lt;&gt;"",G27,Salaire_brut_mai)/IF(H27&lt;&gt;"",H27,IF(E27&lt;&gt;"",E27,Salaire_brut_mai)))</f>
        <v>0</v>
      </c>
      <c r="K27" s="53">
        <f t="shared" si="0"/>
        <v>0</v>
      </c>
      <c r="L27" s="53">
        <f t="shared" si="9"/>
        <v>1445.4150999999997</v>
      </c>
      <c r="M27" s="53">
        <f t="shared" si="6"/>
        <v>0</v>
      </c>
      <c r="N27" s="53">
        <f>Salaire_brut_janvier+Salaire_brut_février+Salaire_brut_mars+Salaire_brut_avril+Salaire_brut_mai</f>
        <v>2100</v>
      </c>
      <c r="O27" s="54">
        <f t="shared" si="1"/>
        <v>4.7399999999999998E-2</v>
      </c>
      <c r="P27" s="54" t="e">
        <f>IF(IF(ROUND(((Coeff.effectif/0.6)*((1.6*(J27+(C27*F27))/Salaire_brut_mai)-1)),4)&gt;0,ROUND(((Coeff.effectif/0.6)*((1.6*(J27+(C27*F27))/Salaire_brut_mai)-1)),4),0)&gt;Coeff.effectif,Coeff.effectif,IF(ROUND(((Coeff.effectif/0.6)*((1.6*(J27+(C27*F27))/Salaire_brut_mai)-1)),4)&gt;0,ROUND(((Coeff.effectif/0.6)*((1.6*(J27+(C27*F27))/Salaire_brut_mai)-1)),4),0))</f>
        <v>#DIV/0!</v>
      </c>
      <c r="Q27" s="53">
        <f t="shared" si="7"/>
        <v>99.539999999999992</v>
      </c>
      <c r="R27" s="53">
        <f>Q27-SUM(R23:R26)</f>
        <v>0</v>
      </c>
      <c r="S27" s="53">
        <f>IF(ISERR(P27),0,Salaire_brut_mai*P27)</f>
        <v>0</v>
      </c>
      <c r="T27" s="53"/>
      <c r="U27" s="53">
        <f t="shared" si="8"/>
        <v>0</v>
      </c>
      <c r="V27" s="56" t="str">
        <f t="shared" si="2"/>
        <v/>
      </c>
      <c r="W27" s="59" t="str">
        <f t="shared" si="3"/>
        <v/>
      </c>
    </row>
    <row r="28" spans="2:23" ht="15">
      <c r="B28" s="48" t="s">
        <v>41</v>
      </c>
      <c r="C28" s="49">
        <f>SMIC!B9</f>
        <v>9.5299999999999994</v>
      </c>
      <c r="D28" s="15"/>
      <c r="E28" s="50"/>
      <c r="F28" s="51"/>
      <c r="G28" s="58">
        <f t="shared" si="4"/>
        <v>35</v>
      </c>
      <c r="H28" s="58">
        <f t="shared" si="5"/>
        <v>35</v>
      </c>
      <c r="I28" s="48" t="s">
        <v>41</v>
      </c>
      <c r="J28" s="53">
        <f>IF(Salaire_brut_juin="",0,Horaire_collectif_mensuel*C28*IF(G28&lt;&gt;"",G28,Salaire_brut_juin)/IF(H28&lt;&gt;"",H28,IF(E28&lt;&gt;"",E28,Salaire_brut_juin)))</f>
        <v>0</v>
      </c>
      <c r="K28" s="53">
        <f t="shared" si="0"/>
        <v>0</v>
      </c>
      <c r="L28" s="53">
        <f t="shared" si="9"/>
        <v>1445.4150999999997</v>
      </c>
      <c r="M28" s="53">
        <f t="shared" si="6"/>
        <v>0</v>
      </c>
      <c r="N28" s="53">
        <f>Salaire_brut_janvier+Salaire_brut_février+Salaire_brut_mars+Salaire_brut_avril+Salaire_brut_mai+Salaire_brut_juin</f>
        <v>2100</v>
      </c>
      <c r="O28" s="54">
        <f t="shared" si="1"/>
        <v>4.7399999999999998E-2</v>
      </c>
      <c r="P28" s="54" t="e">
        <f>IF(IF(ROUND(((Coeff.effectif/0.6)*((1.6*(J28+(C28*F28))/Salaire_brut_juin)-1)),4)&gt;0,ROUND(((Coeff.effectif/0.6)*((1.6*(J28+(C28*F28))/Salaire_brut_juin)-1)),4),0)&gt;Coeff.effectif,Coeff.effectif,IF(ROUND(((Coeff.effectif/0.6)*((1.6*(J28+(C28*F28))/Salaire_brut_juin)-1)),4)&gt;0,ROUND(((Coeff.effectif/0.6)*((1.6*(J28+(C28*F28))/Salaire_brut_juin)-1)),4),0))</f>
        <v>#DIV/0!</v>
      </c>
      <c r="Q28" s="53">
        <f t="shared" si="7"/>
        <v>99.539999999999992</v>
      </c>
      <c r="R28" s="53">
        <f>Q28-SUM(R23:R27)</f>
        <v>0</v>
      </c>
      <c r="S28" s="53">
        <f>IF(ISERR(P28),0,Salaire_brut_juin*P28)</f>
        <v>0</v>
      </c>
      <c r="T28" s="53"/>
      <c r="U28" s="53">
        <f t="shared" si="8"/>
        <v>0</v>
      </c>
      <c r="V28" s="56" t="str">
        <f t="shared" si="2"/>
        <v/>
      </c>
      <c r="W28" s="59" t="str">
        <f t="shared" si="3"/>
        <v/>
      </c>
    </row>
    <row r="29" spans="2:23" ht="15">
      <c r="B29" s="48" t="s">
        <v>42</v>
      </c>
      <c r="C29" s="49">
        <f>SMIC!B10</f>
        <v>9.5299999999999994</v>
      </c>
      <c r="D29" s="15"/>
      <c r="E29" s="50"/>
      <c r="F29" s="51"/>
      <c r="G29" s="58">
        <f t="shared" si="4"/>
        <v>35</v>
      </c>
      <c r="H29" s="58">
        <f t="shared" si="5"/>
        <v>35</v>
      </c>
      <c r="I29" s="48" t="s">
        <v>42</v>
      </c>
      <c r="J29" s="53">
        <f>IF(Salaire_brut_juillet="",0,Horaire_collectif_mensuel*C29*IF(G29&lt;&gt;"",G29,Salaire_brut_juillet)/IF(H29&lt;&gt;"",H29,IF(E29&lt;&gt;"",E29,Salaire_brut_juillet)))</f>
        <v>0</v>
      </c>
      <c r="K29" s="53">
        <f t="shared" si="0"/>
        <v>0</v>
      </c>
      <c r="L29" s="53">
        <f t="shared" si="9"/>
        <v>1445.4150999999997</v>
      </c>
      <c r="M29" s="53">
        <f t="shared" si="6"/>
        <v>0</v>
      </c>
      <c r="N29" s="53">
        <f>Salaire_brut_janvier+Salaire_brut_février+Salaire_brut_mars+Salaire_brut_avril+Salaire_brut_mai+Salaire_brut_juin+Salaire_brut_juillet</f>
        <v>2100</v>
      </c>
      <c r="O29" s="54">
        <f t="shared" si="1"/>
        <v>4.7399999999999998E-2</v>
      </c>
      <c r="P29" s="54" t="e">
        <f>IF(IF(ROUND(((Coeff.effectif/0.6)*((1.6*(J29+(C29*F29))/Salaire_brut_juillet)-1)),4)&gt;0,ROUND(((Coeff.effectif/0.6)*((1.6*(J29+(C29*F29))/Salaire_brut_juillet)-1)),4),0)&gt;Coeff.effectif,Coeff.effectif,IF(ROUND(((Coeff.effectif/0.6)*((1.6*(J29+(C29*F29))/Salaire_brut_juillet)-1)),4)&gt;0,ROUND(((Coeff.effectif/0.6)*((1.6*(J29+(C29*F29))/Salaire_brut_juillet)-1)),4),0))</f>
        <v>#DIV/0!</v>
      </c>
      <c r="Q29" s="53">
        <f t="shared" si="7"/>
        <v>99.539999999999992</v>
      </c>
      <c r="R29" s="53">
        <f>Q29-SUM(R23:R28)</f>
        <v>0</v>
      </c>
      <c r="S29" s="53">
        <f>IF(ISERR(P29),0,Salaire_brut_juillet*P29)</f>
        <v>0</v>
      </c>
      <c r="T29" s="53"/>
      <c r="U29" s="53">
        <f t="shared" si="8"/>
        <v>0</v>
      </c>
      <c r="V29" s="56" t="str">
        <f t="shared" si="2"/>
        <v/>
      </c>
      <c r="W29" s="59" t="str">
        <f t="shared" si="3"/>
        <v/>
      </c>
    </row>
    <row r="30" spans="2:23" ht="15">
      <c r="B30" s="48" t="s">
        <v>43</v>
      </c>
      <c r="C30" s="49">
        <f>SMIC!B11</f>
        <v>9.5299999999999994</v>
      </c>
      <c r="D30" s="15"/>
      <c r="E30" s="50"/>
      <c r="F30" s="51"/>
      <c r="G30" s="58">
        <f t="shared" si="4"/>
        <v>35</v>
      </c>
      <c r="H30" s="58">
        <f t="shared" si="5"/>
        <v>35</v>
      </c>
      <c r="I30" s="48" t="s">
        <v>43</v>
      </c>
      <c r="J30" s="53">
        <f>IF(Salaire_brut_août="",0,Horaire_collectif_mensuel*C30*IF(G30&lt;&gt;"",G30,Salaire_brut_août)/IF(H30&lt;&gt;"",H30,IF(E30&lt;&gt;"",E30,Salaire_brut_août)))</f>
        <v>0</v>
      </c>
      <c r="K30" s="53">
        <f t="shared" si="0"/>
        <v>0</v>
      </c>
      <c r="L30" s="53">
        <f t="shared" si="9"/>
        <v>1445.4150999999997</v>
      </c>
      <c r="M30" s="53">
        <f t="shared" si="6"/>
        <v>0</v>
      </c>
      <c r="N30" s="53">
        <f>Salaire_brut_janvier+Salaire_brut_février+Salaire_brut_mars+Salaire_brut_avril+Salaire_brut_mai+Salaire_brut_juin+Salaire_brut_juillet+Salaire_brut_août</f>
        <v>2100</v>
      </c>
      <c r="O30" s="54">
        <f t="shared" si="1"/>
        <v>4.7399999999999998E-2</v>
      </c>
      <c r="P30" s="54" t="e">
        <f>IF(IF(ROUND(((Coeff.effectif/0.6)*((1.6*(J30+(C30*F30))/Salaire_brut_août)-1)),4)&gt;0,ROUND(((Coeff.effectif/0.6)*((1.6*(J30+(C30*F30))/Salaire_brut_août)-1)),4),0)&gt;Coeff.effectif,Coeff.effectif,IF(ROUND(((Coeff.effectif/0.6)*((1.6*(J30+(C30*F30))/Salaire_brut_août)-1)),4)&gt;0,ROUND(((Coeff.effectif/0.6)*((1.6*(J30+(C30*F30))/Salaire_brut_août)-1)),4),0))</f>
        <v>#DIV/0!</v>
      </c>
      <c r="Q30" s="53">
        <f t="shared" si="7"/>
        <v>99.539999999999992</v>
      </c>
      <c r="R30" s="53">
        <f>Q30-SUM(R23:R29)</f>
        <v>0</v>
      </c>
      <c r="S30" s="53">
        <f>IF(ISERR(P30),0,Salaire_brut_août*P30)</f>
        <v>0</v>
      </c>
      <c r="T30" s="53"/>
      <c r="U30" s="53">
        <f t="shared" si="8"/>
        <v>0</v>
      </c>
      <c r="V30" s="56" t="str">
        <f t="shared" si="2"/>
        <v/>
      </c>
      <c r="W30" s="59" t="str">
        <f t="shared" si="3"/>
        <v/>
      </c>
    </row>
    <row r="31" spans="2:23" ht="15">
      <c r="B31" s="48" t="s">
        <v>44</v>
      </c>
      <c r="C31" s="49">
        <f>SMIC!B12</f>
        <v>9.5299999999999994</v>
      </c>
      <c r="D31" s="15"/>
      <c r="E31" s="50"/>
      <c r="F31" s="51"/>
      <c r="G31" s="58">
        <f t="shared" si="4"/>
        <v>35</v>
      </c>
      <c r="H31" s="58">
        <f t="shared" si="5"/>
        <v>35</v>
      </c>
      <c r="I31" s="48" t="s">
        <v>44</v>
      </c>
      <c r="J31" s="53">
        <f>IF(Salaire_brut_septembre="",0,Horaire_collectif_mensuel*C31*IF(G31&lt;&gt;"",G31,Salaire_brut_septembre)/IF(H31&lt;&gt;"",H31,IF(E31&lt;&gt;"",E31,Salaire_brut_septembre)))</f>
        <v>0</v>
      </c>
      <c r="K31" s="53">
        <f t="shared" si="0"/>
        <v>0</v>
      </c>
      <c r="L31" s="53">
        <f t="shared" si="9"/>
        <v>1445.4150999999997</v>
      </c>
      <c r="M31" s="53">
        <f t="shared" si="6"/>
        <v>0</v>
      </c>
      <c r="N31" s="53">
        <f>Salaire_brut_janvier+Salaire_brut_février+Salaire_brut_mars+Salaire_brut_avril+Salaire_brut_mai+Salaire_brut_juin+Salaire_brut_juillet+Salaire_brut_août+Salaire_brut_septembre</f>
        <v>2100</v>
      </c>
      <c r="O31" s="54">
        <f t="shared" si="1"/>
        <v>4.7399999999999998E-2</v>
      </c>
      <c r="P31" s="54" t="e">
        <f>IF(IF(ROUND(((Coeff.effectif/0.6)*((1.6*(J31+(C31*F31))/Salaire_brut_septembre)-1)),4)&gt;0,ROUND(((Coeff.effectif/0.6)*((1.6*(J31+(C31*F31))/Salaire_brut_septembre)-1)),4),0)&gt;Coeff.effectif,Coeff.effectif,IF(ROUND(((Coeff.effectif/0.6)*((1.6*(J31+(C31*F31))/Salaire_brut_septembre)-1)),4)&gt;0,ROUND(((Coeff.effectif/0.6)*((1.6*(J31+(C31*F31))/Salaire_brut_septembre)-1)),4),0))</f>
        <v>#DIV/0!</v>
      </c>
      <c r="Q31" s="53">
        <f t="shared" si="7"/>
        <v>99.539999999999992</v>
      </c>
      <c r="R31" s="53">
        <f>Q31-SUM(R23:R30)</f>
        <v>0</v>
      </c>
      <c r="S31" s="53">
        <f>IF(ISERR(P31),0,Salaire_brut_septembre*P31)</f>
        <v>0</v>
      </c>
      <c r="T31" s="53"/>
      <c r="U31" s="53">
        <f t="shared" si="8"/>
        <v>0</v>
      </c>
      <c r="V31" s="56" t="str">
        <f t="shared" si="2"/>
        <v/>
      </c>
      <c r="W31" s="59" t="str">
        <f t="shared" si="3"/>
        <v/>
      </c>
    </row>
    <row r="32" spans="2:23" ht="15">
      <c r="B32" s="48" t="s">
        <v>45</v>
      </c>
      <c r="C32" s="49">
        <f>SMIC!B13</f>
        <v>9.5299999999999994</v>
      </c>
      <c r="D32" s="15"/>
      <c r="E32" s="50"/>
      <c r="F32" s="51"/>
      <c r="G32" s="58">
        <f t="shared" si="4"/>
        <v>35</v>
      </c>
      <c r="H32" s="58">
        <f t="shared" si="5"/>
        <v>35</v>
      </c>
      <c r="I32" s="48" t="s">
        <v>45</v>
      </c>
      <c r="J32" s="53">
        <f>IF(Salaire_brut_octobre="",0,Horaire_collectif_mensuel*C32*IF(G32&lt;&gt;"",G32,Salaire_brut_octobre)/IF(H32&lt;&gt;"",H32,IF(E32&lt;&gt;"",E32,Salaire_brut_octobre)))</f>
        <v>0</v>
      </c>
      <c r="K32" s="53">
        <f t="shared" si="0"/>
        <v>0</v>
      </c>
      <c r="L32" s="53">
        <f t="shared" si="9"/>
        <v>1445.4150999999997</v>
      </c>
      <c r="M32" s="53">
        <f t="shared" si="6"/>
        <v>0</v>
      </c>
      <c r="N32" s="53">
        <f>Salaire_brut_janvier+Salaire_brut_février+Salaire_brut_mars+Salaire_brut_avril+Salaire_brut_mai+Salaire_brut_juin+Salaire_brut_juillet+Salaire_brut_août+Salaire_brut_septembre+Salaire_brut_octobre</f>
        <v>2100</v>
      </c>
      <c r="O32" s="54">
        <f t="shared" si="1"/>
        <v>4.7399999999999998E-2</v>
      </c>
      <c r="P32" s="54" t="e">
        <f>IF(IF(ROUND(((Coeff.effectif/0.6)*((1.6*(J32+(C32*F32))/Salaire_brut_octobre)-1)),4)&gt;0,ROUND(((Coeff.effectif/0.6)*((1.6*(J32+(C32*F32))/Salaire_brut_octobre)-1)),4),0)&gt;Coeff.effectif,Coeff.effectif,IF(ROUND(((Coeff.effectif/0.6)*((1.6*(J32+(C32*F32))/Salaire_brut_octobre)-1)),4)&gt;0,ROUND(((Coeff.effectif/0.6)*((1.6*(J32+(C32*F32))/Salaire_brut_octobre)-1)),4),0))</f>
        <v>#DIV/0!</v>
      </c>
      <c r="Q32" s="53">
        <f t="shared" si="7"/>
        <v>99.539999999999992</v>
      </c>
      <c r="R32" s="53">
        <f>Q32-SUM(R23:R31)</f>
        <v>0</v>
      </c>
      <c r="S32" s="53">
        <f>IF(ISERR(P32),0,Salaire_brut_octobre*P32)</f>
        <v>0</v>
      </c>
      <c r="T32" s="53"/>
      <c r="U32" s="53">
        <f t="shared" si="8"/>
        <v>0</v>
      </c>
      <c r="V32" s="56" t="str">
        <f t="shared" si="2"/>
        <v/>
      </c>
      <c r="W32" s="59" t="str">
        <f t="shared" si="3"/>
        <v/>
      </c>
    </row>
    <row r="33" spans="2:31" ht="15">
      <c r="B33" s="48" t="s">
        <v>46</v>
      </c>
      <c r="C33" s="49">
        <f>SMIC!B14</f>
        <v>9.5299999999999994</v>
      </c>
      <c r="D33" s="15"/>
      <c r="E33" s="50"/>
      <c r="F33" s="51"/>
      <c r="G33" s="58">
        <f t="shared" si="4"/>
        <v>35</v>
      </c>
      <c r="H33" s="58">
        <f t="shared" si="5"/>
        <v>35</v>
      </c>
      <c r="I33" s="48" t="s">
        <v>46</v>
      </c>
      <c r="J33" s="53">
        <f>IF(Salaire_brut_novembre="",0,Horaire_collectif_mensuel*C33*IF(G33&lt;&gt;"",G33,Salaire_brut_novembre)/IF(H33&lt;&gt;"",H33,IF(E33&lt;&gt;"",E33,Salaire_brut_novembre)))</f>
        <v>0</v>
      </c>
      <c r="K33" s="53">
        <f t="shared" si="0"/>
        <v>0</v>
      </c>
      <c r="L33" s="53">
        <f t="shared" si="9"/>
        <v>1445.4150999999997</v>
      </c>
      <c r="M33" s="53">
        <f t="shared" si="6"/>
        <v>0</v>
      </c>
      <c r="N33" s="53">
        <f>Salaire_brut_janvier+Salaire_brut_février+Salaire_brut_mars+Salaire_brut_avril+Salaire_brut_mai+Salaire_brut_juin+Salaire_brut_juillet+Salaire_brut_août+Salaire_brut_septembre+Salaire_brut_octobre+Salaire_brut_novembre</f>
        <v>2100</v>
      </c>
      <c r="O33" s="54">
        <f t="shared" si="1"/>
        <v>4.7399999999999998E-2</v>
      </c>
      <c r="P33" s="54" t="e">
        <f>IF(IF(ROUND(((Coeff.effectif/0.6)*((1.6*(J33+(C33*F33))/Salaire_brut_novembre)-1)),4)&gt;0,ROUND(((Coeff.effectif/0.6)*((1.6*(J33+(C33*F33))/Salaire_brut_novembre)-1)),4),0)&gt;Coeff.effectif,Coeff.effectif,IF(ROUND(((Coeff.effectif/0.6)*((1.6*(J33+(C33*F33))/Salaire_brut_novembre)-1)),4)&gt;0,ROUND(((Coeff.effectif/0.6)*((1.6*(J33+(C33*F33))/Salaire_brut_novembre)-1)),4),0))</f>
        <v>#DIV/0!</v>
      </c>
      <c r="Q33" s="53">
        <f t="shared" si="7"/>
        <v>99.539999999999992</v>
      </c>
      <c r="R33" s="53">
        <f>Q33-SUM(R23:R32)</f>
        <v>0</v>
      </c>
      <c r="S33" s="53">
        <f>IF(ISERR(P33),0,Salaire_brut_novembre*P33)</f>
        <v>0</v>
      </c>
      <c r="U33" s="53">
        <f t="shared" si="8"/>
        <v>0</v>
      </c>
      <c r="V33" s="56" t="str">
        <f t="shared" si="2"/>
        <v/>
      </c>
      <c r="W33" s="59" t="str">
        <f t="shared" si="3"/>
        <v/>
      </c>
    </row>
    <row r="34" spans="2:31" ht="15.75" thickBot="1">
      <c r="B34" s="48" t="s">
        <v>47</v>
      </c>
      <c r="C34" s="60">
        <f>SMIC!B15</f>
        <v>9.5299999999999994</v>
      </c>
      <c r="D34" s="15"/>
      <c r="E34" s="61"/>
      <c r="F34" s="62"/>
      <c r="G34" s="63">
        <f t="shared" si="4"/>
        <v>35</v>
      </c>
      <c r="H34" s="63">
        <f t="shared" si="5"/>
        <v>35</v>
      </c>
      <c r="I34" s="48" t="s">
        <v>47</v>
      </c>
      <c r="J34" s="53">
        <f>IF(Salaire_brut_décembre="",0,Horaire_collectif_mensuel*C34*IF(G34&lt;&gt;"",G34,Salaire_brut_décembre)/IF(H34&lt;&gt;"",H34,IF(E34&lt;&gt;"",E34,Salaire_brut_décembre)))</f>
        <v>0</v>
      </c>
      <c r="K34" s="53">
        <f t="shared" si="0"/>
        <v>0</v>
      </c>
      <c r="L34" s="53">
        <f t="shared" si="9"/>
        <v>1445.4150999999997</v>
      </c>
      <c r="M34" s="53">
        <f t="shared" si="6"/>
        <v>0</v>
      </c>
      <c r="N34" s="53">
        <f>Salaire_brut_janvier+Salaire_brut_février+Salaire_brut_mars+Salaire_brut_avril+Salaire_brut_mai+Salaire_brut_juin+Salaire_brut_juillet+Salaire_brut_août+Salaire_brut_septembre+Salaire_brut_octobre+Salaire_brut_novembre+Salaire_brut_décembre</f>
        <v>2100</v>
      </c>
      <c r="O34" s="54">
        <f t="shared" si="1"/>
        <v>4.7399999999999998E-2</v>
      </c>
      <c r="P34" s="54" t="e">
        <f>IF(IF(ROUND(((Coeff.effectif/0.6)*((1.6*(J34+(C34*F34))/Salaire_brut_décembre)-1)),4)&gt;0,ROUND(((Coeff.effectif/0.6)*((1.6*(J34+(C34*F34))/Salaire_brut_décembre)-1)),4),0)&gt;Coeff.effectif,Coeff.effectif,IF(ROUND(((Coeff.effectif/0.6)*((1.6*(J34+(C34*F34))/Salaire_brut_décembre)-1)),4)&gt;0,ROUND(((Coeff.effectif/0.6)*((1.6*(J34+(C34*F34))/Salaire_brut_décembre)-1)),4),0))</f>
        <v>#DIV/0!</v>
      </c>
      <c r="Q34" s="53">
        <f>IF(Salaire_brut_décembre=0,0,N34*O34)</f>
        <v>0</v>
      </c>
      <c r="R34" s="53" t="str">
        <f>IF(Q34-SUM(R23:R33)&lt;0,"",Q34-SUM(R23:R33))</f>
        <v/>
      </c>
      <c r="S34" s="53">
        <f>IF(ISERR(P34),0,Salaire_brut_décembre*P34)</f>
        <v>0</v>
      </c>
      <c r="T34" s="53">
        <f>IF(Salaire_brut_décembre="",0,IF(Q34-SUM(R23:R33)&gt;0,"",Q34-SUM(R23:R33)))</f>
        <v>0</v>
      </c>
      <c r="U34" s="53">
        <f>(SUM(R23:R33)+IF(R34&lt;&gt;"",R34,0)+IF(T34&lt;&gt;"",T34,0))-SUM(U23:U33)</f>
        <v>0</v>
      </c>
      <c r="V34" s="56" t="str">
        <f t="shared" si="2"/>
        <v/>
      </c>
      <c r="W34" s="64" t="str">
        <f>IF(Mode_calcul=1,IF(T34&lt;0,-T34,""),IF(U34&lt;0,-U34,""))</f>
        <v/>
      </c>
    </row>
    <row r="35" spans="2:31" ht="21" customHeight="1" thickBot="1">
      <c r="B35" s="65" t="s">
        <v>170</v>
      </c>
      <c r="C35" s="66"/>
      <c r="D35" s="67">
        <f>SUM(D23:D34)</f>
        <v>2100</v>
      </c>
      <c r="E35" s="68"/>
      <c r="F35" s="69"/>
      <c r="G35" s="66"/>
      <c r="H35" s="66"/>
      <c r="I35" s="65" t="s">
        <v>170</v>
      </c>
      <c r="Q35" s="53"/>
      <c r="R35" s="70"/>
      <c r="S35" s="53">
        <f>SUM(S23:S34)</f>
        <v>99.539999999999992</v>
      </c>
      <c r="V35" s="121">
        <f>SUM(V23:V33)+IF(V34="",0,V34)-SUM(W23:W33)-IF(W34="",0,W34)</f>
        <v>99.539999999999992</v>
      </c>
      <c r="W35" s="122"/>
    </row>
    <row r="36" spans="2:31" ht="21" customHeight="1" thickBot="1">
      <c r="C36" s="71"/>
      <c r="F36" s="30"/>
      <c r="Q36" s="53"/>
      <c r="R36" s="70"/>
      <c r="S36" s="53"/>
    </row>
    <row r="37" spans="2:31" ht="21" hidden="1" customHeight="1">
      <c r="C37" s="71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53"/>
      <c r="V37" s="120" t="s">
        <v>171</v>
      </c>
      <c r="W37" s="120"/>
      <c r="X37" s="120" t="s">
        <v>172</v>
      </c>
      <c r="Y37" s="120"/>
    </row>
    <row r="38" spans="2:31" ht="21" hidden="1" customHeight="1">
      <c r="C38" s="71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53"/>
      <c r="V38" s="19" t="s">
        <v>173</v>
      </c>
      <c r="W38" s="19" t="s">
        <v>174</v>
      </c>
      <c r="X38" s="19" t="s">
        <v>173</v>
      </c>
      <c r="Y38" s="19" t="s">
        <v>174</v>
      </c>
      <c r="AB38" s="19"/>
      <c r="AC38" s="19"/>
      <c r="AD38" s="53"/>
      <c r="AE38" s="22"/>
    </row>
    <row r="39" spans="2:31" ht="21" hidden="1" customHeight="1">
      <c r="C39" s="71"/>
      <c r="D39" s="72"/>
      <c r="E39" s="72"/>
      <c r="F39" s="72"/>
      <c r="H39" s="109"/>
      <c r="I39" s="109"/>
      <c r="J39" s="72"/>
      <c r="K39" s="72"/>
      <c r="L39" s="72"/>
      <c r="M39" s="72"/>
      <c r="N39" s="72"/>
      <c r="O39" s="72"/>
      <c r="P39" s="72"/>
      <c r="Q39" s="72"/>
      <c r="R39" s="72"/>
      <c r="S39" s="53"/>
      <c r="U39" s="74" t="s">
        <v>175</v>
      </c>
      <c r="V39" s="75">
        <f>IF(R23+R24+R25&lt;0,"",R23+R24+R25)</f>
        <v>99.539999999999992</v>
      </c>
      <c r="W39" s="75" t="str">
        <f>IF(R23+R24+R25&gt;0,"",-(R23+R24+R25))</f>
        <v/>
      </c>
      <c r="X39" s="75">
        <f>IF(U23+U24+U25&lt;0,"",U23+U24+U25)</f>
        <v>99.539999999999992</v>
      </c>
      <c r="Y39" s="75" t="str">
        <f>IF(U23+U24+U25&gt;0,"",-(U23+U24+U25))</f>
        <v/>
      </c>
      <c r="Z39" s="76"/>
      <c r="AA39" s="76"/>
      <c r="AB39" s="77"/>
      <c r="AC39" s="77"/>
      <c r="AD39" s="77"/>
    </row>
    <row r="40" spans="2:31" ht="21" hidden="1" customHeight="1">
      <c r="C40" s="71"/>
      <c r="D40" s="72"/>
      <c r="E40" s="72"/>
      <c r="F40" s="72"/>
      <c r="H40" s="109"/>
      <c r="I40" s="109"/>
      <c r="J40" s="72"/>
      <c r="K40" s="72"/>
      <c r="L40" s="72"/>
      <c r="M40" s="72"/>
      <c r="N40" s="72"/>
      <c r="O40" s="72"/>
      <c r="P40" s="72"/>
      <c r="Q40" s="72"/>
      <c r="R40" s="72"/>
      <c r="S40" s="53"/>
      <c r="U40" s="74" t="s">
        <v>176</v>
      </c>
      <c r="V40" s="75">
        <f>IF(R26+R27+R28&lt;0,"",R26+R27+R28)</f>
        <v>0</v>
      </c>
      <c r="W40" s="75">
        <f>IF(R26+R27+R28&gt;0,"",-(R26+R27+R28))</f>
        <v>0</v>
      </c>
      <c r="X40" s="75">
        <f>IF(U26+U27+U28&lt;0,"",U26+U27+U28)</f>
        <v>0</v>
      </c>
      <c r="Y40" s="75">
        <f>IF(U26+U27+U28&gt;0,"",-(U26+U27+U28))</f>
        <v>0</v>
      </c>
      <c r="Z40" s="76"/>
      <c r="AA40" s="76"/>
      <c r="AB40" s="77"/>
      <c r="AC40" s="77"/>
      <c r="AD40" s="77"/>
    </row>
    <row r="41" spans="2:31" ht="21" hidden="1" customHeight="1">
      <c r="C41" s="71"/>
      <c r="D41" s="72"/>
      <c r="E41" s="72"/>
      <c r="F41" s="72"/>
      <c r="H41" s="109"/>
      <c r="I41" s="109"/>
      <c r="J41" s="72"/>
      <c r="K41" s="72"/>
      <c r="L41" s="72"/>
      <c r="M41" s="72"/>
      <c r="N41" s="72"/>
      <c r="O41" s="72"/>
      <c r="P41" s="72"/>
      <c r="Q41" s="72"/>
      <c r="R41" s="72"/>
      <c r="S41" s="53"/>
      <c r="U41" s="74" t="s">
        <v>177</v>
      </c>
      <c r="V41" s="75">
        <f>IF(R29+R30+R31&lt;0,"",R29+R30+R31)</f>
        <v>0</v>
      </c>
      <c r="W41" s="75">
        <f>IF(R29+R30+R31&gt;0,"",-(R29+R30+R31))</f>
        <v>0</v>
      </c>
      <c r="X41" s="75">
        <f>IF(U29+U30+U31&lt;0,"",U29+U30+U31)</f>
        <v>0</v>
      </c>
      <c r="Y41" s="75">
        <f>IF(U29+U30+U31&gt;0,"",-(U29+U30+U31))</f>
        <v>0</v>
      </c>
      <c r="Z41" s="76"/>
      <c r="AA41" s="76"/>
      <c r="AB41" s="77"/>
      <c r="AC41" s="77"/>
      <c r="AD41" s="77"/>
    </row>
    <row r="42" spans="2:31" ht="21" hidden="1" customHeight="1" thickBot="1">
      <c r="C42" s="71"/>
      <c r="D42" s="72"/>
      <c r="E42" s="72"/>
      <c r="F42" s="72"/>
      <c r="H42" s="109"/>
      <c r="I42" s="109"/>
      <c r="J42" s="72"/>
      <c r="K42" s="72"/>
      <c r="L42" s="72"/>
      <c r="M42" s="72"/>
      <c r="N42" s="72"/>
      <c r="O42" s="72"/>
      <c r="P42" s="72"/>
      <c r="Q42" s="72"/>
      <c r="R42" s="72"/>
      <c r="S42" s="53"/>
      <c r="U42" s="74" t="s">
        <v>178</v>
      </c>
      <c r="V42" s="75">
        <f>IF(R32+R33+IF(R34&lt;&gt;"",R34,0)+IF(T34&lt;&gt;"",T34,0)&lt;0,"",R32+R33+IF(R34&lt;&gt;"",R34,0)+IF(T34&lt;&gt;"",T34,0))</f>
        <v>0</v>
      </c>
      <c r="W42" s="75">
        <f>IF(R32+R33+IF(R34&lt;&gt;"",R34,0)+IF(T34&lt;&gt;"",T34,0)&gt;0,"",-(R32+R33+IF(R34&lt;&gt;"",R34,0)+IF(T34&lt;&gt;"",T34,0)))</f>
        <v>0</v>
      </c>
      <c r="X42" s="75">
        <f>IF(U32+U33+U34&lt;0,"",U32+U33+U34)</f>
        <v>0</v>
      </c>
      <c r="Y42" s="75">
        <f>IF(U32+U33+U34&gt;0,"",-(U32+U33+U34))</f>
        <v>0</v>
      </c>
      <c r="Z42" s="76"/>
      <c r="AA42" s="76"/>
      <c r="AB42" s="77"/>
      <c r="AC42" s="77"/>
      <c r="AD42" s="77"/>
    </row>
    <row r="43" spans="2:31" ht="21" customHeight="1" thickBot="1">
      <c r="C43" s="123" t="s">
        <v>179</v>
      </c>
      <c r="D43" s="123"/>
      <c r="E43" s="123"/>
      <c r="F43" s="123"/>
      <c r="G43" s="123"/>
      <c r="H43" s="123"/>
      <c r="I43" s="109"/>
      <c r="J43" s="72"/>
      <c r="K43" s="72"/>
      <c r="L43" s="72"/>
      <c r="M43" s="72"/>
      <c r="N43" s="72"/>
      <c r="O43" s="72"/>
      <c r="P43" s="72"/>
      <c r="Q43" s="72"/>
      <c r="R43" s="72"/>
      <c r="S43" s="53"/>
      <c r="U43" s="74"/>
      <c r="V43" s="75"/>
      <c r="W43" s="75"/>
      <c r="X43" s="75"/>
      <c r="Y43" s="75"/>
      <c r="Z43" s="76"/>
      <c r="AA43" s="76"/>
      <c r="AB43" s="77"/>
      <c r="AC43" s="77"/>
      <c r="AD43" s="77"/>
    </row>
    <row r="44" spans="2:31" ht="21" customHeight="1" thickBot="1">
      <c r="C44" s="71"/>
      <c r="D44" s="124" t="s">
        <v>150</v>
      </c>
      <c r="E44" s="124"/>
      <c r="F44" s="125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53"/>
    </row>
    <row r="45" spans="2:31" ht="32.25" customHeight="1">
      <c r="C45" s="71"/>
      <c r="D45" s="78" t="s">
        <v>180</v>
      </c>
      <c r="E45" s="79" t="s">
        <v>181</v>
      </c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53"/>
    </row>
    <row r="46" spans="2:31">
      <c r="C46" s="80" t="s">
        <v>175</v>
      </c>
      <c r="D46" s="81">
        <f t="shared" ref="D46:E49" si="10">IF(Mode_calcul=1,V39,X39)</f>
        <v>99.539999999999992</v>
      </c>
      <c r="E46" s="81" t="str">
        <f t="shared" si="10"/>
        <v/>
      </c>
      <c r="O46" s="18"/>
      <c r="P46" s="18"/>
      <c r="Q46" s="18"/>
      <c r="R46" s="18"/>
    </row>
    <row r="47" spans="2:31">
      <c r="C47" s="80" t="s">
        <v>176</v>
      </c>
      <c r="D47" s="81">
        <f t="shared" si="10"/>
        <v>0</v>
      </c>
      <c r="E47" s="81">
        <f t="shared" si="10"/>
        <v>0</v>
      </c>
      <c r="O47" s="18"/>
      <c r="P47" s="18"/>
      <c r="Q47" s="18"/>
      <c r="R47" s="18"/>
    </row>
    <row r="48" spans="2:31">
      <c r="C48" s="80" t="s">
        <v>177</v>
      </c>
      <c r="D48" s="81">
        <f t="shared" si="10"/>
        <v>0</v>
      </c>
      <c r="E48" s="81">
        <f t="shared" si="10"/>
        <v>0</v>
      </c>
      <c r="O48" s="18"/>
      <c r="P48" s="18"/>
      <c r="Q48" s="18"/>
      <c r="R48" s="18"/>
    </row>
    <row r="49" spans="3:19" ht="14.25" thickBot="1">
      <c r="C49" s="80" t="s">
        <v>178</v>
      </c>
      <c r="D49" s="82">
        <f t="shared" si="10"/>
        <v>0</v>
      </c>
      <c r="E49" s="82">
        <f t="shared" si="10"/>
        <v>0</v>
      </c>
      <c r="O49" s="18"/>
      <c r="P49" s="18"/>
      <c r="Q49" s="18"/>
      <c r="R49" s="18"/>
    </row>
    <row r="50" spans="3:19" ht="14.25" thickBot="1">
      <c r="C50" s="65" t="s">
        <v>170</v>
      </c>
      <c r="D50" s="126">
        <f>+SUM(D46:D49)-SUM(E46:E49)</f>
        <v>99.539999999999992</v>
      </c>
      <c r="E50" s="126"/>
      <c r="K50" s="83"/>
      <c r="L50" s="83"/>
      <c r="M50" s="83"/>
      <c r="N50" s="83"/>
      <c r="S50" s="54"/>
    </row>
    <row r="51" spans="3:19">
      <c r="K51" s="83"/>
      <c r="L51" s="83"/>
      <c r="M51" s="83"/>
      <c r="N51" s="83"/>
      <c r="S51" s="54"/>
    </row>
    <row r="52" spans="3:19">
      <c r="C52" s="84"/>
      <c r="D52" s="85"/>
      <c r="E52" s="85"/>
      <c r="F52" s="85"/>
      <c r="G52" s="85"/>
      <c r="H52" s="85"/>
      <c r="I52" s="85"/>
      <c r="K52" s="83"/>
      <c r="L52" s="83"/>
      <c r="M52" s="83"/>
      <c r="N52" s="83"/>
      <c r="S52" s="54"/>
    </row>
    <row r="53" spans="3:19">
      <c r="K53" s="83"/>
      <c r="L53" s="83"/>
      <c r="M53" s="83"/>
      <c r="N53" s="83"/>
      <c r="S53" s="54"/>
    </row>
    <row r="54" spans="3:19">
      <c r="K54" s="83"/>
      <c r="L54" s="83"/>
      <c r="M54" s="83"/>
      <c r="N54" s="83"/>
      <c r="S54" s="54"/>
    </row>
    <row r="55" spans="3:19">
      <c r="K55" s="83"/>
      <c r="L55" s="83"/>
      <c r="M55" s="83"/>
      <c r="N55" s="83"/>
      <c r="S55" s="54"/>
    </row>
    <row r="56" spans="3:19">
      <c r="K56" s="83"/>
      <c r="L56" s="83"/>
      <c r="M56" s="83"/>
      <c r="N56" s="83"/>
      <c r="S56" s="54"/>
    </row>
    <row r="57" spans="3:19">
      <c r="K57" s="83"/>
      <c r="L57" s="83"/>
      <c r="M57" s="83"/>
      <c r="N57" s="83"/>
      <c r="S57" s="54"/>
    </row>
    <row r="58" spans="3:19">
      <c r="K58" s="83"/>
      <c r="L58" s="83"/>
      <c r="M58" s="83"/>
      <c r="N58" s="83"/>
      <c r="S58" s="54"/>
    </row>
    <row r="59" spans="3:19">
      <c r="K59" s="83"/>
      <c r="L59" s="83"/>
      <c r="M59" s="83"/>
      <c r="N59" s="83"/>
      <c r="S59" s="54"/>
    </row>
    <row r="60" spans="3:19">
      <c r="K60" s="83"/>
      <c r="L60" s="83"/>
      <c r="M60" s="83"/>
      <c r="N60" s="83"/>
      <c r="S60" s="54"/>
    </row>
    <row r="61" spans="3:19">
      <c r="K61" s="83"/>
      <c r="L61" s="83"/>
      <c r="M61" s="83"/>
      <c r="N61" s="83"/>
      <c r="S61" s="54"/>
    </row>
    <row r="63" spans="3:19">
      <c r="G63" s="86"/>
      <c r="H63" s="86"/>
      <c r="I63" s="86"/>
    </row>
    <row r="65" spans="2:14">
      <c r="B65" s="114"/>
      <c r="C65" s="114"/>
      <c r="D65" s="114"/>
      <c r="E65" s="114"/>
      <c r="F65" s="114"/>
      <c r="G65" s="114"/>
      <c r="H65" s="114"/>
      <c r="I65" s="114"/>
      <c r="J65" s="114"/>
      <c r="K65" s="114"/>
      <c r="L65" s="87"/>
      <c r="M65" s="87"/>
      <c r="N65" s="87"/>
    </row>
    <row r="67" spans="2:14">
      <c r="B67" s="114"/>
      <c r="C67" s="114"/>
      <c r="D67" s="114"/>
      <c r="E67" s="114"/>
      <c r="F67" s="114"/>
      <c r="G67" s="114"/>
      <c r="H67" s="114"/>
      <c r="I67" s="114"/>
      <c r="J67" s="114"/>
      <c r="K67" s="114"/>
      <c r="L67" s="87"/>
      <c r="M67" s="87"/>
      <c r="N67" s="87"/>
    </row>
    <row r="69" spans="2:14">
      <c r="B69" s="114"/>
      <c r="C69" s="114"/>
      <c r="D69" s="114"/>
      <c r="E69" s="114"/>
      <c r="F69" s="114"/>
      <c r="G69" s="114"/>
      <c r="H69" s="114"/>
      <c r="I69" s="114"/>
      <c r="J69" s="114"/>
      <c r="K69" s="114"/>
      <c r="L69" s="87"/>
      <c r="M69" s="87"/>
      <c r="N69" s="87"/>
    </row>
  </sheetData>
  <mergeCells count="13">
    <mergeCell ref="B69:K69"/>
    <mergeCell ref="X37:Y37"/>
    <mergeCell ref="C43:H43"/>
    <mergeCell ref="D44:F44"/>
    <mergeCell ref="D50:E50"/>
    <mergeCell ref="B65:K65"/>
    <mergeCell ref="B67:K67"/>
    <mergeCell ref="B1:W1"/>
    <mergeCell ref="G21:H21"/>
    <mergeCell ref="V21:W21"/>
    <mergeCell ref="S22:T22"/>
    <mergeCell ref="V35:W35"/>
    <mergeCell ref="V37:W37"/>
  </mergeCells>
  <dataValidations count="1">
    <dataValidation allowBlank="1" showInputMessage="1" showErrorMessage="1" sqref="I25:I34 B25:B34"/>
  </dataValidations>
  <pageMargins left="0.24" right="0.24" top="0.4" bottom="0.74803149606299213" header="0.17" footer="0.31496062992125984"/>
  <pageSetup paperSize="9" scale="71" orientation="portrait" verticalDpi="14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Option Button 1">
              <controlPr defaultSize="0" autoFill="0" autoLine="0" autoPict="0">
                <anchor moveWithCells="1">
                  <from>
                    <xdr:col>2</xdr:col>
                    <xdr:colOff>38100</xdr:colOff>
                    <xdr:row>9</xdr:row>
                    <xdr:rowOff>47625</xdr:rowOff>
                  </from>
                  <to>
                    <xdr:col>3</xdr:col>
                    <xdr:colOff>704850</xdr:colOff>
                    <xdr:row>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Option Button 2">
              <controlPr defaultSize="0" autoFill="0" autoLine="0" autoPict="0">
                <anchor moveWithCells="1" sizeWithCells="1">
                  <from>
                    <xdr:col>2</xdr:col>
                    <xdr:colOff>28575</xdr:colOff>
                    <xdr:row>4</xdr:row>
                    <xdr:rowOff>66675</xdr:rowOff>
                  </from>
                  <to>
                    <xdr:col>3</xdr:col>
                    <xdr:colOff>57150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Group Box 3">
              <controlPr defaultSize="0" autoFill="0" autoPict="0">
                <anchor moveWithCells="1" sizeWithCells="1">
                  <from>
                    <xdr:col>2</xdr:col>
                    <xdr:colOff>0</xdr:colOff>
                    <xdr:row>3</xdr:row>
                    <xdr:rowOff>228600</xdr:rowOff>
                  </from>
                  <to>
                    <xdr:col>5</xdr:col>
                    <xdr:colOff>314325</xdr:colOff>
                    <xdr:row>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Group Box 4">
              <controlPr defaultSize="0" autoFill="0" autoPict="0">
                <anchor moveWithCells="1">
                  <from>
                    <xdr:col>2</xdr:col>
                    <xdr:colOff>0</xdr:colOff>
                    <xdr:row>8</xdr:row>
                    <xdr:rowOff>114300</xdr:rowOff>
                  </from>
                  <to>
                    <xdr:col>4</xdr:col>
                    <xdr:colOff>323850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Option Button 5">
              <controlPr defaultSize="0" autoFill="0" autoLine="0" autoPict="0">
                <anchor moveWithCells="1">
                  <from>
                    <xdr:col>3</xdr:col>
                    <xdr:colOff>190500</xdr:colOff>
                    <xdr:row>9</xdr:row>
                    <xdr:rowOff>57150</xdr:rowOff>
                  </from>
                  <to>
                    <xdr:col>4</xdr:col>
                    <xdr:colOff>28575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9" name="Option Button 6">
              <controlPr defaultSize="0" autoFill="0" autoLine="0" autoPict="0">
                <anchor moveWithCells="1" sizeWithCells="1">
                  <from>
                    <xdr:col>3</xdr:col>
                    <xdr:colOff>28575</xdr:colOff>
                    <xdr:row>4</xdr:row>
                    <xdr:rowOff>66675</xdr:rowOff>
                  </from>
                  <to>
                    <xdr:col>5</xdr:col>
                    <xdr:colOff>57150</xdr:colOff>
                    <xdr:row>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I141"/>
  <sheetViews>
    <sheetView showGridLines="0" tabSelected="1" workbookViewId="0">
      <pane xSplit="1" ySplit="12" topLeftCell="B28" activePane="bottomRight" state="frozen"/>
      <selection pane="topRight" activeCell="B1" sqref="B1"/>
      <selection pane="bottomLeft" activeCell="A11" sqref="A11"/>
      <selection pane="bottomRight" activeCell="G5" sqref="G5"/>
    </sheetView>
  </sheetViews>
  <sheetFormatPr baseColWidth="10" defaultRowHeight="15"/>
  <cols>
    <col min="1" max="1" width="35.5703125" bestFit="1" customWidth="1"/>
    <col min="2" max="3" width="21.42578125" style="9" customWidth="1"/>
  </cols>
  <sheetData>
    <row r="1" spans="1:9" ht="24" customHeight="1">
      <c r="A1" s="88"/>
      <c r="B1" s="10"/>
      <c r="C1" s="91"/>
      <c r="D1" s="130" t="s">
        <v>190</v>
      </c>
      <c r="E1" s="130"/>
      <c r="F1" s="130"/>
      <c r="G1" s="130"/>
    </row>
    <row r="2" spans="1:9">
      <c r="A2" s="102" t="s">
        <v>89</v>
      </c>
      <c r="B2" s="103">
        <f>+SMIC!B4</f>
        <v>9.5299999999999994</v>
      </c>
      <c r="C2" s="103"/>
    </row>
    <row r="3" spans="1:9">
      <c r="A3" s="102" t="s">
        <v>126</v>
      </c>
      <c r="B3" s="104">
        <f>+'DUBREUIL JEAN'!Coeff.effectif</f>
        <v>0.28100000000000003</v>
      </c>
      <c r="C3" s="103"/>
    </row>
    <row r="4" spans="1:9">
      <c r="A4" s="102"/>
      <c r="B4" s="104"/>
      <c r="C4" s="103"/>
    </row>
    <row r="5" spans="1:9">
      <c r="A5" s="102"/>
      <c r="B5" s="104"/>
      <c r="C5" s="103"/>
    </row>
    <row r="6" spans="1:9">
      <c r="A6" s="102" t="s">
        <v>191</v>
      </c>
      <c r="B6" s="104"/>
      <c r="C6" s="103"/>
    </row>
    <row r="7" spans="1:9">
      <c r="A7" s="102" t="s">
        <v>192</v>
      </c>
      <c r="B7" s="104"/>
      <c r="C7" s="103"/>
    </row>
    <row r="8" spans="1:9">
      <c r="A8" s="102" t="s">
        <v>193</v>
      </c>
      <c r="B8" s="104"/>
      <c r="C8" s="103"/>
    </row>
    <row r="9" spans="1:9">
      <c r="A9" s="102" t="s">
        <v>194</v>
      </c>
      <c r="B9" s="104"/>
      <c r="C9" s="103"/>
    </row>
    <row r="10" spans="1:9">
      <c r="A10" s="102"/>
      <c r="B10" s="104"/>
      <c r="C10" s="103"/>
    </row>
    <row r="11" spans="1:9">
      <c r="A11" s="102" t="s">
        <v>183</v>
      </c>
      <c r="B11" s="107" t="str">
        <f ca="1">INDIRECT("'"&amp;B$12&amp;"'!i$5")</f>
        <v>cadre</v>
      </c>
      <c r="C11" s="107" t="str">
        <f ca="1">INDIRECT("'"&amp;C$12&amp;"'!i$5")</f>
        <v>non cadre</v>
      </c>
      <c r="D11" s="88"/>
      <c r="E11" s="88"/>
      <c r="F11" s="88"/>
      <c r="G11" s="88"/>
      <c r="H11" s="88"/>
      <c r="I11" s="88"/>
    </row>
    <row r="12" spans="1:9" s="106" customFormat="1" ht="38.25" customHeight="1">
      <c r="A12" s="105" t="s">
        <v>195</v>
      </c>
      <c r="B12" s="93" t="s">
        <v>197</v>
      </c>
      <c r="C12" s="111" t="s">
        <v>182</v>
      </c>
      <c r="D12" s="127" t="s">
        <v>90</v>
      </c>
      <c r="E12" s="128" t="s">
        <v>91</v>
      </c>
      <c r="F12" s="129" t="s">
        <v>184</v>
      </c>
      <c r="G12" s="129" t="s">
        <v>185</v>
      </c>
      <c r="H12" s="129" t="s">
        <v>187</v>
      </c>
      <c r="I12" s="129" t="s">
        <v>186</v>
      </c>
    </row>
    <row r="13" spans="1:9">
      <c r="A13" s="94" t="s">
        <v>36</v>
      </c>
      <c r="B13" s="95" t="str">
        <f t="shared" ref="B13:C13" ca="1" si="0">IF(B15&lt;B17,"Oui","Non")</f>
        <v>Oui</v>
      </c>
      <c r="C13" s="95" t="str">
        <f t="shared" ca="1" si="0"/>
        <v>Oui</v>
      </c>
      <c r="D13" s="10"/>
      <c r="E13" s="10"/>
      <c r="F13" s="88"/>
      <c r="G13" s="88"/>
      <c r="H13" s="88"/>
      <c r="I13" s="88"/>
    </row>
    <row r="14" spans="1:9" s="11" customFormat="1">
      <c r="A14" s="96" t="s">
        <v>92</v>
      </c>
      <c r="B14" s="97">
        <f ca="1">+IF(B16&gt;151.67,1,B16/151.67)</f>
        <v>0.99997802246104484</v>
      </c>
      <c r="C14" s="97">
        <f t="shared" ref="C14" ca="1" si="1">+IF(C16&gt;151.67,1,C16/151.67)</f>
        <v>0.99997802246104484</v>
      </c>
      <c r="D14" s="92">
        <f ca="1">+SUM(B14:C14)</f>
        <v>1.9999560449220897</v>
      </c>
      <c r="E14" s="92">
        <f ca="1">+SUMIF(B13:C13,"oui",B14:C14)</f>
        <v>1.9999560449220897</v>
      </c>
      <c r="F14" s="89"/>
      <c r="G14" s="89"/>
      <c r="H14" s="89"/>
      <c r="I14" s="89"/>
    </row>
    <row r="15" spans="1:9">
      <c r="A15" s="98" t="s">
        <v>93</v>
      </c>
      <c r="B15" s="108">
        <f ca="1">INDIRECT("'"&amp;B$12&amp;"'!d$35")</f>
        <v>1833.69</v>
      </c>
      <c r="C15" s="108">
        <f ca="1">INDIRECT("'"&amp;C$12&amp;"'!d$35")</f>
        <v>2100</v>
      </c>
      <c r="D15" s="99">
        <f ca="1">SUM(B15:C15)</f>
        <v>3933.69</v>
      </c>
      <c r="E15" s="99">
        <f ca="1">+SUMIF(B13:C13,"OUI",B15:C15)</f>
        <v>3933.69</v>
      </c>
      <c r="F15" s="90">
        <f ca="1">+SUMIF(B11:C11,"C",B15:C15)</f>
        <v>0</v>
      </c>
      <c r="G15" s="90">
        <f ca="1">+SUMIF(B11:C11,"NC",B15:C15)</f>
        <v>0</v>
      </c>
      <c r="H15" s="90">
        <f ca="1">+SUMIF(B11:C11,"D",B15:C15)</f>
        <v>0</v>
      </c>
      <c r="I15" s="90">
        <f ca="1">+SUMIF(B11:C11,"A",B15:C15)</f>
        <v>0</v>
      </c>
    </row>
    <row r="16" spans="1:9">
      <c r="A16" s="98" t="s">
        <v>94</v>
      </c>
      <c r="B16" s="112">
        <f ca="1">INDIRECT("'"&amp;B$12&amp;"'!g23")*52/12</f>
        <v>151.66666666666666</v>
      </c>
      <c r="C16" s="112">
        <f ca="1">INDIRECT("'"&amp;C$12&amp;"'!g23")*52/12</f>
        <v>151.66666666666666</v>
      </c>
      <c r="D16" s="99"/>
      <c r="E16" s="99"/>
      <c r="F16" s="88"/>
      <c r="G16" s="88"/>
      <c r="H16" s="88"/>
      <c r="I16" s="88"/>
    </row>
    <row r="17" spans="1:9">
      <c r="A17" s="98" t="s">
        <v>95</v>
      </c>
      <c r="B17" s="95">
        <f ca="1">B16*$B$2*2.5</f>
        <v>3613.458333333333</v>
      </c>
      <c r="C17" s="95">
        <f t="shared" ref="C17" ca="1" si="2">C16*$B$2*2.5</f>
        <v>3613.458333333333</v>
      </c>
      <c r="D17" s="99"/>
      <c r="E17" s="99"/>
      <c r="F17" s="88"/>
      <c r="G17" s="88"/>
      <c r="H17" s="88"/>
      <c r="I17" s="88"/>
    </row>
    <row r="18" spans="1:9" s="9" customFormat="1">
      <c r="A18" s="95" t="s">
        <v>189</v>
      </c>
      <c r="B18" s="95">
        <f ca="1">INDIRECT("'"&amp;B$12&amp;"'!v$23")</f>
        <v>224.26028700000001</v>
      </c>
      <c r="C18" s="100">
        <f>+'ROBERT DUVERGNE'!V23</f>
        <v>99.539999999999992</v>
      </c>
      <c r="D18" s="99"/>
      <c r="E18" s="99">
        <f ca="1">+SUMIF(B18:C18,"&gt;0")</f>
        <v>323.80028700000003</v>
      </c>
      <c r="F18" s="10"/>
      <c r="G18" s="10"/>
      <c r="H18" s="10"/>
      <c r="I18" s="10"/>
    </row>
    <row r="19" spans="1:9" s="9" customFormat="1">
      <c r="A19" s="95" t="s">
        <v>188</v>
      </c>
      <c r="B19" s="95" t="str">
        <f ca="1">INDIRECT("'"&amp;B$12&amp;"'!w$23")</f>
        <v/>
      </c>
      <c r="C19" s="95" t="str">
        <f ca="1">INDIRECT("'"&amp;C$12&amp;"'!w$23")</f>
        <v/>
      </c>
      <c r="D19" s="99"/>
      <c r="E19" s="99">
        <f ca="1">+SUMIF(B19:C19,"&gt;0")</f>
        <v>0</v>
      </c>
      <c r="F19" s="10"/>
      <c r="G19" s="10"/>
      <c r="H19" s="10"/>
      <c r="I19" s="10"/>
    </row>
    <row r="20" spans="1:9" s="9" customFormat="1">
      <c r="A20" s="95"/>
      <c r="B20" s="95"/>
      <c r="C20" s="95"/>
      <c r="D20" s="99"/>
      <c r="E20" s="99"/>
      <c r="F20" s="10"/>
      <c r="G20" s="10"/>
      <c r="H20" s="10"/>
      <c r="I20" s="10"/>
    </row>
    <row r="21" spans="1:9">
      <c r="A21" s="94" t="s">
        <v>97</v>
      </c>
      <c r="B21" s="95" t="str">
        <f t="shared" ref="B21:C21" ca="1" si="3">IF((B23+B15)&lt;(B25),"Oui","Non")</f>
        <v>Oui</v>
      </c>
      <c r="C21" s="95" t="str">
        <f t="shared" ca="1" si="3"/>
        <v>Oui</v>
      </c>
      <c r="D21" s="99"/>
      <c r="E21" s="99"/>
      <c r="F21" s="88"/>
      <c r="G21" s="88"/>
      <c r="H21" s="88"/>
      <c r="I21" s="88"/>
    </row>
    <row r="22" spans="1:9" s="11" customFormat="1">
      <c r="A22" s="96" t="s">
        <v>92</v>
      </c>
      <c r="B22" s="97">
        <f>+IF(B24&gt;151.67,1,B24/151.67)</f>
        <v>0.11426122502802136</v>
      </c>
      <c r="C22" s="97">
        <f t="shared" ref="C22" si="4">+IF(C24&gt;151.67,1,C24/151.67)</f>
        <v>0</v>
      </c>
      <c r="D22" s="99">
        <f>SUM(B22:C22)</f>
        <v>0.11426122502802136</v>
      </c>
      <c r="E22" s="99">
        <f ca="1">+SUMIF(B21:C21,"oui",B22:C22)</f>
        <v>0.11426122502802136</v>
      </c>
      <c r="F22" s="89"/>
      <c r="G22" s="89"/>
      <c r="H22" s="89"/>
      <c r="I22" s="89"/>
    </row>
    <row r="23" spans="1:9">
      <c r="A23" s="98" t="s">
        <v>93</v>
      </c>
      <c r="B23" s="95">
        <v>179.19</v>
      </c>
      <c r="C23" s="95"/>
      <c r="D23" s="99">
        <f>SUM(B23:C23)</f>
        <v>179.19</v>
      </c>
      <c r="E23" s="99">
        <f ca="1">+SUMIF(B21:C21,"OUI",B27:C27)</f>
        <v>4112.88</v>
      </c>
      <c r="F23" s="88"/>
      <c r="G23" s="88"/>
      <c r="H23" s="88"/>
      <c r="I23" s="88"/>
    </row>
    <row r="24" spans="1:9">
      <c r="A24" s="98" t="s">
        <v>94</v>
      </c>
      <c r="B24" s="95">
        <v>17.329999999999998</v>
      </c>
      <c r="C24" s="95"/>
      <c r="D24" s="99"/>
      <c r="E24" s="99"/>
      <c r="F24" s="88"/>
      <c r="G24" s="88"/>
      <c r="H24" s="88"/>
      <c r="I24" s="88"/>
    </row>
    <row r="25" spans="1:9">
      <c r="A25" s="98" t="s">
        <v>95</v>
      </c>
      <c r="B25" s="95">
        <f ca="1">B24*$B$2*2.5+B17</f>
        <v>4026.3455833333328</v>
      </c>
      <c r="C25" s="95">
        <f t="shared" ref="C25" ca="1" si="5">C24*$B$2*2.5+C17</f>
        <v>3613.458333333333</v>
      </c>
      <c r="D25" s="99"/>
      <c r="E25" s="99"/>
      <c r="F25" s="88"/>
      <c r="G25" s="88"/>
      <c r="H25" s="88"/>
      <c r="I25" s="88"/>
    </row>
    <row r="26" spans="1:9" s="9" customFormat="1">
      <c r="A26" s="95" t="s">
        <v>96</v>
      </c>
      <c r="B26" s="95" t="e">
        <f ca="1">+IF(B15+B23&lt;#REF!,((($B$3/0.6)*(1.6*(#REF!/B15)-1))*B15),((0.281/0.6)*(1.6*$B$2*(B16)/(B15)-1))*(B15))</f>
        <v>#REF!</v>
      </c>
      <c r="C26" s="95">
        <v>0</v>
      </c>
      <c r="D26" s="99"/>
      <c r="E26" s="99">
        <f ca="1">+SUMIF(B26:C26,"&gt;0")</f>
        <v>0</v>
      </c>
      <c r="F26" s="10"/>
      <c r="G26" s="10"/>
      <c r="H26" s="10"/>
      <c r="I26" s="10"/>
    </row>
    <row r="27" spans="1:9" s="9" customFormat="1">
      <c r="A27" s="95" t="s">
        <v>98</v>
      </c>
      <c r="B27" s="95">
        <f t="shared" ref="B27:C27" ca="1" si="6">+B23+B15</f>
        <v>2012.88</v>
      </c>
      <c r="C27" s="95">
        <f t="shared" ca="1" si="6"/>
        <v>2100</v>
      </c>
      <c r="D27" s="99"/>
      <c r="E27" s="99"/>
      <c r="F27" s="10"/>
      <c r="G27" s="10"/>
      <c r="H27" s="10"/>
      <c r="I27" s="10"/>
    </row>
    <row r="28" spans="1:9" s="9" customFormat="1">
      <c r="A28" s="95"/>
      <c r="B28" s="95"/>
      <c r="C28" s="95"/>
      <c r="D28" s="99"/>
      <c r="E28" s="99"/>
      <c r="F28" s="10"/>
      <c r="G28" s="10"/>
      <c r="H28" s="10"/>
      <c r="I28" s="10"/>
    </row>
    <row r="29" spans="1:9" s="9" customFormat="1">
      <c r="A29" s="95"/>
      <c r="B29" s="95"/>
      <c r="C29" s="95"/>
      <c r="D29" s="99"/>
      <c r="E29" s="99"/>
      <c r="F29" s="10"/>
      <c r="G29" s="10"/>
      <c r="H29" s="10"/>
      <c r="I29" s="10"/>
    </row>
    <row r="30" spans="1:9">
      <c r="A30" s="94" t="s">
        <v>99</v>
      </c>
      <c r="B30" s="95" t="str">
        <f t="shared" ref="B30:C30" ca="1" si="7">IF((B23+B15+B32)&lt;B34,"Oui","Non")</f>
        <v>Oui</v>
      </c>
      <c r="C30" s="95" t="str">
        <f t="shared" ca="1" si="7"/>
        <v>Oui</v>
      </c>
      <c r="D30" s="99">
        <f ca="1">SUM(B30:C30)</f>
        <v>0</v>
      </c>
      <c r="E30" s="99"/>
      <c r="F30" s="88"/>
      <c r="G30" s="88"/>
      <c r="H30" s="88"/>
      <c r="I30" s="88"/>
    </row>
    <row r="31" spans="1:9">
      <c r="A31" s="96" t="s">
        <v>92</v>
      </c>
      <c r="B31" s="97">
        <f>+IF(B33&gt;151.67,1,B33/151.67)</f>
        <v>0.11426122502802136</v>
      </c>
      <c r="C31" s="97">
        <f t="shared" ref="C31" si="8">+IF(C33&gt;151.67,1,C33/151.67)</f>
        <v>0</v>
      </c>
      <c r="D31" s="99">
        <f>SUM(B31:C31)</f>
        <v>0.11426122502802136</v>
      </c>
      <c r="E31" s="99">
        <f ca="1">+SUMIF(B30:C30,"oui",B31:C31)</f>
        <v>0.11426122502802136</v>
      </c>
      <c r="F31" s="88"/>
      <c r="G31" s="88"/>
      <c r="H31" s="88"/>
      <c r="I31" s="88"/>
    </row>
    <row r="32" spans="1:9">
      <c r="A32" s="98" t="s">
        <v>93</v>
      </c>
      <c r="B32" s="95">
        <v>179.19</v>
      </c>
      <c r="C32" s="95"/>
      <c r="D32" s="99">
        <f>SUM(B32:C32)</f>
        <v>179.19</v>
      </c>
      <c r="E32" s="99">
        <f ca="1">+SUMIF(B30:C30,"OUI",B37:C37)</f>
        <v>4292.07</v>
      </c>
      <c r="F32" s="88"/>
      <c r="G32" s="88"/>
      <c r="H32" s="88"/>
      <c r="I32" s="88"/>
    </row>
    <row r="33" spans="1:9">
      <c r="A33" s="98" t="s">
        <v>94</v>
      </c>
      <c r="B33" s="95">
        <v>17.329999999999998</v>
      </c>
      <c r="C33" s="95"/>
      <c r="D33" s="99"/>
      <c r="E33" s="99"/>
      <c r="F33" s="88"/>
      <c r="G33" s="88"/>
      <c r="H33" s="88"/>
      <c r="I33" s="88"/>
    </row>
    <row r="34" spans="1:9">
      <c r="A34" s="98" t="s">
        <v>95</v>
      </c>
      <c r="B34" s="95">
        <f ca="1">B33*$B$2*2.5+B25</f>
        <v>4439.2328333333326</v>
      </c>
      <c r="C34" s="95">
        <f t="shared" ref="C34" ca="1" si="9">C33*$B$2*2.5+C25</f>
        <v>3613.458333333333</v>
      </c>
      <c r="D34" s="99"/>
      <c r="E34" s="99"/>
      <c r="F34" s="88"/>
      <c r="G34" s="88"/>
      <c r="H34" s="88"/>
      <c r="I34" s="88"/>
    </row>
    <row r="35" spans="1:9" s="9" customFormat="1">
      <c r="A35" s="95" t="s">
        <v>96</v>
      </c>
      <c r="B35" s="95" t="e">
        <f ca="1">((0.281/0.6)*(1.6*$B$2*(B16+B24+B33)/(B15+B23+B32)-1))*(B15+B23+B32)-B18-B26</f>
        <v>#REF!</v>
      </c>
      <c r="C35" s="95">
        <f ca="1">((0.281/0.6)*(1.6*$B$2*(C16+C24+C33)/(C15+C23+C32)-1))*(C15+C23+C32)</f>
        <v>99.573911111111144</v>
      </c>
      <c r="D35" s="99"/>
      <c r="E35" s="99">
        <f ca="1">+SUMIF(B35:C35,"&gt;0")</f>
        <v>99.573911111111144</v>
      </c>
      <c r="F35" s="10"/>
      <c r="G35" s="10"/>
      <c r="H35" s="10"/>
      <c r="I35" s="10"/>
    </row>
    <row r="36" spans="1:9" s="9" customFormat="1">
      <c r="A36" s="95"/>
      <c r="B36" s="95"/>
      <c r="C36" s="95"/>
      <c r="D36" s="99">
        <f>SUM(B36:C36)</f>
        <v>0</v>
      </c>
      <c r="E36" s="99"/>
      <c r="F36" s="10"/>
      <c r="G36" s="10"/>
      <c r="H36" s="10"/>
      <c r="I36" s="10"/>
    </row>
    <row r="37" spans="1:9" s="9" customFormat="1">
      <c r="A37" s="95" t="s">
        <v>100</v>
      </c>
      <c r="B37" s="95">
        <f t="shared" ref="B37:C37" ca="1" si="10">+B15+B23+B32</f>
        <v>2192.0700000000002</v>
      </c>
      <c r="C37" s="95">
        <f t="shared" ca="1" si="10"/>
        <v>2100</v>
      </c>
      <c r="D37" s="99">
        <f ca="1">SUM(B37:C37)</f>
        <v>4292.07</v>
      </c>
      <c r="E37" s="99"/>
      <c r="F37" s="10"/>
      <c r="G37" s="10"/>
      <c r="H37" s="10"/>
      <c r="I37" s="10"/>
    </row>
    <row r="38" spans="1:9" s="9" customFormat="1">
      <c r="A38" s="95" t="s">
        <v>101</v>
      </c>
      <c r="B38" s="95">
        <f t="shared" ref="B38:C38" ca="1" si="11">+B16+B24+B33</f>
        <v>186.32666666666665</v>
      </c>
      <c r="C38" s="95">
        <f t="shared" ca="1" si="11"/>
        <v>151.66666666666666</v>
      </c>
      <c r="D38" s="99">
        <f ca="1">SUM(B38:C38)</f>
        <v>337.99333333333334</v>
      </c>
      <c r="E38" s="99"/>
      <c r="F38" s="10"/>
      <c r="G38" s="10"/>
      <c r="H38" s="10"/>
      <c r="I38" s="10"/>
    </row>
    <row r="39" spans="1:9" s="9" customFormat="1">
      <c r="A39" s="95" t="s">
        <v>102</v>
      </c>
      <c r="B39" s="95"/>
      <c r="C39" s="95"/>
      <c r="D39" s="99">
        <f>SUM(B39:C39)</f>
        <v>0</v>
      </c>
      <c r="E39" s="99">
        <f ca="1">+E18+E26+E35</f>
        <v>423.37419811111118</v>
      </c>
      <c r="F39" s="10"/>
      <c r="G39" s="10"/>
      <c r="H39" s="10"/>
      <c r="I39" s="10"/>
    </row>
    <row r="40" spans="1:9" s="9" customFormat="1">
      <c r="A40" s="95"/>
      <c r="B40" s="95"/>
      <c r="C40" s="95"/>
      <c r="D40" s="99">
        <f>SUM(B40:C40)</f>
        <v>0</v>
      </c>
      <c r="E40" s="99"/>
      <c r="F40" s="10"/>
      <c r="G40" s="10"/>
      <c r="H40" s="10"/>
      <c r="I40" s="10"/>
    </row>
    <row r="41" spans="1:9" s="9" customFormat="1">
      <c r="A41" s="95"/>
      <c r="B41" s="95"/>
      <c r="C41" s="95"/>
      <c r="D41" s="99">
        <f>SUM(B41:C41)</f>
        <v>0</v>
      </c>
      <c r="E41" s="99"/>
      <c r="F41" s="10"/>
      <c r="G41" s="10"/>
      <c r="H41" s="10"/>
      <c r="I41" s="10"/>
    </row>
    <row r="42" spans="1:9">
      <c r="A42" s="94" t="s">
        <v>103</v>
      </c>
      <c r="B42" s="95" t="str">
        <f ca="1">IF((B44+B37)&lt;B46,"Oui","Non")</f>
        <v>Oui</v>
      </c>
      <c r="C42" s="95" t="str">
        <f t="shared" ref="C42" ca="1" si="12">IF((C44+C37)&lt;C46,"Oui","Non")</f>
        <v>Oui</v>
      </c>
      <c r="D42" s="10"/>
      <c r="E42" s="10"/>
      <c r="F42" s="88"/>
      <c r="G42" s="88"/>
      <c r="H42" s="88"/>
      <c r="I42" s="88"/>
    </row>
    <row r="43" spans="1:9" s="11" customFormat="1">
      <c r="A43" s="96" t="s">
        <v>92</v>
      </c>
      <c r="B43" s="97">
        <f>+IF(B45&gt;151.67,1,B45/151.67)</f>
        <v>0.11426122502802136</v>
      </c>
      <c r="C43" s="97">
        <f t="shared" ref="C43" si="13">+IF(C45&gt;151.67,1,C45/151.67)</f>
        <v>0</v>
      </c>
      <c r="D43" s="92">
        <f>+SUM(B43:C43)</f>
        <v>0.11426122502802136</v>
      </c>
      <c r="E43" s="92">
        <f ca="1">+SUMIF(B42:C42,"oui",B43:C43)</f>
        <v>0.11426122502802136</v>
      </c>
      <c r="F43" s="89"/>
      <c r="G43" s="89"/>
      <c r="H43" s="89"/>
      <c r="I43" s="89"/>
    </row>
    <row r="44" spans="1:9">
      <c r="A44" s="98" t="s">
        <v>93</v>
      </c>
      <c r="B44" s="95">
        <v>179.19</v>
      </c>
      <c r="C44" s="95"/>
      <c r="D44" s="99">
        <f>SUM(B44:C44)</f>
        <v>179.19</v>
      </c>
      <c r="E44" s="99">
        <f ca="1">+SUMIF(B42:C42,"OUI",B48:C48)</f>
        <v>4471.26</v>
      </c>
      <c r="F44" s="88"/>
      <c r="G44" s="88"/>
      <c r="H44" s="88"/>
      <c r="I44" s="88"/>
    </row>
    <row r="45" spans="1:9">
      <c r="A45" s="98" t="s">
        <v>94</v>
      </c>
      <c r="B45" s="95">
        <v>17.329999999999998</v>
      </c>
      <c r="C45" s="95"/>
      <c r="D45" s="99"/>
      <c r="E45" s="99"/>
      <c r="F45" s="88"/>
      <c r="G45" s="88"/>
      <c r="H45" s="88"/>
      <c r="I45" s="88"/>
    </row>
    <row r="46" spans="1:9">
      <c r="A46" s="98" t="s">
        <v>95</v>
      </c>
      <c r="B46" s="95">
        <f ca="1">B45*$B$2*2.5+B34</f>
        <v>4852.1200833333323</v>
      </c>
      <c r="C46" s="95">
        <f t="shared" ref="C46" ca="1" si="14">C45*$B$2*2.5+C34</f>
        <v>3613.458333333333</v>
      </c>
      <c r="D46" s="99"/>
      <c r="E46" s="99"/>
      <c r="F46" s="88"/>
      <c r="G46" s="88"/>
      <c r="H46" s="88"/>
      <c r="I46" s="88"/>
    </row>
    <row r="47" spans="1:9" s="9" customFormat="1">
      <c r="A47" s="95" t="s">
        <v>96</v>
      </c>
      <c r="B47" s="95" t="e">
        <f t="shared" ref="B47:C47" ca="1" si="15">((0.281/0.6)*(1.6*$B$2*(B45+B38)/(B44+B37)-1))*(B44+B37)-B35-B26-B18</f>
        <v>#REF!</v>
      </c>
      <c r="C47" s="95">
        <f t="shared" ca="1" si="15"/>
        <v>-99.539999999999992</v>
      </c>
      <c r="D47" s="99"/>
      <c r="E47" s="99">
        <f ca="1">+SUMIF(B47:C47,"&gt;0")</f>
        <v>0</v>
      </c>
      <c r="F47" s="10"/>
      <c r="G47" s="10"/>
      <c r="H47" s="10"/>
      <c r="I47" s="10"/>
    </row>
    <row r="48" spans="1:9" s="9" customFormat="1">
      <c r="A48" s="95" t="s">
        <v>98</v>
      </c>
      <c r="B48" s="95">
        <f ca="1">+B37+B44</f>
        <v>2371.2600000000002</v>
      </c>
      <c r="C48" s="95">
        <f t="shared" ref="C48" ca="1" si="16">+C37+C44</f>
        <v>2100</v>
      </c>
      <c r="D48" s="99"/>
      <c r="E48" s="99"/>
      <c r="F48" s="10"/>
      <c r="G48" s="10"/>
      <c r="H48" s="10"/>
      <c r="I48" s="10"/>
    </row>
    <row r="49" spans="1:9" s="9" customFormat="1">
      <c r="A49" s="95" t="s">
        <v>104</v>
      </c>
      <c r="B49" s="95">
        <f ca="1">+B45+B38</f>
        <v>203.65666666666664</v>
      </c>
      <c r="C49" s="95">
        <f t="shared" ref="C49" ca="1" si="17">+C45+C38</f>
        <v>151.66666666666666</v>
      </c>
      <c r="D49" s="99"/>
      <c r="E49" s="99"/>
      <c r="F49" s="10"/>
      <c r="G49" s="10"/>
      <c r="H49" s="10"/>
      <c r="I49" s="10"/>
    </row>
    <row r="50" spans="1:9" s="9" customFormat="1">
      <c r="A50" s="95"/>
      <c r="B50" s="95"/>
      <c r="C50" s="95"/>
      <c r="D50" s="99"/>
      <c r="E50" s="99"/>
      <c r="F50" s="10"/>
      <c r="G50" s="10"/>
      <c r="H50" s="10"/>
      <c r="I50" s="10"/>
    </row>
    <row r="51" spans="1:9">
      <c r="A51" s="94" t="s">
        <v>105</v>
      </c>
      <c r="B51" s="95" t="str">
        <f ca="1">IF((B53+B48)&lt;(B55),"Oui","Non")</f>
        <v>Oui</v>
      </c>
      <c r="C51" s="95" t="str">
        <f t="shared" ref="C51" ca="1" si="18">IF((C53+C48)&lt;(C55),"Oui","Non")</f>
        <v>Oui</v>
      </c>
      <c r="D51" s="99"/>
      <c r="E51" s="99"/>
      <c r="F51" s="88"/>
      <c r="G51" s="88"/>
      <c r="H51" s="88"/>
      <c r="I51" s="88"/>
    </row>
    <row r="52" spans="1:9" s="11" customFormat="1">
      <c r="A52" s="96" t="s">
        <v>92</v>
      </c>
      <c r="B52" s="97">
        <f>+IF(B54&gt;151.67,1,B54/151.67)</f>
        <v>0.11426122502802136</v>
      </c>
      <c r="C52" s="97">
        <f t="shared" ref="C52" si="19">+IF(C54&gt;151.67,1,C54/151.67)</f>
        <v>0</v>
      </c>
      <c r="D52" s="99">
        <f>SUM(B52:C52)</f>
        <v>0.11426122502802136</v>
      </c>
      <c r="E52" s="99">
        <f ca="1">+SUMIF(B51:C51,"oui",B52:C52)</f>
        <v>0.11426122502802136</v>
      </c>
      <c r="F52" s="89"/>
      <c r="G52" s="89"/>
      <c r="H52" s="89"/>
      <c r="I52" s="89"/>
    </row>
    <row r="53" spans="1:9">
      <c r="A53" s="98" t="s">
        <v>93</v>
      </c>
      <c r="B53" s="95">
        <v>217.31</v>
      </c>
      <c r="C53" s="95"/>
      <c r="D53" s="99">
        <f>SUM(B53:C53)</f>
        <v>217.31</v>
      </c>
      <c r="E53" s="99">
        <f ca="1">+SUMIF(B51:C51,"OUI",B57:C57)</f>
        <v>4688.57</v>
      </c>
      <c r="F53" s="88"/>
      <c r="G53" s="88"/>
      <c r="H53" s="88"/>
      <c r="I53" s="88"/>
    </row>
    <row r="54" spans="1:9">
      <c r="A54" s="98" t="s">
        <v>94</v>
      </c>
      <c r="B54" s="95">
        <v>17.329999999999998</v>
      </c>
      <c r="C54" s="95"/>
      <c r="D54" s="99"/>
      <c r="E54" s="99"/>
      <c r="F54" s="88"/>
      <c r="G54" s="88"/>
      <c r="H54" s="88"/>
      <c r="I54" s="88"/>
    </row>
    <row r="55" spans="1:9">
      <c r="A55" s="98" t="s">
        <v>95</v>
      </c>
      <c r="B55" s="95">
        <f ca="1">B54*$B$2*2.5+B46</f>
        <v>5265.0073333333321</v>
      </c>
      <c r="C55" s="95">
        <f t="shared" ref="C55" ca="1" si="20">C54*$B$2*2.5+C46</f>
        <v>3613.458333333333</v>
      </c>
      <c r="D55" s="99"/>
      <c r="E55" s="99"/>
      <c r="F55" s="88"/>
      <c r="G55" s="88"/>
      <c r="H55" s="88"/>
      <c r="I55" s="88"/>
    </row>
    <row r="56" spans="1:9" s="9" customFormat="1">
      <c r="A56" s="95" t="s">
        <v>96</v>
      </c>
      <c r="B56" s="95" t="e">
        <f ca="1">((0.281/0.6)*(1.6*$B$2*(B49+B54)/(B48+B53)-1))*(B48+B53)-B47-B35-B26-B18</f>
        <v>#REF!</v>
      </c>
      <c r="C56" s="95">
        <f ca="1">((0.281/0.6)*(1.6*$B$2*(C49+C54)/(C48+C53)-1))*(C48+C53)-C47-C35</f>
        <v>99.539999999999978</v>
      </c>
      <c r="D56" s="99"/>
      <c r="E56" s="99">
        <f ca="1">+SUMIF(B56:C56,"&gt;0")</f>
        <v>99.539999999999978</v>
      </c>
      <c r="F56" s="10"/>
      <c r="G56" s="10"/>
      <c r="H56" s="10"/>
      <c r="I56" s="10"/>
    </row>
    <row r="57" spans="1:9" s="9" customFormat="1">
      <c r="A57" s="95" t="s">
        <v>98</v>
      </c>
      <c r="B57" s="95">
        <f ca="1">+B53+B48</f>
        <v>2588.5700000000002</v>
      </c>
      <c r="C57" s="95">
        <f t="shared" ref="C57" ca="1" si="21">+C53+C48</f>
        <v>2100</v>
      </c>
      <c r="D57" s="99"/>
      <c r="E57" s="99"/>
      <c r="F57" s="10"/>
      <c r="G57" s="10"/>
      <c r="H57" s="10"/>
      <c r="I57" s="10"/>
    </row>
    <row r="58" spans="1:9" s="9" customFormat="1">
      <c r="A58" s="95" t="s">
        <v>106</v>
      </c>
      <c r="B58" s="95">
        <f ca="1">+B49+B54</f>
        <v>220.98666666666662</v>
      </c>
      <c r="C58" s="95">
        <f t="shared" ref="C58" ca="1" si="22">+C49+C54</f>
        <v>151.66666666666666</v>
      </c>
      <c r="D58" s="99"/>
      <c r="E58" s="99"/>
      <c r="F58" s="10"/>
      <c r="G58" s="10"/>
      <c r="H58" s="10"/>
      <c r="I58" s="10"/>
    </row>
    <row r="59" spans="1:9" s="9" customFormat="1">
      <c r="A59" s="95"/>
      <c r="B59" s="95"/>
      <c r="C59" s="95"/>
      <c r="D59" s="99"/>
      <c r="E59" s="99"/>
      <c r="F59" s="10"/>
      <c r="G59" s="10"/>
      <c r="H59" s="10"/>
      <c r="I59" s="10"/>
    </row>
    <row r="60" spans="1:9">
      <c r="A60" s="94" t="s">
        <v>107</v>
      </c>
      <c r="B60" s="95" t="str">
        <f ca="1">IF((B57+B62)&lt;B64,"Oui","Non")</f>
        <v>Oui</v>
      </c>
      <c r="C60" s="95" t="str">
        <f t="shared" ref="C60" ca="1" si="23">IF((C57+C62)&lt;C64,"Oui","Non")</f>
        <v>Oui</v>
      </c>
      <c r="D60" s="99">
        <f ca="1">SUM(B60:C60)</f>
        <v>0</v>
      </c>
      <c r="E60" s="99"/>
      <c r="F60" s="88"/>
      <c r="G60" s="88"/>
      <c r="H60" s="88"/>
      <c r="I60" s="88"/>
    </row>
    <row r="61" spans="1:9">
      <c r="A61" s="96" t="s">
        <v>92</v>
      </c>
      <c r="B61" s="97">
        <f>+IF(B63&gt;151.67,1,B63/151.67)</f>
        <v>0.11426122502802136</v>
      </c>
      <c r="C61" s="97">
        <f t="shared" ref="C61" si="24">+IF(C63&gt;151.67,1,C63/151.67)</f>
        <v>0</v>
      </c>
      <c r="D61" s="99">
        <f>SUM(B61:C61)</f>
        <v>0.11426122502802136</v>
      </c>
      <c r="E61" s="99">
        <f ca="1">+SUMIF(B60:C60,"oui",B61:C61)</f>
        <v>0.11426122502802136</v>
      </c>
      <c r="F61" s="88"/>
      <c r="G61" s="88"/>
      <c r="H61" s="88"/>
      <c r="I61" s="88"/>
    </row>
    <row r="62" spans="1:9">
      <c r="A62" s="98" t="s">
        <v>93</v>
      </c>
      <c r="B62" s="95">
        <v>179.19</v>
      </c>
      <c r="C62" s="95"/>
      <c r="D62" s="99">
        <f>SUM(B62:C62)</f>
        <v>179.19</v>
      </c>
      <c r="E62" s="99">
        <f ca="1">+SUMIF(B60:C60,"OUI",B71:C71)</f>
        <v>4867.76</v>
      </c>
      <c r="F62" s="88"/>
      <c r="G62" s="88"/>
      <c r="H62" s="88"/>
      <c r="I62" s="88"/>
    </row>
    <row r="63" spans="1:9">
      <c r="A63" s="98" t="s">
        <v>94</v>
      </c>
      <c r="B63" s="95">
        <v>17.329999999999998</v>
      </c>
      <c r="C63" s="95"/>
      <c r="D63" s="99"/>
      <c r="E63" s="99"/>
      <c r="F63" s="88"/>
      <c r="G63" s="88"/>
      <c r="H63" s="88"/>
      <c r="I63" s="88"/>
    </row>
    <row r="64" spans="1:9">
      <c r="A64" s="98" t="s">
        <v>95</v>
      </c>
      <c r="B64" s="95">
        <f ca="1">B63*$B$2*2.5+B55</f>
        <v>5677.8945833333319</v>
      </c>
      <c r="C64" s="95">
        <f t="shared" ref="C64" ca="1" si="25">C63*$B$2*2.5+C55</f>
        <v>3613.458333333333</v>
      </c>
      <c r="D64" s="99"/>
      <c r="E64" s="99"/>
      <c r="F64" s="88"/>
      <c r="G64" s="88"/>
      <c r="H64" s="88"/>
      <c r="I64" s="88"/>
    </row>
    <row r="65" spans="1:9" s="9" customFormat="1">
      <c r="A65" s="95" t="s">
        <v>96</v>
      </c>
      <c r="B65" s="95" t="e">
        <f ca="1">((0.281/0.6)*(1.6*$B$2*(B58+B63)/(B57+B62)-1))*(B57+B62)-B56-B47-B35-B26-B18</f>
        <v>#REF!</v>
      </c>
      <c r="C65" s="95">
        <f ca="1">((0.281/0.6)*(1.6*$B$2*(C58+C63)/(C57+C62)-1))*(C57+C62)-C56-C47-C35</f>
        <v>0</v>
      </c>
      <c r="D65" s="99"/>
      <c r="E65" s="99">
        <f ca="1">+SUMIF(B65:C65,"&gt;0")</f>
        <v>0</v>
      </c>
      <c r="F65" s="10"/>
      <c r="G65" s="10"/>
      <c r="H65" s="10"/>
      <c r="I65" s="10"/>
    </row>
    <row r="66" spans="1:9" s="9" customFormat="1">
      <c r="A66" s="95"/>
      <c r="B66" s="95"/>
      <c r="C66" s="95"/>
      <c r="D66" s="99">
        <f>SUM(B66:C66)</f>
        <v>0</v>
      </c>
      <c r="E66" s="99"/>
      <c r="F66" s="10"/>
      <c r="G66" s="10"/>
      <c r="H66" s="10"/>
      <c r="I66" s="10"/>
    </row>
    <row r="67" spans="1:9" s="9" customFormat="1">
      <c r="A67" s="95" t="s">
        <v>108</v>
      </c>
      <c r="B67" s="95">
        <f>+B62+B53+B44</f>
        <v>575.69000000000005</v>
      </c>
      <c r="C67" s="95">
        <f t="shared" ref="C67" si="26">+C62+C53+C44</f>
        <v>0</v>
      </c>
      <c r="D67" s="99">
        <f>SUM(B67:C67)</f>
        <v>575.69000000000005</v>
      </c>
      <c r="E67" s="99"/>
      <c r="F67" s="10"/>
      <c r="G67" s="10"/>
      <c r="H67" s="10"/>
      <c r="I67" s="10"/>
    </row>
    <row r="68" spans="1:9" s="9" customFormat="1">
      <c r="A68" s="95" t="s">
        <v>109</v>
      </c>
      <c r="B68" s="95">
        <f t="shared" ref="B68:C68" si="27">+B45+B54+B63</f>
        <v>51.989999999999995</v>
      </c>
      <c r="C68" s="95">
        <f t="shared" si="27"/>
        <v>0</v>
      </c>
      <c r="D68" s="99">
        <f>SUM(B68:C68)</f>
        <v>51.989999999999995</v>
      </c>
      <c r="E68" s="99"/>
      <c r="F68" s="10"/>
      <c r="G68" s="10"/>
      <c r="H68" s="10"/>
      <c r="I68" s="10"/>
    </row>
    <row r="69" spans="1:9" s="9" customFormat="1">
      <c r="A69" s="95" t="s">
        <v>110</v>
      </c>
      <c r="B69" s="95"/>
      <c r="C69" s="95"/>
      <c r="D69" s="99">
        <f>SUM(B69:C69)</f>
        <v>0</v>
      </c>
      <c r="E69" s="99">
        <f ca="1">+E47+E56+E65</f>
        <v>99.539999999999978</v>
      </c>
      <c r="F69" s="10"/>
      <c r="G69" s="10"/>
      <c r="H69" s="10"/>
      <c r="I69" s="10"/>
    </row>
    <row r="70" spans="1:9" s="9" customFormat="1">
      <c r="A70" s="95"/>
      <c r="B70" s="95"/>
      <c r="C70" s="95"/>
      <c r="D70" s="99">
        <f>SUM(B70:C70)</f>
        <v>0</v>
      </c>
      <c r="E70" s="99"/>
      <c r="F70" s="10"/>
      <c r="G70" s="10"/>
      <c r="H70" s="10"/>
      <c r="I70" s="10"/>
    </row>
    <row r="71" spans="1:9" s="9" customFormat="1">
      <c r="A71" s="95" t="s">
        <v>98</v>
      </c>
      <c r="B71" s="95">
        <f ca="1">+B67+B37</f>
        <v>2767.76</v>
      </c>
      <c r="C71" s="95">
        <f t="shared" ref="C71:C72" ca="1" si="28">+C67+C37</f>
        <v>2100</v>
      </c>
      <c r="D71" s="99">
        <f ca="1">SUM(B71:C71)</f>
        <v>4867.76</v>
      </c>
      <c r="E71" s="99"/>
      <c r="F71" s="10"/>
      <c r="G71" s="10"/>
      <c r="H71" s="10"/>
      <c r="I71" s="10"/>
    </row>
    <row r="72" spans="1:9" s="9" customFormat="1">
      <c r="A72" s="95" t="s">
        <v>104</v>
      </c>
      <c r="B72" s="95">
        <f ca="1">+B68+B38</f>
        <v>238.31666666666666</v>
      </c>
      <c r="C72" s="95">
        <f t="shared" ca="1" si="28"/>
        <v>151.66666666666666</v>
      </c>
      <c r="D72" s="99"/>
      <c r="E72" s="99"/>
      <c r="F72" s="10"/>
      <c r="G72" s="10"/>
      <c r="H72" s="10"/>
      <c r="I72" s="10"/>
    </row>
    <row r="73" spans="1:9" s="9" customFormat="1">
      <c r="A73" s="95"/>
      <c r="B73" s="95"/>
      <c r="C73" s="95"/>
      <c r="D73" s="99"/>
      <c r="E73" s="99"/>
      <c r="F73" s="10"/>
      <c r="G73" s="10"/>
      <c r="H73" s="10"/>
      <c r="I73" s="10"/>
    </row>
    <row r="74" spans="1:9" s="9" customFormat="1">
      <c r="A74" s="95"/>
      <c r="B74" s="95"/>
      <c r="C74" s="95"/>
      <c r="D74" s="99"/>
      <c r="E74" s="99"/>
      <c r="F74" s="10"/>
      <c r="G74" s="10"/>
      <c r="H74" s="10"/>
      <c r="I74" s="10"/>
    </row>
    <row r="75" spans="1:9">
      <c r="A75" s="94" t="s">
        <v>111</v>
      </c>
      <c r="B75" s="95" t="str">
        <f ca="1">IF((B77+B71)&lt;B79,"Oui","Non")</f>
        <v>Oui</v>
      </c>
      <c r="C75" s="95" t="str">
        <f t="shared" ref="C75" ca="1" si="29">IF((C77+C71)&lt;C79,"Oui","Non")</f>
        <v>Oui</v>
      </c>
      <c r="D75" s="10"/>
      <c r="E75" s="10"/>
      <c r="F75" s="88"/>
      <c r="G75" s="88"/>
      <c r="H75" s="88"/>
      <c r="I75" s="88"/>
    </row>
    <row r="76" spans="1:9" s="11" customFormat="1">
      <c r="A76" s="96" t="s">
        <v>92</v>
      </c>
      <c r="B76" s="97">
        <f>+IF(B78&gt;151.67,1,B78/151.67)</f>
        <v>0</v>
      </c>
      <c r="C76" s="97">
        <f t="shared" ref="C76" si="30">+IF(C78&gt;151.67,1,C78/151.67)</f>
        <v>0</v>
      </c>
      <c r="D76" s="92">
        <f>+SUM(B76:C76)</f>
        <v>0</v>
      </c>
      <c r="E76" s="92">
        <f ca="1">+SUMIF(B75:C75,"oui",B76:C76)</f>
        <v>0</v>
      </c>
      <c r="F76" s="89"/>
      <c r="G76" s="89"/>
      <c r="H76" s="89"/>
      <c r="I76" s="89"/>
    </row>
    <row r="77" spans="1:9">
      <c r="A77" s="98" t="s">
        <v>93</v>
      </c>
      <c r="B77" s="95"/>
      <c r="C77" s="95"/>
      <c r="D77" s="99">
        <f>SUM(B77:C77)</f>
        <v>0</v>
      </c>
      <c r="E77" s="99">
        <f ca="1">+SUMIF(B75:C75,"OUI",B82:C82)</f>
        <v>4867.76</v>
      </c>
      <c r="F77" s="88"/>
      <c r="G77" s="88"/>
      <c r="H77" s="88"/>
      <c r="I77" s="88"/>
    </row>
    <row r="78" spans="1:9">
      <c r="A78" s="98" t="s">
        <v>94</v>
      </c>
      <c r="B78" s="95"/>
      <c r="C78" s="95"/>
      <c r="D78" s="99"/>
      <c r="E78" s="99"/>
      <c r="F78" s="88"/>
      <c r="G78" s="88"/>
      <c r="H78" s="88"/>
      <c r="I78" s="88"/>
    </row>
    <row r="79" spans="1:9">
      <c r="A79" s="98" t="s">
        <v>95</v>
      </c>
      <c r="B79" s="95">
        <f ca="1">B78*$B$2*2.5+B64</f>
        <v>5677.8945833333319</v>
      </c>
      <c r="C79" s="95">
        <f t="shared" ref="C79" ca="1" si="31">C78*$B$2*2.5+C64</f>
        <v>3613.458333333333</v>
      </c>
      <c r="D79" s="99"/>
      <c r="E79" s="99"/>
      <c r="F79" s="88"/>
      <c r="G79" s="88"/>
      <c r="H79" s="88"/>
      <c r="I79" s="88"/>
    </row>
    <row r="80" spans="1:9" s="9" customFormat="1">
      <c r="A80" s="95" t="s">
        <v>96</v>
      </c>
      <c r="B80" s="95" t="e">
        <f ca="1">((0.281/0.6)*(1.6*$B$2*(B78+B72)/(B77+B71)-1))*(B77+B71)-B56-B47-B35-B26-B18-B65</f>
        <v>#REF!</v>
      </c>
      <c r="C80" s="95">
        <f t="shared" ref="C80" ca="1" si="32">((0.281/0.6)*(1.6*$B$2*(C78+C72)/(C77+C71)-1))*(C77+C71)-C56-C47-C35-C26-C18-C65</f>
        <v>-99.539999999999978</v>
      </c>
      <c r="D80" s="99"/>
      <c r="E80" s="99">
        <f ca="1">+SUMIF(B80:C80,"&gt;0")</f>
        <v>0</v>
      </c>
      <c r="F80" s="10"/>
      <c r="G80" s="10"/>
      <c r="H80" s="10"/>
      <c r="I80" s="10"/>
    </row>
    <row r="81" spans="1:9" s="9" customFormat="1">
      <c r="A81" s="95"/>
      <c r="B81" s="95"/>
      <c r="C81" s="95"/>
      <c r="D81" s="99"/>
      <c r="E81" s="99"/>
      <c r="F81" s="10"/>
      <c r="G81" s="10"/>
      <c r="H81" s="10"/>
      <c r="I81" s="10"/>
    </row>
    <row r="82" spans="1:9" s="9" customFormat="1">
      <c r="A82" s="95" t="s">
        <v>98</v>
      </c>
      <c r="B82" s="95">
        <f ca="1">+B71+B77</f>
        <v>2767.76</v>
      </c>
      <c r="C82" s="95">
        <f t="shared" ref="C82:C83" ca="1" si="33">+C71+C77</f>
        <v>2100</v>
      </c>
      <c r="D82" s="99"/>
      <c r="E82" s="99"/>
      <c r="F82" s="10"/>
      <c r="G82" s="10"/>
      <c r="H82" s="10"/>
      <c r="I82" s="10"/>
    </row>
    <row r="83" spans="1:9" s="9" customFormat="1">
      <c r="A83" s="95" t="s">
        <v>104</v>
      </c>
      <c r="B83" s="95">
        <f ca="1">+B72+B78</f>
        <v>238.31666666666666</v>
      </c>
      <c r="C83" s="95">
        <f t="shared" ca="1" si="33"/>
        <v>151.66666666666666</v>
      </c>
      <c r="D83" s="99"/>
      <c r="E83" s="99"/>
      <c r="F83" s="10"/>
      <c r="G83" s="10"/>
      <c r="H83" s="10"/>
      <c r="I83" s="10"/>
    </row>
    <row r="84" spans="1:9" s="9" customFormat="1">
      <c r="A84" s="95"/>
      <c r="B84" s="95"/>
      <c r="C84" s="95"/>
      <c r="D84" s="99"/>
      <c r="E84" s="99"/>
      <c r="F84" s="10"/>
      <c r="G84" s="10"/>
      <c r="H84" s="10"/>
      <c r="I84" s="10"/>
    </row>
    <row r="85" spans="1:9">
      <c r="A85" s="94" t="s">
        <v>112</v>
      </c>
      <c r="B85" s="95" t="str">
        <f ca="1">IF((B87+B82)&lt;(B89),"Oui","Non")</f>
        <v>Oui</v>
      </c>
      <c r="C85" s="95" t="str">
        <f t="shared" ref="C85" ca="1" si="34">IF((C87+C82)&lt;(C89),"Oui","Non")</f>
        <v>Oui</v>
      </c>
      <c r="D85" s="99"/>
      <c r="E85" s="99"/>
      <c r="F85" s="88"/>
      <c r="G85" s="88"/>
      <c r="H85" s="88"/>
      <c r="I85" s="88"/>
    </row>
    <row r="86" spans="1:9" s="11" customFormat="1">
      <c r="A86" s="96" t="s">
        <v>92</v>
      </c>
      <c r="B86" s="97">
        <f>+IF(B88&gt;151.67,1,B88/151.67)</f>
        <v>0</v>
      </c>
      <c r="C86" s="97">
        <f t="shared" ref="C86" si="35">+IF(C88&gt;151.67,1,C88/151.67)</f>
        <v>0</v>
      </c>
      <c r="D86" s="99">
        <f>SUM(B86:C86)</f>
        <v>0</v>
      </c>
      <c r="E86" s="99">
        <f ca="1">+SUMIF(B85:C85,"oui",B86:C86)</f>
        <v>0</v>
      </c>
      <c r="F86" s="89"/>
      <c r="G86" s="89"/>
      <c r="H86" s="89"/>
      <c r="I86" s="89"/>
    </row>
    <row r="87" spans="1:9">
      <c r="A87" s="98" t="s">
        <v>93</v>
      </c>
      <c r="B87" s="95"/>
      <c r="C87" s="95"/>
      <c r="D87" s="99">
        <f>SUM(B87:C87)</f>
        <v>0</v>
      </c>
      <c r="E87" s="99">
        <f ca="1">+SUMIF(B85:C85,"OUI",B92:C92)</f>
        <v>4867.76</v>
      </c>
      <c r="F87" s="88"/>
      <c r="G87" s="88"/>
      <c r="H87" s="88"/>
      <c r="I87" s="88"/>
    </row>
    <row r="88" spans="1:9">
      <c r="A88" s="98" t="s">
        <v>94</v>
      </c>
      <c r="B88" s="95"/>
      <c r="C88" s="95"/>
      <c r="D88" s="99"/>
      <c r="E88" s="99"/>
      <c r="F88" s="88"/>
      <c r="G88" s="88"/>
      <c r="H88" s="88"/>
      <c r="I88" s="88"/>
    </row>
    <row r="89" spans="1:9">
      <c r="A89" s="98" t="s">
        <v>95</v>
      </c>
      <c r="B89" s="95">
        <f ca="1">B88*$B$2*2.5+B79</f>
        <v>5677.8945833333319</v>
      </c>
      <c r="C89" s="95">
        <f t="shared" ref="C89" ca="1" si="36">C88*$B$2*2.5+C79</f>
        <v>3613.458333333333</v>
      </c>
      <c r="D89" s="99"/>
      <c r="E89" s="99"/>
      <c r="F89" s="88"/>
      <c r="G89" s="88"/>
      <c r="H89" s="88"/>
      <c r="I89" s="88"/>
    </row>
    <row r="90" spans="1:9" s="9" customFormat="1">
      <c r="A90" s="95" t="s">
        <v>96</v>
      </c>
      <c r="B90" s="95" t="e">
        <f ca="1">((0.281/0.6)*(1.6*$B$2*(B83+B88)/(B82+B87)-1))*(B82+B87)-B80-B56-B47-B35-B26-B18-B65</f>
        <v>#REF!</v>
      </c>
      <c r="C90" s="95">
        <f t="shared" ref="C90" ca="1" si="37">((0.281/0.6)*(1.6*$B$2*(C83+C88)/(C82+C87)-1))*(C82+C87)-C80-C56-C47-C35-C26-C18-C65</f>
        <v>-1.4210854715202004E-14</v>
      </c>
      <c r="D90" s="99"/>
      <c r="E90" s="99">
        <f ca="1">+SUMIF(B90:C90,"&gt;0")</f>
        <v>0</v>
      </c>
      <c r="F90" s="10"/>
      <c r="G90" s="10"/>
      <c r="H90" s="10"/>
      <c r="I90" s="10"/>
    </row>
    <row r="91" spans="1:9" s="9" customFormat="1">
      <c r="A91" s="95"/>
      <c r="B91" s="95"/>
      <c r="C91" s="95"/>
      <c r="D91" s="99"/>
      <c r="E91" s="99"/>
      <c r="F91" s="10"/>
      <c r="G91" s="10"/>
      <c r="H91" s="10"/>
      <c r="I91" s="10"/>
    </row>
    <row r="92" spans="1:9" s="9" customFormat="1">
      <c r="A92" s="95" t="s">
        <v>98</v>
      </c>
      <c r="B92" s="95">
        <f ca="1">+B82+B87</f>
        <v>2767.76</v>
      </c>
      <c r="C92" s="95">
        <f t="shared" ref="C92:C93" ca="1" si="38">+C82+C87</f>
        <v>2100</v>
      </c>
      <c r="D92" s="99"/>
      <c r="E92" s="99"/>
      <c r="F92" s="10"/>
      <c r="G92" s="10"/>
      <c r="H92" s="10"/>
      <c r="I92" s="10"/>
    </row>
    <row r="93" spans="1:9" s="9" customFormat="1">
      <c r="A93" s="95" t="s">
        <v>104</v>
      </c>
      <c r="B93" s="95">
        <f ca="1">+B83+B88</f>
        <v>238.31666666666666</v>
      </c>
      <c r="C93" s="95">
        <f t="shared" ca="1" si="38"/>
        <v>151.66666666666666</v>
      </c>
      <c r="D93" s="99"/>
      <c r="E93" s="99"/>
      <c r="F93" s="10"/>
      <c r="G93" s="10"/>
      <c r="H93" s="10"/>
      <c r="I93" s="10"/>
    </row>
    <row r="94" spans="1:9" s="9" customFormat="1">
      <c r="A94" s="95"/>
      <c r="B94" s="95"/>
      <c r="C94" s="95"/>
      <c r="D94" s="99"/>
      <c r="E94" s="99"/>
      <c r="F94" s="10"/>
      <c r="G94" s="10"/>
      <c r="H94" s="10"/>
      <c r="I94" s="10"/>
    </row>
    <row r="95" spans="1:9">
      <c r="A95" s="94" t="s">
        <v>113</v>
      </c>
      <c r="B95" s="95" t="str">
        <f ca="1">IF((B92+B97)&lt;B99,"Oui","Non")</f>
        <v>Oui</v>
      </c>
      <c r="C95" s="95" t="str">
        <f t="shared" ref="C95" ca="1" si="39">IF((C92+C97)&lt;C99,"Oui","Non")</f>
        <v>Oui</v>
      </c>
      <c r="D95" s="99">
        <f ca="1">SUM(B95:C95)</f>
        <v>0</v>
      </c>
      <c r="E95" s="99"/>
      <c r="F95" s="88"/>
      <c r="G95" s="88"/>
      <c r="H95" s="88"/>
      <c r="I95" s="88"/>
    </row>
    <row r="96" spans="1:9">
      <c r="A96" s="96" t="s">
        <v>92</v>
      </c>
      <c r="B96" s="97">
        <f>+IF(B98&gt;151.67,1,B98/151.67)</f>
        <v>0</v>
      </c>
      <c r="C96" s="97">
        <f t="shared" ref="C96" si="40">+IF(C98&gt;151.67,1,C98/151.67)</f>
        <v>0</v>
      </c>
      <c r="D96" s="99">
        <f>SUM(B96:C96)</f>
        <v>0</v>
      </c>
      <c r="E96" s="99">
        <f ca="1">+SUMIF(B95:C95,"oui",B96:C96)</f>
        <v>0</v>
      </c>
      <c r="F96" s="88"/>
      <c r="G96" s="88"/>
      <c r="H96" s="88"/>
      <c r="I96" s="88"/>
    </row>
    <row r="97" spans="1:9">
      <c r="A97" s="98" t="s">
        <v>93</v>
      </c>
      <c r="B97" s="95"/>
      <c r="C97" s="95"/>
      <c r="D97" s="99">
        <f>SUM(B97:C97)</f>
        <v>0</v>
      </c>
      <c r="E97" s="99">
        <f ca="1">+SUMIF(B95:C95,"OUI",B106:C106)</f>
        <v>4867.76</v>
      </c>
      <c r="F97" s="88"/>
      <c r="G97" s="88"/>
      <c r="H97" s="88"/>
      <c r="I97" s="88"/>
    </row>
    <row r="98" spans="1:9">
      <c r="A98" s="98" t="s">
        <v>94</v>
      </c>
      <c r="B98" s="95"/>
      <c r="C98" s="95"/>
      <c r="D98" s="99"/>
      <c r="E98" s="99"/>
      <c r="F98" s="88"/>
      <c r="G98" s="88"/>
      <c r="H98" s="88"/>
      <c r="I98" s="88"/>
    </row>
    <row r="99" spans="1:9">
      <c r="A99" s="98" t="s">
        <v>95</v>
      </c>
      <c r="B99" s="95">
        <f ca="1">B98*$B$2*2.5+B89</f>
        <v>5677.8945833333319</v>
      </c>
      <c r="C99" s="95">
        <f t="shared" ref="C99" ca="1" si="41">C98*$B$2*2.5+C89</f>
        <v>3613.458333333333</v>
      </c>
      <c r="D99" s="99"/>
      <c r="E99" s="99"/>
      <c r="F99" s="88"/>
      <c r="G99" s="88"/>
      <c r="H99" s="88"/>
      <c r="I99" s="88"/>
    </row>
    <row r="100" spans="1:9" s="9" customFormat="1">
      <c r="A100" s="95" t="s">
        <v>96</v>
      </c>
      <c r="B100" s="95" t="e">
        <f ca="1">((0.281/0.6)*(1.6*$B$2*(B93+B98)/(B92+B97)-1))*(B92+B97)-B90-B80-B56-B47-B35-B26-B18-B65</f>
        <v>#REF!</v>
      </c>
      <c r="C100" s="95">
        <f t="shared" ref="C100" ca="1" si="42">((0.281/0.6)*(1.6*$B$2*(C93+C98)/(C92+C97)-1))*(C92+C97)-C90-C80-C56-C47-C35-C26-C18-C65</f>
        <v>-1.4210854715202004E-14</v>
      </c>
      <c r="D100" s="99"/>
      <c r="E100" s="99">
        <f ca="1">+SUMIF(B100:C100,"&gt;0")</f>
        <v>0</v>
      </c>
      <c r="F100" s="10"/>
      <c r="G100" s="10"/>
      <c r="H100" s="10"/>
      <c r="I100" s="10"/>
    </row>
    <row r="101" spans="1:9" s="9" customFormat="1">
      <c r="A101" s="95"/>
      <c r="B101" s="95"/>
      <c r="C101" s="95"/>
      <c r="D101" s="99">
        <f>SUM(B101:C101)</f>
        <v>0</v>
      </c>
      <c r="E101" s="99"/>
      <c r="F101" s="10"/>
      <c r="G101" s="10"/>
      <c r="H101" s="10"/>
      <c r="I101" s="10"/>
    </row>
    <row r="102" spans="1:9" s="9" customFormat="1">
      <c r="A102" s="95" t="s">
        <v>114</v>
      </c>
      <c r="B102" s="95">
        <f>+B77+B87+B97</f>
        <v>0</v>
      </c>
      <c r="C102" s="95">
        <f t="shared" ref="C102" si="43">+C77+C87+C97</f>
        <v>0</v>
      </c>
      <c r="D102" s="99">
        <f>SUM(B102:C102)</f>
        <v>0</v>
      </c>
      <c r="E102" s="99"/>
      <c r="F102" s="10"/>
      <c r="G102" s="10"/>
      <c r="H102" s="10"/>
      <c r="I102" s="10"/>
    </row>
    <row r="103" spans="1:9" s="9" customFormat="1">
      <c r="A103" s="95" t="s">
        <v>115</v>
      </c>
      <c r="B103" s="95">
        <f>+B78+B88+B98</f>
        <v>0</v>
      </c>
      <c r="C103" s="95">
        <f>+C78+C88+C98</f>
        <v>0</v>
      </c>
      <c r="D103" s="99">
        <f>SUM(B103:C103)</f>
        <v>0</v>
      </c>
      <c r="E103" s="99"/>
      <c r="F103" s="10"/>
      <c r="G103" s="10"/>
      <c r="H103" s="10"/>
      <c r="I103" s="10"/>
    </row>
    <row r="104" spans="1:9" s="9" customFormat="1">
      <c r="A104" s="95" t="s">
        <v>116</v>
      </c>
      <c r="B104" s="95"/>
      <c r="C104" s="95"/>
      <c r="D104" s="99">
        <f>SUM(B104:C104)</f>
        <v>0</v>
      </c>
      <c r="E104" s="99">
        <f ca="1">+E80+E90+E100</f>
        <v>0</v>
      </c>
      <c r="F104" s="10"/>
      <c r="G104" s="10"/>
      <c r="H104" s="10"/>
      <c r="I104" s="10"/>
    </row>
    <row r="105" spans="1:9" s="9" customFormat="1">
      <c r="A105" s="95"/>
      <c r="B105" s="95"/>
      <c r="C105" s="95"/>
      <c r="D105" s="99">
        <f>SUM(B105:C105)</f>
        <v>0</v>
      </c>
      <c r="E105" s="99"/>
      <c r="F105" s="10"/>
      <c r="G105" s="10"/>
      <c r="H105" s="10"/>
      <c r="I105" s="10"/>
    </row>
    <row r="106" spans="1:9" s="9" customFormat="1">
      <c r="A106" s="95" t="s">
        <v>117</v>
      </c>
      <c r="B106" s="95">
        <f ca="1">+B97+B92</f>
        <v>2767.76</v>
      </c>
      <c r="C106" s="95">
        <f t="shared" ref="C106:C107" ca="1" si="44">+C97+C92</f>
        <v>2100</v>
      </c>
      <c r="D106" s="99"/>
      <c r="E106" s="99"/>
      <c r="F106" s="10"/>
      <c r="G106" s="10"/>
      <c r="H106" s="10"/>
      <c r="I106" s="10"/>
    </row>
    <row r="107" spans="1:9" s="9" customFormat="1">
      <c r="A107" s="95" t="s">
        <v>104</v>
      </c>
      <c r="B107" s="95">
        <f ca="1">+B98+B93</f>
        <v>238.31666666666666</v>
      </c>
      <c r="C107" s="95">
        <f t="shared" ca="1" si="44"/>
        <v>151.66666666666666</v>
      </c>
      <c r="D107" s="99"/>
      <c r="E107" s="99"/>
      <c r="F107" s="10"/>
      <c r="G107" s="10"/>
      <c r="H107" s="10"/>
      <c r="I107" s="10"/>
    </row>
    <row r="108" spans="1:9" s="9" customFormat="1">
      <c r="A108" s="95"/>
      <c r="B108" s="95"/>
      <c r="C108" s="95"/>
      <c r="D108" s="99">
        <f>SUM(B108:C108)</f>
        <v>0</v>
      </c>
      <c r="E108" s="99"/>
      <c r="F108" s="10"/>
      <c r="G108" s="10"/>
      <c r="H108" s="10"/>
      <c r="I108" s="10"/>
    </row>
    <row r="109" spans="1:9">
      <c r="A109" s="94" t="s">
        <v>118</v>
      </c>
      <c r="B109" s="95" t="str">
        <f ca="1">IF((B111+B106)&lt;B113,"Oui","Non")</f>
        <v>Oui</v>
      </c>
      <c r="C109" s="95" t="str">
        <f t="shared" ref="C109" ca="1" si="45">IF((C111+C106)&lt;C113,"Oui","Non")</f>
        <v>Oui</v>
      </c>
      <c r="D109" s="10"/>
      <c r="E109" s="10"/>
      <c r="F109" s="88"/>
      <c r="G109" s="88"/>
      <c r="H109" s="88"/>
      <c r="I109" s="88"/>
    </row>
    <row r="110" spans="1:9" s="11" customFormat="1">
      <c r="A110" s="96" t="s">
        <v>92</v>
      </c>
      <c r="B110" s="97">
        <f>+IF(B112&gt;151.67,1,B112/151.67)</f>
        <v>0</v>
      </c>
      <c r="C110" s="97">
        <f t="shared" ref="C110" si="46">+IF(C112&gt;151.67,1,C112/151.67)</f>
        <v>0</v>
      </c>
      <c r="D110" s="92">
        <f>+SUM(B110:C110)</f>
        <v>0</v>
      </c>
      <c r="E110" s="92">
        <f ca="1">+SUMIF(B109:C109,"oui",B110:C110)</f>
        <v>0</v>
      </c>
      <c r="F110" s="89"/>
      <c r="G110" s="89"/>
      <c r="H110" s="89"/>
      <c r="I110" s="89"/>
    </row>
    <row r="111" spans="1:9">
      <c r="A111" s="98" t="s">
        <v>93</v>
      </c>
      <c r="B111" s="95"/>
      <c r="C111" s="95"/>
      <c r="D111" s="99">
        <f>SUM(B111:C111)</f>
        <v>0</v>
      </c>
      <c r="E111" s="99">
        <f ca="1">+SUMIF(B109:C109,"OUI",B116:C116)</f>
        <v>4867.76</v>
      </c>
      <c r="F111" s="88"/>
      <c r="G111" s="88"/>
      <c r="H111" s="88"/>
      <c r="I111" s="88"/>
    </row>
    <row r="112" spans="1:9">
      <c r="A112" s="98" t="s">
        <v>94</v>
      </c>
      <c r="B112" s="95"/>
      <c r="C112" s="95"/>
      <c r="D112" s="99"/>
      <c r="E112" s="99"/>
      <c r="F112" s="88"/>
      <c r="G112" s="88"/>
      <c r="H112" s="88"/>
      <c r="I112" s="88"/>
    </row>
    <row r="113" spans="1:9">
      <c r="A113" s="98" t="s">
        <v>95</v>
      </c>
      <c r="B113" s="95">
        <f ca="1">B112*$B$2*2.5+B99</f>
        <v>5677.8945833333319</v>
      </c>
      <c r="C113" s="95">
        <f t="shared" ref="C113" ca="1" si="47">C112*$B$2*2.5+C99</f>
        <v>3613.458333333333</v>
      </c>
      <c r="D113" s="99"/>
      <c r="E113" s="99"/>
      <c r="F113" s="88"/>
      <c r="G113" s="88"/>
      <c r="H113" s="88"/>
      <c r="I113" s="88"/>
    </row>
    <row r="114" spans="1:9" s="9" customFormat="1">
      <c r="A114" s="95" t="s">
        <v>96</v>
      </c>
      <c r="B114" s="95" t="e">
        <f ca="1">((0.281/0.6)*(1.6*$B$2*(B112+B107)/(B111+B106)-1))*(B111+B106)-B90-B80-B56-B47-B35-B26-B18-B65-B100</f>
        <v>#REF!</v>
      </c>
      <c r="C114" s="95">
        <f t="shared" ref="C114" ca="1" si="48">((0.281/0.6)*(1.6*$B$2*(C112+C107)/(C111+C106)-1))*(C111+C106)-C90-C80-C56-C47-C35-C26-C18-C65-C100</f>
        <v>0</v>
      </c>
      <c r="D114" s="99"/>
      <c r="E114" s="99">
        <f ca="1">+SUMIF(B114:C114,"&gt;0")</f>
        <v>0</v>
      </c>
      <c r="F114" s="10"/>
      <c r="G114" s="10"/>
      <c r="H114" s="10"/>
      <c r="I114" s="10"/>
    </row>
    <row r="115" spans="1:9" s="9" customFormat="1">
      <c r="A115" s="95"/>
      <c r="B115" s="95"/>
      <c r="C115" s="95"/>
      <c r="D115" s="99"/>
      <c r="E115" s="99"/>
      <c r="F115" s="10"/>
      <c r="G115" s="10"/>
      <c r="H115" s="10"/>
      <c r="I115" s="10"/>
    </row>
    <row r="116" spans="1:9" s="9" customFormat="1">
      <c r="A116" s="95" t="s">
        <v>98</v>
      </c>
      <c r="B116" s="95">
        <f ca="1">+B111+B106</f>
        <v>2767.76</v>
      </c>
      <c r="C116" s="95">
        <f t="shared" ref="C116" ca="1" si="49">+C111+C106</f>
        <v>2100</v>
      </c>
      <c r="D116" s="99"/>
      <c r="E116" s="99"/>
      <c r="F116" s="10"/>
      <c r="G116" s="10"/>
      <c r="H116" s="10"/>
      <c r="I116" s="10"/>
    </row>
    <row r="117" spans="1:9" s="9" customFormat="1">
      <c r="A117" s="95" t="s">
        <v>104</v>
      </c>
      <c r="B117" s="95">
        <f ca="1">+B107+B112</f>
        <v>238.31666666666666</v>
      </c>
      <c r="C117" s="95">
        <f t="shared" ref="C117" ca="1" si="50">+C107+C112</f>
        <v>151.66666666666666</v>
      </c>
      <c r="D117" s="99"/>
      <c r="E117" s="99"/>
      <c r="F117" s="10"/>
      <c r="G117" s="10"/>
      <c r="H117" s="10"/>
      <c r="I117" s="10"/>
    </row>
    <row r="118" spans="1:9" s="9" customFormat="1">
      <c r="A118" s="95"/>
      <c r="B118" s="95"/>
      <c r="C118" s="95"/>
      <c r="D118" s="99"/>
      <c r="E118" s="99"/>
      <c r="F118" s="10"/>
      <c r="G118" s="10"/>
      <c r="H118" s="10"/>
      <c r="I118" s="10"/>
    </row>
    <row r="119" spans="1:9">
      <c r="A119" s="94" t="s">
        <v>119</v>
      </c>
      <c r="B119" s="95" t="str">
        <f ca="1">IF((B116+B111)&lt;(B123),"Oui","Non")</f>
        <v>Oui</v>
      </c>
      <c r="C119" s="95" t="str">
        <f t="shared" ref="C119" ca="1" si="51">IF((C116+C111)&lt;(C123),"Oui","Non")</f>
        <v>Oui</v>
      </c>
      <c r="D119" s="99"/>
      <c r="E119" s="99"/>
      <c r="F119" s="88"/>
      <c r="G119" s="88"/>
      <c r="H119" s="88"/>
      <c r="I119" s="88"/>
    </row>
    <row r="120" spans="1:9" s="11" customFormat="1">
      <c r="A120" s="96" t="s">
        <v>92</v>
      </c>
      <c r="B120" s="97">
        <f>+IF(B122&gt;151.67,1,B122/151.67)</f>
        <v>0</v>
      </c>
      <c r="C120" s="97">
        <f t="shared" ref="C120" si="52">+IF(C122&gt;151.67,1,C122/151.67)</f>
        <v>0</v>
      </c>
      <c r="D120" s="99">
        <f>SUM(B120:C120)</f>
        <v>0</v>
      </c>
      <c r="E120" s="99">
        <f ca="1">+SUMIF(B119:C119,"oui",B120:C120)</f>
        <v>0</v>
      </c>
      <c r="F120" s="89"/>
      <c r="G120" s="89"/>
      <c r="H120" s="89"/>
      <c r="I120" s="89"/>
    </row>
    <row r="121" spans="1:9">
      <c r="A121" s="98" t="s">
        <v>93</v>
      </c>
      <c r="B121" s="95"/>
      <c r="C121" s="95"/>
      <c r="D121" s="99">
        <f>SUM(B121:C121)</f>
        <v>0</v>
      </c>
      <c r="E121" s="99">
        <f ca="1">+SUMIF(B119:C119,"OUI",B126:C126)</f>
        <v>4867.76</v>
      </c>
      <c r="F121" s="88"/>
      <c r="G121" s="88"/>
      <c r="H121" s="88"/>
      <c r="I121" s="88"/>
    </row>
    <row r="122" spans="1:9">
      <c r="A122" s="98" t="s">
        <v>94</v>
      </c>
      <c r="B122" s="95"/>
      <c r="C122" s="95"/>
      <c r="D122" s="99"/>
      <c r="E122" s="99"/>
      <c r="F122" s="88"/>
      <c r="G122" s="88"/>
      <c r="H122" s="88"/>
      <c r="I122" s="88"/>
    </row>
    <row r="123" spans="1:9">
      <c r="A123" s="98" t="s">
        <v>95</v>
      </c>
      <c r="B123" s="95">
        <f ca="1">B122*$B$2*2.5+B113</f>
        <v>5677.8945833333319</v>
      </c>
      <c r="C123" s="95">
        <f t="shared" ref="C123" ca="1" si="53">C122*$B$2*2.5+C113</f>
        <v>3613.458333333333</v>
      </c>
      <c r="D123" s="99"/>
      <c r="E123" s="99"/>
      <c r="F123" s="88"/>
      <c r="G123" s="88"/>
      <c r="H123" s="88"/>
      <c r="I123" s="88"/>
    </row>
    <row r="124" spans="1:9" s="9" customFormat="1">
      <c r="A124" s="95" t="s">
        <v>96</v>
      </c>
      <c r="B124" s="95" t="e">
        <f ca="1">((0.281/0.6)*(1.6*$B$2*(B117+B122)/(B116+B121)-1))*(B116+B121)-B114-B90-B80-B56-B47-B35-B26-B18-B65-B100</f>
        <v>#REF!</v>
      </c>
      <c r="C124" s="95">
        <f t="shared" ref="C124" ca="1" si="54">((0.281/0.6)*(1.6*$B$2*(C117+C122)/(C116+C121)-1))*(C116+C121)-C114-C90-C80-C56-C47-C35-C26-C18-C65-C100</f>
        <v>0</v>
      </c>
      <c r="D124" s="99"/>
      <c r="E124" s="99">
        <f ca="1">+SUMIF(B124:C124,"&gt;0")</f>
        <v>0</v>
      </c>
      <c r="F124" s="10"/>
      <c r="G124" s="10"/>
      <c r="H124" s="10"/>
      <c r="I124" s="10"/>
    </row>
    <row r="125" spans="1:9" s="9" customFormat="1">
      <c r="A125" s="95"/>
      <c r="B125" s="95"/>
      <c r="C125" s="95"/>
      <c r="D125" s="99"/>
      <c r="E125" s="99"/>
      <c r="F125" s="10"/>
      <c r="G125" s="10"/>
      <c r="H125" s="10"/>
      <c r="I125" s="10"/>
    </row>
    <row r="126" spans="1:9" s="9" customFormat="1">
      <c r="A126" s="95" t="s">
        <v>98</v>
      </c>
      <c r="B126" s="95">
        <f ca="1">+B121+B116</f>
        <v>2767.76</v>
      </c>
      <c r="C126" s="95">
        <f t="shared" ref="C126:C127" ca="1" si="55">+C121+C116</f>
        <v>2100</v>
      </c>
      <c r="D126" s="99"/>
      <c r="E126" s="99"/>
      <c r="F126" s="10"/>
      <c r="G126" s="10"/>
      <c r="H126" s="10"/>
      <c r="I126" s="10"/>
    </row>
    <row r="127" spans="1:9" s="9" customFormat="1">
      <c r="A127" s="95" t="s">
        <v>104</v>
      </c>
      <c r="B127" s="95">
        <f ca="1">+B122+B117</f>
        <v>238.31666666666666</v>
      </c>
      <c r="C127" s="95">
        <f t="shared" ca="1" si="55"/>
        <v>151.66666666666666</v>
      </c>
      <c r="D127" s="99"/>
      <c r="E127" s="99"/>
      <c r="F127" s="10"/>
      <c r="G127" s="10"/>
      <c r="H127" s="10"/>
      <c r="I127" s="10"/>
    </row>
    <row r="128" spans="1:9" s="9" customFormat="1">
      <c r="A128" s="95"/>
      <c r="B128" s="95"/>
      <c r="C128" s="95"/>
      <c r="D128" s="99"/>
      <c r="E128" s="99"/>
      <c r="F128" s="10"/>
      <c r="G128" s="10"/>
      <c r="H128" s="10"/>
      <c r="I128" s="10"/>
    </row>
    <row r="129" spans="1:9">
      <c r="A129" s="94" t="s">
        <v>120</v>
      </c>
      <c r="B129" s="95" t="str">
        <f ca="1">IF((B126+B131)&lt;B133,"Oui","Non")</f>
        <v>Oui</v>
      </c>
      <c r="C129" s="95" t="str">
        <f t="shared" ref="C129" ca="1" si="56">IF((C126+C131)&lt;C133,"Oui","Non")</f>
        <v>Oui</v>
      </c>
      <c r="D129" s="99">
        <f ca="1">SUM(B129:C129)</f>
        <v>0</v>
      </c>
      <c r="E129" s="99"/>
      <c r="F129" s="88"/>
      <c r="G129" s="88"/>
      <c r="H129" s="88"/>
      <c r="I129" s="88"/>
    </row>
    <row r="130" spans="1:9">
      <c r="A130" s="96" t="s">
        <v>92</v>
      </c>
      <c r="B130" s="97">
        <f>+IF(B132&gt;151.67,1,B132/151.67)</f>
        <v>0</v>
      </c>
      <c r="C130" s="97">
        <f t="shared" ref="C130" si="57">+IF(C132&gt;151.67,1,C132/151.67)</f>
        <v>0</v>
      </c>
      <c r="D130" s="99">
        <f>SUM(B130:C130)</f>
        <v>0</v>
      </c>
      <c r="E130" s="99">
        <f ca="1">+SUMIF(B129:C129,"oui",B130:C130)</f>
        <v>0</v>
      </c>
      <c r="F130" s="88"/>
      <c r="G130" s="88"/>
      <c r="H130" s="88"/>
      <c r="I130" s="88"/>
    </row>
    <row r="131" spans="1:9">
      <c r="A131" s="98" t="s">
        <v>93</v>
      </c>
      <c r="B131" s="95"/>
      <c r="C131" s="95"/>
      <c r="D131" s="99">
        <f>SUM(B131:C131)</f>
        <v>0</v>
      </c>
      <c r="E131" s="99">
        <f ca="1">+SUMIF(B129:C129,"OUI",B140:C140)</f>
        <v>4867.76</v>
      </c>
      <c r="F131" s="88"/>
      <c r="G131" s="88"/>
      <c r="H131" s="88"/>
      <c r="I131" s="88"/>
    </row>
    <row r="132" spans="1:9">
      <c r="A132" s="98" t="s">
        <v>94</v>
      </c>
      <c r="B132" s="95"/>
      <c r="C132" s="95"/>
      <c r="D132" s="99"/>
      <c r="E132" s="99"/>
      <c r="F132" s="88"/>
      <c r="G132" s="88"/>
      <c r="H132" s="88"/>
      <c r="I132" s="88"/>
    </row>
    <row r="133" spans="1:9">
      <c r="A133" s="98" t="s">
        <v>95</v>
      </c>
      <c r="B133" s="95">
        <f ca="1">B132*$B$2*2.5+B123</f>
        <v>5677.8945833333319</v>
      </c>
      <c r="C133" s="95">
        <f t="shared" ref="C133" ca="1" si="58">C132*$B$2*2.5+C123</f>
        <v>3613.458333333333</v>
      </c>
      <c r="D133" s="99"/>
      <c r="E133" s="99"/>
      <c r="F133" s="88"/>
      <c r="G133" s="88"/>
      <c r="H133" s="88"/>
      <c r="I133" s="88"/>
    </row>
    <row r="134" spans="1:9" s="9" customFormat="1">
      <c r="A134" s="95" t="s">
        <v>96</v>
      </c>
      <c r="B134" s="95" t="e">
        <f ca="1">((0.281/0.6)*(1.6*$B$2*(B127+B132)/(B126+B131)-1))*(B126+B131)-B124-B114-B90-B80-B56-B47-B35-B26-B18-B65-B100</f>
        <v>#REF!</v>
      </c>
      <c r="C134" s="95">
        <f t="shared" ref="C134" ca="1" si="59">((0.281/0.6)*(1.6*$B$2*(C127+C132)/(C126+C131)-1))*(C126+C131)-C124-C114-C90-C80-C56-C47-C35-C26-C18-C65-C100</f>
        <v>0</v>
      </c>
      <c r="D134" s="99"/>
      <c r="E134" s="99">
        <f ca="1">+SUMIF(B134:C134,"&gt;0")</f>
        <v>0</v>
      </c>
      <c r="F134" s="10"/>
      <c r="G134" s="10"/>
      <c r="H134" s="10"/>
      <c r="I134" s="10"/>
    </row>
    <row r="135" spans="1:9" s="9" customFormat="1">
      <c r="A135" s="95"/>
      <c r="B135" s="95"/>
      <c r="C135" s="95"/>
      <c r="D135" s="99">
        <f>SUM(B135:C135)</f>
        <v>0</v>
      </c>
      <c r="E135" s="99"/>
      <c r="F135" s="10"/>
      <c r="G135" s="10"/>
      <c r="H135" s="10"/>
      <c r="I135" s="10"/>
    </row>
    <row r="136" spans="1:9" s="9" customFormat="1">
      <c r="A136" s="95" t="s">
        <v>121</v>
      </c>
      <c r="B136" s="95">
        <f>+B111+B121+B131</f>
        <v>0</v>
      </c>
      <c r="C136" s="95">
        <f t="shared" ref="C136" si="60">+C111+C121+C131</f>
        <v>0</v>
      </c>
      <c r="D136" s="99">
        <f>SUM(B136:C136)</f>
        <v>0</v>
      </c>
      <c r="E136" s="99"/>
      <c r="F136" s="10"/>
      <c r="G136" s="10"/>
      <c r="H136" s="10"/>
      <c r="I136" s="10"/>
    </row>
    <row r="137" spans="1:9" s="9" customFormat="1">
      <c r="A137" s="95" t="s">
        <v>122</v>
      </c>
      <c r="B137" s="95">
        <f>+B112+B122+B132</f>
        <v>0</v>
      </c>
      <c r="C137" s="95">
        <f>+C112+C122+C132</f>
        <v>0</v>
      </c>
      <c r="D137" s="99">
        <f>SUM(B137:C137)</f>
        <v>0</v>
      </c>
      <c r="E137" s="99"/>
      <c r="F137" s="10"/>
      <c r="G137" s="10"/>
      <c r="H137" s="10"/>
      <c r="I137" s="10"/>
    </row>
    <row r="138" spans="1:9" s="9" customFormat="1">
      <c r="A138" s="95" t="s">
        <v>123</v>
      </c>
      <c r="B138" s="95"/>
      <c r="C138" s="95"/>
      <c r="D138" s="99">
        <f>SUM(B138:C138)</f>
        <v>0</v>
      </c>
      <c r="E138" s="99">
        <f ca="1">+E114+E124+E134</f>
        <v>0</v>
      </c>
      <c r="F138" s="10"/>
      <c r="G138" s="10"/>
      <c r="H138" s="10"/>
      <c r="I138" s="10"/>
    </row>
    <row r="139" spans="1:9" s="9" customFormat="1">
      <c r="A139" s="95"/>
      <c r="B139" s="95"/>
      <c r="C139" s="95"/>
      <c r="D139" s="99">
        <f>SUM(B139:C139)</f>
        <v>0</v>
      </c>
      <c r="E139" s="99"/>
      <c r="F139" s="10"/>
      <c r="G139" s="10"/>
      <c r="H139" s="10"/>
      <c r="I139" s="10"/>
    </row>
    <row r="140" spans="1:9" s="9" customFormat="1">
      <c r="A140" s="95" t="s">
        <v>124</v>
      </c>
      <c r="B140" s="95">
        <f ca="1">+B126+B131</f>
        <v>2767.76</v>
      </c>
      <c r="C140" s="95">
        <f t="shared" ref="C140:C141" ca="1" si="61">+C126+C131</f>
        <v>2100</v>
      </c>
      <c r="D140" s="99">
        <f ca="1">SUM(B140:C140)</f>
        <v>4867.76</v>
      </c>
      <c r="E140" s="99">
        <f ca="1">+E104+E138+E69+E39</f>
        <v>522.9141981111112</v>
      </c>
      <c r="F140" s="10"/>
      <c r="G140" s="10"/>
      <c r="H140" s="10"/>
      <c r="I140" s="10"/>
    </row>
    <row r="141" spans="1:9">
      <c r="A141" s="101" t="s">
        <v>125</v>
      </c>
      <c r="B141" s="10">
        <f ca="1">+B127+B132</f>
        <v>238.31666666666666</v>
      </c>
      <c r="C141" s="10">
        <f t="shared" ca="1" si="61"/>
        <v>151.66666666666666</v>
      </c>
      <c r="D141" s="99">
        <f ca="1">SUM(B141:C141)</f>
        <v>389.98333333333335</v>
      </c>
      <c r="E141" s="88"/>
      <c r="F141" s="88"/>
      <c r="G141" s="88"/>
      <c r="H141" s="88"/>
      <c r="I141" s="88"/>
    </row>
  </sheetData>
  <printOptions horizontalCentered="1"/>
  <pageMargins left="0.11811023622047245" right="0.11811023622047245" top="0.74803149606299213" bottom="0.74803149606299213" header="0.31496062992125984" footer="0.31496062992125984"/>
  <pageSetup paperSize="256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48</vt:i4>
      </vt:variant>
    </vt:vector>
  </HeadingPairs>
  <TitlesOfParts>
    <vt:vector size="55" baseType="lpstr">
      <vt:lpstr>Base de données sociale</vt:lpstr>
      <vt:lpstr>suivi bulletins</vt:lpstr>
      <vt:lpstr>SMIC</vt:lpstr>
      <vt:lpstr>DUBREUIL JEAN</vt:lpstr>
      <vt:lpstr>ROBERT DUVERGNE</vt:lpstr>
      <vt:lpstr>Ess</vt:lpstr>
      <vt:lpstr>Controle des charges</vt:lpstr>
      <vt:lpstr>'DUBREUIL JEAN'!Coeff.effectif</vt:lpstr>
      <vt:lpstr>Ess!Coeff.effectif</vt:lpstr>
      <vt:lpstr>'ROBERT DUVERGNE'!Coeff.effectif</vt:lpstr>
      <vt:lpstr>'DUBREUIL JEAN'!Horaire_collectif_mensuel</vt:lpstr>
      <vt:lpstr>Ess!Horaire_collectif_mensuel</vt:lpstr>
      <vt:lpstr>'ROBERT DUVERGNE'!Horaire_collectif_mensuel</vt:lpstr>
      <vt:lpstr>Ess!Mode_calcul</vt:lpstr>
      <vt:lpstr>'ROBERT DUVERGNE'!Mode_calcul</vt:lpstr>
      <vt:lpstr>Mode_calcul</vt:lpstr>
      <vt:lpstr>Ess!Salaire_brut_août</vt:lpstr>
      <vt:lpstr>'ROBERT DUVERGNE'!Salaire_brut_août</vt:lpstr>
      <vt:lpstr>Salaire_brut_août</vt:lpstr>
      <vt:lpstr>Ess!Salaire_brut_avril</vt:lpstr>
      <vt:lpstr>'ROBERT DUVERGNE'!Salaire_brut_avril</vt:lpstr>
      <vt:lpstr>Salaire_brut_avril</vt:lpstr>
      <vt:lpstr>Ess!Salaire_brut_décembre</vt:lpstr>
      <vt:lpstr>'ROBERT DUVERGNE'!Salaire_brut_décembre</vt:lpstr>
      <vt:lpstr>Salaire_brut_décembre</vt:lpstr>
      <vt:lpstr>Ess!Salaire_brut_février</vt:lpstr>
      <vt:lpstr>'ROBERT DUVERGNE'!Salaire_brut_février</vt:lpstr>
      <vt:lpstr>Salaire_brut_février</vt:lpstr>
      <vt:lpstr>Ess!Salaire_brut_janvier</vt:lpstr>
      <vt:lpstr>'ROBERT DUVERGNE'!Salaire_brut_janvier</vt:lpstr>
      <vt:lpstr>Salaire_brut_janvier</vt:lpstr>
      <vt:lpstr>Ess!Salaire_brut_juillet</vt:lpstr>
      <vt:lpstr>'ROBERT DUVERGNE'!Salaire_brut_juillet</vt:lpstr>
      <vt:lpstr>Salaire_brut_juillet</vt:lpstr>
      <vt:lpstr>Ess!Salaire_brut_juin</vt:lpstr>
      <vt:lpstr>'ROBERT DUVERGNE'!Salaire_brut_juin</vt:lpstr>
      <vt:lpstr>Salaire_brut_juin</vt:lpstr>
      <vt:lpstr>Ess!Salaire_brut_mai</vt:lpstr>
      <vt:lpstr>'ROBERT DUVERGNE'!Salaire_brut_mai</vt:lpstr>
      <vt:lpstr>Salaire_brut_mai</vt:lpstr>
      <vt:lpstr>Ess!Salaire_brut_mars</vt:lpstr>
      <vt:lpstr>'ROBERT DUVERGNE'!Salaire_brut_mars</vt:lpstr>
      <vt:lpstr>Salaire_brut_mars</vt:lpstr>
      <vt:lpstr>Ess!Salaire_brut_novembre</vt:lpstr>
      <vt:lpstr>'ROBERT DUVERGNE'!Salaire_brut_novembre</vt:lpstr>
      <vt:lpstr>Salaire_brut_novembre</vt:lpstr>
      <vt:lpstr>Ess!Salaire_brut_octobre</vt:lpstr>
      <vt:lpstr>'ROBERT DUVERGNE'!Salaire_brut_octobre</vt:lpstr>
      <vt:lpstr>Salaire_brut_octobre</vt:lpstr>
      <vt:lpstr>Ess!Salaire_brut_septembre</vt:lpstr>
      <vt:lpstr>'ROBERT DUVERGNE'!Salaire_brut_septembre</vt:lpstr>
      <vt:lpstr>Salaire_brut_septembre</vt:lpstr>
      <vt:lpstr>'DUBREUIL JEAN'!Zone_d_impression</vt:lpstr>
      <vt:lpstr>Ess!Zone_d_impression</vt:lpstr>
      <vt:lpstr>'ROBERT DUVERGNE'!Zone_d_impression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Guy Blancher</cp:lastModifiedBy>
  <dcterms:created xsi:type="dcterms:W3CDTF">2014-07-03T21:35:31Z</dcterms:created>
  <dcterms:modified xsi:type="dcterms:W3CDTF">2014-07-06T21:25:40Z</dcterms:modified>
</cp:coreProperties>
</file>