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460" windowHeight="6024" activeTab="1"/>
  </bookViews>
  <sheets>
    <sheet name="TradingDesk" sheetId="1" r:id="rId1"/>
    <sheet name="MFF P1" sheetId="8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" i="8" l="1"/>
  <c r="J40" i="1"/>
  <c r="J41" i="1"/>
  <c r="L36" i="1"/>
  <c r="L37" i="1"/>
  <c r="K37" i="1" s="1"/>
  <c r="J37" i="1"/>
  <c r="L35" i="1"/>
  <c r="J34" i="1"/>
  <c r="J35" i="1"/>
  <c r="J36" i="1"/>
  <c r="K32" i="1"/>
  <c r="L33" i="1"/>
  <c r="K33" i="1" s="1"/>
  <c r="L31" i="1"/>
  <c r="K31" i="1" s="1"/>
  <c r="L30" i="1"/>
  <c r="L29" i="1"/>
  <c r="J31" i="1"/>
  <c r="J32" i="1"/>
  <c r="J33" i="1"/>
  <c r="J30" i="1"/>
  <c r="J29" i="1"/>
  <c r="L28" i="1"/>
  <c r="L27" i="1"/>
  <c r="K26" i="1"/>
  <c r="K25" i="1"/>
  <c r="L25" i="1"/>
  <c r="J28" i="1"/>
  <c r="J26" i="1"/>
  <c r="J27" i="1"/>
  <c r="J25" i="1"/>
  <c r="K22" i="1"/>
  <c r="I57" i="1"/>
  <c r="I56" i="1"/>
  <c r="H56" i="1"/>
  <c r="G56" i="1"/>
  <c r="J23" i="1"/>
  <c r="J24" i="1"/>
  <c r="L20" i="1"/>
  <c r="J21" i="1"/>
  <c r="J22" i="1"/>
  <c r="J19" i="1"/>
  <c r="J20" i="1"/>
  <c r="J18" i="1"/>
  <c r="G52" i="1"/>
  <c r="K11" i="1"/>
  <c r="K12" i="1"/>
  <c r="K8" i="1"/>
  <c r="K9" i="1"/>
  <c r="L55" i="1"/>
  <c r="G48" i="1" s="1"/>
  <c r="A47" i="1"/>
  <c r="H57" i="1"/>
  <c r="I59" i="1"/>
  <c r="H59" i="1"/>
  <c r="G59" i="1"/>
  <c r="G57" i="1"/>
  <c r="I52" i="1"/>
  <c r="I48" i="1"/>
  <c r="G53" i="1"/>
  <c r="G49" i="1"/>
  <c r="K7" i="1"/>
  <c r="J15" i="1"/>
  <c r="J16" i="1"/>
  <c r="J2" i="1"/>
  <c r="J3" i="1"/>
  <c r="J4" i="1"/>
  <c r="J5" i="1"/>
  <c r="J6" i="1"/>
  <c r="L6" i="1"/>
  <c r="J7" i="1"/>
  <c r="J8" i="1"/>
  <c r="J9" i="1"/>
  <c r="J10" i="1"/>
  <c r="J11" i="1"/>
  <c r="J12" i="1"/>
  <c r="J13" i="1"/>
  <c r="J17" i="1"/>
  <c r="J43" i="1"/>
  <c r="L6" i="8" l="1"/>
  <c r="M53" i="1"/>
  <c r="L15" i="8"/>
  <c r="K19" i="8"/>
  <c r="M15" i="8"/>
  <c r="K15" i="8"/>
  <c r="L10" i="8"/>
  <c r="L11" i="8"/>
  <c r="L7" i="8"/>
  <c r="L12" i="8"/>
  <c r="H58" i="1"/>
  <c r="I58" i="1"/>
  <c r="I53" i="1"/>
  <c r="I49" i="1"/>
  <c r="G58" i="1"/>
  <c r="M52" i="1"/>
  <c r="M51" i="1"/>
  <c r="M47" i="1"/>
  <c r="M46" i="1"/>
  <c r="K17" i="8" l="1"/>
  <c r="M12" i="8"/>
  <c r="M6" i="8"/>
  <c r="M50" i="1"/>
  <c r="M7" i="8" l="1"/>
  <c r="M10" i="8"/>
  <c r="M11" i="8"/>
</calcChain>
</file>

<file path=xl/sharedStrings.xml><?xml version="1.0" encoding="utf-8"?>
<sst xmlns="http://schemas.openxmlformats.org/spreadsheetml/2006/main" count="428" uniqueCount="76">
  <si>
    <t>Date</t>
  </si>
  <si>
    <t>Devise</t>
  </si>
  <si>
    <t>Position</t>
  </si>
  <si>
    <t>PnL</t>
  </si>
  <si>
    <t>Capital</t>
  </si>
  <si>
    <t>Long</t>
  </si>
  <si>
    <t>TP</t>
  </si>
  <si>
    <t>Neutre</t>
  </si>
  <si>
    <t>Short</t>
  </si>
  <si>
    <t>SL</t>
  </si>
  <si>
    <t>Total PNL</t>
  </si>
  <si>
    <t>Conclusion</t>
  </si>
  <si>
    <t>%</t>
  </si>
  <si>
    <t>Biggest gain</t>
  </si>
  <si>
    <t>Biggest loss</t>
  </si>
  <si>
    <t>Moyenne</t>
  </si>
  <si>
    <t>Trade Ratio</t>
  </si>
  <si>
    <t>Gagnant</t>
  </si>
  <si>
    <t>Perdant</t>
  </si>
  <si>
    <t>WINRATE %</t>
  </si>
  <si>
    <t>NOMBRE DE TRADES</t>
  </si>
  <si>
    <t>$</t>
  </si>
  <si>
    <t>BE</t>
  </si>
  <si>
    <t>RR</t>
  </si>
  <si>
    <t>Localisation</t>
  </si>
  <si>
    <t>D/C</t>
  </si>
  <si>
    <t>Structure</t>
  </si>
  <si>
    <t>TP/SL/BE</t>
  </si>
  <si>
    <t>Wallets</t>
  </si>
  <si>
    <t>Assets</t>
  </si>
  <si>
    <t>MFF P1</t>
  </si>
  <si>
    <t>BITGET F</t>
  </si>
  <si>
    <t>FOREX</t>
  </si>
  <si>
    <t>CRYPTO</t>
  </si>
  <si>
    <t>GOLD</t>
  </si>
  <si>
    <t>Wallet</t>
  </si>
  <si>
    <t>o</t>
  </si>
  <si>
    <t>S-Total PNL</t>
  </si>
  <si>
    <t>STRAT</t>
  </si>
  <si>
    <t>STRAT2</t>
  </si>
  <si>
    <t>GBPCHF</t>
  </si>
  <si>
    <t>n</t>
  </si>
  <si>
    <t>Strat</t>
  </si>
  <si>
    <t>STRAT1</t>
  </si>
  <si>
    <t>PATTERN</t>
  </si>
  <si>
    <t>RANGE</t>
  </si>
  <si>
    <t>Backtest stratégies</t>
  </si>
  <si>
    <t>BTC</t>
  </si>
  <si>
    <t>SOL</t>
  </si>
  <si>
    <t>ETH</t>
  </si>
  <si>
    <t>GLOBAL</t>
  </si>
  <si>
    <t>Trades par jour</t>
  </si>
  <si>
    <t>NZDCHF</t>
  </si>
  <si>
    <t>WINRATE</t>
  </si>
  <si>
    <t>Domaine</t>
  </si>
  <si>
    <t>NON RESPECT STRAT</t>
  </si>
  <si>
    <t>STRATS</t>
  </si>
  <si>
    <t>PNL</t>
  </si>
  <si>
    <t>Trades</t>
  </si>
  <si>
    <t>AUDJPY</t>
  </si>
  <si>
    <t>EURNZD</t>
  </si>
  <si>
    <t>GBPNZD</t>
  </si>
  <si>
    <t>EURAUD</t>
  </si>
  <si>
    <t>Début wallet</t>
  </si>
  <si>
    <t>Capital départ</t>
  </si>
  <si>
    <t>EURJPY</t>
  </si>
  <si>
    <t>USDCHF</t>
  </si>
  <si>
    <t>AUDUSD</t>
  </si>
  <si>
    <t>NZDCAD</t>
  </si>
  <si>
    <t>USDCAD</t>
  </si>
  <si>
    <t>AUDCAD</t>
  </si>
  <si>
    <t>EURUSD</t>
  </si>
  <si>
    <t>MFF P1 (1)</t>
  </si>
  <si>
    <t>CADCHF</t>
  </si>
  <si>
    <t>BTCUSD</t>
  </si>
  <si>
    <t>GBPCAD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</si>
</sst>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 * #,##0.00_)\ &quot;€&quot;_ ;_ * \(#,##0.00\)\ &quot;€&quot;_ ;_ * &quot;-&quot;??_)\ &quot;€&quot;_ ;_ @_ "/>
    <numFmt numFmtId="165" formatCode="_-[$$-409]* #,##0.00_ ;_-[$$-409]* \-#,##0.00\ ;_-[$$-409]* &quot;-&quot;??_ ;_-@_ "/>
    <numFmt numFmtId="166" formatCode="[$$]#,##0.00"/>
    <numFmt numFmtId="167" formatCode="_([$$-409]* #,##0.00_);_([$$-409]* \(#,##0.00\);_([$$-409]* &quot;-&quot;??_);_(@_)"/>
  </numFmts>
  <fonts count="1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38761D"/>
      <name val="Arial"/>
      <family val="2"/>
    </font>
    <font>
      <sz val="10"/>
      <color rgb="FF9C5700"/>
      <name val="Arial"/>
      <family val="2"/>
    </font>
    <font>
      <sz val="10"/>
      <color theme="1"/>
      <name val="Arial"/>
      <family val="2"/>
    </font>
    <font>
      <b/>
      <sz val="10"/>
      <color rgb="FF006600"/>
      <name val="Arial"/>
      <family val="2"/>
    </font>
    <font>
      <b/>
      <sz val="10"/>
      <color theme="0"/>
      <name val="Arial"/>
      <family val="2"/>
    </font>
    <font>
      <sz val="10"/>
      <color rgb="FF990000"/>
      <name val="Arial"/>
      <family val="2"/>
    </font>
    <font>
      <sz val="8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0F7FA"/>
        <bgColor indexed="64"/>
      </patternFill>
    </fill>
    <fill>
      <patternFill patternType="solid">
        <fgColor rgb="FFB7E1CD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63D297"/>
        <bgColor indexed="64"/>
      </patternFill>
    </fill>
    <fill>
      <patternFill patternType="solid">
        <fgColor rgb="FFE7F9EF"/>
        <bgColor indexed="64"/>
      </patternFill>
    </fill>
    <fill>
      <patternFill patternType="solid">
        <fgColor rgb="FFF9CB9C"/>
        <bgColor indexed="64"/>
      </patternFill>
    </fill>
    <fill>
      <patternFill patternType="solid">
        <fgColor rgb="FFEA99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11">
    <border>
      <left/>
      <right/>
      <top/>
      <bottom/>
      <diagonal/>
    </border>
    <border>
      <left style="thin">
        <color rgb="FFD0CECE"/>
      </left>
      <right style="thin">
        <color rgb="FFD0CECE"/>
      </right>
      <top style="thin">
        <color rgb="FFD0CECE"/>
      </top>
      <bottom style="thin">
        <color rgb="FFD0CECE"/>
      </bottom>
      <diagonal/>
    </border>
    <border>
      <left style="thin">
        <color rgb="FFD0CECE"/>
      </left>
      <right/>
      <top/>
      <bottom/>
      <diagonal/>
    </border>
    <border>
      <left style="thin">
        <color rgb="FFD0CECE"/>
      </left>
      <right style="thin">
        <color rgb="FFD0CECE"/>
      </right>
      <top/>
      <bottom style="thin">
        <color rgb="FFD0CECE"/>
      </bottom>
      <diagonal/>
    </border>
    <border>
      <left style="thin">
        <color rgb="FFD0CECE"/>
      </left>
      <right/>
      <top/>
      <bottom style="thin">
        <color rgb="FFD0CECE"/>
      </bottom>
      <diagonal/>
    </border>
    <border>
      <left/>
      <right style="thin">
        <color rgb="FFD0CECE"/>
      </right>
      <top/>
      <bottom/>
      <diagonal/>
    </border>
    <border>
      <left style="thin">
        <color rgb="FFD0CECE"/>
      </left>
      <right style="thin">
        <color rgb="FFD0CECE"/>
      </right>
      <top/>
      <bottom/>
      <diagonal/>
    </border>
    <border>
      <left/>
      <right style="thin">
        <color rgb="FFD0CECE"/>
      </right>
      <top style="thin">
        <color rgb="FFD0CECE"/>
      </top>
      <bottom style="thin">
        <color rgb="FFD0CECE"/>
      </bottom>
      <diagonal/>
    </border>
    <border>
      <left style="thin">
        <color rgb="FFD0CECE"/>
      </left>
      <right/>
      <top style="thin">
        <color rgb="FFD0CECE"/>
      </top>
      <bottom style="thin">
        <color rgb="FFD0CECE"/>
      </bottom>
      <diagonal/>
    </border>
    <border>
      <left/>
      <right/>
      <top style="thin">
        <color rgb="FFD0CECE"/>
      </top>
      <bottom style="thin">
        <color rgb="FFD0CECE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4">
    <xf numFmtId="0" fontId="0" fillId="0" borderId="0" xfId="0"/>
    <xf numFmtId="165" fontId="4" fillId="4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8" fillId="5" borderId="2" xfId="0" applyFont="1" applyFill="1" applyBorder="1" applyAlignment="1">
      <alignment horizontal="center"/>
    </xf>
    <xf numFmtId="0" fontId="3" fillId="2" borderId="1" xfId="0" applyFont="1" applyFill="1" applyBorder="1"/>
    <xf numFmtId="0" fontId="2" fillId="7" borderId="1" xfId="0" applyFont="1" applyFill="1" applyBorder="1"/>
    <xf numFmtId="165" fontId="4" fillId="7" borderId="1" xfId="0" applyNumberFormat="1" applyFont="1" applyFill="1" applyBorder="1" applyAlignment="1">
      <alignment horizontal="right"/>
    </xf>
    <xf numFmtId="0" fontId="3" fillId="4" borderId="1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167" fontId="4" fillId="2" borderId="1" xfId="1" applyNumberFormat="1" applyFont="1" applyFill="1" applyBorder="1" applyAlignment="1">
      <alignment horizontal="right"/>
    </xf>
    <xf numFmtId="0" fontId="2" fillId="6" borderId="1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/>
    </xf>
    <xf numFmtId="0" fontId="2" fillId="3" borderId="3" xfId="0" applyFont="1" applyFill="1" applyBorder="1" applyAlignment="1">
      <alignment horizontal="left"/>
    </xf>
    <xf numFmtId="165" fontId="7" fillId="3" borderId="3" xfId="0" applyNumberFormat="1" applyFont="1" applyFill="1" applyBorder="1" applyAlignment="1">
      <alignment horizontal="right"/>
    </xf>
    <xf numFmtId="165" fontId="3" fillId="3" borderId="4" xfId="0" applyNumberFormat="1" applyFont="1" applyFill="1" applyBorder="1"/>
    <xf numFmtId="16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6" fontId="6" fillId="0" borderId="0" xfId="0" applyNumberFormat="1" applyFont="1"/>
    <xf numFmtId="165" fontId="4" fillId="0" borderId="0" xfId="0" applyNumberFormat="1" applyFont="1" applyAlignment="1">
      <alignment horizontal="right"/>
    </xf>
    <xf numFmtId="165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0" fontId="8" fillId="5" borderId="5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66" fontId="6" fillId="0" borderId="0" xfId="0" applyNumberFormat="1" applyFont="1" applyAlignment="1">
      <alignment horizontal="center" vertical="center"/>
    </xf>
    <xf numFmtId="166" fontId="6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165" fontId="3" fillId="0" borderId="0" xfId="0" applyNumberFormat="1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2" fillId="6" borderId="2" xfId="0" applyFont="1" applyFill="1" applyBorder="1" applyAlignment="1">
      <alignment vertical="center"/>
    </xf>
    <xf numFmtId="2" fontId="6" fillId="0" borderId="0" xfId="0" applyNumberFormat="1" applyFont="1" applyAlignment="1">
      <alignment horizontal="center" vertical="center"/>
    </xf>
    <xf numFmtId="2" fontId="0" fillId="0" borderId="0" xfId="0" applyNumberFormat="1"/>
    <xf numFmtId="9" fontId="0" fillId="0" borderId="0" xfId="2" applyFont="1"/>
    <xf numFmtId="2" fontId="0" fillId="0" borderId="0" xfId="2" applyNumberFormat="1" applyFont="1"/>
    <xf numFmtId="0" fontId="12" fillId="0" borderId="0" xfId="0" applyFont="1"/>
    <xf numFmtId="9" fontId="0" fillId="0" borderId="0" xfId="2" applyFont="1" applyAlignment="1">
      <alignment horizontal="right" vertical="center"/>
    </xf>
    <xf numFmtId="14" fontId="0" fillId="0" borderId="0" xfId="0" applyNumberFormat="1"/>
    <xf numFmtId="0" fontId="0" fillId="0" borderId="0" xfId="0" applyAlignment="1">
      <alignment horizontal="center"/>
    </xf>
    <xf numFmtId="2" fontId="4" fillId="2" borderId="1" xfId="0" applyNumberFormat="1" applyFont="1" applyFill="1" applyBorder="1" applyAlignment="1">
      <alignment horizontal="right"/>
    </xf>
    <xf numFmtId="2" fontId="9" fillId="7" borderId="1" xfId="0" applyNumberFormat="1" applyFont="1" applyFill="1" applyBorder="1" applyAlignment="1">
      <alignment horizontal="right"/>
    </xf>
    <xf numFmtId="9" fontId="3" fillId="3" borderId="4" xfId="2" applyFont="1" applyFill="1" applyBorder="1"/>
    <xf numFmtId="9" fontId="4" fillId="2" borderId="1" xfId="2" applyFont="1" applyFill="1" applyBorder="1" applyAlignment="1">
      <alignment horizontal="right"/>
    </xf>
    <xf numFmtId="9" fontId="9" fillId="7" borderId="1" xfId="2" applyFont="1" applyFill="1" applyBorder="1" applyAlignment="1">
      <alignment horizontal="right"/>
    </xf>
    <xf numFmtId="14" fontId="0" fillId="0" borderId="10" xfId="0" applyNumberFormat="1" applyBorder="1"/>
    <xf numFmtId="165" fontId="0" fillId="0" borderId="10" xfId="0" applyNumberFormat="1" applyBorder="1"/>
    <xf numFmtId="0" fontId="13" fillId="11" borderId="10" xfId="0" applyFont="1" applyFill="1" applyBorder="1"/>
    <xf numFmtId="9" fontId="3" fillId="2" borderId="1" xfId="2" applyFont="1" applyFill="1" applyBorder="1"/>
    <xf numFmtId="0" fontId="2" fillId="10" borderId="8" xfId="2" applyNumberFormat="1" applyFont="1" applyFill="1" applyBorder="1" applyAlignment="1">
      <alignment horizontal="center" vertical="center"/>
    </xf>
    <xf numFmtId="0" fontId="2" fillId="10" borderId="9" xfId="2" applyNumberFormat="1" applyFont="1" applyFill="1" applyBorder="1" applyAlignment="1">
      <alignment horizontal="center" vertical="center"/>
    </xf>
    <xf numFmtId="0" fontId="2" fillId="10" borderId="7" xfId="2" applyNumberFormat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9" fontId="2" fillId="10" borderId="8" xfId="2" applyFont="1" applyFill="1" applyBorder="1" applyAlignment="1">
      <alignment horizontal="center" vertical="center"/>
    </xf>
    <xf numFmtId="9" fontId="2" fillId="10" borderId="9" xfId="2" applyFont="1" applyFill="1" applyBorder="1" applyAlignment="1">
      <alignment horizontal="center" vertical="center"/>
    </xf>
    <xf numFmtId="9" fontId="2" fillId="10" borderId="7" xfId="2" applyFont="1" applyFill="1" applyBorder="1" applyAlignment="1">
      <alignment horizontal="center" vertical="center"/>
    </xf>
    <xf numFmtId="0" fontId="2" fillId="10" borderId="1" xfId="2" applyNumberFormat="1" applyFont="1" applyFill="1" applyBorder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30">
    <dxf>
      <numFmt numFmtId="2" formatCode="0.00"/>
    </dxf>
    <dxf>
      <numFmt numFmtId="19" formatCode="dd/mm/yyyy"/>
    </dxf>
    <dxf>
      <font>
        <color rgb="FF9C0006"/>
      </font>
    </dxf>
    <dxf>
      <font>
        <color theme="9" tint="-0.2499465926084170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[$$-409]* #,##0.00_ ;_-[$$-409]* \-#,##0.00\ ;_-[$$-409]* &quot;-&quot;??_ ;_-@_ 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8761D"/>
        <name val="Arial"/>
        <scheme val="none"/>
      </font>
      <numFmt numFmtId="165" formatCode="_-[$$-409]* #,##0.00_ ;_-[$$-409]* \-#,##0.00\ ;_-[$$-409]* &quot;-&quot;??_ ;_-@_ 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fill>
        <patternFill patternType="none">
          <fgColor rgb="FFE0F7FA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[$$]#,##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[$$]#,##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[$$]#,##0.00"/>
      <fill>
        <patternFill patternType="none">
          <fgColor rgb="FFE0F7FA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[$$]#,##0.00"/>
      <fill>
        <patternFill patternType="none">
          <fgColor rgb="FFE0F7FA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[$$]#,##0.00"/>
      <fill>
        <patternFill patternType="none">
          <fgColor rgb="FFE0F7FA"/>
          <bgColor auto="1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21" formatCode="dd\-m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21" formatCode="dd\-m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left style="thin">
          <color rgb="FFD0CECE"/>
        </left>
        <right style="thin">
          <color rgb="FFD0CECE"/>
        </right>
        <top style="thin">
          <color rgb="FFD0CECE"/>
        </top>
      </border>
    </dxf>
    <dxf>
      <fill>
        <patternFill patternType="none">
          <bgColor auto="1"/>
        </patternFill>
      </fill>
    </dxf>
    <dxf>
      <border outline="0">
        <bottom style="thin">
          <color rgb="FFD0CECE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7030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0</xdr:colOff>
      <xdr:row>3</xdr:row>
      <xdr:rowOff>186266</xdr:rowOff>
    </xdr:from>
    <xdr:to>
      <xdr:col>15</xdr:col>
      <xdr:colOff>37774</xdr:colOff>
      <xdr:row>5</xdr:row>
      <xdr:rowOff>114056</xdr:rowOff>
    </xdr:to>
    <xdr:sp macro="[0]!Filtrer" textlink="">
      <xdr:nvSpPr>
        <xdr:cNvPr id="2" name="Rectangle à coins arrondis 1"/>
        <xdr:cNvSpPr/>
      </xdr:nvSpPr>
      <xdr:spPr>
        <a:xfrm>
          <a:off x="11218333" y="778933"/>
          <a:ext cx="1019908" cy="317256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Filtrer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1:M43" totalsRowShown="0" headerRowDxfId="20" dataDxfId="18" headerRowBorderDxfId="19" tableBorderDxfId="17">
  <autoFilter ref="A1:M43"/>
  <tableColumns count="13">
    <tableColumn id="1" name="Date" dataDxfId="16"/>
    <tableColumn id="2" name="Wallet" dataDxfId="15"/>
    <tableColumn id="3" name="Devise" dataDxfId="14"/>
    <tableColumn id="10" name="Domaine" dataDxfId="13"/>
    <tableColumn id="4" name="Position" dataDxfId="12"/>
    <tableColumn id="5" name="Localisation" dataDxfId="11"/>
    <tableColumn id="6" name="D/C" dataDxfId="10"/>
    <tableColumn id="7" name="Structure" dataDxfId="9"/>
    <tableColumn id="14" name="STRAT" dataDxfId="8"/>
    <tableColumn id="12" name="STRAT2" dataDxfId="7">
      <calculatedColumnFormula>Tableau1[[#This Row],[Localisation]]&amp;Tableau1[[#This Row],[D/C]]&amp;Tableau1[[#This Row],[Structure]]</calculatedColumnFormula>
    </tableColumn>
    <tableColumn id="8" name="RR" dataDxfId="6"/>
    <tableColumn id="9" name="PnL" dataDxfId="5"/>
    <tableColumn id="11" name="TP/SL/BE" dataDxfId="4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M2" insertRow="1" totalsRowShown="0">
  <autoFilter ref="A1:M2"/>
  <tableColumns count="13">
    <tableColumn id="1" name="Date" dataDxfId="1"/>
    <tableColumn id="2" name="Wallet"/>
    <tableColumn id="3" name="Devise"/>
    <tableColumn id="4" name="Domaine"/>
    <tableColumn id="5" name="Position"/>
    <tableColumn id="6" name="Localisation"/>
    <tableColumn id="7" name="D/C"/>
    <tableColumn id="8" name="Structure"/>
    <tableColumn id="9" name="STRAT"/>
    <tableColumn id="10" name="STRAT2">
      <calculatedColumnFormula>Tableau1[[#This Row],[Localisation]]&amp;Tableau1[[#This Row],[D/C]]&amp;Tableau1[[#This Row],[Structure]]</calculatedColumnFormula>
    </tableColumn>
    <tableColumn id="11" name="RR" dataDxfId="0"/>
    <tableColumn id="12" name="PnL"/>
    <tableColumn id="13" name="TP/SL/BE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60"/>
  <sheetViews>
    <sheetView showGridLines="0" zoomScale="90" zoomScaleNormal="90" workbookViewId="0">
      <selection activeCell="A14" sqref="A14"/>
    </sheetView>
  </sheetViews>
  <sheetFormatPr baseColWidth="10" defaultRowHeight="15.6" x14ac:dyDescent="0.3"/>
  <cols>
    <col min="1" max="3" width="14.19921875" customWidth="1"/>
    <col min="4" max="4" width="12.5" customWidth="1"/>
    <col min="5" max="9" width="14.19921875" customWidth="1"/>
    <col min="10" max="10" width="14.19921875" hidden="1" customWidth="1"/>
    <col min="11" max="15" width="14.19921875" customWidth="1"/>
  </cols>
  <sheetData>
    <row r="1" spans="1:27" x14ac:dyDescent="0.3">
      <c r="A1" s="25" t="s">
        <v>0</v>
      </c>
      <c r="B1" s="26" t="s">
        <v>35</v>
      </c>
      <c r="C1" s="26" t="s">
        <v>1</v>
      </c>
      <c r="D1" s="26" t="s">
        <v>54</v>
      </c>
      <c r="E1" s="26" t="s">
        <v>2</v>
      </c>
      <c r="F1" s="26" t="s">
        <v>24</v>
      </c>
      <c r="G1" s="26" t="s">
        <v>25</v>
      </c>
      <c r="H1" s="26" t="s">
        <v>26</v>
      </c>
      <c r="I1" s="26" t="s">
        <v>38</v>
      </c>
      <c r="J1" s="26" t="s">
        <v>39</v>
      </c>
      <c r="K1" s="26" t="s">
        <v>23</v>
      </c>
      <c r="L1" s="26" t="s">
        <v>3</v>
      </c>
      <c r="M1" s="5" t="s">
        <v>27</v>
      </c>
      <c r="R1" s="14" t="s">
        <v>42</v>
      </c>
      <c r="S1" t="s">
        <v>43</v>
      </c>
      <c r="T1" s="14" t="s">
        <v>28</v>
      </c>
      <c r="U1" t="s">
        <v>30</v>
      </c>
      <c r="V1" s="14" t="s">
        <v>29</v>
      </c>
      <c r="W1" t="s">
        <v>32</v>
      </c>
      <c r="X1" s="14" t="s">
        <v>2</v>
      </c>
      <c r="Y1" t="s">
        <v>5</v>
      </c>
      <c r="Z1" s="14" t="s">
        <v>27</v>
      </c>
      <c r="AA1" t="s">
        <v>6</v>
      </c>
    </row>
    <row r="2" spans="1:27" x14ac:dyDescent="0.3">
      <c r="A2" s="18">
        <v>44997</v>
      </c>
      <c r="B2" s="18" t="s">
        <v>30</v>
      </c>
      <c r="C2" s="27" t="s">
        <v>34</v>
      </c>
      <c r="D2" s="27" t="s">
        <v>34</v>
      </c>
      <c r="E2" s="32" t="s">
        <v>8</v>
      </c>
      <c r="F2" s="28" t="s">
        <v>36</v>
      </c>
      <c r="G2" s="28" t="s">
        <v>36</v>
      </c>
      <c r="H2" s="28" t="s">
        <v>36</v>
      </c>
      <c r="I2" s="28" t="s">
        <v>43</v>
      </c>
      <c r="J2" s="29" t="str">
        <f>Tableau1[[#This Row],[Localisation]]&amp;Tableau1[[#This Row],[D/C]]&amp;Tableau1[[#This Row],[Structure]]</f>
        <v>ooo</v>
      </c>
      <c r="K2" s="34"/>
      <c r="L2" s="22">
        <v>-4.5999999999999996</v>
      </c>
      <c r="M2" s="24" t="s">
        <v>22</v>
      </c>
      <c r="S2" t="s">
        <v>44</v>
      </c>
      <c r="U2" t="s">
        <v>31</v>
      </c>
      <c r="W2" t="s">
        <v>33</v>
      </c>
      <c r="Y2" t="s">
        <v>8</v>
      </c>
      <c r="AA2" t="s">
        <v>9</v>
      </c>
    </row>
    <row r="3" spans="1:27" x14ac:dyDescent="0.3">
      <c r="A3" s="18">
        <v>44999</v>
      </c>
      <c r="B3" s="18" t="s">
        <v>30</v>
      </c>
      <c r="C3" s="27" t="s">
        <v>40</v>
      </c>
      <c r="D3" s="27" t="s">
        <v>32</v>
      </c>
      <c r="E3" s="32" t="s">
        <v>5</v>
      </c>
      <c r="F3" s="29" t="s">
        <v>41</v>
      </c>
      <c r="G3" s="29" t="s">
        <v>41</v>
      </c>
      <c r="H3" s="29" t="s">
        <v>36</v>
      </c>
      <c r="I3" s="28"/>
      <c r="J3" s="29" t="str">
        <f>Tableau1[[#This Row],[Localisation]]&amp;Tableau1[[#This Row],[D/C]]&amp;Tableau1[[#This Row],[Structure]]</f>
        <v>nno</v>
      </c>
      <c r="K3" s="34"/>
      <c r="L3" s="22">
        <v>-214.52</v>
      </c>
      <c r="M3" s="24" t="s">
        <v>9</v>
      </c>
      <c r="S3" t="s">
        <v>45</v>
      </c>
      <c r="U3" t="s">
        <v>72</v>
      </c>
      <c r="W3" t="s">
        <v>34</v>
      </c>
      <c r="AA3" t="s">
        <v>22</v>
      </c>
    </row>
    <row r="4" spans="1:27" x14ac:dyDescent="0.3">
      <c r="A4" s="18">
        <v>44999</v>
      </c>
      <c r="B4" s="18" t="s">
        <v>30</v>
      </c>
      <c r="C4" s="19" t="s">
        <v>47</v>
      </c>
      <c r="D4" s="27" t="s">
        <v>33</v>
      </c>
      <c r="E4" s="32" t="s">
        <v>8</v>
      </c>
      <c r="F4" s="29" t="s">
        <v>41</v>
      </c>
      <c r="G4" s="29" t="s">
        <v>36</v>
      </c>
      <c r="H4" s="29" t="s">
        <v>36</v>
      </c>
      <c r="I4" s="28"/>
      <c r="J4" s="29" t="str">
        <f>Tableau1[[#This Row],[Localisation]]&amp;Tableau1[[#This Row],[D/C]]&amp;Tableau1[[#This Row],[Structure]]</f>
        <v>noo</v>
      </c>
      <c r="K4" s="34"/>
      <c r="L4" s="22">
        <v>-310.5</v>
      </c>
      <c r="M4" s="24" t="s">
        <v>9</v>
      </c>
    </row>
    <row r="5" spans="1:27" x14ac:dyDescent="0.3">
      <c r="A5" s="18">
        <v>44999</v>
      </c>
      <c r="B5" s="18" t="s">
        <v>30</v>
      </c>
      <c r="C5" s="19" t="s">
        <v>47</v>
      </c>
      <c r="D5" s="27" t="s">
        <v>33</v>
      </c>
      <c r="E5" s="32" t="s">
        <v>8</v>
      </c>
      <c r="F5" s="29" t="s">
        <v>41</v>
      </c>
      <c r="G5" s="29" t="s">
        <v>36</v>
      </c>
      <c r="H5" s="29" t="s">
        <v>36</v>
      </c>
      <c r="I5" s="28"/>
      <c r="J5" s="29" t="str">
        <f>Tableau1[[#This Row],[Localisation]]&amp;Tableau1[[#This Row],[D/C]]&amp;Tableau1[[#This Row],[Structure]]</f>
        <v>noo</v>
      </c>
      <c r="K5" s="34"/>
      <c r="L5" s="22">
        <v>-619.5</v>
      </c>
      <c r="M5" s="24" t="s">
        <v>9</v>
      </c>
    </row>
    <row r="6" spans="1:27" x14ac:dyDescent="0.3">
      <c r="A6" s="18">
        <v>44999</v>
      </c>
      <c r="B6" s="18" t="s">
        <v>30</v>
      </c>
      <c r="C6" s="19" t="s">
        <v>47</v>
      </c>
      <c r="D6" s="27" t="s">
        <v>33</v>
      </c>
      <c r="E6" s="32" t="s">
        <v>8</v>
      </c>
      <c r="F6" s="29" t="s">
        <v>41</v>
      </c>
      <c r="G6" s="29" t="s">
        <v>41</v>
      </c>
      <c r="H6" s="29" t="s">
        <v>41</v>
      </c>
      <c r="I6" s="28"/>
      <c r="J6" s="29" t="str">
        <f>Tableau1[[#This Row],[Localisation]]&amp;Tableau1[[#This Row],[D/C]]&amp;Tableau1[[#This Row],[Structure]]</f>
        <v>nnn</v>
      </c>
      <c r="K6" s="34"/>
      <c r="L6" s="22">
        <f>-1.56-188.99</f>
        <v>-190.55</v>
      </c>
      <c r="M6" s="31" t="s">
        <v>9</v>
      </c>
    </row>
    <row r="7" spans="1:27" x14ac:dyDescent="0.3">
      <c r="A7" s="18">
        <v>44999</v>
      </c>
      <c r="B7" s="18" t="s">
        <v>30</v>
      </c>
      <c r="C7" s="19" t="s">
        <v>47</v>
      </c>
      <c r="D7" s="27" t="s">
        <v>33</v>
      </c>
      <c r="E7" s="32" t="s">
        <v>5</v>
      </c>
      <c r="F7" s="29" t="s">
        <v>41</v>
      </c>
      <c r="G7" s="29" t="s">
        <v>41</v>
      </c>
      <c r="H7" s="29" t="s">
        <v>41</v>
      </c>
      <c r="I7" s="28"/>
      <c r="J7" s="29" t="str">
        <f>Tableau1[[#This Row],[Localisation]]&amp;Tableau1[[#This Row],[D/C]]&amp;Tableau1[[#This Row],[Structure]]</f>
        <v>nnn</v>
      </c>
      <c r="K7" s="34">
        <f>Tableau1[[#This Row],[PnL]]/450</f>
        <v>0.31608888888888892</v>
      </c>
      <c r="L7" s="22">
        <v>142.24</v>
      </c>
      <c r="M7" s="31" t="s">
        <v>6</v>
      </c>
    </row>
    <row r="8" spans="1:27" x14ac:dyDescent="0.3">
      <c r="A8" s="18">
        <v>44999</v>
      </c>
      <c r="B8" s="18" t="s">
        <v>31</v>
      </c>
      <c r="C8" s="19" t="s">
        <v>48</v>
      </c>
      <c r="D8" s="27" t="s">
        <v>33</v>
      </c>
      <c r="E8" s="32" t="s">
        <v>8</v>
      </c>
      <c r="F8" s="29" t="s">
        <v>36</v>
      </c>
      <c r="G8" s="29" t="s">
        <v>36</v>
      </c>
      <c r="H8" s="29" t="s">
        <v>36</v>
      </c>
      <c r="I8" s="28" t="s">
        <v>43</v>
      </c>
      <c r="J8" s="29" t="str">
        <f>Tableau1[[#This Row],[Localisation]]&amp;Tableau1[[#This Row],[D/C]]&amp;Tableau1[[#This Row],[Structure]]</f>
        <v>ooo</v>
      </c>
      <c r="K8" s="34">
        <f>Tableau1[[#This Row],[PnL]]/15</f>
        <v>1.6666666666666667</v>
      </c>
      <c r="L8" s="22">
        <v>25</v>
      </c>
      <c r="M8" s="31" t="s">
        <v>6</v>
      </c>
    </row>
    <row r="9" spans="1:27" x14ac:dyDescent="0.3">
      <c r="A9" s="18">
        <v>44999</v>
      </c>
      <c r="B9" s="18" t="s">
        <v>31</v>
      </c>
      <c r="C9" s="19" t="s">
        <v>49</v>
      </c>
      <c r="D9" s="27" t="s">
        <v>33</v>
      </c>
      <c r="E9" s="32" t="s">
        <v>8</v>
      </c>
      <c r="F9" s="29" t="s">
        <v>36</v>
      </c>
      <c r="G9" s="29" t="s">
        <v>36</v>
      </c>
      <c r="H9" s="29" t="s">
        <v>36</v>
      </c>
      <c r="I9" s="28" t="s">
        <v>43</v>
      </c>
      <c r="J9" s="29" t="str">
        <f>Tableau1[[#This Row],[Localisation]]&amp;Tableau1[[#This Row],[D/C]]&amp;Tableau1[[#This Row],[Structure]]</f>
        <v>ooo</v>
      </c>
      <c r="K9" s="34">
        <f>Tableau1[[#This Row],[PnL]]/15</f>
        <v>0.46666666666666667</v>
      </c>
      <c r="L9" s="22">
        <v>7</v>
      </c>
      <c r="M9" s="31" t="s">
        <v>6</v>
      </c>
    </row>
    <row r="10" spans="1:27" x14ac:dyDescent="0.3">
      <c r="A10" s="18">
        <v>44999</v>
      </c>
      <c r="B10" s="18" t="s">
        <v>30</v>
      </c>
      <c r="C10" s="19" t="s">
        <v>47</v>
      </c>
      <c r="D10" s="27" t="s">
        <v>33</v>
      </c>
      <c r="E10" s="32" t="s">
        <v>8</v>
      </c>
      <c r="F10" s="29" t="s">
        <v>36</v>
      </c>
      <c r="G10" s="29" t="s">
        <v>36</v>
      </c>
      <c r="H10" s="29" t="s">
        <v>36</v>
      </c>
      <c r="I10" s="28" t="s">
        <v>43</v>
      </c>
      <c r="J10" s="29" t="str">
        <f>Tableau1[[#This Row],[Localisation]]&amp;Tableau1[[#This Row],[D/C]]&amp;Tableau1[[#This Row],[Structure]]</f>
        <v>ooo</v>
      </c>
      <c r="K10" s="34"/>
      <c r="L10" s="22">
        <v>39.43</v>
      </c>
      <c r="M10" s="31" t="s">
        <v>22</v>
      </c>
    </row>
    <row r="11" spans="1:27" x14ac:dyDescent="0.3">
      <c r="A11" s="18">
        <v>44999</v>
      </c>
      <c r="B11" s="18" t="s">
        <v>30</v>
      </c>
      <c r="C11" s="19" t="s">
        <v>49</v>
      </c>
      <c r="D11" s="27" t="s">
        <v>33</v>
      </c>
      <c r="E11" s="32" t="s">
        <v>8</v>
      </c>
      <c r="F11" s="29" t="s">
        <v>36</v>
      </c>
      <c r="G11" s="29" t="s">
        <v>36</v>
      </c>
      <c r="H11" s="29" t="s">
        <v>36</v>
      </c>
      <c r="I11" s="28" t="s">
        <v>43</v>
      </c>
      <c r="J11" s="29" t="str">
        <f>Tableau1[[#This Row],[Localisation]]&amp;Tableau1[[#This Row],[D/C]]&amp;Tableau1[[#This Row],[Structure]]</f>
        <v>ooo</v>
      </c>
      <c r="K11" s="34">
        <f>Tableau1[[#This Row],[PnL]]/450</f>
        <v>0.51639999999999997</v>
      </c>
      <c r="L11" s="22">
        <v>232.38</v>
      </c>
      <c r="M11" s="31" t="s">
        <v>6</v>
      </c>
    </row>
    <row r="12" spans="1:27" x14ac:dyDescent="0.3">
      <c r="A12" s="18">
        <v>45000</v>
      </c>
      <c r="B12" s="18" t="s">
        <v>30</v>
      </c>
      <c r="C12" s="19" t="s">
        <v>47</v>
      </c>
      <c r="D12" s="27" t="s">
        <v>33</v>
      </c>
      <c r="E12" s="32" t="s">
        <v>8</v>
      </c>
      <c r="F12" s="29" t="s">
        <v>36</v>
      </c>
      <c r="G12" s="29" t="s">
        <v>36</v>
      </c>
      <c r="H12" s="29" t="s">
        <v>36</v>
      </c>
      <c r="I12" s="28" t="s">
        <v>43</v>
      </c>
      <c r="J12" s="29" t="str">
        <f>Tableau1[[#This Row],[Localisation]]&amp;Tableau1[[#This Row],[D/C]]&amp;Tableau1[[#This Row],[Structure]]</f>
        <v>ooo</v>
      </c>
      <c r="K12" s="34">
        <f>Tableau1[[#This Row],[PnL]]/450</f>
        <v>0.43755555555555559</v>
      </c>
      <c r="L12" s="22">
        <v>196.9</v>
      </c>
      <c r="M12" s="31" t="s">
        <v>6</v>
      </c>
    </row>
    <row r="13" spans="1:27" x14ac:dyDescent="0.3">
      <c r="A13" s="18">
        <v>45000</v>
      </c>
      <c r="B13" s="18" t="s">
        <v>30</v>
      </c>
      <c r="C13" s="19" t="s">
        <v>47</v>
      </c>
      <c r="D13" s="27" t="s">
        <v>33</v>
      </c>
      <c r="E13" s="32" t="s">
        <v>5</v>
      </c>
      <c r="F13" s="29"/>
      <c r="G13" s="29"/>
      <c r="H13" s="29" t="s">
        <v>36</v>
      </c>
      <c r="I13" s="28" t="s">
        <v>44</v>
      </c>
      <c r="J13" s="29" t="str">
        <f>Tableau1[[#This Row],[Localisation]]&amp;Tableau1[[#This Row],[D/C]]&amp;Tableau1[[#This Row],[Structure]]</f>
        <v>o</v>
      </c>
      <c r="K13" s="34"/>
      <c r="L13" s="22">
        <v>-255.28</v>
      </c>
      <c r="M13" s="31" t="s">
        <v>9</v>
      </c>
    </row>
    <row r="14" spans="1:27" x14ac:dyDescent="0.3">
      <c r="A14" s="18">
        <v>45000</v>
      </c>
      <c r="B14" s="18" t="s">
        <v>30</v>
      </c>
      <c r="C14" s="19" t="s">
        <v>52</v>
      </c>
      <c r="D14" s="27" t="s">
        <v>32</v>
      </c>
      <c r="E14" s="32" t="s">
        <v>8</v>
      </c>
      <c r="F14" s="29"/>
      <c r="G14" s="29"/>
      <c r="H14" s="29" t="s">
        <v>36</v>
      </c>
      <c r="I14" s="28" t="s">
        <v>44</v>
      </c>
      <c r="J14" s="29" t="s">
        <v>36</v>
      </c>
      <c r="K14" s="34"/>
      <c r="L14" s="22">
        <v>-528.80999999999995</v>
      </c>
      <c r="M14" s="31" t="s">
        <v>9</v>
      </c>
    </row>
    <row r="15" spans="1:27" x14ac:dyDescent="0.3">
      <c r="A15" s="18">
        <v>45000</v>
      </c>
      <c r="B15" s="18" t="s">
        <v>30</v>
      </c>
      <c r="C15" s="19" t="s">
        <v>47</v>
      </c>
      <c r="D15" s="27" t="s">
        <v>33</v>
      </c>
      <c r="E15" s="32" t="s">
        <v>5</v>
      </c>
      <c r="F15" s="29"/>
      <c r="G15" s="29"/>
      <c r="H15" s="29" t="s">
        <v>36</v>
      </c>
      <c r="I15" s="28" t="s">
        <v>45</v>
      </c>
      <c r="J15" s="29" t="str">
        <f>Tableau1[[#This Row],[Localisation]]&amp;Tableau1[[#This Row],[D/C]]&amp;Tableau1[[#This Row],[Structure]]</f>
        <v>o</v>
      </c>
      <c r="K15" s="34">
        <v>2</v>
      </c>
      <c r="L15" s="22">
        <v>1002.65</v>
      </c>
      <c r="M15" s="31" t="s">
        <v>6</v>
      </c>
    </row>
    <row r="16" spans="1:27" x14ac:dyDescent="0.3">
      <c r="A16" s="18">
        <v>45000</v>
      </c>
      <c r="B16" s="18" t="s">
        <v>30</v>
      </c>
      <c r="C16" s="19" t="s">
        <v>49</v>
      </c>
      <c r="D16" s="27" t="s">
        <v>33</v>
      </c>
      <c r="E16" s="32" t="s">
        <v>5</v>
      </c>
      <c r="F16" s="29" t="s">
        <v>41</v>
      </c>
      <c r="G16" s="29" t="s">
        <v>36</v>
      </c>
      <c r="H16" s="29" t="s">
        <v>36</v>
      </c>
      <c r="I16" s="28"/>
      <c r="J16" s="29" t="str">
        <f>Tableau1[[#This Row],[Localisation]]&amp;Tableau1[[#This Row],[D/C]]&amp;Tableau1[[#This Row],[Structure]]</f>
        <v>noo</v>
      </c>
      <c r="K16" s="34"/>
      <c r="L16" s="22">
        <v>-316.52</v>
      </c>
      <c r="M16" s="31" t="s">
        <v>9</v>
      </c>
    </row>
    <row r="17" spans="1:13" x14ac:dyDescent="0.3">
      <c r="A17" s="18">
        <v>45001</v>
      </c>
      <c r="B17" s="18" t="s">
        <v>30</v>
      </c>
      <c r="C17" s="19" t="s">
        <v>59</v>
      </c>
      <c r="D17" s="27" t="s">
        <v>32</v>
      </c>
      <c r="E17" s="32" t="s">
        <v>5</v>
      </c>
      <c r="F17" s="29" t="s">
        <v>36</v>
      </c>
      <c r="G17" s="29" t="s">
        <v>36</v>
      </c>
      <c r="H17" s="29" t="s">
        <v>36</v>
      </c>
      <c r="I17" s="28" t="s">
        <v>43</v>
      </c>
      <c r="J17" s="29" t="str">
        <f>Tableau1[[#This Row],[Localisation]]&amp;Tableau1[[#This Row],[D/C]]&amp;Tableau1[[#This Row],[Structure]]</f>
        <v>ooo</v>
      </c>
      <c r="K17" s="34"/>
      <c r="L17" s="22">
        <v>-11.87</v>
      </c>
      <c r="M17" s="31" t="s">
        <v>22</v>
      </c>
    </row>
    <row r="18" spans="1:13" x14ac:dyDescent="0.3">
      <c r="A18" s="18">
        <v>45002</v>
      </c>
      <c r="B18" s="18" t="s">
        <v>30</v>
      </c>
      <c r="C18" s="19" t="s">
        <v>60</v>
      </c>
      <c r="D18" s="19" t="s">
        <v>32</v>
      </c>
      <c r="E18" s="32" t="s">
        <v>5</v>
      </c>
      <c r="F18" s="29" t="s">
        <v>36</v>
      </c>
      <c r="G18" s="29" t="s">
        <v>36</v>
      </c>
      <c r="H18" s="29" t="s">
        <v>36</v>
      </c>
      <c r="I18" s="28" t="s">
        <v>43</v>
      </c>
      <c r="J18" s="29" t="str">
        <f>Tableau1[[#This Row],[Localisation]]&amp;Tableau1[[#This Row],[D/C]]&amp;Tableau1[[#This Row],[Structure]]</f>
        <v>ooo</v>
      </c>
      <c r="K18" s="34"/>
      <c r="L18" s="22">
        <v>-239.18</v>
      </c>
      <c r="M18" s="31" t="s">
        <v>9</v>
      </c>
    </row>
    <row r="19" spans="1:13" x14ac:dyDescent="0.3">
      <c r="A19" s="18">
        <v>45002</v>
      </c>
      <c r="B19" s="18" t="s">
        <v>30</v>
      </c>
      <c r="C19" s="19" t="s">
        <v>40</v>
      </c>
      <c r="D19" s="19" t="s">
        <v>32</v>
      </c>
      <c r="E19" s="32" t="s">
        <v>8</v>
      </c>
      <c r="F19" s="29"/>
      <c r="G19" s="29"/>
      <c r="H19" s="29"/>
      <c r="I19" s="28" t="s">
        <v>45</v>
      </c>
      <c r="J19" s="29" t="str">
        <f>Tableau1[[#This Row],[Localisation]]&amp;Tableau1[[#This Row],[D/C]]&amp;Tableau1[[#This Row],[Structure]]</f>
        <v/>
      </c>
      <c r="K19" s="34"/>
      <c r="L19" s="22">
        <v>-105.65</v>
      </c>
      <c r="M19" s="31" t="s">
        <v>9</v>
      </c>
    </row>
    <row r="20" spans="1:13" x14ac:dyDescent="0.3">
      <c r="A20" s="18">
        <v>45002</v>
      </c>
      <c r="B20" s="18" t="s">
        <v>30</v>
      </c>
      <c r="C20" s="19" t="s">
        <v>61</v>
      </c>
      <c r="D20" s="19" t="s">
        <v>32</v>
      </c>
      <c r="E20" s="32" t="s">
        <v>5</v>
      </c>
      <c r="F20" s="29" t="s">
        <v>36</v>
      </c>
      <c r="G20" s="29" t="s">
        <v>36</v>
      </c>
      <c r="H20" s="29" t="s">
        <v>41</v>
      </c>
      <c r="I20" s="28"/>
      <c r="J20" s="29" t="str">
        <f>Tableau1[[#This Row],[Localisation]]&amp;Tableau1[[#This Row],[D/C]]&amp;Tableau1[[#This Row],[Structure]]</f>
        <v>oon</v>
      </c>
      <c r="K20" s="34"/>
      <c r="L20" s="22">
        <f>-289.35-220.23</f>
        <v>-509.58000000000004</v>
      </c>
      <c r="M20" s="31" t="s">
        <v>9</v>
      </c>
    </row>
    <row r="21" spans="1:13" x14ac:dyDescent="0.3">
      <c r="A21" s="18">
        <v>45002</v>
      </c>
      <c r="B21" s="18" t="s">
        <v>30</v>
      </c>
      <c r="C21" s="19" t="s">
        <v>59</v>
      </c>
      <c r="D21" s="19" t="s">
        <v>32</v>
      </c>
      <c r="E21" s="32" t="s">
        <v>5</v>
      </c>
      <c r="F21" s="29" t="s">
        <v>36</v>
      </c>
      <c r="G21" s="29" t="s">
        <v>36</v>
      </c>
      <c r="H21" s="29" t="s">
        <v>36</v>
      </c>
      <c r="I21" s="28" t="s">
        <v>43</v>
      </c>
      <c r="J21" s="29" t="str">
        <f>Tableau1[[#This Row],[Localisation]]&amp;Tableau1[[#This Row],[D/C]]&amp;Tableau1[[#This Row],[Structure]]</f>
        <v>ooo</v>
      </c>
      <c r="K21" s="34"/>
      <c r="L21" s="22">
        <v>-0.28999999999999998</v>
      </c>
      <c r="M21" s="31" t="s">
        <v>22</v>
      </c>
    </row>
    <row r="22" spans="1:13" x14ac:dyDescent="0.3">
      <c r="A22" s="18">
        <v>45004</v>
      </c>
      <c r="B22" s="18" t="s">
        <v>30</v>
      </c>
      <c r="C22" s="19" t="s">
        <v>61</v>
      </c>
      <c r="D22" s="19" t="s">
        <v>32</v>
      </c>
      <c r="E22" s="32" t="s">
        <v>5</v>
      </c>
      <c r="F22" s="29" t="s">
        <v>36</v>
      </c>
      <c r="G22" s="29" t="s">
        <v>36</v>
      </c>
      <c r="H22" s="29" t="s">
        <v>36</v>
      </c>
      <c r="I22" s="28" t="s">
        <v>43</v>
      </c>
      <c r="J22" s="29" t="str">
        <f>Tableau1[[#This Row],[Localisation]]&amp;Tableau1[[#This Row],[D/C]]&amp;Tableau1[[#This Row],[Structure]]</f>
        <v>ooo</v>
      </c>
      <c r="K22" s="34">
        <f>Tableau1[[#This Row],[PnL]]/450</f>
        <v>2.3385555555555553</v>
      </c>
      <c r="L22" s="22">
        <v>1052.3499999999999</v>
      </c>
      <c r="M22" s="31" t="s">
        <v>6</v>
      </c>
    </row>
    <row r="23" spans="1:13" x14ac:dyDescent="0.3">
      <c r="A23" s="18">
        <v>45005</v>
      </c>
      <c r="B23" s="18" t="s">
        <v>30</v>
      </c>
      <c r="C23" s="19" t="s">
        <v>59</v>
      </c>
      <c r="D23" s="19" t="s">
        <v>32</v>
      </c>
      <c r="E23" s="32" t="s">
        <v>5</v>
      </c>
      <c r="F23" s="29" t="s">
        <v>41</v>
      </c>
      <c r="G23" s="29" t="s">
        <v>41</v>
      </c>
      <c r="H23" s="29" t="s">
        <v>36</v>
      </c>
      <c r="I23" s="28"/>
      <c r="J23" s="29" t="str">
        <f>Tableau1[[#This Row],[Localisation]]&amp;Tableau1[[#This Row],[D/C]]&amp;Tableau1[[#This Row],[Structure]]</f>
        <v>nno</v>
      </c>
      <c r="K23" s="34"/>
      <c r="L23" s="22">
        <v>-208.65</v>
      </c>
      <c r="M23" s="31" t="s">
        <v>9</v>
      </c>
    </row>
    <row r="24" spans="1:13" x14ac:dyDescent="0.3">
      <c r="A24" s="18">
        <v>45005</v>
      </c>
      <c r="B24" s="18" t="s">
        <v>30</v>
      </c>
      <c r="C24" s="19" t="s">
        <v>62</v>
      </c>
      <c r="D24" s="19" t="s">
        <v>32</v>
      </c>
      <c r="E24" s="32" t="s">
        <v>5</v>
      </c>
      <c r="F24" s="29" t="s">
        <v>36</v>
      </c>
      <c r="G24" s="29" t="s">
        <v>36</v>
      </c>
      <c r="H24" s="29" t="s">
        <v>36</v>
      </c>
      <c r="I24" s="28" t="s">
        <v>43</v>
      </c>
      <c r="J24" s="29" t="str">
        <f>Tableau1[[#This Row],[Localisation]]&amp;Tableau1[[#This Row],[D/C]]&amp;Tableau1[[#This Row],[Structure]]</f>
        <v>ooo</v>
      </c>
      <c r="K24" s="34"/>
      <c r="L24" s="22">
        <v>-371.02</v>
      </c>
      <c r="M24" s="31" t="s">
        <v>9</v>
      </c>
    </row>
    <row r="25" spans="1:13" x14ac:dyDescent="0.3">
      <c r="A25" s="18">
        <v>45005</v>
      </c>
      <c r="B25" s="18" t="s">
        <v>30</v>
      </c>
      <c r="C25" s="19" t="s">
        <v>34</v>
      </c>
      <c r="D25" s="19" t="s">
        <v>34</v>
      </c>
      <c r="E25" s="32" t="s">
        <v>5</v>
      </c>
      <c r="F25" s="29" t="s">
        <v>36</v>
      </c>
      <c r="G25" s="29" t="s">
        <v>36</v>
      </c>
      <c r="H25" s="29" t="s">
        <v>36</v>
      </c>
      <c r="I25" s="28" t="s">
        <v>43</v>
      </c>
      <c r="J25" s="29" t="str">
        <f>Tableau1[[#This Row],[Localisation]]&amp;Tableau1[[#This Row],[D/C]]&amp;Tableau1[[#This Row],[Structure]]</f>
        <v>ooo</v>
      </c>
      <c r="K25" s="34">
        <f>310.5/450</f>
        <v>0.69</v>
      </c>
      <c r="L25" s="22">
        <f>194.13+116.37</f>
        <v>310.5</v>
      </c>
      <c r="M25" s="31" t="s">
        <v>6</v>
      </c>
    </row>
    <row r="26" spans="1:13" x14ac:dyDescent="0.3">
      <c r="A26" s="18">
        <v>45006</v>
      </c>
      <c r="B26" s="18" t="s">
        <v>30</v>
      </c>
      <c r="C26" s="19" t="s">
        <v>65</v>
      </c>
      <c r="D26" s="19" t="s">
        <v>32</v>
      </c>
      <c r="E26" s="32" t="s">
        <v>5</v>
      </c>
      <c r="F26" s="29" t="s">
        <v>36</v>
      </c>
      <c r="G26" s="29" t="s">
        <v>36</v>
      </c>
      <c r="H26" s="29" t="s">
        <v>36</v>
      </c>
      <c r="I26" s="28" t="s">
        <v>43</v>
      </c>
      <c r="J26" s="29" t="str">
        <f>Tableau1[[#This Row],[Localisation]]&amp;Tableau1[[#This Row],[D/C]]&amp;Tableau1[[#This Row],[Structure]]</f>
        <v>ooo</v>
      </c>
      <c r="K26" s="34">
        <f>Tableau1[[#This Row],[PnL]]/450</f>
        <v>3.0619333333333332</v>
      </c>
      <c r="L26" s="22">
        <v>1377.87</v>
      </c>
      <c r="M26" s="31" t="s">
        <v>6</v>
      </c>
    </row>
    <row r="27" spans="1:13" x14ac:dyDescent="0.3">
      <c r="A27" s="18">
        <v>45006</v>
      </c>
      <c r="B27" s="18" t="s">
        <v>30</v>
      </c>
      <c r="C27" s="19" t="s">
        <v>66</v>
      </c>
      <c r="D27" s="19" t="s">
        <v>32</v>
      </c>
      <c r="E27" s="32" t="s">
        <v>5</v>
      </c>
      <c r="F27" s="29" t="s">
        <v>36</v>
      </c>
      <c r="G27" s="29" t="s">
        <v>36</v>
      </c>
      <c r="H27" s="29" t="s">
        <v>36</v>
      </c>
      <c r="I27" s="28" t="s">
        <v>43</v>
      </c>
      <c r="J27" s="29" t="str">
        <f>Tableau1[[#This Row],[Localisation]]&amp;Tableau1[[#This Row],[D/C]]&amp;Tableau1[[#This Row],[Structure]]</f>
        <v>ooo</v>
      </c>
      <c r="K27" s="34"/>
      <c r="L27" s="22">
        <f>98.8-36.72</f>
        <v>62.08</v>
      </c>
      <c r="M27" s="31" t="s">
        <v>22</v>
      </c>
    </row>
    <row r="28" spans="1:13" x14ac:dyDescent="0.3">
      <c r="A28" s="18">
        <v>45006</v>
      </c>
      <c r="B28" s="18" t="s">
        <v>30</v>
      </c>
      <c r="C28" s="19" t="s">
        <v>67</v>
      </c>
      <c r="D28" s="19" t="s">
        <v>32</v>
      </c>
      <c r="E28" s="32" t="s">
        <v>5</v>
      </c>
      <c r="F28" s="29" t="s">
        <v>36</v>
      </c>
      <c r="G28" s="29" t="s">
        <v>36</v>
      </c>
      <c r="H28" s="29" t="s">
        <v>36</v>
      </c>
      <c r="I28" s="28" t="s">
        <v>43</v>
      </c>
      <c r="J28" s="29" t="str">
        <f>Tableau1[[#This Row],[Localisation]]&amp;Tableau1[[#This Row],[D/C]]&amp;Tableau1[[#This Row],[Structure]]</f>
        <v>ooo</v>
      </c>
      <c r="K28" s="34"/>
      <c r="L28" s="22">
        <f>-249.55-234.6</f>
        <v>-484.15</v>
      </c>
      <c r="M28" s="31" t="s">
        <v>9</v>
      </c>
    </row>
    <row r="29" spans="1:13" x14ac:dyDescent="0.3">
      <c r="A29" s="18">
        <v>45007</v>
      </c>
      <c r="B29" s="18" t="s">
        <v>30</v>
      </c>
      <c r="C29" s="19" t="s">
        <v>60</v>
      </c>
      <c r="D29" s="19" t="s">
        <v>32</v>
      </c>
      <c r="E29" s="32" t="s">
        <v>8</v>
      </c>
      <c r="F29" s="29" t="s">
        <v>36</v>
      </c>
      <c r="G29" s="29" t="s">
        <v>36</v>
      </c>
      <c r="H29" s="29" t="s">
        <v>41</v>
      </c>
      <c r="I29" s="28"/>
      <c r="J29" s="29" t="str">
        <f>Tableau1[[#This Row],[Localisation]]&amp;Tableau1[[#This Row],[D/C]]&amp;Tableau1[[#This Row],[Structure]]</f>
        <v>oon</v>
      </c>
      <c r="K29" s="34"/>
      <c r="L29" s="22">
        <f>-344.29-512.23-27.98</f>
        <v>-884.5</v>
      </c>
      <c r="M29" s="31" t="s">
        <v>9</v>
      </c>
    </row>
    <row r="30" spans="1:13" x14ac:dyDescent="0.3">
      <c r="A30" s="18">
        <v>45007</v>
      </c>
      <c r="B30" s="18" t="s">
        <v>30</v>
      </c>
      <c r="C30" s="19" t="s">
        <v>60</v>
      </c>
      <c r="D30" s="19" t="s">
        <v>32</v>
      </c>
      <c r="E30" s="32" t="s">
        <v>5</v>
      </c>
      <c r="F30" s="29" t="s">
        <v>36</v>
      </c>
      <c r="G30" s="29" t="s">
        <v>36</v>
      </c>
      <c r="H30" s="29" t="s">
        <v>36</v>
      </c>
      <c r="I30" s="28" t="s">
        <v>43</v>
      </c>
      <c r="J30" s="29" t="str">
        <f>Tableau1[[#This Row],[Localisation]]&amp;Tableau1[[#This Row],[D/C]]&amp;Tableau1[[#This Row],[Structure]]</f>
        <v>ooo</v>
      </c>
      <c r="K30" s="34"/>
      <c r="L30" s="22">
        <f>-205.32+9.32</f>
        <v>-196</v>
      </c>
      <c r="M30" s="31" t="s">
        <v>9</v>
      </c>
    </row>
    <row r="31" spans="1:13" x14ac:dyDescent="0.3">
      <c r="A31" s="18">
        <v>45007</v>
      </c>
      <c r="B31" s="18" t="s">
        <v>30</v>
      </c>
      <c r="C31" s="19" t="s">
        <v>34</v>
      </c>
      <c r="D31" s="19" t="s">
        <v>34</v>
      </c>
      <c r="E31" s="32" t="s">
        <v>5</v>
      </c>
      <c r="F31" s="29" t="s">
        <v>36</v>
      </c>
      <c r="G31" s="29" t="s">
        <v>36</v>
      </c>
      <c r="H31" s="29" t="s">
        <v>36</v>
      </c>
      <c r="I31" s="28" t="s">
        <v>43</v>
      </c>
      <c r="J31" s="29" t="str">
        <f>Tableau1[[#This Row],[Localisation]]&amp;Tableau1[[#This Row],[D/C]]&amp;Tableau1[[#This Row],[Structure]]</f>
        <v>ooo</v>
      </c>
      <c r="K31" s="34">
        <f>Tableau1[[#This Row],[PnL]]/450</f>
        <v>2.52</v>
      </c>
      <c r="L31" s="22">
        <f>1089.28+44.72</f>
        <v>1134</v>
      </c>
      <c r="M31" s="31" t="s">
        <v>6</v>
      </c>
    </row>
    <row r="32" spans="1:13" x14ac:dyDescent="0.3">
      <c r="A32" s="18">
        <v>45007</v>
      </c>
      <c r="B32" s="18" t="s">
        <v>30</v>
      </c>
      <c r="C32" s="19" t="s">
        <v>68</v>
      </c>
      <c r="D32" s="19" t="s">
        <v>32</v>
      </c>
      <c r="E32" s="32" t="s">
        <v>5</v>
      </c>
      <c r="F32" s="29" t="s">
        <v>36</v>
      </c>
      <c r="G32" s="29" t="s">
        <v>36</v>
      </c>
      <c r="H32" s="29" t="s">
        <v>36</v>
      </c>
      <c r="I32" s="28" t="s">
        <v>43</v>
      </c>
      <c r="J32" s="29" t="str">
        <f>Tableau1[[#This Row],[Localisation]]&amp;Tableau1[[#This Row],[D/C]]&amp;Tableau1[[#This Row],[Structure]]</f>
        <v>ooo</v>
      </c>
      <c r="K32" s="34">
        <f>Tableau1[[#This Row],[PnL]]/450</f>
        <v>1.2279333333333335</v>
      </c>
      <c r="L32" s="22">
        <v>552.57000000000005</v>
      </c>
      <c r="M32" s="31" t="s">
        <v>6</v>
      </c>
    </row>
    <row r="33" spans="1:14" x14ac:dyDescent="0.3">
      <c r="A33" s="18">
        <v>45007</v>
      </c>
      <c r="B33" s="18" t="s">
        <v>30</v>
      </c>
      <c r="C33" s="19" t="s">
        <v>47</v>
      </c>
      <c r="D33" s="19" t="s">
        <v>34</v>
      </c>
      <c r="E33" s="32" t="s">
        <v>8</v>
      </c>
      <c r="F33" s="29" t="s">
        <v>36</v>
      </c>
      <c r="G33" s="29" t="s">
        <v>36</v>
      </c>
      <c r="H33" s="29" t="s">
        <v>36</v>
      </c>
      <c r="I33" s="28" t="s">
        <v>43</v>
      </c>
      <c r="J33" s="29" t="str">
        <f>Tableau1[[#This Row],[Localisation]]&amp;Tableau1[[#This Row],[D/C]]&amp;Tableau1[[#This Row],[Structure]]</f>
        <v>ooo</v>
      </c>
      <c r="K33" s="34">
        <f>Tableau1[[#This Row],[PnL]]/450</f>
        <v>1.8211999999999999</v>
      </c>
      <c r="L33" s="22">
        <f>255+564.54</f>
        <v>819.54</v>
      </c>
      <c r="M33" s="31" t="s">
        <v>6</v>
      </c>
    </row>
    <row r="34" spans="1:14" x14ac:dyDescent="0.3">
      <c r="A34" s="18">
        <v>45008</v>
      </c>
      <c r="B34" s="18" t="s">
        <v>30</v>
      </c>
      <c r="C34" s="19" t="s">
        <v>34</v>
      </c>
      <c r="D34" s="19" t="s">
        <v>34</v>
      </c>
      <c r="E34" s="32" t="s">
        <v>8</v>
      </c>
      <c r="F34" s="29" t="s">
        <v>36</v>
      </c>
      <c r="G34" s="29" t="s">
        <v>36</v>
      </c>
      <c r="H34" s="29" t="s">
        <v>36</v>
      </c>
      <c r="I34" s="28" t="s">
        <v>43</v>
      </c>
      <c r="J34" s="29" t="str">
        <f>Tableau1[[#This Row],[Localisation]]&amp;Tableau1[[#This Row],[D/C]]&amp;Tableau1[[#This Row],[Structure]]</f>
        <v>ooo</v>
      </c>
      <c r="K34" s="34"/>
      <c r="L34" s="22">
        <v>-511</v>
      </c>
      <c r="M34" s="31" t="s">
        <v>9</v>
      </c>
    </row>
    <row r="35" spans="1:14" x14ac:dyDescent="0.3">
      <c r="A35" s="18">
        <v>45008</v>
      </c>
      <c r="B35" s="18" t="s">
        <v>30</v>
      </c>
      <c r="C35" s="19" t="s">
        <v>69</v>
      </c>
      <c r="D35" s="19" t="s">
        <v>32</v>
      </c>
      <c r="E35" s="32" t="s">
        <v>8</v>
      </c>
      <c r="F35" s="29" t="s">
        <v>36</v>
      </c>
      <c r="G35" s="29" t="s">
        <v>36</v>
      </c>
      <c r="H35" s="29" t="s">
        <v>41</v>
      </c>
      <c r="I35" s="28"/>
      <c r="J35" s="29" t="str">
        <f>Tableau1[[#This Row],[Localisation]]&amp;Tableau1[[#This Row],[D/C]]&amp;Tableau1[[#This Row],[Structure]]</f>
        <v>oon</v>
      </c>
      <c r="K35" s="34"/>
      <c r="L35" s="22">
        <f>-203.92-573.16</f>
        <v>-777.07999999999993</v>
      </c>
      <c r="M35" s="31" t="s">
        <v>9</v>
      </c>
    </row>
    <row r="36" spans="1:14" x14ac:dyDescent="0.3">
      <c r="A36" s="18">
        <v>45008</v>
      </c>
      <c r="B36" s="18" t="s">
        <v>30</v>
      </c>
      <c r="C36" s="19" t="s">
        <v>70</v>
      </c>
      <c r="D36" s="19" t="s">
        <v>32</v>
      </c>
      <c r="E36" s="32" t="s">
        <v>5</v>
      </c>
      <c r="F36" s="29" t="s">
        <v>36</v>
      </c>
      <c r="G36" s="29" t="s">
        <v>36</v>
      </c>
      <c r="H36" s="29" t="s">
        <v>36</v>
      </c>
      <c r="I36" s="28" t="s">
        <v>43</v>
      </c>
      <c r="J36" s="29" t="str">
        <f>Tableau1[[#This Row],[Localisation]]&amp;Tableau1[[#This Row],[D/C]]&amp;Tableau1[[#This Row],[Structure]]</f>
        <v>ooo</v>
      </c>
      <c r="K36" s="34"/>
      <c r="L36" s="22">
        <f>-114.05-2.8</f>
        <v>-116.85</v>
      </c>
      <c r="M36" s="31" t="s">
        <v>9</v>
      </c>
    </row>
    <row r="37" spans="1:14" x14ac:dyDescent="0.3">
      <c r="A37" s="18">
        <v>45008</v>
      </c>
      <c r="B37" s="18" t="s">
        <v>30</v>
      </c>
      <c r="C37" s="19" t="s">
        <v>71</v>
      </c>
      <c r="D37" s="19" t="s">
        <v>32</v>
      </c>
      <c r="E37" s="32" t="s">
        <v>8</v>
      </c>
      <c r="F37" s="29" t="s">
        <v>36</v>
      </c>
      <c r="G37" s="29" t="s">
        <v>36</v>
      </c>
      <c r="H37" s="29" t="s">
        <v>36</v>
      </c>
      <c r="I37" s="28" t="s">
        <v>43</v>
      </c>
      <c r="J37" s="29" t="str">
        <f>Tableau1[[#This Row],[Localisation]]&amp;Tableau1[[#This Row],[D/C]]&amp;Tableau1[[#This Row],[Structure]]</f>
        <v>ooo</v>
      </c>
      <c r="K37" s="34">
        <f>Tableau1[[#This Row],[PnL]]/500</f>
        <v>4.6372000000000009</v>
      </c>
      <c r="L37" s="22">
        <f>-144.9-613.66+260.61+2816.55</f>
        <v>2318.6000000000004</v>
      </c>
      <c r="M37" s="31" t="s">
        <v>6</v>
      </c>
    </row>
    <row r="38" spans="1:14" x14ac:dyDescent="0.3">
      <c r="A38" s="18">
        <v>45009</v>
      </c>
      <c r="B38" s="18" t="s">
        <v>30</v>
      </c>
      <c r="C38" s="19" t="s">
        <v>40</v>
      </c>
      <c r="D38" s="19" t="s">
        <v>32</v>
      </c>
      <c r="E38" s="32" t="s">
        <v>8</v>
      </c>
      <c r="F38" s="29" t="s">
        <v>41</v>
      </c>
      <c r="G38" s="29" t="s">
        <v>41</v>
      </c>
      <c r="H38" s="29" t="s">
        <v>41</v>
      </c>
      <c r="I38" s="28" t="s">
        <v>43</v>
      </c>
      <c r="J38" s="29"/>
      <c r="K38" s="34"/>
      <c r="L38" s="22">
        <v>-438.26</v>
      </c>
      <c r="M38" s="31" t="s">
        <v>9</v>
      </c>
    </row>
    <row r="39" spans="1:14" x14ac:dyDescent="0.3">
      <c r="A39" s="18">
        <v>45019</v>
      </c>
      <c r="B39" s="18" t="s">
        <v>72</v>
      </c>
      <c r="C39" s="19" t="s">
        <v>73</v>
      </c>
      <c r="D39" s="19" t="s">
        <v>32</v>
      </c>
      <c r="E39" s="32" t="s">
        <v>8</v>
      </c>
      <c r="F39" s="29" t="s">
        <v>36</v>
      </c>
      <c r="G39" s="29" t="s">
        <v>36</v>
      </c>
      <c r="H39" s="29" t="s">
        <v>36</v>
      </c>
      <c r="I39" s="28" t="s">
        <v>43</v>
      </c>
      <c r="J39" s="29"/>
      <c r="K39" s="34"/>
      <c r="L39" s="22"/>
      <c r="M39" s="31"/>
    </row>
    <row r="40" spans="1:14" x14ac:dyDescent="0.3">
      <c r="A40" s="18">
        <v>45019</v>
      </c>
      <c r="B40" s="18" t="s">
        <v>72</v>
      </c>
      <c r="C40" s="19" t="s">
        <v>74</v>
      </c>
      <c r="D40" s="19" t="s">
        <v>32</v>
      </c>
      <c r="E40" s="32" t="s">
        <v>8</v>
      </c>
      <c r="F40" s="29" t="s">
        <v>41</v>
      </c>
      <c r="G40" s="29" t="s">
        <v>36</v>
      </c>
      <c r="H40" s="29" t="s">
        <v>36</v>
      </c>
      <c r="I40" s="28"/>
      <c r="J40" s="29" t="str">
        <f>Tableau1[[#This Row],[Localisation]]&amp;Tableau1[[#This Row],[D/C]]&amp;Tableau1[[#This Row],[Structure]]</f>
        <v>noo</v>
      </c>
      <c r="K40" s="34"/>
      <c r="L40" s="22"/>
      <c r="M40" s="31"/>
    </row>
    <row r="41" spans="1:14" x14ac:dyDescent="0.3">
      <c r="A41" s="18">
        <v>45019</v>
      </c>
      <c r="B41" s="18" t="s">
        <v>72</v>
      </c>
      <c r="C41" s="19" t="s">
        <v>75</v>
      </c>
      <c r="D41" s="19" t="s">
        <v>32</v>
      </c>
      <c r="E41" s="32" t="s">
        <v>5</v>
      </c>
      <c r="F41" s="29" t="s">
        <v>36</v>
      </c>
      <c r="G41" s="29" t="s">
        <v>36</v>
      </c>
      <c r="H41" s="29" t="s">
        <v>36</v>
      </c>
      <c r="I41" s="28" t="s">
        <v>43</v>
      </c>
      <c r="J41" s="29" t="str">
        <f>Tableau1[[#This Row],[Localisation]]&amp;Tableau1[[#This Row],[D/C]]&amp;Tableau1[[#This Row],[Structure]]</f>
        <v>ooo</v>
      </c>
      <c r="K41" s="34"/>
      <c r="L41" s="22">
        <v>-252.72</v>
      </c>
      <c r="M41" s="31"/>
    </row>
    <row r="42" spans="1:14" x14ac:dyDescent="0.3">
      <c r="A42" s="18"/>
      <c r="B42" s="18"/>
      <c r="C42" s="19"/>
      <c r="D42" s="19"/>
      <c r="E42" s="32"/>
      <c r="F42" s="29"/>
      <c r="G42" s="29"/>
      <c r="H42" s="29"/>
      <c r="I42" s="28"/>
      <c r="J42" s="29"/>
      <c r="K42" s="34"/>
      <c r="L42" s="22"/>
      <c r="M42" s="31"/>
    </row>
    <row r="43" spans="1:14" x14ac:dyDescent="0.3">
      <c r="A43" s="18"/>
      <c r="B43" s="18"/>
      <c r="C43" s="19"/>
      <c r="D43" s="27"/>
      <c r="E43" s="32"/>
      <c r="F43" s="29"/>
      <c r="G43" s="21"/>
      <c r="H43" s="21"/>
      <c r="I43" s="28"/>
      <c r="J43" s="29" t="str">
        <f>Tableau1[[#This Row],[Localisation]]&amp;Tableau1[[#This Row],[D/C]]&amp;Tableau1[[#This Row],[Structure]]</f>
        <v/>
      </c>
      <c r="K43" s="34"/>
      <c r="L43" s="22"/>
      <c r="M43" s="24"/>
    </row>
    <row r="44" spans="1:14" x14ac:dyDescent="0.3">
      <c r="A44" s="18"/>
      <c r="B44" s="18"/>
      <c r="C44" s="19"/>
      <c r="D44" s="19"/>
      <c r="E44" s="20"/>
      <c r="F44" s="21"/>
      <c r="G44" s="21"/>
      <c r="H44" s="21"/>
      <c r="I44" s="21"/>
      <c r="J44" s="21"/>
      <c r="K44" s="21"/>
      <c r="L44" s="22"/>
      <c r="M44" s="23"/>
      <c r="N44" s="24"/>
    </row>
    <row r="46" spans="1:14" x14ac:dyDescent="0.3">
      <c r="A46" s="33" t="s">
        <v>51</v>
      </c>
      <c r="F46" s="54" t="s">
        <v>46</v>
      </c>
      <c r="G46" s="55"/>
      <c r="H46" s="55"/>
      <c r="I46" s="55"/>
      <c r="L46" s="15" t="s">
        <v>10</v>
      </c>
      <c r="M46" s="16">
        <f>SUM(Tableau1[PnL])</f>
        <v>1726.0300000000002</v>
      </c>
      <c r="N46" s="17"/>
    </row>
    <row r="47" spans="1:14" x14ac:dyDescent="0.3">
      <c r="A47" s="35">
        <f>COUNTA(Tableau1[Date])/(MAX(Tableau1[Date])-MIN(Tableau1[Date]))</f>
        <v>1.8181818181818181</v>
      </c>
      <c r="F47" s="55" t="s">
        <v>50</v>
      </c>
      <c r="G47" s="55"/>
      <c r="H47" s="55"/>
      <c r="I47" s="55"/>
      <c r="L47" s="4" t="s">
        <v>37</v>
      </c>
      <c r="M47" s="16">
        <f>SUBTOTAL(9,Tableau1[PnL])</f>
        <v>1726.0300000000002</v>
      </c>
      <c r="N47" s="6"/>
    </row>
    <row r="48" spans="1:14" x14ac:dyDescent="0.3">
      <c r="F48" t="s">
        <v>58</v>
      </c>
      <c r="G48">
        <f>L55</f>
        <v>40</v>
      </c>
      <c r="H48" t="s">
        <v>53</v>
      </c>
      <c r="I48" s="36">
        <f>COUNTIFS(Tableau1[TP/SL/BE],"TP")/(COUNTIFS(Tableau1[TP/SL/BE],"SL")+COUNTIFS(Tableau1[TP/SL/BE],"TP"))</f>
        <v>0.40625</v>
      </c>
      <c r="L48" s="56" t="s">
        <v>57</v>
      </c>
      <c r="M48" s="57"/>
      <c r="N48" s="58"/>
    </row>
    <row r="49" spans="3:14" x14ac:dyDescent="0.3">
      <c r="F49" t="s">
        <v>22</v>
      </c>
      <c r="G49" s="36">
        <f>COUNTIF(Tableau1[TP/SL/BE],"BE")/COUNTA(Tableau1[TP/SL/BE])</f>
        <v>0.13513513513513514</v>
      </c>
      <c r="H49" t="s">
        <v>23</v>
      </c>
      <c r="I49" s="37">
        <f>AVERAGE(Tableau1[RR])</f>
        <v>1.6692461538461538</v>
      </c>
      <c r="J49">
        <v>3</v>
      </c>
      <c r="L49" s="6"/>
      <c r="M49" s="2" t="s">
        <v>21</v>
      </c>
    </row>
    <row r="50" spans="3:14" x14ac:dyDescent="0.3">
      <c r="L50" s="7" t="s">
        <v>10</v>
      </c>
      <c r="M50" s="8">
        <f>M46</f>
        <v>1726.0300000000002</v>
      </c>
    </row>
    <row r="51" spans="3:14" x14ac:dyDescent="0.3">
      <c r="F51" s="55" t="s">
        <v>55</v>
      </c>
      <c r="G51" s="55"/>
      <c r="H51" s="55"/>
      <c r="I51" s="55"/>
      <c r="L51" s="4" t="s">
        <v>13</v>
      </c>
      <c r="M51" s="12">
        <f>MAX(L2:L43)</f>
        <v>2318.6000000000004</v>
      </c>
    </row>
    <row r="52" spans="3:14" x14ac:dyDescent="0.3">
      <c r="F52" t="s">
        <v>58</v>
      </c>
      <c r="G52">
        <f>COUNTBLANK(Tableau1[STRAT])-2</f>
        <v>11</v>
      </c>
      <c r="H52" t="s">
        <v>53</v>
      </c>
      <c r="I52" s="36">
        <f>COUNTIFS(Tableau1[TP/SL/BE],"TP",Tableau1[STRAT],"")/(COUNTIFS(Tableau1[TP/SL/BE],"SL",Tableau1[STRAT],"")+COUNTIFS(Tableau1[TP/SL/BE],"TP",Tableau1[STRAT],""))</f>
        <v>0.1</v>
      </c>
      <c r="L52" s="7" t="s">
        <v>14</v>
      </c>
      <c r="M52" s="1">
        <f>MIN(L2:L43)</f>
        <v>-884.5</v>
      </c>
    </row>
    <row r="53" spans="3:14" x14ac:dyDescent="0.3">
      <c r="F53" t="s">
        <v>22</v>
      </c>
      <c r="G53" s="36">
        <f>COUNTIFS(Tableau1[TP/SL/BE],"BE",Tableau1[STRAT],"")/COUNTA(Tableau1[TP/SL/BE])</f>
        <v>0</v>
      </c>
      <c r="H53" t="s">
        <v>23</v>
      </c>
      <c r="I53" s="35">
        <f>AVERAGEIFS(Tableau1[RR],Tableau1[STRAT],"")</f>
        <v>0.31608888888888892</v>
      </c>
      <c r="L53" s="4" t="s">
        <v>15</v>
      </c>
      <c r="M53" s="12">
        <f>AVERAGE(L2:L43)</f>
        <v>45.42184210526316</v>
      </c>
    </row>
    <row r="54" spans="3:14" x14ac:dyDescent="0.3">
      <c r="F54" s="55" t="s">
        <v>56</v>
      </c>
      <c r="G54" s="55"/>
      <c r="H54" s="55"/>
      <c r="I54" s="55"/>
      <c r="L54" s="56" t="s">
        <v>20</v>
      </c>
      <c r="M54" s="57"/>
      <c r="N54" s="58"/>
    </row>
    <row r="55" spans="3:14" x14ac:dyDescent="0.3">
      <c r="G55" t="s">
        <v>43</v>
      </c>
      <c r="H55" t="s">
        <v>30</v>
      </c>
      <c r="I55" t="s">
        <v>32</v>
      </c>
      <c r="L55" s="51">
        <f>COUNT(A2:A43)</f>
        <v>40</v>
      </c>
      <c r="M55" s="52"/>
      <c r="N55" s="53"/>
    </row>
    <row r="56" spans="3:14" x14ac:dyDescent="0.3">
      <c r="F56" t="s">
        <v>58</v>
      </c>
      <c r="G56">
        <f>COUNTIF(Tableau1[STRAT],G55)</f>
        <v>25</v>
      </c>
      <c r="H56">
        <f>COUNTIF(Tableau1[Wallet],H55)</f>
        <v>35</v>
      </c>
      <c r="I56">
        <f>COUNTIF(Tableau1[Domaine],I55)</f>
        <v>23</v>
      </c>
      <c r="L56" s="3"/>
      <c r="M56" s="30"/>
      <c r="N56" s="30"/>
    </row>
    <row r="57" spans="3:14" x14ac:dyDescent="0.3">
      <c r="C57" s="36"/>
      <c r="F57" t="s">
        <v>53</v>
      </c>
      <c r="G57" s="39">
        <f>COUNTIFS(Tableau1[TP/SL/BE],"TP",Tableau1[STRAT],G55)/(COUNTIFS(Tableau1[TP/SL/BE],"SL",Tableau1[STRAT],G55)+COUNTIFS(Tableau1[TP/SL/BE],"TP",Tableau1[STRAT],G55))</f>
        <v>0.61111111111111116</v>
      </c>
      <c r="H57" s="36">
        <f>COUNTIFS(Tableau1[TP/SL/BE],"TP",Tableau1[Wallet],H55)/(COUNTIFS(Tableau1[TP/SL/BE],"SL",Tableau1[Wallet],H55)+COUNTIFS(Tableau1[TP/SL/BE],"TP",Tableau1[Wallet],H55))</f>
        <v>0.36666666666666664</v>
      </c>
      <c r="I57" s="36">
        <f>COUNTIFS(Tableau1[TP/SL/BE],"TP",Tableau1[Domaine],I55)/(COUNTIFS(Tableau1[TP/SL/BE],"SL",Tableau1[Domaine],I55)+COUNTIFS(Tableau1[TP/SL/BE],"TP",Tableau1[Domaine],I55))</f>
        <v>0.23529411764705882</v>
      </c>
      <c r="L57" s="13"/>
      <c r="M57" s="13"/>
      <c r="N57" s="13"/>
    </row>
    <row r="58" spans="3:14" x14ac:dyDescent="0.3">
      <c r="F58" t="s">
        <v>23</v>
      </c>
      <c r="G58" s="35">
        <f>AVERAGEIFS(Tableau1[RR],Tableau1[STRAT],G55)</f>
        <v>1.7621919191919191</v>
      </c>
      <c r="H58" s="35">
        <f>AVERAGEIFS(Tableau1[RR],Tableau1[Wallet],H55)</f>
        <v>1.7788060606060605</v>
      </c>
      <c r="I58" s="35">
        <f>AVERAGEIFS(Tableau1[RR],Tableau1[Domaine],I55)</f>
        <v>2.8164055555555558</v>
      </c>
    </row>
    <row r="59" spans="3:14" x14ac:dyDescent="0.3">
      <c r="F59" t="s">
        <v>22</v>
      </c>
      <c r="G59" s="36">
        <f>COUNTIFS(Tableau1[TP/SL/BE],"BE",Tableau1[STRAT],G55)/COUNTA(Tableau1[TP/SL/BE])</f>
        <v>0.13513513513513514</v>
      </c>
      <c r="H59" s="36">
        <f>COUNTIFS(Tableau1[TP/SL/BE],"BE",Tableau1[Wallet],H55)/COUNTA(Tableau1[TP/SL/BE])</f>
        <v>0.13513513513513514</v>
      </c>
      <c r="I59" s="36">
        <f>COUNTIFS(Tableau1[Date],"BE",Tableau1[Devise],I55)/COUNTA(Tableau1[Date])</f>
        <v>0</v>
      </c>
    </row>
    <row r="60" spans="3:14" x14ac:dyDescent="0.3">
      <c r="F60" s="38"/>
      <c r="G60" s="36"/>
      <c r="H60" s="36"/>
      <c r="I60" s="36"/>
    </row>
  </sheetData>
  <mergeCells count="7">
    <mergeCell ref="L55:N55"/>
    <mergeCell ref="F46:I46"/>
    <mergeCell ref="F47:I47"/>
    <mergeCell ref="F51:I51"/>
    <mergeCell ref="L54:N54"/>
    <mergeCell ref="F54:I54"/>
    <mergeCell ref="L48:N48"/>
  </mergeCells>
  <phoneticPr fontId="10" type="noConversion"/>
  <conditionalFormatting sqref="M50:M51 M53">
    <cfRule type="cellIs" dxfId="29" priority="11" operator="greaterThan">
      <formula>0</formula>
    </cfRule>
  </conditionalFormatting>
  <conditionalFormatting sqref="M50:M51 M53">
    <cfRule type="cellIs" dxfId="28" priority="10" operator="lessThan">
      <formula>0</formula>
    </cfRule>
  </conditionalFormatting>
  <conditionalFormatting sqref="M52">
    <cfRule type="cellIs" dxfId="27" priority="9" operator="greaterThan">
      <formula>0</formula>
    </cfRule>
  </conditionalFormatting>
  <conditionalFormatting sqref="M52">
    <cfRule type="cellIs" dxfId="26" priority="8" operator="lessThan">
      <formula>0</formula>
    </cfRule>
  </conditionalFormatting>
  <conditionalFormatting sqref="L2:L43">
    <cfRule type="cellIs" dxfId="25" priority="7" operator="greaterThan">
      <formula>0</formula>
    </cfRule>
    <cfRule type="cellIs" dxfId="24" priority="43" operator="lessThan">
      <formula>0</formula>
    </cfRule>
    <cfRule type="cellIs" dxfId="23" priority="44" operator="greaterThan">
      <formula>0</formula>
    </cfRule>
  </conditionalFormatting>
  <conditionalFormatting sqref="G60:I60">
    <cfRule type="cellIs" dxfId="22" priority="1" operator="lessThan">
      <formula>0</formula>
    </cfRule>
    <cfRule type="cellIs" dxfId="21" priority="2" operator="greaterThan">
      <formula>0</formula>
    </cfRule>
  </conditionalFormatting>
  <dataValidations count="9">
    <dataValidation type="list" allowBlank="1" showInputMessage="1" showErrorMessage="1" sqref="N44">
      <formula1>#REF!</formula1>
    </dataValidation>
    <dataValidation type="list" allowBlank="1" showInputMessage="1" showErrorMessage="1" sqref="B44">
      <formula1>$O$1:$O$43</formula1>
    </dataValidation>
    <dataValidation type="list" allowBlank="1" showInputMessage="1" showErrorMessage="1" sqref="H55 B10:B43">
      <formula1>$U$1:$U$4</formula1>
    </dataValidation>
    <dataValidation type="list" allowBlank="1" showInputMessage="1" showErrorMessage="1" sqref="I2 G55 I9:I43">
      <formula1>$S$1:$S$4</formula1>
    </dataValidation>
    <dataValidation type="list" allowBlank="1" showInputMessage="1" showErrorMessage="1" sqref="I55 D2:D43">
      <formula1>$W$1:$W$4</formula1>
    </dataValidation>
    <dataValidation type="list" allowBlank="1" showInputMessage="1" showErrorMessage="1" sqref="M2:M43">
      <formula1>$AA$1:$AA$3</formula1>
    </dataValidation>
    <dataValidation type="list" allowBlank="1" showInputMessage="1" showErrorMessage="1" sqref="B2:B9">
      <formula1>$U$1:$U$43</formula1>
    </dataValidation>
    <dataValidation type="list" allowBlank="1" showInputMessage="1" showErrorMessage="1" sqref="E2:E43">
      <formula1>$Y$1:$Y$2</formula1>
    </dataValidation>
    <dataValidation type="list" allowBlank="1" showInputMessage="1" showErrorMessage="1" sqref="I3:I8">
      <formula1>$S$1:$S$43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9"/>
  <sheetViews>
    <sheetView tabSelected="1" zoomScale="90" zoomScaleNormal="90" workbookViewId="0"/>
  </sheetViews>
  <sheetFormatPr baseColWidth="10" defaultRowHeight="15.6" x14ac:dyDescent="0.3"/>
  <cols>
    <col min="1" max="1" width="11.19921875" style="40"/>
    <col min="6" max="6" width="12.5" customWidth="1"/>
    <col min="10" max="10" width="0" hidden="1" customWidth="1"/>
    <col min="15" max="15" width="12.8984375" bestFit="1" customWidth="1"/>
  </cols>
  <sheetData>
    <row r="1" spans="1:16" x14ac:dyDescent="0.3">
      <c r="A1" s="40" t="s">
        <v>0</v>
      </c>
      <c r="B1" t="s">
        <v>35</v>
      </c>
      <c r="C1" t="s">
        <v>1</v>
      </c>
      <c r="D1" t="s">
        <v>54</v>
      </c>
      <c r="E1" t="s">
        <v>2</v>
      </c>
      <c r="F1" t="s">
        <v>24</v>
      </c>
      <c r="G1" t="s">
        <v>25</v>
      </c>
      <c r="H1" t="s">
        <v>26</v>
      </c>
      <c r="I1" t="s">
        <v>38</v>
      </c>
      <c r="J1" t="s">
        <v>39</v>
      </c>
      <c r="K1" t="s">
        <v>23</v>
      </c>
      <c r="L1" t="s">
        <v>3</v>
      </c>
      <c r="M1" t="s">
        <v>27</v>
      </c>
      <c r="O1" s="49" t="s">
        <v>63</v>
      </c>
      <c r="P1" s="47">
        <f>A2</f>
        <v>0</v>
      </c>
    </row>
    <row r="2" spans="1:16" x14ac:dyDescent="0.3">
      <c r="K2" s="35"/>
      <c r="L2" s="35"/>
      <c r="M2" s="41"/>
      <c r="O2" s="49" t="s">
        <v>64</v>
      </c>
      <c r="P2" s="48">
        <v>47851.62</v>
      </c>
    </row>
    <row r="3" spans="1:16" ht="16.2" customHeight="1" x14ac:dyDescent="0.3">
      <c r="A3"/>
    </row>
    <row r="4" spans="1:16" x14ac:dyDescent="0.3">
      <c r="A4"/>
    </row>
    <row r="6" spans="1:16" x14ac:dyDescent="0.3">
      <c r="K6" s="15" t="s">
        <v>10</v>
      </c>
      <c r="L6" s="16">
        <f>SUBTOTAL(9,Tableau3[PnL])</f>
        <v>0</v>
      </c>
      <c r="M6" s="44">
        <f>-L6/P2</f>
        <v>0</v>
      </c>
    </row>
    <row r="7" spans="1:16" x14ac:dyDescent="0.3">
      <c r="K7" s="4" t="s">
        <v>4</v>
      </c>
      <c r="L7" s="16">
        <f>P2+L6</f>
        <v>47851.62</v>
      </c>
      <c r="M7" s="50">
        <f>(L7-P2)/P2</f>
        <v>0</v>
      </c>
    </row>
    <row r="8" spans="1:16" x14ac:dyDescent="0.3">
      <c r="K8" s="59" t="s">
        <v>11</v>
      </c>
      <c r="L8" s="59"/>
      <c r="M8" s="59"/>
    </row>
    <row r="9" spans="1:16" x14ac:dyDescent="0.3">
      <c r="K9" s="6"/>
      <c r="L9" s="2" t="s">
        <v>21</v>
      </c>
      <c r="M9" s="2" t="s">
        <v>12</v>
      </c>
    </row>
    <row r="10" spans="1:16" x14ac:dyDescent="0.3">
      <c r="K10" s="4" t="s">
        <v>13</v>
      </c>
      <c r="L10" s="42">
        <f>SUBTOTAL(4,Tableau3[PnL])</f>
        <v>0</v>
      </c>
      <c r="M10" s="45">
        <f>L10/L7</f>
        <v>0</v>
      </c>
    </row>
    <row r="11" spans="1:16" x14ac:dyDescent="0.3">
      <c r="K11" s="7" t="s">
        <v>14</v>
      </c>
      <c r="L11" s="43">
        <f>SUBTOTAL(5,Tableau3[PnL])</f>
        <v>0</v>
      </c>
      <c r="M11" s="46">
        <f>L11/L7</f>
        <v>0</v>
      </c>
    </row>
    <row r="12" spans="1:16" x14ac:dyDescent="0.3">
      <c r="K12" s="4" t="s">
        <v>15</v>
      </c>
      <c r="L12" s="42" t="e">
        <f>SUBTOTAL(1,Tableau3[PnL])</f>
        <v>#DIV/0!</v>
      </c>
      <c r="M12" s="45" t="e">
        <f>L12/L7</f>
        <v>#DIV/0!</v>
      </c>
    </row>
    <row r="13" spans="1:16" x14ac:dyDescent="0.3">
      <c r="K13" s="13" t="s">
        <v>16</v>
      </c>
      <c r="L13" s="13"/>
      <c r="M13" s="13"/>
    </row>
    <row r="14" spans="1:16" x14ac:dyDescent="0.3">
      <c r="K14" s="9" t="s">
        <v>17</v>
      </c>
      <c r="L14" s="10" t="s">
        <v>7</v>
      </c>
      <c r="M14" s="11" t="s">
        <v>18</v>
      </c>
    </row>
    <row r="15" spans="1:16" x14ac:dyDescent="0.3">
      <c r="K15" s="3">
        <f>COUNTIFS(Tableau3[TP/SL/BE],"TP",Tableau3[Wallet],"MFF P1")</f>
        <v>0</v>
      </c>
      <c r="L15" s="3">
        <f>COUNTIFS(Tableau3[TP/SL/BE],"BE",Tableau3[Wallet],"MFF P1")</f>
        <v>0</v>
      </c>
      <c r="M15" s="3">
        <f>COUNTIFS(Tableau3[TP/SL/BE],"SL",Tableau3[Wallet],"MFF P1")</f>
        <v>0</v>
      </c>
    </row>
    <row r="16" spans="1:16" x14ac:dyDescent="0.3">
      <c r="K16" s="56" t="s">
        <v>19</v>
      </c>
      <c r="L16" s="57"/>
      <c r="M16" s="58"/>
    </row>
    <row r="17" spans="11:13" x14ac:dyDescent="0.3">
      <c r="K17" s="60" t="e">
        <f>K15/(M15+K15)</f>
        <v>#DIV/0!</v>
      </c>
      <c r="L17" s="61"/>
      <c r="M17" s="62"/>
    </row>
    <row r="18" spans="11:13" x14ac:dyDescent="0.3">
      <c r="K18" s="56" t="s">
        <v>20</v>
      </c>
      <c r="L18" s="57"/>
      <c r="M18" s="58"/>
    </row>
    <row r="19" spans="11:13" x14ac:dyDescent="0.3">
      <c r="K19" s="63">
        <f>COUNTIF(Tableau3[Wallet],"MFF P1")</f>
        <v>0</v>
      </c>
      <c r="L19" s="63"/>
      <c r="M19" s="63"/>
    </row>
  </sheetData>
  <mergeCells count="5">
    <mergeCell ref="K8:M8"/>
    <mergeCell ref="K17:M17"/>
    <mergeCell ref="K18:M18"/>
    <mergeCell ref="K19:M19"/>
    <mergeCell ref="K16:M16"/>
  </mergeCells>
  <conditionalFormatting sqref="L12:M12">
    <cfRule type="cellIs" dxfId="3" priority="1" operator="greaterThan">
      <formula>0</formula>
    </cfRule>
    <cfRule type="cellIs" dxfId="2" priority="2" operator="lessThan">
      <formula>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TradingDesk</vt:lpstr>
      <vt:lpstr>MFF P1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Guy Blancher</cp:lastModifiedBy>
  <dcterms:created xsi:type="dcterms:W3CDTF">2021-09-18T16:07:35Z</dcterms:created>
  <dcterms:modified xsi:type="dcterms:W3CDTF">2023-04-04T07:10:38Z</dcterms:modified>
</cp:coreProperties>
</file>