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7870" windowHeight="6930" activeTab="4"/>
  </bookViews>
  <sheets>
    <sheet name="FEUILLE RECAP" sheetId="3" r:id="rId1"/>
    <sheet name="COUT" sheetId="4" r:id="rId2"/>
    <sheet name="DONNEES GENERALES (2)" sheetId="2" r:id="rId3"/>
    <sheet name="Feuil1" sheetId="1" r:id="rId4"/>
    <sheet name="Feuil2" sheetId="5" r:id="rId5"/>
  </sheets>
  <externalReferences>
    <externalReference r:id="rId6"/>
  </externalReferences>
  <definedNames>
    <definedName name="_xlnm._FilterDatabase" localSheetId="2" hidden="1">'DONNEES GENERALES (2)'!$A$4:$AX$13</definedName>
    <definedName name="_xlnm.Print_Area" localSheetId="0">'FEUILLE RECAP'!$A$1:$L$63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O2" i="2" l="1"/>
  <c r="AP2" i="2"/>
  <c r="AQ2" i="2"/>
  <c r="AK2" i="2"/>
  <c r="AL2" i="2"/>
  <c r="AM2" i="2"/>
  <c r="AN2" i="2"/>
  <c r="AJ2" i="2"/>
  <c r="B1" i="5"/>
  <c r="B6" i="3" l="1"/>
  <c r="A1" i="3"/>
  <c r="K1" i="5" l="1"/>
  <c r="J1" i="5"/>
  <c r="I1" i="5"/>
  <c r="H1" i="5"/>
  <c r="G1" i="5"/>
  <c r="F1" i="5"/>
  <c r="E1" i="5"/>
  <c r="D1" i="5"/>
  <c r="C1" i="5"/>
  <c r="I45" i="3"/>
  <c r="F28" i="3"/>
  <c r="F27" i="3"/>
  <c r="F26" i="3"/>
  <c r="F24" i="3"/>
  <c r="B29" i="3"/>
  <c r="B28" i="3"/>
  <c r="B27" i="3"/>
  <c r="B26" i="3"/>
  <c r="B25" i="3"/>
  <c r="B24" i="3"/>
  <c r="B23" i="3"/>
  <c r="G21" i="3"/>
  <c r="I50" i="3" s="1"/>
  <c r="G20" i="3"/>
  <c r="G19" i="3"/>
  <c r="I49" i="3" s="1"/>
  <c r="E22" i="3"/>
  <c r="E21" i="3"/>
  <c r="E20" i="3"/>
  <c r="E17" i="3"/>
  <c r="E16" i="3"/>
  <c r="B22" i="3"/>
  <c r="B21" i="3"/>
  <c r="B20" i="3"/>
  <c r="B18" i="3"/>
  <c r="B17" i="3"/>
  <c r="B16" i="3"/>
  <c r="F11" i="3"/>
  <c r="H8" i="3"/>
  <c r="H7" i="3"/>
  <c r="H6" i="3"/>
  <c r="F9" i="3"/>
  <c r="F8" i="3"/>
  <c r="F7" i="3"/>
  <c r="F6" i="3"/>
  <c r="B13" i="3"/>
  <c r="B12" i="3" l="1"/>
  <c r="B10" i="3"/>
  <c r="B9" i="3"/>
  <c r="B8" i="3"/>
  <c r="F52" i="3" s="1"/>
  <c r="J52" i="3" s="1"/>
  <c r="B7" i="3"/>
  <c r="C4" i="3"/>
  <c r="F43" i="3"/>
  <c r="F51" i="3"/>
  <c r="AZ2" i="2"/>
  <c r="I43" i="3" l="1"/>
  <c r="J43" i="3" s="1"/>
  <c r="I44" i="3"/>
  <c r="I51" i="3"/>
  <c r="J51" i="3" s="1"/>
  <c r="I36" i="3"/>
  <c r="J36" i="3" s="1"/>
  <c r="I35" i="3"/>
  <c r="J35" i="3" s="1"/>
  <c r="I37" i="3"/>
  <c r="J37" i="3" s="1"/>
  <c r="F44" i="3"/>
  <c r="F50" i="3"/>
  <c r="J50" i="3" s="1"/>
  <c r="F49" i="3"/>
  <c r="J49" i="3" s="1"/>
  <c r="F45" i="3"/>
  <c r="J45" i="3" s="1"/>
  <c r="J44" i="3" l="1"/>
  <c r="J47" i="3" s="1"/>
  <c r="J53" i="3"/>
  <c r="J38" i="3"/>
  <c r="J39" i="3" s="1"/>
  <c r="J40" i="3" s="1"/>
  <c r="E62" i="3" l="1"/>
  <c r="E60" i="3"/>
  <c r="E61" i="3"/>
  <c r="E59" i="3"/>
  <c r="J41" i="3"/>
  <c r="J55" i="3" s="1"/>
  <c r="J56" i="3" l="1"/>
  <c r="J57" i="3" s="1"/>
  <c r="K52" i="3"/>
  <c r="K37" i="3"/>
  <c r="K35" i="3"/>
  <c r="K43" i="3"/>
  <c r="K51" i="3"/>
  <c r="K50" i="3"/>
  <c r="K44" i="3"/>
  <c r="K49" i="3"/>
  <c r="K36" i="3"/>
  <c r="K45" i="3"/>
  <c r="K53" i="3"/>
  <c r="K47" i="3"/>
  <c r="K38" i="3"/>
  <c r="K33" i="3"/>
</calcChain>
</file>

<file path=xl/sharedStrings.xml><?xml version="1.0" encoding="utf-8"?>
<sst xmlns="http://schemas.openxmlformats.org/spreadsheetml/2006/main" count="600" uniqueCount="245">
  <si>
    <t>EXTRACTION INFOS BDD PRIX DE REVIENT SIMP - ARTICLES FRABRIQUES DEPUIS LE 01/01/2019</t>
  </si>
  <si>
    <t>DESSIN</t>
  </si>
  <si>
    <t>NOM</t>
  </si>
  <si>
    <t>MARQUE</t>
  </si>
  <si>
    <t xml:space="preserve">FAMILLE </t>
  </si>
  <si>
    <t>CONST</t>
  </si>
  <si>
    <t>PROD</t>
  </si>
  <si>
    <t>PROD ANALYTIQUE</t>
  </si>
  <si>
    <t>APRET</t>
  </si>
  <si>
    <t>DEGRAPHITAHE</t>
  </si>
  <si>
    <t>HAUTEUR</t>
  </si>
  <si>
    <t>JAUGE</t>
  </si>
  <si>
    <t>LARG MET</t>
  </si>
  <si>
    <t>VIT MET</t>
  </si>
  <si>
    <t>PCE REF</t>
  </si>
  <si>
    <t>LARG FINIE</t>
  </si>
  <si>
    <t>Nbre Mailles / Carton</t>
  </si>
  <si>
    <t>Nbre Mailles Pouce</t>
  </si>
  <si>
    <t>Compo. Commerciale Manuelle</t>
  </si>
  <si>
    <t>Nb Racks (Pièce Réf.)</t>
  </si>
  <si>
    <t>Rendement Fini (Pièce Réf.)</t>
  </si>
  <si>
    <t>Poids Ecru (Pièce Réf.)</t>
  </si>
  <si>
    <t>Poids Clippé (Pièce Réf.)</t>
  </si>
  <si>
    <t>Poids Teint (Pièce Réf.)</t>
  </si>
  <si>
    <t>Raccord Fini Sens Chaine</t>
  </si>
  <si>
    <t>Raccord Fini Sens Trame</t>
  </si>
  <si>
    <t>Temps Clippage</t>
  </si>
  <si>
    <t>Métrage Clipper</t>
  </si>
  <si>
    <t>Lycra En Opposition</t>
  </si>
  <si>
    <t>Possible de Couper En 2</t>
  </si>
  <si>
    <t>Effilage</t>
  </si>
  <si>
    <t>Moulage</t>
  </si>
  <si>
    <t>Ecaillage</t>
  </si>
  <si>
    <t>Nb Racks Contrôlés (Pièce Réf.)</t>
  </si>
  <si>
    <t>Nb Racks Standard</t>
  </si>
  <si>
    <t>Long. Finie d'1 Bande Standard</t>
  </si>
  <si>
    <t>Nb Bandes Standard</t>
  </si>
  <si>
    <t>Poids Ecru Standard</t>
  </si>
  <si>
    <t>Poids Clippé Standard</t>
  </si>
  <si>
    <t>Poids Teint Standard</t>
  </si>
  <si>
    <t>Poids Fini Standard</t>
  </si>
  <si>
    <t>Long. Ecrue d'1 Bande Standard</t>
  </si>
  <si>
    <t>Nb Motifs Pièce Standard</t>
  </si>
  <si>
    <t>Long. Ecrue Pièce Standard</t>
  </si>
  <si>
    <t>Long. Finie Pièce Standard</t>
  </si>
  <si>
    <t>Rendement Commercial Standard</t>
  </si>
  <si>
    <t>NUMERO</t>
  </si>
  <si>
    <t>Libellé Nature</t>
  </si>
  <si>
    <t>Code Matière</t>
  </si>
  <si>
    <t>Libellé Usuel Matière</t>
  </si>
  <si>
    <t>%</t>
  </si>
  <si>
    <t>LINGERIE</t>
  </si>
  <si>
    <t>BANDE</t>
  </si>
  <si>
    <t>SANS MARTEAUX</t>
  </si>
  <si>
    <t>77109/1</t>
  </si>
  <si>
    <t>POLYAMIDE 92%  ELASTHANE 8%</t>
  </si>
  <si>
    <t>N</t>
  </si>
  <si>
    <t>O</t>
  </si>
  <si>
    <t>BOBINE LEAVERS</t>
  </si>
  <si>
    <t>A07-000006</t>
  </si>
  <si>
    <t>PA66 30/10 DX FIL BOBINE</t>
  </si>
  <si>
    <t>BRODEURS A</t>
  </si>
  <si>
    <t>A07-000026</t>
  </si>
  <si>
    <t>2/156 A545</t>
  </si>
  <si>
    <t>CHAINE ELASTHANE LEAVERS</t>
  </si>
  <si>
    <t>A04-000758</t>
  </si>
  <si>
    <t>235 DX GUIPE REF 4469</t>
  </si>
  <si>
    <t>CHAINE REDROIT LEAVERS</t>
  </si>
  <si>
    <t>A07-000007</t>
  </si>
  <si>
    <t>PA66 200/1 DX CH LEA 800S A320</t>
  </si>
  <si>
    <t>CORDE A</t>
  </si>
  <si>
    <t>A07-000054</t>
  </si>
  <si>
    <t>THERMOCOLLANT LEAVERS M91</t>
  </si>
  <si>
    <t>EFFILAGE A</t>
  </si>
  <si>
    <t>A07-000047</t>
  </si>
  <si>
    <t>A601 FILEUR LEAVERS</t>
  </si>
  <si>
    <t>GUIMPES A</t>
  </si>
  <si>
    <t>A07-000012</t>
  </si>
  <si>
    <t>2/78 A518</t>
  </si>
  <si>
    <t>PETITE CORDE</t>
  </si>
  <si>
    <t>A07-000323</t>
  </si>
  <si>
    <t>4/78/34 DX FTF MM 460 TS A524</t>
  </si>
  <si>
    <t>PICOTS A</t>
  </si>
  <si>
    <t>A DEFINIR</t>
  </si>
  <si>
    <t>162334/2</t>
  </si>
  <si>
    <t>POLYAMIDE ELASTHANE</t>
  </si>
  <si>
    <t>A07-010799</t>
  </si>
  <si>
    <t>PA66 38/10 DX BOBINE A3428</t>
  </si>
  <si>
    <t>BRODEURS MATS (1)</t>
  </si>
  <si>
    <t>A07-002416</t>
  </si>
  <si>
    <t>3/78/46 DX M FT ORG 520TS 4221</t>
  </si>
  <si>
    <t>A04-000055</t>
  </si>
  <si>
    <t>LYCRA GUIPE 156 DX CN 4745</t>
  </si>
  <si>
    <t>A07-001780</t>
  </si>
  <si>
    <t>A310 33/10 DX CH LEAVERS 800S</t>
  </si>
  <si>
    <t>A07-000030</t>
  </si>
  <si>
    <t>2/44 A594</t>
  </si>
  <si>
    <t>THERMOCOLLANT</t>
  </si>
  <si>
    <t>GALON</t>
  </si>
  <si>
    <t>04/05454/1</t>
  </si>
  <si>
    <t>POLYAMIDE 93% ELASTHANE 7%</t>
  </si>
  <si>
    <t>BRODEURS BRILLANTS (1)</t>
  </si>
  <si>
    <t>A07-000027</t>
  </si>
  <si>
    <t>1/156/3 A5499</t>
  </si>
  <si>
    <t>GUIMPES BRILLANTES (2)</t>
  </si>
  <si>
    <t>A07-000144</t>
  </si>
  <si>
    <t>THERMOCOLLANT M9</t>
  </si>
  <si>
    <t>140735/1</t>
  </si>
  <si>
    <t>POLYAMIDE 94% ELASTHANE 6%</t>
  </si>
  <si>
    <t>A07-007941</t>
  </si>
  <si>
    <t>PA66 30/10 DX BOBINE A3388</t>
  </si>
  <si>
    <t>A07-008523</t>
  </si>
  <si>
    <t>2/156/92 A5192 (EX A5092)</t>
  </si>
  <si>
    <t>A07-006878</t>
  </si>
  <si>
    <t>PA 66 200/1 CH L 1000S A3356</t>
  </si>
  <si>
    <t>A07-009729</t>
  </si>
  <si>
    <t>2/44 A5254 (EX A594)</t>
  </si>
  <si>
    <t>POLYAMIDE ELASTHANNE</t>
  </si>
  <si>
    <t>A07-005195</t>
  </si>
  <si>
    <t>A3330 33/10 DX CH L REMP A310</t>
  </si>
  <si>
    <t>CHAINE REVERS LEAVERS</t>
  </si>
  <si>
    <t>A07-008399</t>
  </si>
  <si>
    <t>4/78/34 DX FTF MM 460 TS A5204</t>
  </si>
  <si>
    <t>146293/3</t>
  </si>
  <si>
    <t>POLYAMIDE 92% ELASTHANE 8%</t>
  </si>
  <si>
    <t>A07-005886</t>
  </si>
  <si>
    <t>A3322 33/10 DX BOBINE REMPA313</t>
  </si>
  <si>
    <t>BRODEURS SPECIAUX</t>
  </si>
  <si>
    <t>A07-008501</t>
  </si>
  <si>
    <t>4/78/34 DX FTF MM A5204 (A524)</t>
  </si>
  <si>
    <t>A02-000160</t>
  </si>
  <si>
    <t>200/2 PA66 REF 102926</t>
  </si>
  <si>
    <t>153900/3</t>
  </si>
  <si>
    <t>POLYAMIDE 95% ELASTHANE 5%</t>
  </si>
  <si>
    <t>BORDS SPECIAUX A</t>
  </si>
  <si>
    <t>GUIMPES BRILLANTES (1)</t>
  </si>
  <si>
    <t>A07-005130</t>
  </si>
  <si>
    <t>2/110/48 PA66 A3314 (REMP A484</t>
  </si>
  <si>
    <t>GUIMPES MATES (1)</t>
  </si>
  <si>
    <t>POLYAMIDE 76% ELASTHANE 24%</t>
  </si>
  <si>
    <t>A07-000147</t>
  </si>
  <si>
    <t>SATINE 2/156/92 A5092 L+T</t>
  </si>
  <si>
    <t>A07-010412</t>
  </si>
  <si>
    <t>2/78/34 A5294 (EX A5194)</t>
  </si>
  <si>
    <t>abc</t>
  </si>
  <si>
    <t>LV</t>
  </si>
  <si>
    <t>FABRICATION INTERNE</t>
  </si>
  <si>
    <t xml:space="preserve">Fiche de coût de de revient </t>
  </si>
  <si>
    <t>Numéro du dessin</t>
  </si>
  <si>
    <t xml:space="preserve">Nom du dessin </t>
  </si>
  <si>
    <t xml:space="preserve">Marque Comm </t>
  </si>
  <si>
    <t>Hauteur Métier</t>
  </si>
  <si>
    <t>Nb Mailles/ Cartons</t>
  </si>
  <si>
    <t xml:space="preserve">Famille Produit </t>
  </si>
  <si>
    <t xml:space="preserve">Jauge Métier </t>
  </si>
  <si>
    <t xml:space="preserve">Rendement Fini </t>
  </si>
  <si>
    <t xml:space="preserve">Construction </t>
  </si>
  <si>
    <t xml:space="preserve">Largeur Métier </t>
  </si>
  <si>
    <t>Nbre M/C au Pouce</t>
  </si>
  <si>
    <t xml:space="preserve">Fam.Production </t>
  </si>
  <si>
    <t xml:space="preserve">Largeur Finie </t>
  </si>
  <si>
    <t xml:space="preserve">Fam.Analytique </t>
  </si>
  <si>
    <t xml:space="preserve">Montage </t>
  </si>
  <si>
    <t xml:space="preserve">Composition </t>
  </si>
  <si>
    <t xml:space="preserve">Apprêt </t>
  </si>
  <si>
    <t xml:space="preserve">Dégraphitage </t>
  </si>
  <si>
    <t>Information sur la pièce</t>
  </si>
  <si>
    <t>Pièce rèf</t>
  </si>
  <si>
    <t xml:space="preserve">Rac. Fini Sens chaine </t>
  </si>
  <si>
    <t>Nb Rack Pièce</t>
  </si>
  <si>
    <t xml:space="preserve">Raccord Fini Sens Trame </t>
  </si>
  <si>
    <t xml:space="preserve">Vitesse Métier </t>
  </si>
  <si>
    <t xml:space="preserve">Métrage horaire </t>
  </si>
  <si>
    <t xml:space="preserve">N° Métier </t>
  </si>
  <si>
    <t xml:space="preserve">Clippage </t>
  </si>
  <si>
    <t xml:space="preserve">Poids Ecru </t>
  </si>
  <si>
    <t xml:space="preserve">Lycra Opposition </t>
  </si>
  <si>
    <t xml:space="preserve">Moulage </t>
  </si>
  <si>
    <t xml:space="preserve">Poids Clippé </t>
  </si>
  <si>
    <t xml:space="preserve">Poss. Couper en 2 </t>
  </si>
  <si>
    <t xml:space="preserve">Poids Teint </t>
  </si>
  <si>
    <t xml:space="preserve">Nb. Racks Contrôlés </t>
  </si>
  <si>
    <t>Nb Rack Standard</t>
  </si>
  <si>
    <t>Perte Standard (%)</t>
  </si>
  <si>
    <t>Longueur Finie Bd</t>
  </si>
  <si>
    <t>Longueur Ecrue Bde</t>
  </si>
  <si>
    <t xml:space="preserve">Nb Bandes </t>
  </si>
  <si>
    <t xml:space="preserve">Nb Motifs </t>
  </si>
  <si>
    <t xml:space="preserve">Longueur Ecrue Pièce </t>
  </si>
  <si>
    <t xml:space="preserve">Longueur Finie Pièce </t>
  </si>
  <si>
    <t xml:space="preserve">Rend. Commercial </t>
  </si>
  <si>
    <t xml:space="preserve">Poids Fini </t>
  </si>
  <si>
    <t>Désignation</t>
  </si>
  <si>
    <t>Quantité</t>
  </si>
  <si>
    <t>Unité</t>
  </si>
  <si>
    <t>Poids Métière</t>
  </si>
  <si>
    <t>Prix Unitaire</t>
  </si>
  <si>
    <t xml:space="preserve">Montant </t>
  </si>
  <si>
    <t>Matières premières</t>
  </si>
  <si>
    <t>TOTAL COUT MATIERES PREMIERES</t>
  </si>
  <si>
    <t xml:space="preserve">Fabrication </t>
  </si>
  <si>
    <t>Frais Fonctionnement</t>
  </si>
  <si>
    <t>RACK</t>
  </si>
  <si>
    <t>Main d'œuvre</t>
  </si>
  <si>
    <t>Amortissement</t>
  </si>
  <si>
    <t xml:space="preserve">TOTAL COUT DE FABRICATION </t>
  </si>
  <si>
    <t>COUT AU METRE</t>
  </si>
  <si>
    <t>Métre</t>
  </si>
  <si>
    <t>PRIX SOCIETE</t>
  </si>
  <si>
    <t xml:space="preserve">Total </t>
  </si>
  <si>
    <t xml:space="preserve">Enniblissement </t>
  </si>
  <si>
    <t xml:space="preserve">Preformage </t>
  </si>
  <si>
    <t>kg</t>
  </si>
  <si>
    <t xml:space="preserve">Teinture </t>
  </si>
  <si>
    <t xml:space="preserve">Clipping </t>
  </si>
  <si>
    <t>Toujours</t>
  </si>
  <si>
    <t>m</t>
  </si>
  <si>
    <t>Lycra</t>
  </si>
  <si>
    <t>TOTAL COUT D'ENNOBLISEMENT</t>
  </si>
  <si>
    <t>Finition</t>
  </si>
  <si>
    <t xml:space="preserve">Visitage Pliage </t>
  </si>
  <si>
    <t xml:space="preserve">Bobine </t>
  </si>
  <si>
    <t xml:space="preserve">TOTAL COUT DE FINITION </t>
  </si>
  <si>
    <t xml:space="preserve">COUT DE REVIENT </t>
  </si>
  <si>
    <t xml:space="preserve">Prix société </t>
  </si>
  <si>
    <t xml:space="preserve"> </t>
  </si>
  <si>
    <t>C.D au Kg Ecru A.D</t>
  </si>
  <si>
    <t>C.D au Kg Ecru S.D</t>
  </si>
  <si>
    <t>C.D au Kg Teint A.D</t>
  </si>
  <si>
    <t>C.D au Kg Teint S.D</t>
  </si>
  <si>
    <t xml:space="preserve">N° de dessin </t>
  </si>
  <si>
    <t>JQ</t>
  </si>
  <si>
    <t>main d'œuvre</t>
  </si>
  <si>
    <t>frais</t>
  </si>
  <si>
    <t xml:space="preserve">amort </t>
  </si>
  <si>
    <t>PREFROMAGE</t>
  </si>
  <si>
    <t xml:space="preserve">CLIPPING </t>
  </si>
  <si>
    <t xml:space="preserve">TEINTURE </t>
  </si>
  <si>
    <t>EFFILAGE</t>
  </si>
  <si>
    <t>PLIAGE</t>
  </si>
  <si>
    <t>ECAILLAGE</t>
  </si>
  <si>
    <t xml:space="preserve">BOBINE </t>
  </si>
  <si>
    <t>N° de Dessin</t>
  </si>
  <si>
    <t>Prix ecru au mètre</t>
  </si>
  <si>
    <t xml:space="preserve">Prix fini au mètre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</si>
</sst>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opperplate Gothic Bold"/>
      <family val="2"/>
    </font>
    <font>
      <b/>
      <sz val="14"/>
      <color theme="1"/>
      <name val="Calibri"/>
      <family val="2"/>
      <scheme val="minor"/>
    </font>
    <font>
      <b/>
      <i/>
      <sz val="14"/>
      <color theme="1"/>
      <name val="Calibri Light"/>
      <family val="2"/>
      <scheme val="major"/>
    </font>
    <font>
      <i/>
      <sz val="14"/>
      <color theme="1"/>
      <name val="Calibri Light"/>
      <family val="2"/>
      <scheme val="major"/>
    </font>
    <font>
      <b/>
      <sz val="14"/>
      <color theme="1"/>
      <name val="Copperplate Gothic Bold"/>
      <family val="2"/>
    </font>
    <font>
      <sz val="14"/>
      <color theme="1"/>
      <name val="Calibri Light"/>
      <family val="2"/>
      <scheme val="major"/>
    </font>
    <font>
      <sz val="14"/>
      <color theme="0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2" tint="-0.24994659260841701"/>
      </left>
      <right/>
      <top style="thin">
        <color indexed="64"/>
      </top>
      <bottom style="thin">
        <color theme="2" tint="-0.24994659260841701"/>
      </bottom>
      <diagonal/>
    </border>
    <border>
      <left/>
      <right/>
      <top style="thin">
        <color indexed="64"/>
      </top>
      <bottom style="thin">
        <color theme="2" tint="-0.24994659260841701"/>
      </bottom>
      <diagonal/>
    </border>
    <border>
      <left/>
      <right style="thin">
        <color indexed="64"/>
      </right>
      <top style="thin">
        <color indexed="64"/>
      </top>
      <bottom style="thin">
        <color theme="2" tint="-0.24994659260841701"/>
      </bottom>
      <diagonal/>
    </border>
    <border>
      <left style="thin">
        <color theme="2" tint="-0.24994659260841701"/>
      </left>
      <right style="thin">
        <color theme="2" tint="-0.24994659260841701"/>
      </right>
      <top/>
      <bottom/>
      <diagonal/>
    </border>
    <border>
      <left style="thin">
        <color theme="2" tint="-0.24994659260841701"/>
      </left>
      <right style="thin">
        <color theme="2" tint="-0.24994659260841701"/>
      </right>
      <top style="thin">
        <color theme="2" tint="-0.24994659260841701"/>
      </top>
      <bottom/>
      <diagonal/>
    </border>
    <border>
      <left/>
      <right style="thin">
        <color theme="2" tint="-0.24994659260841701"/>
      </right>
      <top style="thin">
        <color theme="2" tint="-0.24994659260841701"/>
      </top>
      <bottom/>
      <diagonal/>
    </border>
    <border>
      <left style="thin">
        <color theme="2" tint="-0.24994659260841701"/>
      </left>
      <right/>
      <top/>
      <bottom/>
      <diagonal/>
    </border>
    <border>
      <left/>
      <right style="thin">
        <color theme="2" tint="-0.24994659260841701"/>
      </right>
      <top/>
      <bottom/>
      <diagonal/>
    </border>
    <border>
      <left style="thin">
        <color theme="2" tint="-0.24994659260841701"/>
      </left>
      <right style="thin">
        <color auto="1"/>
      </right>
      <top/>
      <bottom/>
      <diagonal/>
    </border>
    <border>
      <left style="thin">
        <color theme="2" tint="-0.24994659260841701"/>
      </left>
      <right style="thin">
        <color theme="2" tint="-0.24994659260841701"/>
      </right>
      <top/>
      <bottom style="thin">
        <color theme="2" tint="-0.24994659260841701"/>
      </bottom>
      <diagonal/>
    </border>
    <border>
      <left/>
      <right/>
      <top/>
      <bottom style="thin">
        <color theme="2" tint="-0.24994659260841701"/>
      </bottom>
      <diagonal/>
    </border>
    <border>
      <left style="thin">
        <color theme="2" tint="-0.24994659260841701"/>
      </left>
      <right/>
      <top style="thin">
        <color theme="2" tint="-0.24994659260841701"/>
      </top>
      <bottom style="thin">
        <color theme="2" tint="-0.24994659260841701"/>
      </bottom>
      <diagonal/>
    </border>
    <border>
      <left/>
      <right/>
      <top style="thin">
        <color theme="2" tint="-0.24994659260841701"/>
      </top>
      <bottom style="thin">
        <color theme="2" tint="-0.24994659260841701"/>
      </bottom>
      <diagonal/>
    </border>
    <border>
      <left style="thin">
        <color theme="2" tint="-0.24994659260841701"/>
      </left>
      <right/>
      <top/>
      <bottom style="thin">
        <color theme="2" tint="-0.24994659260841701"/>
      </bottom>
      <diagonal/>
    </border>
    <border>
      <left/>
      <right style="thin">
        <color theme="2" tint="-0.24994659260841701"/>
      </right>
      <top/>
      <bottom style="thin">
        <color theme="2" tint="-0.24994659260841701"/>
      </bottom>
      <diagonal/>
    </border>
    <border>
      <left/>
      <right/>
      <top style="thin">
        <color theme="2" tint="-0.24994659260841701"/>
      </top>
      <bottom/>
      <diagonal/>
    </border>
    <border>
      <left style="thin">
        <color theme="2" tint="-0.24994659260841701"/>
      </left>
      <right/>
      <top style="thin">
        <color theme="2" tint="-0.24994659260841701"/>
      </top>
      <bottom/>
      <diagonal/>
    </border>
    <border>
      <left style="thin">
        <color theme="2" tint="-0.24994659260841701"/>
      </left>
      <right/>
      <top style="thin">
        <color theme="2" tint="-0.24994659260841701"/>
      </top>
      <bottom style="thin">
        <color auto="1"/>
      </bottom>
      <diagonal/>
    </border>
    <border>
      <left/>
      <right style="thin">
        <color theme="2" tint="-0.24994659260841701"/>
      </right>
      <top style="thin">
        <color theme="2" tint="-0.24994659260841701"/>
      </top>
      <bottom style="thin">
        <color auto="1"/>
      </bottom>
      <diagonal/>
    </border>
    <border>
      <left/>
      <right/>
      <top style="thin">
        <color theme="2" tint="-0.24994659260841701"/>
      </top>
      <bottom style="thin">
        <color auto="1"/>
      </bottom>
      <diagonal/>
    </border>
    <border>
      <left style="thin">
        <color theme="2" tint="-0.24994659260841701"/>
      </left>
      <right style="thin">
        <color theme="2" tint="-0.24994659260841701"/>
      </right>
      <top style="thin">
        <color theme="2" tint="-0.24994659260841701"/>
      </top>
      <bottom style="thin">
        <color auto="1"/>
      </bottom>
      <diagonal/>
    </border>
    <border>
      <left style="thin">
        <color theme="2" tint="-0.24994659260841701"/>
      </left>
      <right style="thin">
        <color auto="1"/>
      </right>
      <top style="thin">
        <color theme="2" tint="-0.24994659260841701"/>
      </top>
      <bottom style="thin">
        <color auto="1"/>
      </bottom>
      <diagonal/>
    </border>
    <border>
      <left style="thin">
        <color theme="2" tint="-0.2499465926084170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theme="2" tint="-0.24994659260841701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04">
    <xf numFmtId="0" fontId="0" fillId="0" borderId="0" xfId="0"/>
    <xf numFmtId="0" fontId="0" fillId="0" borderId="1" xfId="0" applyBorder="1" applyAlignment="1">
      <alignment vertical="center"/>
    </xf>
    <xf numFmtId="0" fontId="0" fillId="0" borderId="2" xfId="0" applyBorder="1"/>
    <xf numFmtId="2" fontId="0" fillId="0" borderId="2" xfId="0" applyNumberFormat="1" applyBorder="1"/>
    <xf numFmtId="0" fontId="3" fillId="0" borderId="0" xfId="0" applyFont="1"/>
    <xf numFmtId="0" fontId="3" fillId="0" borderId="0" xfId="0" applyFont="1" applyAlignment="1">
      <alignment horizontal="left"/>
    </xf>
    <xf numFmtId="0" fontId="5" fillId="0" borderId="0" xfId="0" applyFont="1" applyAlignment="1">
      <alignment horizontal="center" vertical="center"/>
    </xf>
    <xf numFmtId="0" fontId="6" fillId="0" borderId="0" xfId="0" applyFont="1"/>
    <xf numFmtId="0" fontId="7" fillId="0" borderId="0" xfId="0" applyFont="1"/>
    <xf numFmtId="0" fontId="3" fillId="0" borderId="0" xfId="0" applyFont="1" applyAlignment="1">
      <alignment horizontal="center"/>
    </xf>
    <xf numFmtId="0" fontId="7" fillId="0" borderId="7" xfId="0" applyFont="1" applyBorder="1"/>
    <xf numFmtId="0" fontId="3" fillId="0" borderId="8" xfId="0" applyFont="1" applyBorder="1"/>
    <xf numFmtId="0" fontId="9" fillId="0" borderId="8" xfId="0" applyFont="1" applyBorder="1"/>
    <xf numFmtId="0" fontId="9" fillId="0" borderId="0" xfId="0" applyFont="1" applyAlignment="1">
      <alignment horizontal="right"/>
    </xf>
    <xf numFmtId="0" fontId="3" fillId="0" borderId="9" xfId="0" applyFont="1" applyBorder="1"/>
    <xf numFmtId="0" fontId="7" fillId="0" borderId="10" xfId="0" applyFont="1" applyBorder="1"/>
    <xf numFmtId="0" fontId="9" fillId="0" borderId="0" xfId="0" applyFont="1"/>
    <xf numFmtId="0" fontId="3" fillId="0" borderId="11" xfId="0" applyFont="1" applyBorder="1"/>
    <xf numFmtId="0" fontId="3" fillId="0" borderId="0" xfId="0" applyFont="1" applyAlignment="1">
      <alignment horizontal="right"/>
    </xf>
    <xf numFmtId="0" fontId="7" fillId="0" borderId="12" xfId="0" applyFont="1" applyBorder="1"/>
    <xf numFmtId="0" fontId="3" fillId="0" borderId="6" xfId="0" applyFont="1" applyBorder="1"/>
    <xf numFmtId="0" fontId="9" fillId="0" borderId="6" xfId="0" applyFont="1" applyBorder="1"/>
    <xf numFmtId="9" fontId="3" fillId="0" borderId="8" xfId="1" applyFont="1" applyBorder="1"/>
    <xf numFmtId="0" fontId="3" fillId="0" borderId="13" xfId="0" applyFont="1" applyBorder="1"/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3" fillId="0" borderId="15" xfId="0" applyFont="1" applyBorder="1"/>
    <xf numFmtId="0" fontId="3" fillId="0" borderId="16" xfId="0" applyFont="1" applyBorder="1"/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/>
    <xf numFmtId="0" fontId="3" fillId="0" borderId="21" xfId="0" applyFont="1" applyBorder="1"/>
    <xf numFmtId="2" fontId="3" fillId="0" borderId="17" xfId="0" applyNumberFormat="1" applyFont="1" applyBorder="1"/>
    <xf numFmtId="2" fontId="3" fillId="0" borderId="22" xfId="0" applyNumberFormat="1" applyFont="1" applyBorder="1"/>
    <xf numFmtId="2" fontId="3" fillId="0" borderId="21" xfId="0" applyNumberFormat="1" applyFont="1" applyBorder="1"/>
    <xf numFmtId="0" fontId="5" fillId="0" borderId="20" xfId="0" applyFont="1" applyBorder="1" applyAlignment="1">
      <alignment horizontal="left"/>
    </xf>
    <xf numFmtId="0" fontId="3" fillId="0" borderId="23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5" fillId="0" borderId="25" xfId="0" applyFont="1" applyBorder="1"/>
    <xf numFmtId="0" fontId="5" fillId="0" borderId="26" xfId="0" applyFont="1" applyBorder="1"/>
    <xf numFmtId="2" fontId="5" fillId="0" borderId="26" xfId="0" applyNumberFormat="1" applyFont="1" applyBorder="1"/>
    <xf numFmtId="2" fontId="5" fillId="0" borderId="22" xfId="0" applyNumberFormat="1" applyFont="1" applyBorder="1"/>
    <xf numFmtId="0" fontId="3" fillId="0" borderId="18" xfId="0" applyFont="1" applyBorder="1" applyAlignment="1">
      <alignment horizontal="center" vertical="center"/>
    </xf>
    <xf numFmtId="2" fontId="3" fillId="0" borderId="19" xfId="0" applyNumberFormat="1" applyFont="1" applyBorder="1"/>
    <xf numFmtId="0" fontId="3" fillId="0" borderId="17" xfId="0" applyFont="1" applyBorder="1"/>
    <xf numFmtId="0" fontId="5" fillId="0" borderId="27" xfId="0" applyFont="1" applyBorder="1"/>
    <xf numFmtId="0" fontId="5" fillId="0" borderId="28" xfId="0" applyFont="1" applyBorder="1"/>
    <xf numFmtId="0" fontId="5" fillId="0" borderId="24" xfId="0" applyFont="1" applyBorder="1"/>
    <xf numFmtId="0" fontId="5" fillId="0" borderId="23" xfId="0" applyFont="1" applyBorder="1" applyAlignment="1">
      <alignment horizontal="center" vertical="center"/>
    </xf>
    <xf numFmtId="0" fontId="5" fillId="0" borderId="23" xfId="0" applyFont="1" applyBorder="1"/>
    <xf numFmtId="2" fontId="5" fillId="0" borderId="28" xfId="0" applyNumberFormat="1" applyFont="1" applyBorder="1"/>
    <xf numFmtId="0" fontId="2" fillId="0" borderId="0" xfId="0" applyFont="1"/>
    <xf numFmtId="0" fontId="5" fillId="0" borderId="20" xfId="0" applyFont="1" applyBorder="1"/>
    <xf numFmtId="0" fontId="5" fillId="0" borderId="0" xfId="0" applyFont="1" applyAlignment="1">
      <alignment vertical="center"/>
    </xf>
    <xf numFmtId="0" fontId="5" fillId="0" borderId="17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0" borderId="29" xfId="0" applyFont="1" applyBorder="1"/>
    <xf numFmtId="2" fontId="5" fillId="0" borderId="19" xfId="0" applyNumberFormat="1" applyFont="1" applyBorder="1"/>
    <xf numFmtId="0" fontId="5" fillId="0" borderId="0" xfId="0" applyFont="1" applyAlignment="1">
      <alignment horizontal="left" vertical="center"/>
    </xf>
    <xf numFmtId="164" fontId="3" fillId="0" borderId="17" xfId="0" applyNumberFormat="1" applyFont="1" applyBorder="1" applyAlignment="1">
      <alignment horizontal="center" vertical="center"/>
    </xf>
    <xf numFmtId="1" fontId="3" fillId="0" borderId="17" xfId="0" applyNumberFormat="1" applyFont="1" applyBorder="1" applyAlignment="1">
      <alignment horizontal="center" vertical="center"/>
    </xf>
    <xf numFmtId="0" fontId="3" fillId="0" borderId="20" xfId="0" applyFont="1" applyBorder="1" applyAlignment="1">
      <alignment horizontal="left"/>
    </xf>
    <xf numFmtId="0" fontId="3" fillId="0" borderId="21" xfId="0" applyFont="1" applyBorder="1" applyAlignment="1">
      <alignment horizontal="left"/>
    </xf>
    <xf numFmtId="0" fontId="5" fillId="0" borderId="0" xfId="0" applyFont="1"/>
    <xf numFmtId="0" fontId="5" fillId="0" borderId="21" xfId="0" applyFont="1" applyBorder="1"/>
    <xf numFmtId="2" fontId="5" fillId="0" borderId="21" xfId="0" applyNumberFormat="1" applyFont="1" applyBorder="1"/>
    <xf numFmtId="0" fontId="5" fillId="0" borderId="0" xfId="0" applyFont="1" applyAlignment="1">
      <alignment horizontal="left"/>
    </xf>
    <xf numFmtId="0" fontId="5" fillId="0" borderId="31" xfId="0" applyFont="1" applyBorder="1"/>
    <xf numFmtId="0" fontId="5" fillId="0" borderId="32" xfId="0" applyFont="1" applyBorder="1"/>
    <xf numFmtId="0" fontId="5" fillId="0" borderId="33" xfId="0" applyFont="1" applyBorder="1"/>
    <xf numFmtId="0" fontId="5" fillId="0" borderId="34" xfId="0" applyFont="1" applyBorder="1"/>
    <xf numFmtId="2" fontId="5" fillId="0" borderId="32" xfId="0" applyNumberFormat="1" applyFont="1" applyBorder="1"/>
    <xf numFmtId="2" fontId="5" fillId="0" borderId="35" xfId="0" applyNumberFormat="1" applyFont="1" applyBorder="1"/>
    <xf numFmtId="2" fontId="5" fillId="0" borderId="0" xfId="0" applyNumberFormat="1" applyFont="1"/>
    <xf numFmtId="0" fontId="5" fillId="0" borderId="3" xfId="0" applyFont="1" applyBorder="1"/>
    <xf numFmtId="0" fontId="5" fillId="0" borderId="4" xfId="0" applyFont="1" applyBorder="1"/>
    <xf numFmtId="2" fontId="5" fillId="0" borderId="4" xfId="0" applyNumberFormat="1" applyFont="1" applyBorder="1"/>
    <xf numFmtId="2" fontId="3" fillId="0" borderId="36" xfId="0" applyNumberFormat="1" applyFont="1" applyBorder="1"/>
    <xf numFmtId="0" fontId="3" fillId="0" borderId="12" xfId="0" applyFont="1" applyBorder="1"/>
    <xf numFmtId="2" fontId="3" fillId="0" borderId="37" xfId="0" applyNumberFormat="1" applyFont="1" applyBorder="1"/>
    <xf numFmtId="0" fontId="3" fillId="0" borderId="4" xfId="0" applyFont="1" applyBorder="1"/>
    <xf numFmtId="0" fontId="3" fillId="0" borderId="5" xfId="0" applyFont="1" applyBorder="1"/>
    <xf numFmtId="2" fontId="3" fillId="0" borderId="0" xfId="0" applyNumberFormat="1" applyFont="1"/>
    <xf numFmtId="0" fontId="0" fillId="0" borderId="0" xfId="0" applyAlignment="1">
      <alignment horizontal="left"/>
    </xf>
    <xf numFmtId="0" fontId="3" fillId="0" borderId="0" xfId="0" applyFont="1" applyAlignment="1">
      <alignment horizontal="center"/>
    </xf>
    <xf numFmtId="0" fontId="10" fillId="0" borderId="0" xfId="0" applyFont="1"/>
    <xf numFmtId="0" fontId="0" fillId="0" borderId="0" xfId="0" applyAlignment="1">
      <alignment horizont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5" fillId="0" borderId="14" xfId="0" applyFont="1" applyBorder="1" applyAlignment="1">
      <alignment horizontal="left" vertical="center"/>
    </xf>
    <xf numFmtId="0" fontId="5" fillId="0" borderId="15" xfId="0" applyFont="1" applyBorder="1" applyAlignment="1">
      <alignment horizontal="left" vertical="center"/>
    </xf>
    <xf numFmtId="0" fontId="3" fillId="0" borderId="20" xfId="0" applyFont="1" applyBorder="1" applyAlignment="1">
      <alignment horizontal="left"/>
    </xf>
    <xf numFmtId="0" fontId="3" fillId="0" borderId="21" xfId="0" applyFont="1" applyBorder="1" applyAlignment="1">
      <alignment horizontal="left"/>
    </xf>
    <xf numFmtId="0" fontId="8" fillId="0" borderId="6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5" fillId="0" borderId="29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20" xfId="0" applyFont="1" applyBorder="1" applyAlignment="1">
      <alignment horizontal="left"/>
    </xf>
    <xf numFmtId="0" fontId="5" fillId="0" borderId="21" xfId="0" applyFont="1" applyBorder="1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182880</xdr:colOff>
      <xdr:row>0</xdr:row>
      <xdr:rowOff>106680</xdr:rowOff>
    </xdr:from>
    <xdr:to>
      <xdr:col>13</xdr:col>
      <xdr:colOff>685800</xdr:colOff>
      <xdr:row>1</xdr:row>
      <xdr:rowOff>53340</xdr:rowOff>
    </xdr:to>
    <xdr:sp macro="" textlink="">
      <xdr:nvSpPr>
        <xdr:cNvPr id="2049" name="CommandButton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00000000-0008-0000-0000-00000108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12</xdr:col>
      <xdr:colOff>0</xdr:colOff>
      <xdr:row>1</xdr:row>
      <xdr:rowOff>175260</xdr:rowOff>
    </xdr:from>
    <xdr:to>
      <xdr:col>12</xdr:col>
      <xdr:colOff>571500</xdr:colOff>
      <xdr:row>2</xdr:row>
      <xdr:rowOff>45720</xdr:rowOff>
    </xdr:to>
    <xdr:sp macro="" textlink="">
      <xdr:nvSpPr>
        <xdr:cNvPr id="2050" name="ScrollBar1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00000000-0008-0000-0000-00000208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11</xdr:col>
      <xdr:colOff>182880</xdr:colOff>
      <xdr:row>0</xdr:row>
      <xdr:rowOff>106680</xdr:rowOff>
    </xdr:from>
    <xdr:to>
      <xdr:col>13</xdr:col>
      <xdr:colOff>685800</xdr:colOff>
      <xdr:row>1</xdr:row>
      <xdr:rowOff>53340</xdr:rowOff>
    </xdr:to>
    <xdr:pic>
      <xdr:nvPicPr>
        <xdr:cNvPr id="2" name="CommandButton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346680" y="106680"/>
          <a:ext cx="1889760" cy="33528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1</xdr:row>
      <xdr:rowOff>175260</xdr:rowOff>
    </xdr:from>
    <xdr:to>
      <xdr:col>12</xdr:col>
      <xdr:colOff>571500</xdr:colOff>
      <xdr:row>2</xdr:row>
      <xdr:rowOff>45720</xdr:rowOff>
    </xdr:to>
    <xdr:pic>
      <xdr:nvPicPr>
        <xdr:cNvPr id="3" name="ScrollBar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58160" y="563880"/>
          <a:ext cx="571500" cy="25908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628650</xdr:colOff>
          <xdr:row>0</xdr:row>
          <xdr:rowOff>228600</xdr:rowOff>
        </xdr:from>
        <xdr:to>
          <xdr:col>53</xdr:col>
          <xdr:colOff>695325</xdr:colOff>
          <xdr:row>2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485775</xdr:colOff>
          <xdr:row>1</xdr:row>
          <xdr:rowOff>9525</xdr:rowOff>
        </xdr:from>
        <xdr:to>
          <xdr:col>14</xdr:col>
          <xdr:colOff>561975</xdr:colOff>
          <xdr:row>3</xdr:row>
          <xdr:rowOff>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4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4</xdr:col>
      <xdr:colOff>752475</xdr:colOff>
      <xdr:row>0</xdr:row>
      <xdr:rowOff>0</xdr:rowOff>
    </xdr:from>
    <xdr:to>
      <xdr:col>5</xdr:col>
      <xdr:colOff>495300</xdr:colOff>
      <xdr:row>0</xdr:row>
      <xdr:rowOff>238125</xdr:rowOff>
    </xdr:to>
    <xdr:sp macro="[0]!MettreAjour" textlink="">
      <xdr:nvSpPr>
        <xdr:cNvPr id="3" name="ZoneTexte 2"/>
        <xdr:cNvSpPr txBox="1"/>
      </xdr:nvSpPr>
      <xdr:spPr>
        <a:xfrm>
          <a:off x="5934075" y="0"/>
          <a:ext cx="1038225" cy="23812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Mettre à jour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bout:blank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LE RECAP"/>
      <sheetName val="DONNEES COMMERCIALES "/>
      <sheetName val="DONNEES GENERALES (2)"/>
      <sheetName val="numero dessin"/>
      <sheetName val="% PERTE STD"/>
      <sheetName val="DONNEES GENERALES"/>
      <sheetName val="MATIERES"/>
      <sheetName val="FABRICATION"/>
      <sheetName val="Balance Darquer 102021"/>
      <sheetName val="COUTS DIV PRI 2021"/>
      <sheetName val="recap COUTS"/>
      <sheetName val="Balance Noyon Leavers 102021"/>
      <sheetName val="Balance Noyon Jacquard 102021"/>
      <sheetName val="ENNOBLISSEMENT"/>
      <sheetName val="TEINTURE"/>
      <sheetName val="Transport Fuss"/>
      <sheetName val="Balance N03241 Clipping "/>
      <sheetName val="CLIPPING EXTERNE "/>
      <sheetName val="FINITION"/>
      <sheetName val="ECAILLAGE"/>
      <sheetName val="Balance Finition Noyon "/>
      <sheetName val="EMBALLAGE"/>
      <sheetName val="Marge de la société "/>
      <sheetName val="balance siège Noyon"/>
    </sheetNames>
    <sheetDataSet>
      <sheetData sheetId="0" refreshError="1">
        <row r="4">
          <cell r="A4">
            <v>100713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>
        <row r="14">
          <cell r="B14">
            <v>18.296926678003352</v>
          </cell>
        </row>
      </sheetData>
      <sheetData sheetId="10" refreshError="1">
        <row r="31">
          <cell r="E31">
            <v>1.3899344433319725</v>
          </cell>
        </row>
        <row r="32">
          <cell r="E32">
            <v>27.59035703916847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L63"/>
  <sheetViews>
    <sheetView showGridLines="0" zoomScale="130" zoomScaleNormal="130" workbookViewId="0">
      <selection activeCell="A9" sqref="A9"/>
    </sheetView>
  </sheetViews>
  <sheetFormatPr baseColWidth="10" defaultRowHeight="15" outlineLevelRow="1" x14ac:dyDescent="0.25"/>
  <cols>
    <col min="1" max="1" width="34.7109375" customWidth="1"/>
    <col min="2" max="2" width="25.7109375" customWidth="1"/>
    <col min="3" max="3" width="35.42578125" customWidth="1"/>
    <col min="4" max="4" width="11.5703125" customWidth="1"/>
    <col min="5" max="5" width="19.42578125" customWidth="1"/>
    <col min="6" max="6" width="26.28515625" customWidth="1"/>
    <col min="7" max="7" width="22" customWidth="1"/>
    <col min="8" max="9" width="11.7109375" customWidth="1"/>
    <col min="10" max="10" width="12.7109375" customWidth="1"/>
    <col min="11" max="11" width="15.42578125" customWidth="1"/>
    <col min="12" max="12" width="8.7109375" style="82" customWidth="1"/>
  </cols>
  <sheetData>
    <row r="1" spans="1:12" ht="30.75" customHeight="1" x14ac:dyDescent="0.3">
      <c r="A1" s="84">
        <f>A4</f>
        <v>10</v>
      </c>
      <c r="B1" s="4"/>
      <c r="C1" s="86" t="s">
        <v>147</v>
      </c>
      <c r="D1" s="87"/>
      <c r="E1" s="87"/>
      <c r="F1" s="87"/>
      <c r="G1" s="87"/>
      <c r="H1" s="88"/>
      <c r="I1" s="4"/>
      <c r="J1" s="4"/>
      <c r="K1" s="4"/>
      <c r="L1" s="5"/>
    </row>
    <row r="2" spans="1:12" ht="30.75" customHeight="1" x14ac:dyDescent="0.3">
      <c r="A2" s="4"/>
      <c r="B2" s="4"/>
      <c r="C2" s="6"/>
      <c r="D2" s="6"/>
      <c r="E2" s="6"/>
      <c r="F2" s="6"/>
      <c r="G2" s="6"/>
      <c r="H2" s="4"/>
      <c r="I2" s="4"/>
      <c r="J2" s="4"/>
      <c r="K2" s="4"/>
      <c r="L2" s="5"/>
    </row>
    <row r="3" spans="1:12" ht="18.75" x14ac:dyDescent="0.3">
      <c r="A3" s="7" t="s">
        <v>148</v>
      </c>
      <c r="B3" s="4"/>
      <c r="C3" s="7" t="s">
        <v>149</v>
      </c>
      <c r="D3" s="4"/>
      <c r="E3" s="4"/>
      <c r="F3" s="4"/>
      <c r="G3" s="4"/>
      <c r="H3" s="4"/>
      <c r="I3" s="4"/>
      <c r="J3" s="4"/>
      <c r="K3" s="4"/>
      <c r="L3" s="5"/>
    </row>
    <row r="4" spans="1:12" ht="18.75" x14ac:dyDescent="0.3">
      <c r="A4" s="4">
        <v>10</v>
      </c>
      <c r="B4" s="4"/>
      <c r="C4" s="4">
        <f>VLOOKUP($A$4,'DONNEES GENERALES (2)'!A5:B90,2,FALSE)</f>
        <v>109</v>
      </c>
      <c r="D4" s="4"/>
      <c r="E4" s="6"/>
      <c r="F4" s="6"/>
      <c r="G4" s="6"/>
      <c r="H4" s="4"/>
      <c r="I4" s="4"/>
      <c r="J4" s="4"/>
      <c r="K4" s="4"/>
      <c r="L4" s="5"/>
    </row>
    <row r="5" spans="1:12" ht="18.75" x14ac:dyDescent="0.3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5"/>
    </row>
    <row r="6" spans="1:12" ht="18.75" x14ac:dyDescent="0.3">
      <c r="A6" s="8" t="s">
        <v>150</v>
      </c>
      <c r="B6" s="83" t="str">
        <f>VLOOKUP($A$4,'DONNEES GENERALES (2)'!A5:C90,3,FALSE)</f>
        <v>abc</v>
      </c>
      <c r="C6" s="83"/>
      <c r="D6" s="4"/>
      <c r="E6" s="8" t="s">
        <v>151</v>
      </c>
      <c r="F6" s="9">
        <f>VLOOKUP($A$4,'DONNEES GENERALES (2)'!A5:J84,10,FALSE)</f>
        <v>120</v>
      </c>
      <c r="G6" s="8" t="s">
        <v>152</v>
      </c>
      <c r="H6" s="4">
        <f>VLOOKUP($A$4,'DONNEES GENERALES (2)'!A5:P90,16,FALSE)</f>
        <v>456</v>
      </c>
      <c r="I6" s="4"/>
      <c r="J6" s="4"/>
      <c r="K6" s="4"/>
      <c r="L6" s="5"/>
    </row>
    <row r="7" spans="1:12" ht="18.75" x14ac:dyDescent="0.3">
      <c r="A7" s="8" t="s">
        <v>153</v>
      </c>
      <c r="B7" s="83" t="str">
        <f>VLOOKUP($A$4,'DONNEES GENERALES (2)'!A5:D90,4,FALSE)</f>
        <v>LINGERIE</v>
      </c>
      <c r="C7" s="83"/>
      <c r="D7" s="4"/>
      <c r="E7" s="8" t="s">
        <v>154</v>
      </c>
      <c r="F7" s="9">
        <f>VLOOKUP($A$4,'DONNEES GENERALES (2)'!A5:K90,11,FALSE)</f>
        <v>12</v>
      </c>
      <c r="G7" s="8" t="s">
        <v>155</v>
      </c>
      <c r="H7" s="4">
        <f>VLOOKUP($A$4,'DONNEES GENERALES (2)'!A5:T90,20,FALSE)</f>
        <v>26</v>
      </c>
      <c r="I7" s="4"/>
      <c r="J7" s="4"/>
      <c r="K7" s="4"/>
      <c r="L7" s="5"/>
    </row>
    <row r="8" spans="1:12" ht="15" customHeight="1" x14ac:dyDescent="0.3">
      <c r="A8" s="8" t="s">
        <v>156</v>
      </c>
      <c r="B8" s="83" t="str">
        <f>VLOOKUP($A$4,'DONNEES GENERALES (2)'!A5:E90,5,FALSE)</f>
        <v>BANDE</v>
      </c>
      <c r="C8" s="83"/>
      <c r="D8" s="4"/>
      <c r="E8" s="8" t="s">
        <v>157</v>
      </c>
      <c r="F8" s="9">
        <f>VLOOKUP($A$4,'DONNEES GENERALES (2)'!A5:L90,12,FALSE)</f>
        <v>550</v>
      </c>
      <c r="G8" s="8" t="s">
        <v>158</v>
      </c>
      <c r="H8" s="4">
        <f>VLOOKUP($A$4,'DONNEES GENERALES (2)'!A5:Q90,17,FALSE)</f>
        <v>50</v>
      </c>
      <c r="I8" s="4"/>
      <c r="J8" s="4"/>
      <c r="K8" s="4"/>
      <c r="L8" s="5"/>
    </row>
    <row r="9" spans="1:12" ht="18.75" customHeight="1" x14ac:dyDescent="0.3">
      <c r="A9" s="8" t="s">
        <v>159</v>
      </c>
      <c r="B9" s="83" t="str">
        <f>VLOOKUP($A$4,'DONNEES GENERALES (2)'!A5:F90,6,FALSE)</f>
        <v>LV</v>
      </c>
      <c r="C9" s="83"/>
      <c r="D9" s="4"/>
      <c r="E9" s="8" t="s">
        <v>160</v>
      </c>
      <c r="F9" s="9">
        <f>VLOOKUP($A$4,'DONNEES GENERALES (2)'!A5:M90,13,FALSE)</f>
        <v>0</v>
      </c>
      <c r="G9" s="4"/>
      <c r="H9" s="4"/>
      <c r="I9" s="4"/>
      <c r="J9" s="4"/>
      <c r="K9" s="4"/>
      <c r="L9" s="5"/>
    </row>
    <row r="10" spans="1:12" ht="18.75" customHeight="1" x14ac:dyDescent="0.3">
      <c r="A10" s="8" t="s">
        <v>161</v>
      </c>
      <c r="B10" s="83" t="str">
        <f>VLOOKUP($A$4,'DONNEES GENERALES (2)'!A5:G90,7,FALSE)</f>
        <v>FABRICATION INTERNE</v>
      </c>
      <c r="C10" s="83"/>
      <c r="D10" s="4"/>
      <c r="E10" s="4"/>
      <c r="F10" s="4"/>
      <c r="G10" s="4"/>
      <c r="H10" s="4"/>
      <c r="I10" s="4"/>
      <c r="J10" s="4"/>
      <c r="K10" s="4"/>
      <c r="L10" s="5"/>
    </row>
    <row r="11" spans="1:12" ht="18.75" customHeight="1" x14ac:dyDescent="0.3">
      <c r="A11" s="8" t="s">
        <v>162</v>
      </c>
      <c r="B11" s="83"/>
      <c r="C11" s="83"/>
      <c r="D11" s="4"/>
      <c r="E11" s="8" t="s">
        <v>163</v>
      </c>
      <c r="F11" s="83" t="str">
        <f>VLOOKUP($A$4,'DONNEES GENERALES (2)'!A5:R90,18,FALSE)</f>
        <v>POLYAMIDE 76% ELASTHANE 24%</v>
      </c>
      <c r="G11" s="83"/>
      <c r="H11" s="4"/>
      <c r="I11" s="4"/>
      <c r="J11" s="4"/>
      <c r="K11" s="4"/>
      <c r="L11" s="5"/>
    </row>
    <row r="12" spans="1:12" ht="18.75" x14ac:dyDescent="0.3">
      <c r="A12" s="8" t="s">
        <v>164</v>
      </c>
      <c r="B12" s="83">
        <f>VLOOKUP($A$4,'DONNEES GENERALES (2)'!A5:H90,8,FALSE)</f>
        <v>200</v>
      </c>
      <c r="C12" s="83"/>
      <c r="D12" s="4"/>
      <c r="E12" s="6"/>
      <c r="F12" s="6"/>
      <c r="G12" s="6"/>
      <c r="H12" s="4"/>
      <c r="I12" s="4"/>
      <c r="J12" s="4"/>
      <c r="K12" s="4"/>
      <c r="L12" s="5"/>
    </row>
    <row r="13" spans="1:12" ht="18.75" x14ac:dyDescent="0.3">
      <c r="A13" s="8" t="s">
        <v>165</v>
      </c>
      <c r="B13" s="83" t="str">
        <f>VLOOKUP($A$4,'DONNEES GENERALES (2)'!A5:I84,9,FALSE)</f>
        <v>SANS MARTEAUX</v>
      </c>
      <c r="C13" s="83"/>
      <c r="D13" s="4"/>
      <c r="E13" s="4"/>
      <c r="F13" s="4"/>
      <c r="G13" s="4"/>
      <c r="H13" s="4"/>
      <c r="I13" s="4"/>
      <c r="J13" s="4"/>
      <c r="K13" s="4"/>
      <c r="L13" s="5"/>
    </row>
    <row r="14" spans="1:12" ht="18.75" x14ac:dyDescent="0.3">
      <c r="A14" s="8"/>
      <c r="B14" s="9"/>
      <c r="C14" s="9"/>
      <c r="D14" s="4"/>
      <c r="E14" s="4"/>
      <c r="F14" s="4"/>
      <c r="G14" s="4"/>
      <c r="H14" s="4"/>
      <c r="I14" s="4"/>
      <c r="J14" s="4"/>
      <c r="K14" s="4"/>
      <c r="L14" s="5"/>
    </row>
    <row r="15" spans="1:12" ht="27" customHeight="1" x14ac:dyDescent="0.3">
      <c r="A15" s="93" t="s">
        <v>166</v>
      </c>
      <c r="B15" s="93"/>
      <c r="C15" s="93"/>
      <c r="D15" s="93"/>
      <c r="E15" s="93"/>
      <c r="F15" s="93"/>
      <c r="G15" s="93"/>
      <c r="H15" s="93"/>
      <c r="I15" s="4"/>
      <c r="J15" s="4"/>
      <c r="K15" s="4"/>
      <c r="L15" s="5"/>
    </row>
    <row r="16" spans="1:12" ht="18.75" x14ac:dyDescent="0.3">
      <c r="A16" s="10" t="s">
        <v>167</v>
      </c>
      <c r="B16" s="11">
        <f>VLOOKUP($A$4,'DONNEES GENERALES (2)'!A5:N90,14,FALSE)</f>
        <v>0</v>
      </c>
      <c r="C16" s="12"/>
      <c r="D16" s="13" t="s">
        <v>168</v>
      </c>
      <c r="E16" s="11">
        <f>VLOOKUP($A$4,'DONNEES GENERALES (2)'!$A$5:$X$90,24,FALSE)</f>
        <v>105</v>
      </c>
      <c r="F16" s="11"/>
      <c r="G16" s="11"/>
      <c r="H16" s="14"/>
      <c r="I16" s="4"/>
      <c r="J16" s="5"/>
      <c r="L16"/>
    </row>
    <row r="17" spans="1:12" ht="18.75" x14ac:dyDescent="0.3">
      <c r="A17" s="15" t="s">
        <v>169</v>
      </c>
      <c r="B17" s="4">
        <f>VLOOKUP($A$4,'DONNEES GENERALES (2)'!$A$5:$S$90,19,FALSE)</f>
        <v>50</v>
      </c>
      <c r="C17" s="16"/>
      <c r="D17" s="13" t="s">
        <v>170</v>
      </c>
      <c r="E17" s="4">
        <f>VLOOKUP($A$4,'DONNEES GENERALES (2)'!$A$5:$Y$90,25,FALSE)</f>
        <v>230</v>
      </c>
      <c r="F17" s="4"/>
      <c r="G17" s="4"/>
      <c r="H17" s="17"/>
      <c r="I17" s="4"/>
      <c r="J17" s="5"/>
      <c r="L17"/>
    </row>
    <row r="18" spans="1:12" ht="18.75" x14ac:dyDescent="0.3">
      <c r="A18" s="15" t="s">
        <v>171</v>
      </c>
      <c r="B18" s="4">
        <f>VLOOKUP($A$4,'DONNEES GENERALES (2)'!$A$5:$M$90,13,FALSE)</f>
        <v>0</v>
      </c>
      <c r="C18" s="16"/>
      <c r="D18" s="13" t="s">
        <v>172</v>
      </c>
      <c r="E18" s="4"/>
      <c r="F18" s="4"/>
      <c r="G18" s="4"/>
      <c r="H18" s="17"/>
      <c r="I18" s="4"/>
      <c r="J18" s="5"/>
      <c r="L18"/>
    </row>
    <row r="19" spans="1:12" ht="18.75" x14ac:dyDescent="0.3">
      <c r="A19" s="15" t="s">
        <v>173</v>
      </c>
      <c r="B19" s="4"/>
      <c r="C19" s="13"/>
      <c r="D19" s="13" t="s">
        <v>174</v>
      </c>
      <c r="E19" s="18" t="s">
        <v>57</v>
      </c>
      <c r="F19" s="13" t="s">
        <v>30</v>
      </c>
      <c r="G19" s="18" t="str">
        <f>VLOOKUP($A$4,'DONNEES GENERALES (2)'!$A$5:$AD$90,30,FALSE)</f>
        <v>N</v>
      </c>
      <c r="H19" s="17"/>
      <c r="I19" s="4"/>
      <c r="J19" s="5"/>
      <c r="L19"/>
    </row>
    <row r="20" spans="1:12" ht="18.75" x14ac:dyDescent="0.3">
      <c r="A20" s="15" t="s">
        <v>175</v>
      </c>
      <c r="B20" s="4">
        <f>VLOOKUP($A$4,'DONNEES GENERALES (2)'!$A$5:$U$90,21,FALSE)</f>
        <v>0</v>
      </c>
      <c r="C20" s="13"/>
      <c r="D20" s="13" t="s">
        <v>176</v>
      </c>
      <c r="E20" s="18" t="str">
        <f>VLOOKUP($A$4,'DONNEES GENERALES (2)'!$A$5:$AB$90,28,FALSE)</f>
        <v>N</v>
      </c>
      <c r="F20" s="13" t="s">
        <v>177</v>
      </c>
      <c r="G20" s="18" t="str">
        <f>VLOOKUP($A$4,'DONNEES GENERALES (2)'!$A$5:$AE$90,31,FALSE)</f>
        <v>N</v>
      </c>
      <c r="H20" s="17"/>
      <c r="I20" s="4"/>
      <c r="J20" s="5"/>
      <c r="L20"/>
    </row>
    <row r="21" spans="1:12" ht="18.75" x14ac:dyDescent="0.3">
      <c r="A21" s="15" t="s">
        <v>178</v>
      </c>
      <c r="B21" s="4">
        <f>VLOOKUP($A$4,'DONNEES GENERALES (2)'!$A$5:$V$90,22,FALSE)</f>
        <v>0</v>
      </c>
      <c r="C21" s="13"/>
      <c r="D21" s="13" t="s">
        <v>179</v>
      </c>
      <c r="E21" s="18" t="str">
        <f>VLOOKUP($A$4,'DONNEES GENERALES (2)'!$A$5:$AC$90,29,FALSE)</f>
        <v>N</v>
      </c>
      <c r="F21" s="13" t="s">
        <v>32</v>
      </c>
      <c r="G21" s="18" t="str">
        <f>VLOOKUP($A$4,'DONNEES GENERALES (2)'!$A$5:$AF$90,32,FALSE)</f>
        <v>O</v>
      </c>
      <c r="H21" s="17"/>
      <c r="I21" s="4"/>
      <c r="J21" s="5"/>
      <c r="L21"/>
    </row>
    <row r="22" spans="1:12" ht="18.75" x14ac:dyDescent="0.3">
      <c r="A22" s="19" t="s">
        <v>180</v>
      </c>
      <c r="B22" s="20">
        <f>VLOOKUP($A$4,'DONNEES GENERALES (2)'!$A$5:$W$90,23,FALSE)</f>
        <v>0</v>
      </c>
      <c r="C22" s="21"/>
      <c r="D22" s="13" t="s">
        <v>181</v>
      </c>
      <c r="E22" s="20">
        <f>VLOOKUP($A$4,'DONNEES GENERALES (2)'!$A$5:$AG$90,33,FALSE)</f>
        <v>0</v>
      </c>
      <c r="F22" s="20"/>
      <c r="G22" s="20"/>
      <c r="H22" s="17"/>
      <c r="I22" s="4"/>
      <c r="J22" s="5"/>
      <c r="L22"/>
    </row>
    <row r="23" spans="1:12" ht="18.75" x14ac:dyDescent="0.3">
      <c r="A23" s="10" t="s">
        <v>182</v>
      </c>
      <c r="B23" s="11">
        <f>VLOOKUP($A$4,'DONNEES GENERALES (2)'!$A$5:$AH$90,34,FALSE)</f>
        <v>50</v>
      </c>
      <c r="C23" s="11"/>
      <c r="D23" s="12" t="s">
        <v>183</v>
      </c>
      <c r="E23" s="11"/>
      <c r="F23" s="22"/>
      <c r="G23" s="4"/>
      <c r="H23" s="14"/>
      <c r="I23" s="4"/>
      <c r="J23" s="5"/>
      <c r="L23"/>
    </row>
    <row r="24" spans="1:12" ht="18.75" x14ac:dyDescent="0.3">
      <c r="A24" s="15" t="s">
        <v>184</v>
      </c>
      <c r="B24" s="4">
        <f>VLOOKUP($A$4,'DONNEES GENERALES (2)'!$A$5:$AI$90,35,FALSE)</f>
        <v>19.89</v>
      </c>
      <c r="C24" s="4"/>
      <c r="D24" s="16" t="s">
        <v>185</v>
      </c>
      <c r="E24" s="4"/>
      <c r="F24" s="4">
        <f>VLOOKUP($A$4,'DONNEES GENERALES (2)'!$A$5:$AO$90,41,FALSE)</f>
        <v>39.78</v>
      </c>
      <c r="G24" s="4"/>
      <c r="H24" s="17"/>
      <c r="I24" s="4"/>
      <c r="J24" s="5"/>
      <c r="L24"/>
    </row>
    <row r="25" spans="1:12" ht="18.75" x14ac:dyDescent="0.3">
      <c r="A25" s="15" t="s">
        <v>186</v>
      </c>
      <c r="B25" s="4">
        <f>VLOOKUP($A$4,'DONNEES GENERALES (2)'!$A$5:$AJ$90,36,FALSE)</f>
        <v>20</v>
      </c>
      <c r="C25" s="4"/>
      <c r="D25" s="16" t="s">
        <v>187</v>
      </c>
      <c r="E25" s="4"/>
      <c r="F25" s="4"/>
      <c r="G25" s="4"/>
      <c r="H25" s="17"/>
      <c r="I25" s="4"/>
      <c r="J25" s="5"/>
      <c r="L25"/>
    </row>
    <row r="26" spans="1:12" ht="18.75" x14ac:dyDescent="0.3">
      <c r="A26" s="15" t="s">
        <v>178</v>
      </c>
      <c r="B26" s="4">
        <f>VLOOKUP($A$4,'DONNEES GENERALES (2)'!$A$5:$AK$90,37,FALSE)</f>
        <v>8.5</v>
      </c>
      <c r="C26" s="4"/>
      <c r="D26" s="16" t="s">
        <v>188</v>
      </c>
      <c r="E26" s="4"/>
      <c r="F26" s="4">
        <f>VLOOKUP($A$4,'DONNEES GENERALES (2)'!$A$5:$AQ$90,43,FALSE)</f>
        <v>796</v>
      </c>
      <c r="G26" s="4"/>
      <c r="H26" s="17"/>
      <c r="I26" s="4"/>
      <c r="J26" s="5"/>
      <c r="L26"/>
    </row>
    <row r="27" spans="1:12" ht="18.75" x14ac:dyDescent="0.3">
      <c r="A27" s="15" t="s">
        <v>175</v>
      </c>
      <c r="B27" s="4">
        <f>VLOOKUP($A$4,'DONNEES GENERALES (2)'!$A$5:$AL$90,38,FALSE)</f>
        <v>8.5</v>
      </c>
      <c r="C27" s="4"/>
      <c r="D27" s="16" t="s">
        <v>189</v>
      </c>
      <c r="E27" s="4"/>
      <c r="F27" s="4">
        <f>VLOOKUP($A$4,'DONNEES GENERALES (2)'!$A$5:$AR$90,44,FALSE)</f>
        <v>398</v>
      </c>
      <c r="G27" s="4"/>
      <c r="H27" s="17"/>
      <c r="I27" s="4"/>
      <c r="J27" s="5"/>
      <c r="L27"/>
    </row>
    <row r="28" spans="1:12" ht="18.75" x14ac:dyDescent="0.3">
      <c r="A28" s="15" t="s">
        <v>180</v>
      </c>
      <c r="B28" s="4">
        <f>VLOOKUP($A$4,'DONNEES GENERALES (2)'!$A$5:$AM$90,39,FALSE)</f>
        <v>8.5</v>
      </c>
      <c r="C28" s="4"/>
      <c r="D28" s="16" t="s">
        <v>190</v>
      </c>
      <c r="E28" s="4"/>
      <c r="F28" s="4">
        <f>VLOOKUP($A$4,'DONNEES GENERALES (2)'!$A$5:$AS$90,45,FALSE)</f>
        <v>46.8</v>
      </c>
      <c r="G28" s="4"/>
      <c r="H28" s="17"/>
      <c r="I28" s="4"/>
      <c r="J28" s="5"/>
      <c r="L28"/>
    </row>
    <row r="29" spans="1:12" ht="18.75" x14ac:dyDescent="0.3">
      <c r="A29" s="19" t="s">
        <v>191</v>
      </c>
      <c r="B29" s="20">
        <f>VLOOKUP($A$4,'DONNEES GENERALES (2)'!$A$5:$AN$90,40,FALSE)</f>
        <v>8.5</v>
      </c>
      <c r="C29" s="20"/>
      <c r="D29" s="20"/>
      <c r="E29" s="20"/>
      <c r="F29" s="20"/>
      <c r="G29" s="20"/>
      <c r="H29" s="23"/>
      <c r="I29" s="4"/>
      <c r="J29" s="5"/>
      <c r="L29"/>
    </row>
    <row r="30" spans="1:12" ht="34.5" customHeight="1" x14ac:dyDescent="0.3">
      <c r="A30" s="8"/>
      <c r="B30" s="9"/>
      <c r="C30" s="9"/>
      <c r="D30" s="4"/>
      <c r="E30" s="4"/>
      <c r="F30" s="4"/>
      <c r="G30" s="4"/>
      <c r="H30" s="4"/>
      <c r="I30" s="4"/>
      <c r="J30" s="4"/>
      <c r="K30" s="4"/>
      <c r="L30" s="5"/>
    </row>
    <row r="31" spans="1:12" ht="36.75" customHeight="1" x14ac:dyDescent="0.3">
      <c r="A31" s="94" t="s">
        <v>192</v>
      </c>
      <c r="B31" s="95"/>
      <c r="C31" s="95"/>
      <c r="D31" s="95"/>
      <c r="E31" s="96"/>
      <c r="F31" s="24" t="s">
        <v>193</v>
      </c>
      <c r="G31" s="24" t="s">
        <v>194</v>
      </c>
      <c r="H31" s="25" t="s">
        <v>195</v>
      </c>
      <c r="I31" s="25" t="s">
        <v>196</v>
      </c>
      <c r="J31" s="24" t="s">
        <v>197</v>
      </c>
      <c r="K31" s="24" t="s">
        <v>50</v>
      </c>
      <c r="L31" s="5"/>
    </row>
    <row r="32" spans="1:12" ht="42" customHeight="1" x14ac:dyDescent="0.3">
      <c r="A32" s="89" t="s">
        <v>198</v>
      </c>
      <c r="B32" s="90"/>
      <c r="C32" s="90"/>
      <c r="D32" s="90"/>
      <c r="E32" s="90"/>
      <c r="F32" s="26"/>
      <c r="G32" s="26"/>
      <c r="H32" s="26"/>
      <c r="I32" s="26"/>
      <c r="J32" s="26"/>
      <c r="K32" s="27"/>
      <c r="L32" s="5"/>
    </row>
    <row r="33" spans="1:12" ht="18.75" x14ac:dyDescent="0.3">
      <c r="A33" s="28"/>
      <c r="B33" s="28"/>
      <c r="C33" s="34" t="s">
        <v>199</v>
      </c>
      <c r="D33" s="4"/>
      <c r="E33" s="4"/>
      <c r="F33" s="35"/>
      <c r="G33" s="36"/>
      <c r="H33" s="37"/>
      <c r="I33" s="38"/>
      <c r="J33" s="39">
        <v>500</v>
      </c>
      <c r="K33" s="40">
        <f>J33*100/$J$55</f>
        <v>17.997329196347263</v>
      </c>
      <c r="L33" s="5"/>
    </row>
    <row r="34" spans="1:12" ht="42" customHeight="1" x14ac:dyDescent="0.3">
      <c r="A34" s="89" t="s">
        <v>200</v>
      </c>
      <c r="B34" s="90"/>
      <c r="C34" s="90"/>
      <c r="D34" s="90"/>
      <c r="E34" s="90"/>
      <c r="F34" s="26"/>
      <c r="G34" s="26"/>
      <c r="H34" s="26"/>
      <c r="I34" s="26"/>
      <c r="J34" s="26"/>
      <c r="K34" s="27"/>
      <c r="L34" s="5"/>
    </row>
    <row r="35" spans="1:12" ht="18.75" x14ac:dyDescent="0.3">
      <c r="A35" s="91" t="s">
        <v>201</v>
      </c>
      <c r="B35" s="92"/>
      <c r="C35" s="4"/>
      <c r="D35" s="4"/>
      <c r="E35" s="4"/>
      <c r="F35" s="28">
        <v>50</v>
      </c>
      <c r="G35" s="41" t="s">
        <v>202</v>
      </c>
      <c r="H35" s="29"/>
      <c r="I35" s="42">
        <f>IF(B9="LV",COUT!C2,0)+IF(B9="JQ",COUT!C3,0)</f>
        <v>1.5</v>
      </c>
      <c r="J35" s="42">
        <f>F35*I35</f>
        <v>75</v>
      </c>
      <c r="K35" s="32">
        <f>J35*100/$J$55</f>
        <v>2.6995993794520894</v>
      </c>
      <c r="L35" s="5"/>
    </row>
    <row r="36" spans="1:12" ht="18.75" x14ac:dyDescent="0.3">
      <c r="A36" s="91" t="s">
        <v>203</v>
      </c>
      <c r="B36" s="92"/>
      <c r="C36" s="4"/>
      <c r="D36" s="4"/>
      <c r="E36" s="4"/>
      <c r="F36" s="28">
        <v>50</v>
      </c>
      <c r="G36" s="28" t="s">
        <v>202</v>
      </c>
      <c r="H36" s="43"/>
      <c r="I36" s="33">
        <f>IF(B9="LV",COUT!B2,0)+IF(B9="JQ",COUT!B3,0)</f>
        <v>1</v>
      </c>
      <c r="J36" s="31">
        <f>F36*I36</f>
        <v>50</v>
      </c>
      <c r="K36" s="32">
        <f>J36*100/$J$55</f>
        <v>1.7997329196347263</v>
      </c>
      <c r="L36" s="5"/>
    </row>
    <row r="37" spans="1:12" ht="18.75" x14ac:dyDescent="0.3">
      <c r="A37" s="91" t="s">
        <v>204</v>
      </c>
      <c r="B37" s="92"/>
      <c r="C37" s="4"/>
      <c r="D37" s="4"/>
      <c r="E37" s="4"/>
      <c r="F37" s="28">
        <v>50</v>
      </c>
      <c r="G37" s="28" t="s">
        <v>202</v>
      </c>
      <c r="H37" s="43"/>
      <c r="I37" s="33">
        <f>IF(B9="LV",COUT!D2,0)+IF(B9="JQ",COUT!D3,0)</f>
        <v>0.5</v>
      </c>
      <c r="J37" s="31">
        <f>F37*I37</f>
        <v>25</v>
      </c>
      <c r="K37" s="32">
        <f>J37*100/$J$55</f>
        <v>0.89986645981736313</v>
      </c>
      <c r="L37" s="5"/>
    </row>
    <row r="38" spans="1:12" s="50" customFormat="1" ht="18.75" x14ac:dyDescent="0.3">
      <c r="A38" s="44"/>
      <c r="B38" s="45"/>
      <c r="C38" s="44" t="s">
        <v>205</v>
      </c>
      <c r="D38" s="46"/>
      <c r="E38" s="46"/>
      <c r="F38" s="47"/>
      <c r="G38" s="47"/>
      <c r="H38" s="48"/>
      <c r="I38" s="45"/>
      <c r="J38" s="49">
        <f>+SUM(J35:J37)</f>
        <v>150</v>
      </c>
      <c r="K38" s="40">
        <f>J38*100/$J$55</f>
        <v>5.3991987589041788</v>
      </c>
      <c r="L38" s="5"/>
    </row>
    <row r="39" spans="1:12" s="50" customFormat="1" ht="25.5" customHeight="1" outlineLevel="1" x14ac:dyDescent="0.3">
      <c r="A39" s="51"/>
      <c r="B39" s="97" t="s">
        <v>206</v>
      </c>
      <c r="C39" s="97"/>
      <c r="D39" s="52"/>
      <c r="E39" s="52" t="s">
        <v>207</v>
      </c>
      <c r="F39" s="53"/>
      <c r="G39" s="54"/>
      <c r="H39" s="55"/>
      <c r="I39" s="55"/>
      <c r="J39" s="56">
        <f>(J38+J33)/F26</f>
        <v>0.81658291457286436</v>
      </c>
      <c r="K39" s="40"/>
      <c r="L39" s="5"/>
    </row>
    <row r="40" spans="1:12" s="50" customFormat="1" ht="25.5" customHeight="1" outlineLevel="1" x14ac:dyDescent="0.3">
      <c r="A40" s="51"/>
      <c r="B40" s="98" t="s">
        <v>208</v>
      </c>
      <c r="C40" s="98"/>
      <c r="D40" s="52"/>
      <c r="E40" s="52" t="s">
        <v>207</v>
      </c>
      <c r="F40" s="53"/>
      <c r="G40" s="54"/>
      <c r="H40" s="55"/>
      <c r="I40" s="55"/>
      <c r="J40" s="56">
        <f>J39+('[1]COUTS DIV PRI 2021'!B14/F26)</f>
        <v>0.83956900336432583</v>
      </c>
      <c r="K40" s="40"/>
      <c r="L40" s="5"/>
    </row>
    <row r="41" spans="1:12" s="50" customFormat="1" ht="25.5" customHeight="1" outlineLevel="1" x14ac:dyDescent="0.3">
      <c r="A41" s="51"/>
      <c r="B41" s="57" t="s">
        <v>208</v>
      </c>
      <c r="C41" s="57"/>
      <c r="D41" s="52"/>
      <c r="E41" s="52" t="s">
        <v>209</v>
      </c>
      <c r="F41" s="53"/>
      <c r="G41" s="54"/>
      <c r="H41" s="55"/>
      <c r="I41" s="55"/>
      <c r="J41" s="56">
        <f>J40*F26</f>
        <v>668.29692667800339</v>
      </c>
      <c r="K41" s="40"/>
      <c r="L41" s="5"/>
    </row>
    <row r="42" spans="1:12" ht="42" customHeight="1" x14ac:dyDescent="0.3">
      <c r="A42" s="89" t="s">
        <v>210</v>
      </c>
      <c r="B42" s="90"/>
      <c r="C42" s="90"/>
      <c r="D42" s="90"/>
      <c r="E42" s="90"/>
      <c r="F42" s="26"/>
      <c r="G42" s="26"/>
      <c r="H42" s="26"/>
      <c r="I42" s="26"/>
      <c r="J42" s="26"/>
      <c r="K42" s="27"/>
      <c r="L42" s="5"/>
    </row>
    <row r="43" spans="1:12" ht="18.75" x14ac:dyDescent="0.3">
      <c r="A43" s="91" t="s">
        <v>211</v>
      </c>
      <c r="B43" s="92"/>
      <c r="C43" s="4"/>
      <c r="D43" s="4"/>
      <c r="E43" s="4"/>
      <c r="F43" s="58">
        <f>B29</f>
        <v>8.5</v>
      </c>
      <c r="G43" s="41" t="s">
        <v>212</v>
      </c>
      <c r="H43" s="29"/>
      <c r="I43" s="33">
        <f>IF(B9="LV",COUT!E2,0)+IF('FEUILLE RECAP'!B9="JQ",COUT!E3,0)</f>
        <v>10</v>
      </c>
      <c r="J43" s="33">
        <f>F43*I43</f>
        <v>85</v>
      </c>
      <c r="K43" s="32">
        <f>J43*100/$J$55</f>
        <v>3.0595459633790343</v>
      </c>
      <c r="L43" s="5"/>
    </row>
    <row r="44" spans="1:12" ht="18.75" x14ac:dyDescent="0.3">
      <c r="A44" s="91" t="s">
        <v>213</v>
      </c>
      <c r="B44" s="92"/>
      <c r="C44" s="4"/>
      <c r="D44" s="4"/>
      <c r="E44" s="4"/>
      <c r="F44" s="28">
        <f>+B29</f>
        <v>8.5</v>
      </c>
      <c r="G44" s="28" t="s">
        <v>212</v>
      </c>
      <c r="H44" s="43"/>
      <c r="I44" s="33">
        <f>IF(B9="LV",COUT!G2,0)+IF('FEUILLE RECAP'!B9="JQ",COUT!G3,0)</f>
        <v>40</v>
      </c>
      <c r="J44" s="33">
        <f>F44*I44</f>
        <v>340</v>
      </c>
      <c r="K44" s="32">
        <f>J44*100/$J$55</f>
        <v>12.238183853516137</v>
      </c>
      <c r="L44" s="5"/>
    </row>
    <row r="45" spans="1:12" ht="18.75" x14ac:dyDescent="0.3">
      <c r="A45" s="91" t="s">
        <v>214</v>
      </c>
      <c r="B45" s="92"/>
      <c r="C45" s="4" t="s">
        <v>215</v>
      </c>
      <c r="D45" s="4"/>
      <c r="E45" s="4"/>
      <c r="F45" s="59">
        <f>B24+(B24*F23)+IF(B8="VOLANT",(((50*1920)/H6)*D17))</f>
        <v>19.89</v>
      </c>
      <c r="G45" s="28" t="s">
        <v>216</v>
      </c>
      <c r="H45" s="43"/>
      <c r="I45" s="33">
        <f>IF(E19="O",COUT!F3,0)</f>
        <v>15</v>
      </c>
      <c r="J45" s="33">
        <f>+F45*I45</f>
        <v>298.35000000000002</v>
      </c>
      <c r="K45" s="32">
        <f>J45*100/$J$55</f>
        <v>10.739006331460413</v>
      </c>
      <c r="L45" s="5"/>
    </row>
    <row r="46" spans="1:12" ht="18.75" x14ac:dyDescent="0.3">
      <c r="A46" s="60" t="s">
        <v>217</v>
      </c>
      <c r="B46" s="61"/>
      <c r="C46" s="4"/>
      <c r="D46" s="4"/>
      <c r="E46" s="4"/>
      <c r="F46" s="58"/>
      <c r="G46" s="28"/>
      <c r="H46" s="43"/>
      <c r="I46" s="33"/>
      <c r="J46" s="33"/>
      <c r="K46" s="32"/>
      <c r="L46" s="5"/>
    </row>
    <row r="47" spans="1:12" s="50" customFormat="1" ht="18.75" x14ac:dyDescent="0.3">
      <c r="A47" s="99"/>
      <c r="B47" s="100"/>
      <c r="C47" s="62" t="s">
        <v>218</v>
      </c>
      <c r="D47" s="62"/>
      <c r="E47" s="62"/>
      <c r="F47" s="53"/>
      <c r="G47" s="47"/>
      <c r="H47" s="48"/>
      <c r="I47" s="63"/>
      <c r="J47" s="64">
        <f>+SUM(J43:J46)</f>
        <v>723.35</v>
      </c>
      <c r="K47" s="40">
        <f>J47*100/$J$55</f>
        <v>26.036736148355583</v>
      </c>
      <c r="L47" s="65"/>
    </row>
    <row r="48" spans="1:12" ht="42" customHeight="1" x14ac:dyDescent="0.3">
      <c r="A48" s="89" t="s">
        <v>219</v>
      </c>
      <c r="B48" s="90"/>
      <c r="C48" s="90"/>
      <c r="D48" s="90"/>
      <c r="E48" s="90"/>
      <c r="F48" s="26"/>
      <c r="G48" s="26"/>
      <c r="H48" s="26"/>
      <c r="I48" s="26"/>
      <c r="J48" s="26"/>
      <c r="K48" s="27"/>
      <c r="L48" s="5"/>
    </row>
    <row r="49" spans="1:12" ht="18.75" x14ac:dyDescent="0.3">
      <c r="A49" s="60" t="s">
        <v>30</v>
      </c>
      <c r="B49" s="61"/>
      <c r="C49" s="4"/>
      <c r="D49" s="4"/>
      <c r="E49" s="4"/>
      <c r="F49" s="59">
        <f>B24+(B24*F23)+IF(B8="VOLANT",(((50*1920)/H6)*D17))</f>
        <v>19.89</v>
      </c>
      <c r="G49" s="28" t="s">
        <v>216</v>
      </c>
      <c r="H49" s="43"/>
      <c r="I49" s="33">
        <f>IF(G19="O",COUT!H2,0)</f>
        <v>0</v>
      </c>
      <c r="J49" s="33">
        <f>I49*F49</f>
        <v>0</v>
      </c>
      <c r="K49" s="32">
        <f>J49*100/$J$55</f>
        <v>0</v>
      </c>
      <c r="L49" s="5"/>
    </row>
    <row r="50" spans="1:12" ht="18.75" x14ac:dyDescent="0.3">
      <c r="A50" s="60" t="s">
        <v>32</v>
      </c>
      <c r="B50" s="61"/>
      <c r="C50" s="4"/>
      <c r="D50" s="4"/>
      <c r="E50" s="4"/>
      <c r="F50" s="59">
        <f>B24+(B24*F23)+IF(B8="VOLANT",(((50*1920)/H6)*D16))</f>
        <v>19.89</v>
      </c>
      <c r="G50" s="28" t="s">
        <v>216</v>
      </c>
      <c r="H50" s="43"/>
      <c r="I50" s="33">
        <f>IF(G21="O",COUT!I2,"")</f>
        <v>10</v>
      </c>
      <c r="J50" s="33">
        <f>I50*F50</f>
        <v>198.9</v>
      </c>
      <c r="K50" s="32">
        <f>J50*100/$J$55</f>
        <v>7.1593375543069406</v>
      </c>
      <c r="L50" s="5"/>
    </row>
    <row r="51" spans="1:12" ht="18.75" x14ac:dyDescent="0.3">
      <c r="A51" s="91" t="s">
        <v>220</v>
      </c>
      <c r="B51" s="92"/>
      <c r="C51" s="4"/>
      <c r="D51" s="4"/>
      <c r="E51" s="4"/>
      <c r="F51" s="59">
        <f>F27+(F27*F23)</f>
        <v>398</v>
      </c>
      <c r="G51" s="28" t="s">
        <v>216</v>
      </c>
      <c r="H51" s="43"/>
      <c r="I51" s="33">
        <f>+IF(B9="LV",COUT!J2,0)+IF(B9="JQ",COUT!J3,0)</f>
        <v>3</v>
      </c>
      <c r="J51" s="33">
        <f>F51*I51</f>
        <v>1194</v>
      </c>
      <c r="K51" s="32">
        <f>J51*100/$J$55</f>
        <v>42.977622120877264</v>
      </c>
      <c r="L51" s="5"/>
    </row>
    <row r="52" spans="1:12" ht="18.75" x14ac:dyDescent="0.3">
      <c r="A52" s="91" t="s">
        <v>221</v>
      </c>
      <c r="B52" s="92"/>
      <c r="C52" s="4"/>
      <c r="D52" s="4"/>
      <c r="E52" s="4"/>
      <c r="F52" s="28">
        <f>+IF(B8="LAIZE",B25,F27/50)</f>
        <v>7.96</v>
      </c>
      <c r="G52" s="28" t="s">
        <v>194</v>
      </c>
      <c r="H52" s="43"/>
      <c r="I52" s="30">
        <v>1.5</v>
      </c>
      <c r="J52" s="30">
        <f>F52*I52</f>
        <v>11.94</v>
      </c>
      <c r="K52" s="32">
        <f>J52*100/$J$55</f>
        <v>0.42977622120877262</v>
      </c>
      <c r="L52" s="5"/>
    </row>
    <row r="53" spans="1:12" s="50" customFormat="1" ht="18.75" x14ac:dyDescent="0.3">
      <c r="A53" s="66"/>
      <c r="B53" s="67"/>
      <c r="C53" s="68" t="s">
        <v>222</v>
      </c>
      <c r="D53" s="68"/>
      <c r="E53" s="68"/>
      <c r="F53" s="69"/>
      <c r="G53" s="69"/>
      <c r="H53" s="69"/>
      <c r="I53" s="67"/>
      <c r="J53" s="70">
        <f>+SUM(J49:J52)</f>
        <v>1404.8400000000001</v>
      </c>
      <c r="K53" s="71">
        <f>J53*100/$J$55</f>
        <v>50.566735896392977</v>
      </c>
      <c r="L53" s="65"/>
    </row>
    <row r="54" spans="1:12" s="50" customFormat="1" ht="18.75" x14ac:dyDescent="0.3">
      <c r="A54" s="62"/>
      <c r="B54" s="62"/>
      <c r="C54" s="62"/>
      <c r="D54" s="62"/>
      <c r="E54" s="62"/>
      <c r="F54" s="62"/>
      <c r="G54" s="62"/>
      <c r="H54" s="62"/>
      <c r="I54" s="62"/>
      <c r="J54" s="72"/>
      <c r="K54" s="72"/>
      <c r="L54" s="65"/>
    </row>
    <row r="55" spans="1:12" s="50" customFormat="1" ht="18.75" x14ac:dyDescent="0.3">
      <c r="A55" s="73"/>
      <c r="B55" s="74"/>
      <c r="C55" s="74" t="s">
        <v>223</v>
      </c>
      <c r="D55" s="74"/>
      <c r="E55" s="74"/>
      <c r="F55" s="74"/>
      <c r="G55" s="74"/>
      <c r="H55" s="74"/>
      <c r="I55" s="74"/>
      <c r="J55" s="75">
        <f>IF(AND(B6="NOYON",B9="LEAVERS"),J41+J47+J53,J33+J38+J47+J53)</f>
        <v>2778.19</v>
      </c>
      <c r="K55" s="76"/>
      <c r="L55" s="65"/>
    </row>
    <row r="56" spans="1:12" ht="18.75" x14ac:dyDescent="0.3">
      <c r="A56" s="77"/>
      <c r="B56" s="20"/>
      <c r="C56" s="20" t="s">
        <v>206</v>
      </c>
      <c r="D56" s="20"/>
      <c r="E56" s="20"/>
      <c r="F56" s="20"/>
      <c r="G56" s="20"/>
      <c r="H56" s="20"/>
      <c r="I56" s="20"/>
      <c r="J56" s="78">
        <f>+J55/F27</f>
        <v>6.9803768844221104</v>
      </c>
      <c r="K56" s="23"/>
      <c r="L56" s="5"/>
    </row>
    <row r="57" spans="1:12" ht="18.75" x14ac:dyDescent="0.3">
      <c r="A57" s="79"/>
      <c r="B57" s="79"/>
      <c r="C57" s="74" t="s">
        <v>224</v>
      </c>
      <c r="D57" s="79"/>
      <c r="E57" s="79"/>
      <c r="F57" s="79"/>
      <c r="G57" s="79"/>
      <c r="H57" s="79"/>
      <c r="I57" s="79"/>
      <c r="J57" s="78">
        <f>J56+IF(B8="LEAVERS",('[1]recap COUTS'!E32/F27),('[1]recap COUTS'!E31/F27))</f>
        <v>6.983869182018422</v>
      </c>
      <c r="K57" s="80"/>
      <c r="L57" s="5"/>
    </row>
    <row r="58" spans="1:12" ht="18.75" x14ac:dyDescent="0.3">
      <c r="A58" s="4"/>
      <c r="B58" s="4"/>
      <c r="C58" s="62"/>
      <c r="D58" s="4"/>
      <c r="E58" s="4"/>
      <c r="F58" s="4"/>
      <c r="G58" s="4"/>
      <c r="H58" s="4"/>
      <c r="I58" s="4"/>
      <c r="J58" s="81" t="s">
        <v>225</v>
      </c>
      <c r="K58" s="4"/>
      <c r="L58" s="5"/>
    </row>
    <row r="59" spans="1:12" ht="18.75" x14ac:dyDescent="0.3">
      <c r="A59" s="4"/>
      <c r="B59" s="4"/>
      <c r="C59" s="4" t="s">
        <v>226</v>
      </c>
      <c r="D59" s="4"/>
      <c r="E59" s="81">
        <f>(J33+J38+J43+J45)/B27</f>
        <v>121.57058823529411</v>
      </c>
      <c r="F59" s="4"/>
      <c r="G59" s="4"/>
      <c r="H59" s="4"/>
      <c r="I59" s="4"/>
      <c r="J59" s="4"/>
      <c r="K59" s="4"/>
      <c r="L59" s="5"/>
    </row>
    <row r="60" spans="1:12" ht="18.75" x14ac:dyDescent="0.3">
      <c r="A60" s="4"/>
      <c r="B60" s="4"/>
      <c r="C60" s="4" t="s">
        <v>227</v>
      </c>
      <c r="D60" s="4"/>
      <c r="E60" s="81">
        <f>(J33+J38)/B27</f>
        <v>76.470588235294116</v>
      </c>
      <c r="F60" s="4"/>
      <c r="G60" s="4"/>
      <c r="H60" s="4"/>
      <c r="I60" s="4"/>
      <c r="J60" s="4"/>
      <c r="K60" s="4"/>
      <c r="L60" s="5"/>
    </row>
    <row r="61" spans="1:12" ht="18.75" x14ac:dyDescent="0.3">
      <c r="A61" s="4"/>
      <c r="B61" s="4"/>
      <c r="C61" s="4" t="s">
        <v>228</v>
      </c>
      <c r="D61" s="4"/>
      <c r="E61" s="81">
        <f>(J33+J38+J47)/B28</f>
        <v>161.57058823529411</v>
      </c>
      <c r="F61" s="4"/>
      <c r="G61" s="4"/>
      <c r="H61" s="4"/>
      <c r="I61" s="4"/>
      <c r="J61" s="4"/>
      <c r="K61" s="4"/>
      <c r="L61" s="5"/>
    </row>
    <row r="62" spans="1:12" ht="18.75" x14ac:dyDescent="0.3">
      <c r="A62" s="4"/>
      <c r="B62" s="4"/>
      <c r="C62" s="4" t="s">
        <v>229</v>
      </c>
      <c r="D62" s="4"/>
      <c r="E62" s="81">
        <f>(J33+J38+J47-J43)/B28</f>
        <v>151.57058823529411</v>
      </c>
      <c r="F62" s="4"/>
      <c r="G62" s="4" t="s">
        <v>225</v>
      </c>
      <c r="H62" s="4"/>
      <c r="I62" s="4"/>
      <c r="J62" s="4"/>
      <c r="K62" s="4"/>
      <c r="L62" s="5"/>
    </row>
    <row r="63" spans="1:12" ht="18.75" x14ac:dyDescent="0.3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5"/>
    </row>
  </sheetData>
  <mergeCells count="18">
    <mergeCell ref="A52:B52"/>
    <mergeCell ref="A36:B36"/>
    <mergeCell ref="A37:B37"/>
    <mergeCell ref="B39:C39"/>
    <mergeCell ref="B40:C40"/>
    <mergeCell ref="A42:E42"/>
    <mergeCell ref="A43:B43"/>
    <mergeCell ref="A44:B44"/>
    <mergeCell ref="A45:B45"/>
    <mergeCell ref="A47:B47"/>
    <mergeCell ref="A48:E48"/>
    <mergeCell ref="A51:B51"/>
    <mergeCell ref="C1:H1"/>
    <mergeCell ref="A32:E32"/>
    <mergeCell ref="A34:E34"/>
    <mergeCell ref="A35:B35"/>
    <mergeCell ref="A15:H15"/>
    <mergeCell ref="A31:E31"/>
  </mergeCells>
  <pageMargins left="0.25" right="0.25" top="0.75" bottom="0.75" header="0.3" footer="0.3"/>
  <pageSetup paperSize="9" scale="4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Feuil1!$A$2:$A$12</xm:f>
          </x14:formula1>
          <xm:sqref>A4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3"/>
  <sheetViews>
    <sheetView workbookViewId="0">
      <selection activeCell="B14" sqref="B14"/>
    </sheetView>
  </sheetViews>
  <sheetFormatPr baseColWidth="10" defaultRowHeight="15" x14ac:dyDescent="0.25"/>
  <cols>
    <col min="2" max="2" width="17.28515625" customWidth="1"/>
    <col min="5" max="5" width="18.140625" customWidth="1"/>
  </cols>
  <sheetData>
    <row r="1" spans="1:11" x14ac:dyDescent="0.25">
      <c r="B1" t="s">
        <v>232</v>
      </c>
      <c r="C1" t="s">
        <v>233</v>
      </c>
      <c r="D1" t="s">
        <v>234</v>
      </c>
      <c r="E1" t="s">
        <v>235</v>
      </c>
      <c r="F1" t="s">
        <v>236</v>
      </c>
      <c r="G1" t="s">
        <v>237</v>
      </c>
      <c r="H1" t="s">
        <v>238</v>
      </c>
      <c r="I1" t="s">
        <v>240</v>
      </c>
      <c r="J1" t="s">
        <v>239</v>
      </c>
      <c r="K1" t="s">
        <v>241</v>
      </c>
    </row>
    <row r="2" spans="1:11" x14ac:dyDescent="0.25">
      <c r="A2" t="s">
        <v>145</v>
      </c>
      <c r="B2">
        <v>1</v>
      </c>
      <c r="C2">
        <v>1.5</v>
      </c>
      <c r="D2">
        <v>0.5</v>
      </c>
      <c r="E2">
        <v>10</v>
      </c>
      <c r="F2">
        <v>15</v>
      </c>
      <c r="G2">
        <v>40</v>
      </c>
      <c r="H2">
        <v>5</v>
      </c>
      <c r="I2">
        <v>10</v>
      </c>
      <c r="J2">
        <v>3</v>
      </c>
      <c r="K2">
        <v>1.5</v>
      </c>
    </row>
    <row r="3" spans="1:11" x14ac:dyDescent="0.25">
      <c r="A3" t="s">
        <v>231</v>
      </c>
      <c r="B3">
        <v>2</v>
      </c>
      <c r="C3">
        <v>2.5</v>
      </c>
      <c r="D3">
        <v>3.5</v>
      </c>
      <c r="E3">
        <v>5</v>
      </c>
      <c r="F3">
        <v>15</v>
      </c>
      <c r="G3">
        <v>30</v>
      </c>
      <c r="H3">
        <v>5</v>
      </c>
      <c r="I3">
        <v>10</v>
      </c>
      <c r="J3">
        <v>1</v>
      </c>
      <c r="K3">
        <v>1.5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4"/>
  <dimension ref="A1:BA90"/>
  <sheetViews>
    <sheetView topLeftCell="AK1" workbookViewId="0">
      <selection activeCell="AS5" sqref="AS5"/>
    </sheetView>
  </sheetViews>
  <sheetFormatPr baseColWidth="10" defaultRowHeight="15" x14ac:dyDescent="0.25"/>
  <cols>
    <col min="13" max="13" width="16.7109375" customWidth="1"/>
    <col min="16" max="16" width="18.7109375" customWidth="1"/>
    <col min="17" max="17" width="19.42578125" customWidth="1"/>
    <col min="19" max="19" width="15.7109375" customWidth="1"/>
    <col min="47" max="47" width="25" customWidth="1"/>
    <col min="49" max="49" width="32.7109375" customWidth="1"/>
    <col min="53" max="53" width="28.85546875" customWidth="1"/>
  </cols>
  <sheetData>
    <row r="1" spans="1:53" x14ac:dyDescent="0.25">
      <c r="A1" s="101" t="s">
        <v>0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  <c r="AC1" s="101"/>
      <c r="AD1" s="101"/>
      <c r="AE1" s="101"/>
      <c r="AF1" s="101"/>
      <c r="AG1" s="101"/>
      <c r="AH1" s="101"/>
      <c r="AI1" s="101"/>
      <c r="AJ1" s="101"/>
      <c r="AK1" s="101"/>
      <c r="AL1" s="101"/>
      <c r="AM1" s="101"/>
      <c r="AN1" s="101"/>
      <c r="AO1" s="101"/>
      <c r="AP1" s="101"/>
      <c r="AQ1" s="101"/>
      <c r="AR1" s="101"/>
      <c r="AS1" s="101"/>
      <c r="AT1" s="101"/>
      <c r="AU1" s="101"/>
      <c r="AV1" s="101"/>
      <c r="AW1" s="101"/>
      <c r="AX1" s="101"/>
    </row>
    <row r="2" spans="1:53" x14ac:dyDescent="0.25">
      <c r="AJ2" s="85">
        <f>COLUMN()</f>
        <v>36</v>
      </c>
      <c r="AK2" s="85">
        <f>COLUMN()</f>
        <v>37</v>
      </c>
      <c r="AL2" s="85">
        <f>COLUMN()</f>
        <v>38</v>
      </c>
      <c r="AM2" s="85">
        <f>COLUMN()</f>
        <v>39</v>
      </c>
      <c r="AN2" s="85">
        <f>COLUMN()</f>
        <v>40</v>
      </c>
      <c r="AO2" s="85">
        <f>COLUMN()</f>
        <v>41</v>
      </c>
      <c r="AP2" s="85">
        <f>COLUMN()</f>
        <v>42</v>
      </c>
      <c r="AQ2" s="85">
        <f>COLUMN()</f>
        <v>43</v>
      </c>
      <c r="AZ2">
        <f>'[1]FEUILLE RECAP'!A4</f>
        <v>100713</v>
      </c>
    </row>
    <row r="4" spans="1:53" x14ac:dyDescent="0.25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  <c r="F4" s="1" t="s">
        <v>6</v>
      </c>
      <c r="G4" s="1" t="s">
        <v>7</v>
      </c>
      <c r="H4" s="1" t="s">
        <v>8</v>
      </c>
      <c r="I4" s="1" t="s">
        <v>9</v>
      </c>
      <c r="J4" s="1" t="s">
        <v>10</v>
      </c>
      <c r="K4" s="1" t="s">
        <v>11</v>
      </c>
      <c r="L4" s="1" t="s">
        <v>12</v>
      </c>
      <c r="M4" s="1" t="s">
        <v>13</v>
      </c>
      <c r="N4" s="1" t="s">
        <v>14</v>
      </c>
      <c r="O4" s="1" t="s">
        <v>15</v>
      </c>
      <c r="P4" s="1" t="s">
        <v>16</v>
      </c>
      <c r="Q4" s="1" t="s">
        <v>17</v>
      </c>
      <c r="R4" s="1" t="s">
        <v>18</v>
      </c>
      <c r="S4" s="1" t="s">
        <v>19</v>
      </c>
      <c r="T4" s="1" t="s">
        <v>20</v>
      </c>
      <c r="U4" s="1" t="s">
        <v>21</v>
      </c>
      <c r="V4" s="1" t="s">
        <v>22</v>
      </c>
      <c r="W4" s="1" t="s">
        <v>23</v>
      </c>
      <c r="X4" s="1" t="s">
        <v>24</v>
      </c>
      <c r="Y4" s="1" t="s">
        <v>25</v>
      </c>
      <c r="Z4" s="1" t="s">
        <v>26</v>
      </c>
      <c r="AA4" s="1" t="s">
        <v>27</v>
      </c>
      <c r="AB4" s="1" t="s">
        <v>28</v>
      </c>
      <c r="AC4" s="1" t="s">
        <v>29</v>
      </c>
      <c r="AD4" s="1" t="s">
        <v>30</v>
      </c>
      <c r="AE4" s="1" t="s">
        <v>31</v>
      </c>
      <c r="AF4" s="1" t="s">
        <v>32</v>
      </c>
      <c r="AG4" s="1" t="s">
        <v>33</v>
      </c>
      <c r="AH4" s="1" t="s">
        <v>34</v>
      </c>
      <c r="AI4" s="1" t="s">
        <v>35</v>
      </c>
      <c r="AJ4" s="1" t="s">
        <v>36</v>
      </c>
      <c r="AK4" s="1" t="s">
        <v>37</v>
      </c>
      <c r="AL4" s="1" t="s">
        <v>38</v>
      </c>
      <c r="AM4" s="1" t="s">
        <v>39</v>
      </c>
      <c r="AN4" s="1" t="s">
        <v>40</v>
      </c>
      <c r="AO4" s="1" t="s">
        <v>41</v>
      </c>
      <c r="AP4" s="1" t="s">
        <v>42</v>
      </c>
      <c r="AQ4" s="1" t="s">
        <v>43</v>
      </c>
      <c r="AR4" s="1" t="s">
        <v>44</v>
      </c>
      <c r="AS4" s="1" t="s">
        <v>45</v>
      </c>
      <c r="AT4" s="1" t="s">
        <v>46</v>
      </c>
      <c r="AU4" s="1" t="s">
        <v>47</v>
      </c>
      <c r="AV4" s="1" t="s">
        <v>48</v>
      </c>
      <c r="AW4" s="1" t="s">
        <v>49</v>
      </c>
      <c r="AX4" s="1" t="s">
        <v>50</v>
      </c>
    </row>
    <row r="5" spans="1:53" x14ac:dyDescent="0.25">
      <c r="A5" s="2">
        <v>1</v>
      </c>
      <c r="B5" s="2">
        <v>100</v>
      </c>
      <c r="C5" s="2" t="s">
        <v>144</v>
      </c>
      <c r="D5" s="2" t="s">
        <v>51</v>
      </c>
      <c r="E5" s="2" t="s">
        <v>52</v>
      </c>
      <c r="F5" s="2" t="s">
        <v>145</v>
      </c>
      <c r="G5" s="2" t="s">
        <v>146</v>
      </c>
      <c r="H5" s="2">
        <v>200</v>
      </c>
      <c r="I5" s="2" t="s">
        <v>53</v>
      </c>
      <c r="J5" s="2">
        <v>48</v>
      </c>
      <c r="K5" s="3">
        <v>10</v>
      </c>
      <c r="L5" s="2">
        <v>550</v>
      </c>
      <c r="M5" s="2"/>
      <c r="N5" s="2" t="s">
        <v>54</v>
      </c>
      <c r="O5" s="2">
        <v>4230</v>
      </c>
      <c r="P5" s="2">
        <v>416</v>
      </c>
      <c r="Q5" s="2"/>
      <c r="R5" s="2" t="s">
        <v>55</v>
      </c>
      <c r="S5" s="2">
        <v>30</v>
      </c>
      <c r="T5" s="2">
        <v>25</v>
      </c>
      <c r="U5" s="2">
        <v>6.55</v>
      </c>
      <c r="V5" s="2">
        <v>6.55</v>
      </c>
      <c r="W5" s="2">
        <v>6.16</v>
      </c>
      <c r="X5" s="2">
        <v>99</v>
      </c>
      <c r="Y5" s="2">
        <v>95</v>
      </c>
      <c r="Z5" s="2"/>
      <c r="AA5" s="2"/>
      <c r="AB5" s="2" t="s">
        <v>56</v>
      </c>
      <c r="AC5" s="2" t="s">
        <v>56</v>
      </c>
      <c r="AD5" s="2" t="s">
        <v>57</v>
      </c>
      <c r="AE5" s="2" t="s">
        <v>56</v>
      </c>
      <c r="AF5" s="2" t="s">
        <v>57</v>
      </c>
      <c r="AG5" s="2">
        <v>21.88</v>
      </c>
      <c r="AH5" s="2">
        <v>50</v>
      </c>
      <c r="AI5" s="2">
        <v>21.02</v>
      </c>
      <c r="AJ5" s="2">
        <v>42</v>
      </c>
      <c r="AK5" s="2">
        <v>10.92</v>
      </c>
      <c r="AL5" s="2">
        <v>10.92</v>
      </c>
      <c r="AM5" s="2">
        <v>10.27</v>
      </c>
      <c r="AN5" s="2">
        <v>10.92</v>
      </c>
      <c r="AO5" s="2">
        <v>42.04</v>
      </c>
      <c r="AP5" s="2"/>
      <c r="AQ5" s="2">
        <v>1766</v>
      </c>
      <c r="AR5" s="2">
        <v>883</v>
      </c>
      <c r="AS5" s="2">
        <v>80.849999999999994</v>
      </c>
      <c r="AT5" s="2">
        <v>100713</v>
      </c>
      <c r="AU5" s="2" t="s">
        <v>58</v>
      </c>
      <c r="AV5" s="2" t="s">
        <v>59</v>
      </c>
      <c r="AW5" s="2" t="s">
        <v>60</v>
      </c>
      <c r="AX5" s="2">
        <v>10</v>
      </c>
      <c r="BA5" s="2" t="s">
        <v>58</v>
      </c>
    </row>
    <row r="6" spans="1:53" x14ac:dyDescent="0.2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>
        <v>100713</v>
      </c>
      <c r="AU6" s="2" t="s">
        <v>61</v>
      </c>
      <c r="AV6" s="2" t="s">
        <v>62</v>
      </c>
      <c r="AW6" s="2" t="s">
        <v>63</v>
      </c>
      <c r="AX6" s="2">
        <v>42.2</v>
      </c>
      <c r="BA6" s="2" t="s">
        <v>61</v>
      </c>
    </row>
    <row r="7" spans="1:53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>
        <v>100713</v>
      </c>
      <c r="AU7" s="2" t="s">
        <v>64</v>
      </c>
      <c r="AV7" s="2" t="s">
        <v>65</v>
      </c>
      <c r="AW7" s="2" t="s">
        <v>66</v>
      </c>
      <c r="AX7" s="2">
        <v>16</v>
      </c>
      <c r="BA7" s="2" t="s">
        <v>64</v>
      </c>
    </row>
    <row r="8" spans="1:53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>
        <v>100713</v>
      </c>
      <c r="AU8" s="2" t="s">
        <v>67</v>
      </c>
      <c r="AV8" s="2" t="s">
        <v>68</v>
      </c>
      <c r="AW8" s="2" t="s">
        <v>69</v>
      </c>
      <c r="AX8" s="2">
        <v>10</v>
      </c>
      <c r="BA8" s="2" t="s">
        <v>67</v>
      </c>
    </row>
    <row r="9" spans="1:53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>
        <v>100713</v>
      </c>
      <c r="AU9" s="2" t="s">
        <v>70</v>
      </c>
      <c r="AV9" s="2" t="s">
        <v>71</v>
      </c>
      <c r="AW9" s="2" t="s">
        <v>72</v>
      </c>
      <c r="AX9" s="2">
        <v>1.8</v>
      </c>
      <c r="BA9" s="2" t="s">
        <v>70</v>
      </c>
    </row>
    <row r="10" spans="1:53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>
        <v>100713</v>
      </c>
      <c r="AU10" s="2" t="s">
        <v>73</v>
      </c>
      <c r="AV10" s="2" t="s">
        <v>74</v>
      </c>
      <c r="AW10" s="2" t="s">
        <v>75</v>
      </c>
      <c r="AX10" s="2">
        <v>2</v>
      </c>
      <c r="BA10" s="2" t="s">
        <v>73</v>
      </c>
    </row>
    <row r="11" spans="1:53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>
        <v>100713</v>
      </c>
      <c r="AU11" s="2" t="s">
        <v>76</v>
      </c>
      <c r="AV11" s="2" t="s">
        <v>77</v>
      </c>
      <c r="AW11" s="2" t="s">
        <v>78</v>
      </c>
      <c r="AX11" s="2">
        <v>14</v>
      </c>
      <c r="BA11" s="2" t="s">
        <v>76</v>
      </c>
    </row>
    <row r="12" spans="1:53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>
        <v>100713</v>
      </c>
      <c r="AU12" s="2" t="s">
        <v>79</v>
      </c>
      <c r="AV12" s="2" t="s">
        <v>80</v>
      </c>
      <c r="AW12" s="2" t="s">
        <v>81</v>
      </c>
      <c r="AX12" s="2">
        <v>2</v>
      </c>
      <c r="BA12" s="2" t="s">
        <v>79</v>
      </c>
    </row>
    <row r="13" spans="1:53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>
        <v>100713</v>
      </c>
      <c r="AU13" s="2" t="s">
        <v>82</v>
      </c>
      <c r="AV13" s="2" t="s">
        <v>80</v>
      </c>
      <c r="AW13" s="2" t="s">
        <v>81</v>
      </c>
      <c r="AX13" s="2">
        <v>2</v>
      </c>
      <c r="BA13" s="2" t="s">
        <v>82</v>
      </c>
    </row>
    <row r="14" spans="1:53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BA14" s="2"/>
    </row>
    <row r="15" spans="1:53" x14ac:dyDescent="0.25">
      <c r="A15" s="2">
        <v>2</v>
      </c>
      <c r="B15" s="2">
        <v>101</v>
      </c>
      <c r="C15" s="2" t="s">
        <v>144</v>
      </c>
      <c r="D15" s="2" t="s">
        <v>51</v>
      </c>
      <c r="E15" s="2" t="s">
        <v>52</v>
      </c>
      <c r="F15" s="2" t="s">
        <v>145</v>
      </c>
      <c r="G15" s="2" t="s">
        <v>146</v>
      </c>
      <c r="H15" s="2">
        <v>900</v>
      </c>
      <c r="I15" s="2" t="s">
        <v>83</v>
      </c>
      <c r="J15" s="2">
        <v>96</v>
      </c>
      <c r="K15" s="2">
        <v>9.5</v>
      </c>
      <c r="L15" s="2">
        <v>550</v>
      </c>
      <c r="M15" s="2"/>
      <c r="N15" s="2" t="s">
        <v>84</v>
      </c>
      <c r="O15" s="2">
        <v>4270</v>
      </c>
      <c r="P15" s="2">
        <v>496</v>
      </c>
      <c r="Q15" s="2"/>
      <c r="R15" s="2" t="s">
        <v>85</v>
      </c>
      <c r="S15" s="2">
        <v>12</v>
      </c>
      <c r="T15" s="2">
        <v>24</v>
      </c>
      <c r="U15" s="2">
        <v>1.85</v>
      </c>
      <c r="V15" s="2">
        <v>1.85</v>
      </c>
      <c r="W15" s="2">
        <v>1.96</v>
      </c>
      <c r="X15" s="2">
        <v>124</v>
      </c>
      <c r="Y15" s="2">
        <v>105</v>
      </c>
      <c r="Z15" s="2"/>
      <c r="AA15" s="2"/>
      <c r="AB15" s="2" t="s">
        <v>56</v>
      </c>
      <c r="AC15" s="2" t="s">
        <v>56</v>
      </c>
      <c r="AD15" s="2" t="s">
        <v>56</v>
      </c>
      <c r="AE15" s="2" t="s">
        <v>56</v>
      </c>
      <c r="AF15" s="2" t="s">
        <v>57</v>
      </c>
      <c r="AG15" s="2"/>
      <c r="AH15" s="2">
        <v>50</v>
      </c>
      <c r="AI15" s="2">
        <v>22.08</v>
      </c>
      <c r="AJ15" s="2">
        <v>42</v>
      </c>
      <c r="AK15" s="2">
        <v>7.71</v>
      </c>
      <c r="AL15" s="2">
        <v>7.71</v>
      </c>
      <c r="AM15" s="2">
        <v>8.17</v>
      </c>
      <c r="AN15" s="2">
        <v>7.71</v>
      </c>
      <c r="AO15" s="2">
        <v>44.16</v>
      </c>
      <c r="AP15" s="2"/>
      <c r="AQ15" s="2">
        <v>1855</v>
      </c>
      <c r="AR15" s="2">
        <v>927</v>
      </c>
      <c r="AS15" s="2">
        <v>120.28</v>
      </c>
      <c r="AT15" s="2">
        <v>100923</v>
      </c>
      <c r="AU15" s="2" t="s">
        <v>58</v>
      </c>
      <c r="AV15" s="2" t="s">
        <v>86</v>
      </c>
      <c r="AW15" s="2" t="s">
        <v>87</v>
      </c>
      <c r="AX15" s="2">
        <v>12</v>
      </c>
      <c r="BA15" s="2" t="s">
        <v>58</v>
      </c>
    </row>
    <row r="16" spans="1:53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>
        <v>100923</v>
      </c>
      <c r="AU16" s="2" t="s">
        <v>88</v>
      </c>
      <c r="AV16" s="2" t="s">
        <v>89</v>
      </c>
      <c r="AW16" s="2" t="s">
        <v>90</v>
      </c>
      <c r="AX16" s="2">
        <v>45</v>
      </c>
      <c r="BA16" s="2" t="s">
        <v>88</v>
      </c>
    </row>
    <row r="17" spans="1:53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>
        <v>100923</v>
      </c>
      <c r="AU17" s="2" t="s">
        <v>64</v>
      </c>
      <c r="AV17" s="2" t="s">
        <v>91</v>
      </c>
      <c r="AW17" s="2" t="s">
        <v>92</v>
      </c>
      <c r="AX17" s="2">
        <v>9</v>
      </c>
      <c r="BA17" s="2" t="s">
        <v>64</v>
      </c>
    </row>
    <row r="18" spans="1:53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>
        <v>100923</v>
      </c>
      <c r="AU18" s="2" t="s">
        <v>67</v>
      </c>
      <c r="AV18" s="2" t="s">
        <v>93</v>
      </c>
      <c r="AW18" s="2" t="s">
        <v>94</v>
      </c>
      <c r="AX18" s="2">
        <v>20</v>
      </c>
      <c r="BA18" s="2" t="s">
        <v>67</v>
      </c>
    </row>
    <row r="19" spans="1:53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>
        <v>100923</v>
      </c>
      <c r="AU19" s="2" t="s">
        <v>76</v>
      </c>
      <c r="AV19" s="2" t="s">
        <v>95</v>
      </c>
      <c r="AW19" s="2" t="s">
        <v>96</v>
      </c>
      <c r="AX19" s="2">
        <v>12</v>
      </c>
      <c r="BA19" s="2" t="s">
        <v>76</v>
      </c>
    </row>
    <row r="20" spans="1:53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>
        <v>100923</v>
      </c>
      <c r="AU20" s="2" t="s">
        <v>97</v>
      </c>
      <c r="AV20" s="2" t="s">
        <v>71</v>
      </c>
      <c r="AW20" s="2" t="s">
        <v>72</v>
      </c>
      <c r="AX20" s="2">
        <v>2</v>
      </c>
      <c r="BA20" s="2" t="s">
        <v>97</v>
      </c>
    </row>
    <row r="21" spans="1:53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BA21" s="2"/>
    </row>
    <row r="22" spans="1:53" x14ac:dyDescent="0.25">
      <c r="A22" s="2">
        <v>3</v>
      </c>
      <c r="B22" s="2">
        <v>102</v>
      </c>
      <c r="C22" s="2" t="s">
        <v>144</v>
      </c>
      <c r="D22" s="2" t="s">
        <v>51</v>
      </c>
      <c r="E22" s="2" t="s">
        <v>98</v>
      </c>
      <c r="F22" s="2" t="s">
        <v>145</v>
      </c>
      <c r="G22" s="2" t="s">
        <v>146</v>
      </c>
      <c r="H22" s="2">
        <v>900</v>
      </c>
      <c r="I22" s="2" t="s">
        <v>83</v>
      </c>
      <c r="J22" s="2">
        <v>120</v>
      </c>
      <c r="K22" s="2">
        <v>12</v>
      </c>
      <c r="L22" s="2">
        <v>510</v>
      </c>
      <c r="M22" s="2"/>
      <c r="N22" s="2" t="s">
        <v>99</v>
      </c>
      <c r="O22" s="2">
        <v>4540</v>
      </c>
      <c r="P22" s="2">
        <v>264</v>
      </c>
      <c r="Q22" s="2"/>
      <c r="R22" s="2" t="s">
        <v>100</v>
      </c>
      <c r="S22" s="2">
        <v>24</v>
      </c>
      <c r="T22" s="2">
        <v>26</v>
      </c>
      <c r="U22" s="2">
        <v>3.13</v>
      </c>
      <c r="V22" s="2">
        <v>3.13</v>
      </c>
      <c r="W22" s="2">
        <v>2.44</v>
      </c>
      <c r="X22" s="2">
        <v>60</v>
      </c>
      <c r="Y22" s="2">
        <v>230</v>
      </c>
      <c r="Z22" s="2"/>
      <c r="AA22" s="2"/>
      <c r="AB22" s="2" t="s">
        <v>56</v>
      </c>
      <c r="AC22" s="2" t="s">
        <v>56</v>
      </c>
      <c r="AD22" s="2" t="s">
        <v>57</v>
      </c>
      <c r="AE22" s="2" t="s">
        <v>56</v>
      </c>
      <c r="AF22" s="2" t="s">
        <v>57</v>
      </c>
      <c r="AG22" s="2">
        <v>16.5</v>
      </c>
      <c r="AH22" s="2">
        <v>50</v>
      </c>
      <c r="AI22" s="2">
        <v>20.07</v>
      </c>
      <c r="AJ22" s="2">
        <v>20</v>
      </c>
      <c r="AK22" s="2">
        <v>7.25</v>
      </c>
      <c r="AL22" s="2">
        <v>7.25</v>
      </c>
      <c r="AM22" s="2">
        <v>5.65</v>
      </c>
      <c r="AN22" s="2">
        <v>7.25</v>
      </c>
      <c r="AO22" s="2">
        <v>40.14</v>
      </c>
      <c r="AP22" s="2"/>
      <c r="AQ22" s="2">
        <v>803</v>
      </c>
      <c r="AR22" s="2">
        <v>401</v>
      </c>
      <c r="AS22" s="2">
        <v>55.37</v>
      </c>
      <c r="AT22" s="2">
        <v>101080</v>
      </c>
      <c r="AU22" s="2" t="s">
        <v>58</v>
      </c>
      <c r="AV22" s="2" t="s">
        <v>59</v>
      </c>
      <c r="AW22" s="2" t="s">
        <v>60</v>
      </c>
      <c r="AX22" s="2">
        <v>10</v>
      </c>
      <c r="BA22" s="2" t="s">
        <v>58</v>
      </c>
    </row>
    <row r="23" spans="1:53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>
        <v>101080</v>
      </c>
      <c r="AU23" s="2" t="s">
        <v>101</v>
      </c>
      <c r="AV23" s="2" t="s">
        <v>102</v>
      </c>
      <c r="AW23" s="2" t="s">
        <v>103</v>
      </c>
      <c r="AX23" s="2">
        <v>40</v>
      </c>
      <c r="BA23" s="2" t="s">
        <v>101</v>
      </c>
    </row>
    <row r="24" spans="1:53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>
        <v>101080</v>
      </c>
      <c r="AU24" s="2" t="s">
        <v>64</v>
      </c>
      <c r="AV24" s="2" t="s">
        <v>91</v>
      </c>
      <c r="AW24" s="2" t="s">
        <v>92</v>
      </c>
      <c r="AX24" s="2">
        <v>21</v>
      </c>
      <c r="BA24" s="2" t="s">
        <v>64</v>
      </c>
    </row>
    <row r="25" spans="1:53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>
        <v>101080</v>
      </c>
      <c r="AU25" s="2" t="s">
        <v>67</v>
      </c>
      <c r="AV25" s="2" t="s">
        <v>68</v>
      </c>
      <c r="AW25" s="2" t="s">
        <v>69</v>
      </c>
      <c r="AX25" s="2">
        <v>10</v>
      </c>
      <c r="BA25" s="2" t="s">
        <v>67</v>
      </c>
    </row>
    <row r="26" spans="1:53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>
        <v>101080</v>
      </c>
      <c r="AU26" s="2" t="s">
        <v>70</v>
      </c>
      <c r="AV26" s="2" t="s">
        <v>77</v>
      </c>
      <c r="AW26" s="2" t="s">
        <v>78</v>
      </c>
      <c r="AX26" s="2">
        <v>2</v>
      </c>
      <c r="BA26" s="2" t="s">
        <v>70</v>
      </c>
    </row>
    <row r="27" spans="1:53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>
        <v>101080</v>
      </c>
      <c r="AU27" s="2" t="s">
        <v>73</v>
      </c>
      <c r="AV27" s="2" t="s">
        <v>74</v>
      </c>
      <c r="AW27" s="2" t="s">
        <v>75</v>
      </c>
      <c r="AX27" s="2">
        <v>2</v>
      </c>
      <c r="BA27" s="2" t="s">
        <v>73</v>
      </c>
    </row>
    <row r="28" spans="1:53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>
        <v>101080</v>
      </c>
      <c r="AU28" s="2" t="s">
        <v>104</v>
      </c>
      <c r="AV28" s="2" t="s">
        <v>95</v>
      </c>
      <c r="AW28" s="2" t="s">
        <v>96</v>
      </c>
      <c r="AX28" s="2">
        <v>10</v>
      </c>
      <c r="BA28" s="2" t="s">
        <v>104</v>
      </c>
    </row>
    <row r="29" spans="1:53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>
        <v>101080</v>
      </c>
      <c r="AU29" s="2" t="s">
        <v>82</v>
      </c>
      <c r="AV29" s="2" t="s">
        <v>77</v>
      </c>
      <c r="AW29" s="2" t="s">
        <v>78</v>
      </c>
      <c r="AX29" s="2">
        <v>2</v>
      </c>
      <c r="BA29" s="2" t="s">
        <v>82</v>
      </c>
    </row>
    <row r="30" spans="1:53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>
        <v>101080</v>
      </c>
      <c r="AU30" s="2" t="s">
        <v>97</v>
      </c>
      <c r="AV30" s="2" t="s">
        <v>105</v>
      </c>
      <c r="AW30" s="2" t="s">
        <v>106</v>
      </c>
      <c r="AX30" s="2">
        <v>3</v>
      </c>
      <c r="BA30" s="2" t="s">
        <v>97</v>
      </c>
    </row>
    <row r="31" spans="1:53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BA31" s="2"/>
    </row>
    <row r="32" spans="1:53" x14ac:dyDescent="0.25">
      <c r="A32" s="2">
        <v>4</v>
      </c>
      <c r="B32" s="2">
        <v>103</v>
      </c>
      <c r="C32" s="2" t="s">
        <v>144</v>
      </c>
      <c r="D32" s="2" t="s">
        <v>51</v>
      </c>
      <c r="E32" s="2" t="s">
        <v>98</v>
      </c>
      <c r="F32" s="2" t="s">
        <v>145</v>
      </c>
      <c r="G32" s="2" t="s">
        <v>146</v>
      </c>
      <c r="H32" s="2">
        <v>900</v>
      </c>
      <c r="I32" s="2" t="s">
        <v>53</v>
      </c>
      <c r="J32" s="2">
        <v>116</v>
      </c>
      <c r="K32" s="2">
        <v>9.5</v>
      </c>
      <c r="L32" s="2">
        <v>550</v>
      </c>
      <c r="M32" s="2"/>
      <c r="N32" s="2" t="s">
        <v>107</v>
      </c>
      <c r="O32" s="2">
        <v>4720</v>
      </c>
      <c r="P32" s="2">
        <v>608</v>
      </c>
      <c r="Q32" s="2"/>
      <c r="R32" s="2" t="s">
        <v>108</v>
      </c>
      <c r="S32" s="2">
        <v>24</v>
      </c>
      <c r="T32" s="2">
        <v>26</v>
      </c>
      <c r="U32" s="2">
        <v>5.95</v>
      </c>
      <c r="V32" s="2">
        <v>5.95</v>
      </c>
      <c r="W32" s="2">
        <v>5.14</v>
      </c>
      <c r="X32" s="2">
        <v>140</v>
      </c>
      <c r="Y32" s="2">
        <v>250</v>
      </c>
      <c r="Z32" s="2"/>
      <c r="AA32" s="2"/>
      <c r="AB32" s="2" t="s">
        <v>56</v>
      </c>
      <c r="AC32" s="2" t="s">
        <v>56</v>
      </c>
      <c r="AD32" s="2" t="s">
        <v>56</v>
      </c>
      <c r="AE32" s="2" t="s">
        <v>56</v>
      </c>
      <c r="AF32" s="2" t="s">
        <v>57</v>
      </c>
      <c r="AG32" s="2">
        <v>23.75</v>
      </c>
      <c r="AH32" s="2">
        <v>50</v>
      </c>
      <c r="AI32" s="2">
        <v>20.34</v>
      </c>
      <c r="AJ32" s="2">
        <v>18</v>
      </c>
      <c r="AK32" s="2">
        <v>12.4</v>
      </c>
      <c r="AL32" s="2">
        <v>12.4</v>
      </c>
      <c r="AM32" s="2">
        <v>10.71</v>
      </c>
      <c r="AN32" s="2">
        <v>12.4</v>
      </c>
      <c r="AO32" s="2">
        <v>40.68</v>
      </c>
      <c r="AP32" s="2"/>
      <c r="AQ32" s="2">
        <v>732</v>
      </c>
      <c r="AR32" s="2">
        <v>366</v>
      </c>
      <c r="AS32" s="2">
        <v>29.53</v>
      </c>
      <c r="AT32" s="2">
        <v>101666</v>
      </c>
      <c r="AU32" s="2" t="s">
        <v>58</v>
      </c>
      <c r="AV32" s="2" t="s">
        <v>109</v>
      </c>
      <c r="AW32" s="2" t="s">
        <v>110</v>
      </c>
      <c r="AX32" s="2">
        <v>10</v>
      </c>
      <c r="BA32" s="2" t="s">
        <v>58</v>
      </c>
    </row>
    <row r="33" spans="1:53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>
        <v>101666</v>
      </c>
      <c r="AU33" s="2" t="s">
        <v>61</v>
      </c>
      <c r="AV33" s="2" t="s">
        <v>111</v>
      </c>
      <c r="AW33" s="2" t="s">
        <v>112</v>
      </c>
      <c r="AX33" s="2">
        <v>49</v>
      </c>
      <c r="BA33" s="2" t="s">
        <v>61</v>
      </c>
    </row>
    <row r="34" spans="1:53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>
        <v>101666</v>
      </c>
      <c r="AU34" s="2" t="s">
        <v>64</v>
      </c>
      <c r="AV34" s="2" t="s">
        <v>91</v>
      </c>
      <c r="AW34" s="2" t="s">
        <v>92</v>
      </c>
      <c r="AX34" s="2">
        <v>18</v>
      </c>
      <c r="BA34" s="2" t="s">
        <v>64</v>
      </c>
    </row>
    <row r="35" spans="1:53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>
        <v>101666</v>
      </c>
      <c r="AU35" s="2" t="s">
        <v>67</v>
      </c>
      <c r="AV35" s="2" t="s">
        <v>113</v>
      </c>
      <c r="AW35" s="2" t="s">
        <v>114</v>
      </c>
      <c r="AX35" s="2">
        <v>10</v>
      </c>
      <c r="BA35" s="2" t="s">
        <v>67</v>
      </c>
    </row>
    <row r="36" spans="1:53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>
        <v>101666</v>
      </c>
      <c r="AU36" s="2" t="s">
        <v>76</v>
      </c>
      <c r="AV36" s="2" t="s">
        <v>115</v>
      </c>
      <c r="AW36" s="2" t="s">
        <v>116</v>
      </c>
      <c r="AX36" s="2">
        <v>11.4</v>
      </c>
      <c r="BA36" s="2" t="s">
        <v>76</v>
      </c>
    </row>
    <row r="37" spans="1:53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>
        <v>101666</v>
      </c>
      <c r="AU37" s="2" t="s">
        <v>97</v>
      </c>
      <c r="AV37" s="2" t="s">
        <v>71</v>
      </c>
      <c r="AW37" s="2" t="s">
        <v>72</v>
      </c>
      <c r="AX37" s="2">
        <v>1.6</v>
      </c>
      <c r="BA37" s="2" t="s">
        <v>97</v>
      </c>
    </row>
    <row r="38" spans="1:53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BA38" s="2"/>
    </row>
    <row r="39" spans="1:53" x14ac:dyDescent="0.25">
      <c r="A39" s="2">
        <v>5</v>
      </c>
      <c r="B39" s="2">
        <v>104</v>
      </c>
      <c r="C39" s="2" t="s">
        <v>144</v>
      </c>
      <c r="D39" s="2" t="s">
        <v>51</v>
      </c>
      <c r="E39" s="2" t="s">
        <v>98</v>
      </c>
      <c r="F39" s="2" t="s">
        <v>145</v>
      </c>
      <c r="G39" s="2" t="s">
        <v>146</v>
      </c>
      <c r="H39" s="2">
        <v>900</v>
      </c>
      <c r="I39" s="2" t="s">
        <v>53</v>
      </c>
      <c r="J39" s="2">
        <v>116</v>
      </c>
      <c r="K39" s="2">
        <v>9.5</v>
      </c>
      <c r="L39" s="2">
        <v>550</v>
      </c>
      <c r="M39" s="2"/>
      <c r="N39" s="2"/>
      <c r="O39" s="2"/>
      <c r="P39" s="2">
        <v>576</v>
      </c>
      <c r="Q39" s="2"/>
      <c r="R39" s="2" t="s">
        <v>117</v>
      </c>
      <c r="S39" s="2">
        <v>50</v>
      </c>
      <c r="T39" s="2">
        <v>24</v>
      </c>
      <c r="U39" s="2"/>
      <c r="V39" s="2"/>
      <c r="W39" s="2"/>
      <c r="X39" s="2">
        <v>144</v>
      </c>
      <c r="Y39" s="2">
        <v>250</v>
      </c>
      <c r="Z39" s="2"/>
      <c r="AA39" s="2"/>
      <c r="AB39" s="2" t="s">
        <v>56</v>
      </c>
      <c r="AC39" s="2" t="s">
        <v>56</v>
      </c>
      <c r="AD39" s="2" t="s">
        <v>56</v>
      </c>
      <c r="AE39" s="2" t="s">
        <v>56</v>
      </c>
      <c r="AF39" s="2" t="s">
        <v>57</v>
      </c>
      <c r="AG39" s="2"/>
      <c r="AH39" s="2">
        <v>50</v>
      </c>
      <c r="AI39" s="2">
        <v>22.08</v>
      </c>
      <c r="AJ39" s="2">
        <v>18</v>
      </c>
      <c r="AK39" s="2">
        <v>11</v>
      </c>
      <c r="AL39" s="2">
        <v>11</v>
      </c>
      <c r="AM39" s="2">
        <v>11</v>
      </c>
      <c r="AN39" s="2">
        <v>11</v>
      </c>
      <c r="AO39" s="2">
        <v>44.16</v>
      </c>
      <c r="AP39" s="2"/>
      <c r="AQ39" s="2">
        <v>795</v>
      </c>
      <c r="AR39" s="2">
        <v>397</v>
      </c>
      <c r="AS39" s="2">
        <v>36.130000000000003</v>
      </c>
      <c r="AT39" s="2">
        <v>101926</v>
      </c>
      <c r="AU39" s="2" t="s">
        <v>58</v>
      </c>
      <c r="AV39" s="2" t="s">
        <v>86</v>
      </c>
      <c r="AW39" s="2" t="s">
        <v>87</v>
      </c>
      <c r="AX39" s="2">
        <v>12</v>
      </c>
      <c r="BA39" s="2" t="s">
        <v>58</v>
      </c>
    </row>
    <row r="40" spans="1:53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>
        <v>101926</v>
      </c>
      <c r="AU40" s="2" t="s">
        <v>61</v>
      </c>
      <c r="AV40" s="2" t="s">
        <v>89</v>
      </c>
      <c r="AW40" s="2" t="s">
        <v>90</v>
      </c>
      <c r="AX40" s="2">
        <v>45</v>
      </c>
      <c r="BA40" s="2" t="s">
        <v>61</v>
      </c>
    </row>
    <row r="41" spans="1:53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>
        <v>101926</v>
      </c>
      <c r="AU41" s="2" t="s">
        <v>64</v>
      </c>
      <c r="AV41" s="2" t="s">
        <v>91</v>
      </c>
      <c r="AW41" s="2" t="s">
        <v>92</v>
      </c>
      <c r="AX41" s="2">
        <v>9</v>
      </c>
      <c r="BA41" s="2" t="s">
        <v>64</v>
      </c>
    </row>
    <row r="42" spans="1:53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>
        <v>101926</v>
      </c>
      <c r="AU42" s="2" t="s">
        <v>67</v>
      </c>
      <c r="AV42" s="2" t="s">
        <v>118</v>
      </c>
      <c r="AW42" s="2" t="s">
        <v>119</v>
      </c>
      <c r="AX42" s="2">
        <v>20</v>
      </c>
      <c r="BA42" s="2" t="s">
        <v>67</v>
      </c>
    </row>
    <row r="43" spans="1:53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>
        <v>101926</v>
      </c>
      <c r="AU43" s="2" t="s">
        <v>70</v>
      </c>
      <c r="AV43" s="2" t="s">
        <v>71</v>
      </c>
      <c r="AW43" s="2" t="s">
        <v>72</v>
      </c>
      <c r="AX43" s="2">
        <v>2</v>
      </c>
      <c r="BA43" s="2" t="s">
        <v>70</v>
      </c>
    </row>
    <row r="44" spans="1:53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>
        <v>101926</v>
      </c>
      <c r="AU44" s="2" t="s">
        <v>76</v>
      </c>
      <c r="AV44" s="2" t="s">
        <v>95</v>
      </c>
      <c r="AW44" s="2" t="s">
        <v>96</v>
      </c>
      <c r="AX44" s="2">
        <v>12</v>
      </c>
      <c r="BA44" s="2" t="s">
        <v>76</v>
      </c>
    </row>
    <row r="45" spans="1:53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BA45" s="2"/>
    </row>
    <row r="46" spans="1:53" x14ac:dyDescent="0.25">
      <c r="A46" s="2">
        <v>6</v>
      </c>
      <c r="B46" s="2">
        <v>105</v>
      </c>
      <c r="C46" s="2" t="s">
        <v>144</v>
      </c>
      <c r="D46" s="2" t="s">
        <v>51</v>
      </c>
      <c r="E46" s="2" t="s">
        <v>98</v>
      </c>
      <c r="F46" s="2" t="s">
        <v>145</v>
      </c>
      <c r="G46" s="2" t="s">
        <v>146</v>
      </c>
      <c r="H46" s="2">
        <v>900</v>
      </c>
      <c r="I46" s="2" t="s">
        <v>53</v>
      </c>
      <c r="J46" s="2">
        <v>116</v>
      </c>
      <c r="K46" s="2">
        <v>9.5</v>
      </c>
      <c r="L46" s="2">
        <v>550</v>
      </c>
      <c r="M46" s="2"/>
      <c r="N46" s="2"/>
      <c r="O46" s="2"/>
      <c r="P46" s="2">
        <v>552</v>
      </c>
      <c r="Q46" s="2"/>
      <c r="R46" s="2" t="s">
        <v>117</v>
      </c>
      <c r="S46" s="2">
        <v>50</v>
      </c>
      <c r="T46" s="2">
        <v>24</v>
      </c>
      <c r="U46" s="2"/>
      <c r="V46" s="2"/>
      <c r="W46" s="2"/>
      <c r="X46" s="2">
        <v>138</v>
      </c>
      <c r="Y46" s="2">
        <v>240</v>
      </c>
      <c r="Z46" s="2"/>
      <c r="AA46" s="2"/>
      <c r="AB46" s="2" t="s">
        <v>56</v>
      </c>
      <c r="AC46" s="2" t="s">
        <v>56</v>
      </c>
      <c r="AD46" s="2" t="s">
        <v>56</v>
      </c>
      <c r="AE46" s="2" t="s">
        <v>56</v>
      </c>
      <c r="AF46" s="2" t="s">
        <v>57</v>
      </c>
      <c r="AG46" s="2"/>
      <c r="AH46" s="2">
        <v>50</v>
      </c>
      <c r="AI46" s="2">
        <v>22.08</v>
      </c>
      <c r="AJ46" s="2">
        <v>18</v>
      </c>
      <c r="AK46" s="2">
        <v>11</v>
      </c>
      <c r="AL46" s="2">
        <v>11</v>
      </c>
      <c r="AM46" s="2">
        <v>11</v>
      </c>
      <c r="AN46" s="2">
        <v>11</v>
      </c>
      <c r="AO46" s="2">
        <v>44.16</v>
      </c>
      <c r="AP46" s="2"/>
      <c r="AQ46" s="2">
        <v>795</v>
      </c>
      <c r="AR46" s="2">
        <v>397</v>
      </c>
      <c r="AS46" s="2">
        <v>36.130000000000003</v>
      </c>
      <c r="AT46" s="2">
        <v>101936</v>
      </c>
      <c r="AU46" s="2" t="s">
        <v>58</v>
      </c>
      <c r="AV46" s="2" t="s">
        <v>86</v>
      </c>
      <c r="AW46" s="2" t="s">
        <v>87</v>
      </c>
      <c r="AX46" s="2">
        <v>0</v>
      </c>
      <c r="BA46" s="2" t="s">
        <v>58</v>
      </c>
    </row>
    <row r="47" spans="1:53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>
        <v>101936</v>
      </c>
      <c r="AU47" s="2" t="s">
        <v>61</v>
      </c>
      <c r="AV47" s="2" t="s">
        <v>89</v>
      </c>
      <c r="AW47" s="2" t="s">
        <v>90</v>
      </c>
      <c r="AX47" s="2">
        <v>0</v>
      </c>
      <c r="BA47" s="2" t="s">
        <v>61</v>
      </c>
    </row>
    <row r="48" spans="1:53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>
        <v>101936</v>
      </c>
      <c r="AU48" s="2" t="s">
        <v>61</v>
      </c>
      <c r="AV48" s="2" t="s">
        <v>89</v>
      </c>
      <c r="AW48" s="2" t="s">
        <v>90</v>
      </c>
      <c r="AX48" s="2">
        <v>50</v>
      </c>
      <c r="BA48" s="2" t="s">
        <v>61</v>
      </c>
    </row>
    <row r="49" spans="1:53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>
        <v>101936</v>
      </c>
      <c r="AU49" s="2" t="s">
        <v>67</v>
      </c>
      <c r="AV49" s="2" t="s">
        <v>118</v>
      </c>
      <c r="AW49" s="2" t="s">
        <v>119</v>
      </c>
      <c r="AX49" s="2">
        <v>0</v>
      </c>
      <c r="BA49" s="2" t="s">
        <v>67</v>
      </c>
    </row>
    <row r="50" spans="1:53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>
        <v>101936</v>
      </c>
      <c r="AU50" s="2" t="s">
        <v>120</v>
      </c>
      <c r="AV50" s="2" t="s">
        <v>91</v>
      </c>
      <c r="AW50" s="2" t="s">
        <v>92</v>
      </c>
      <c r="AX50" s="2">
        <v>0</v>
      </c>
      <c r="BA50" s="2" t="s">
        <v>120</v>
      </c>
    </row>
    <row r="51" spans="1:53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>
        <v>101936</v>
      </c>
      <c r="AU51" s="2" t="s">
        <v>70</v>
      </c>
      <c r="AV51" s="2" t="s">
        <v>71</v>
      </c>
      <c r="AW51" s="2" t="s">
        <v>72</v>
      </c>
      <c r="AX51" s="2">
        <v>0</v>
      </c>
      <c r="BA51" s="2" t="s">
        <v>70</v>
      </c>
    </row>
    <row r="52" spans="1:53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>
        <v>101936</v>
      </c>
      <c r="AU52" s="2" t="s">
        <v>73</v>
      </c>
      <c r="AV52" s="2" t="s">
        <v>74</v>
      </c>
      <c r="AW52" s="2" t="s">
        <v>75</v>
      </c>
      <c r="AX52" s="2">
        <v>0</v>
      </c>
      <c r="BA52" s="2" t="s">
        <v>73</v>
      </c>
    </row>
    <row r="53" spans="1:53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>
        <v>101936</v>
      </c>
      <c r="AU53" s="2" t="s">
        <v>76</v>
      </c>
      <c r="AV53" s="2" t="s">
        <v>95</v>
      </c>
      <c r="AW53" s="2" t="s">
        <v>96</v>
      </c>
      <c r="AX53" s="2">
        <v>50</v>
      </c>
      <c r="BA53" s="2" t="s">
        <v>76</v>
      </c>
    </row>
    <row r="54" spans="1:53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>
        <v>101936</v>
      </c>
      <c r="AU54" s="2" t="s">
        <v>79</v>
      </c>
      <c r="AV54" s="2" t="s">
        <v>121</v>
      </c>
      <c r="AW54" s="2" t="s">
        <v>122</v>
      </c>
      <c r="AX54" s="2">
        <v>0</v>
      </c>
      <c r="BA54" s="2" t="s">
        <v>79</v>
      </c>
    </row>
    <row r="55" spans="1:53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>
        <v>101936</v>
      </c>
      <c r="AU55" s="2" t="s">
        <v>82</v>
      </c>
      <c r="AV55" s="2" t="s">
        <v>121</v>
      </c>
      <c r="AW55" s="2" t="s">
        <v>122</v>
      </c>
      <c r="AX55" s="2">
        <v>0</v>
      </c>
      <c r="BA55" s="2" t="s">
        <v>82</v>
      </c>
    </row>
    <row r="56" spans="1:53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BA56" s="2"/>
    </row>
    <row r="57" spans="1:53" x14ac:dyDescent="0.25">
      <c r="A57" s="2">
        <v>7</v>
      </c>
      <c r="B57" s="2">
        <v>106</v>
      </c>
      <c r="C57" s="2" t="s">
        <v>144</v>
      </c>
      <c r="D57" s="2" t="s">
        <v>51</v>
      </c>
      <c r="E57" s="2" t="s">
        <v>98</v>
      </c>
      <c r="F57" s="2" t="s">
        <v>145</v>
      </c>
      <c r="G57" s="2" t="s">
        <v>146</v>
      </c>
      <c r="H57" s="2">
        <v>200</v>
      </c>
      <c r="I57" s="2" t="s">
        <v>83</v>
      </c>
      <c r="J57" s="2">
        <v>116</v>
      </c>
      <c r="K57" s="2">
        <v>9.5</v>
      </c>
      <c r="L57" s="2">
        <v>550</v>
      </c>
      <c r="M57" s="2"/>
      <c r="N57" s="2"/>
      <c r="O57" s="2"/>
      <c r="P57" s="2">
        <v>752</v>
      </c>
      <c r="Q57" s="2"/>
      <c r="R57" s="2" t="s">
        <v>85</v>
      </c>
      <c r="S57" s="2">
        <v>50</v>
      </c>
      <c r="T57" s="2">
        <v>28</v>
      </c>
      <c r="U57" s="2"/>
      <c r="V57" s="2"/>
      <c r="W57" s="2"/>
      <c r="X57" s="2">
        <v>161</v>
      </c>
      <c r="Y57" s="2">
        <v>250</v>
      </c>
      <c r="Z57" s="2"/>
      <c r="AA57" s="2"/>
      <c r="AB57" s="2" t="s">
        <v>56</v>
      </c>
      <c r="AC57" s="2" t="s">
        <v>56</v>
      </c>
      <c r="AD57" s="2" t="s">
        <v>57</v>
      </c>
      <c r="AE57" s="2" t="s">
        <v>56</v>
      </c>
      <c r="AF57" s="2" t="s">
        <v>57</v>
      </c>
      <c r="AG57" s="2"/>
      <c r="AH57" s="2">
        <v>50</v>
      </c>
      <c r="AI57" s="2">
        <v>18.5</v>
      </c>
      <c r="AJ57" s="2">
        <v>18</v>
      </c>
      <c r="AK57" s="2">
        <v>7.5</v>
      </c>
      <c r="AL57" s="2">
        <v>7.5</v>
      </c>
      <c r="AM57" s="2">
        <v>7.5</v>
      </c>
      <c r="AN57" s="2">
        <v>7.5</v>
      </c>
      <c r="AO57" s="2">
        <v>37</v>
      </c>
      <c r="AP57" s="2"/>
      <c r="AQ57" s="2">
        <v>666</v>
      </c>
      <c r="AR57" s="2">
        <v>333</v>
      </c>
      <c r="AS57" s="2">
        <v>44.4</v>
      </c>
      <c r="AT57" s="2">
        <v>101976</v>
      </c>
      <c r="AU57" s="2" t="s">
        <v>58</v>
      </c>
      <c r="AV57" s="2" t="s">
        <v>86</v>
      </c>
      <c r="AW57" s="2" t="s">
        <v>87</v>
      </c>
      <c r="AX57" s="2">
        <v>12</v>
      </c>
      <c r="BA57" s="2" t="s">
        <v>58</v>
      </c>
    </row>
    <row r="58" spans="1:53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>
        <v>101976</v>
      </c>
      <c r="AU58" s="2" t="s">
        <v>61</v>
      </c>
      <c r="AV58" s="2" t="s">
        <v>89</v>
      </c>
      <c r="AW58" s="2" t="s">
        <v>90</v>
      </c>
      <c r="AX58" s="2">
        <v>40</v>
      </c>
      <c r="BA58" s="2" t="s">
        <v>61</v>
      </c>
    </row>
    <row r="59" spans="1:53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>
        <v>101976</v>
      </c>
      <c r="AU59" s="2" t="s">
        <v>64</v>
      </c>
      <c r="AV59" s="2" t="s">
        <v>91</v>
      </c>
      <c r="AW59" s="2" t="s">
        <v>92</v>
      </c>
      <c r="AX59" s="2">
        <v>9</v>
      </c>
      <c r="BA59" s="2" t="s">
        <v>64</v>
      </c>
    </row>
    <row r="60" spans="1:53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>
        <v>101976</v>
      </c>
      <c r="AU60" s="2" t="s">
        <v>67</v>
      </c>
      <c r="AV60" s="2" t="s">
        <v>113</v>
      </c>
      <c r="AW60" s="2" t="s">
        <v>114</v>
      </c>
      <c r="AX60" s="2">
        <v>20</v>
      </c>
      <c r="BA60" s="2" t="s">
        <v>67</v>
      </c>
    </row>
    <row r="61" spans="1:53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>
        <v>101976</v>
      </c>
      <c r="AU61" s="2" t="s">
        <v>73</v>
      </c>
      <c r="AV61" s="2" t="s">
        <v>74</v>
      </c>
      <c r="AW61" s="2" t="s">
        <v>75</v>
      </c>
      <c r="AX61" s="2">
        <v>2</v>
      </c>
      <c r="BA61" s="2" t="s">
        <v>73</v>
      </c>
    </row>
    <row r="62" spans="1:53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>
        <v>101976</v>
      </c>
      <c r="AU62" s="2" t="s">
        <v>76</v>
      </c>
      <c r="AV62" s="2" t="s">
        <v>95</v>
      </c>
      <c r="AW62" s="2" t="s">
        <v>96</v>
      </c>
      <c r="AX62" s="2">
        <v>11</v>
      </c>
      <c r="BA62" s="2" t="s">
        <v>76</v>
      </c>
    </row>
    <row r="63" spans="1:53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>
        <v>101976</v>
      </c>
      <c r="AU63" s="2" t="s">
        <v>79</v>
      </c>
      <c r="AV63" s="2" t="s">
        <v>89</v>
      </c>
      <c r="AW63" s="2" t="s">
        <v>90</v>
      </c>
      <c r="AX63" s="2">
        <v>2</v>
      </c>
      <c r="BA63" s="2" t="s">
        <v>79</v>
      </c>
    </row>
    <row r="64" spans="1:53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>
        <v>101976</v>
      </c>
      <c r="AU64" s="2" t="s">
        <v>82</v>
      </c>
      <c r="AV64" s="2" t="s">
        <v>89</v>
      </c>
      <c r="AW64" s="2" t="s">
        <v>90</v>
      </c>
      <c r="AX64" s="2">
        <v>2</v>
      </c>
      <c r="BA64" s="2" t="s">
        <v>82</v>
      </c>
    </row>
    <row r="65" spans="1:53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>
        <v>101976</v>
      </c>
      <c r="AU65" s="2" t="s">
        <v>97</v>
      </c>
      <c r="AV65" s="2" t="s">
        <v>71</v>
      </c>
      <c r="AW65" s="2" t="s">
        <v>72</v>
      </c>
      <c r="AX65" s="2">
        <v>2</v>
      </c>
      <c r="BA65" s="2" t="s">
        <v>97</v>
      </c>
    </row>
    <row r="66" spans="1:53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BA66" s="2"/>
    </row>
    <row r="67" spans="1:53" x14ac:dyDescent="0.25">
      <c r="A67" s="2">
        <v>8</v>
      </c>
      <c r="B67" s="2">
        <v>107</v>
      </c>
      <c r="C67" s="2" t="s">
        <v>144</v>
      </c>
      <c r="D67" s="2" t="s">
        <v>51</v>
      </c>
      <c r="E67" s="2" t="s">
        <v>98</v>
      </c>
      <c r="F67" s="2" t="s">
        <v>145</v>
      </c>
      <c r="G67" s="2" t="s">
        <v>146</v>
      </c>
      <c r="H67" s="2">
        <v>200</v>
      </c>
      <c r="I67" s="2" t="s">
        <v>53</v>
      </c>
      <c r="J67" s="2">
        <v>120</v>
      </c>
      <c r="K67" s="2">
        <v>12</v>
      </c>
      <c r="L67" s="2">
        <v>510</v>
      </c>
      <c r="M67" s="2"/>
      <c r="N67" s="2" t="s">
        <v>123</v>
      </c>
      <c r="O67" s="2">
        <v>4300</v>
      </c>
      <c r="P67" s="2">
        <v>608</v>
      </c>
      <c r="Q67" s="2"/>
      <c r="R67" s="2" t="s">
        <v>124</v>
      </c>
      <c r="S67" s="2">
        <v>24</v>
      </c>
      <c r="T67" s="2">
        <v>26</v>
      </c>
      <c r="U67" s="2">
        <v>3.8</v>
      </c>
      <c r="V67" s="2">
        <v>3.24</v>
      </c>
      <c r="W67" s="2">
        <v>3.34</v>
      </c>
      <c r="X67" s="2">
        <v>140</v>
      </c>
      <c r="Y67" s="2">
        <v>230</v>
      </c>
      <c r="Z67" s="2">
        <v>115</v>
      </c>
      <c r="AA67" s="2">
        <v>9.76</v>
      </c>
      <c r="AB67" s="2" t="s">
        <v>56</v>
      </c>
      <c r="AC67" s="2" t="s">
        <v>56</v>
      </c>
      <c r="AD67" s="2" t="s">
        <v>57</v>
      </c>
      <c r="AE67" s="2" t="s">
        <v>56</v>
      </c>
      <c r="AF67" s="2" t="s">
        <v>57</v>
      </c>
      <c r="AG67" s="2">
        <v>21.21</v>
      </c>
      <c r="AH67" s="2">
        <v>50</v>
      </c>
      <c r="AI67" s="2">
        <v>19.89</v>
      </c>
      <c r="AJ67" s="2">
        <v>20</v>
      </c>
      <c r="AK67" s="2">
        <v>8.33</v>
      </c>
      <c r="AL67" s="2">
        <v>7.1</v>
      </c>
      <c r="AM67" s="2">
        <v>7.33</v>
      </c>
      <c r="AN67" s="2">
        <v>7.1</v>
      </c>
      <c r="AO67" s="2">
        <v>39.78</v>
      </c>
      <c r="AP67" s="2"/>
      <c r="AQ67" s="2">
        <v>796</v>
      </c>
      <c r="AR67" s="2">
        <v>398</v>
      </c>
      <c r="AS67" s="2">
        <v>56.03</v>
      </c>
      <c r="AT67" s="2">
        <v>102530</v>
      </c>
      <c r="AU67" s="2" t="s">
        <v>58</v>
      </c>
      <c r="AV67" s="2" t="s">
        <v>125</v>
      </c>
      <c r="AW67" s="2" t="s">
        <v>126</v>
      </c>
      <c r="AX67" s="2">
        <v>10</v>
      </c>
      <c r="BA67" s="2" t="s">
        <v>58</v>
      </c>
    </row>
    <row r="68" spans="1:53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>
        <v>102530</v>
      </c>
      <c r="AU68" s="2" t="s">
        <v>61</v>
      </c>
      <c r="AV68" s="2" t="s">
        <v>111</v>
      </c>
      <c r="AW68" s="2" t="s">
        <v>112</v>
      </c>
      <c r="AX68" s="2">
        <v>42</v>
      </c>
      <c r="BA68" s="2" t="s">
        <v>61</v>
      </c>
    </row>
    <row r="69" spans="1:53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>
        <v>102530</v>
      </c>
      <c r="AU69" s="2" t="s">
        <v>127</v>
      </c>
      <c r="AV69" s="2" t="s">
        <v>128</v>
      </c>
      <c r="AW69" s="2" t="s">
        <v>129</v>
      </c>
      <c r="AX69" s="2">
        <v>1.2</v>
      </c>
      <c r="BA69" s="2" t="s">
        <v>127</v>
      </c>
    </row>
    <row r="70" spans="1:53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>
        <v>102530</v>
      </c>
      <c r="AU70" s="2" t="s">
        <v>64</v>
      </c>
      <c r="AV70" s="2" t="s">
        <v>91</v>
      </c>
      <c r="AW70" s="2" t="s">
        <v>92</v>
      </c>
      <c r="AX70" s="2">
        <v>24</v>
      </c>
      <c r="BA70" s="2" t="s">
        <v>64</v>
      </c>
    </row>
    <row r="71" spans="1:53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>
        <v>102530</v>
      </c>
      <c r="AU71" s="2" t="s">
        <v>67</v>
      </c>
      <c r="AV71" s="2" t="s">
        <v>113</v>
      </c>
      <c r="AW71" s="2" t="s">
        <v>114</v>
      </c>
      <c r="AX71" s="2">
        <v>10</v>
      </c>
      <c r="BA71" s="2" t="s">
        <v>67</v>
      </c>
    </row>
    <row r="72" spans="1:53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>
        <v>102530</v>
      </c>
      <c r="AU72" s="2" t="s">
        <v>73</v>
      </c>
      <c r="AV72" s="2" t="s">
        <v>74</v>
      </c>
      <c r="AW72" s="2" t="s">
        <v>75</v>
      </c>
      <c r="AX72" s="2">
        <v>2</v>
      </c>
      <c r="BA72" s="2" t="s">
        <v>73</v>
      </c>
    </row>
    <row r="73" spans="1:53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>
        <v>102530</v>
      </c>
      <c r="AU73" s="2" t="s">
        <v>76</v>
      </c>
      <c r="AV73" s="2" t="s">
        <v>130</v>
      </c>
      <c r="AW73" s="2" t="s">
        <v>131</v>
      </c>
      <c r="AX73" s="2">
        <v>9</v>
      </c>
      <c r="BA73" s="2" t="s">
        <v>76</v>
      </c>
    </row>
    <row r="74" spans="1:53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>
        <v>102530</v>
      </c>
      <c r="AU74" s="2" t="s">
        <v>97</v>
      </c>
      <c r="AV74" s="2" t="s">
        <v>71</v>
      </c>
      <c r="AW74" s="2" t="s">
        <v>72</v>
      </c>
      <c r="AX74" s="2">
        <v>1.8</v>
      </c>
      <c r="BA74" s="2" t="s">
        <v>97</v>
      </c>
    </row>
    <row r="75" spans="1:53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BA75" s="2"/>
    </row>
    <row r="76" spans="1:53" x14ac:dyDescent="0.25">
      <c r="A76" s="2">
        <v>9</v>
      </c>
      <c r="B76" s="2">
        <v>108</v>
      </c>
      <c r="C76" s="2" t="s">
        <v>144</v>
      </c>
      <c r="D76" s="2" t="s">
        <v>51</v>
      </c>
      <c r="E76" s="2" t="s">
        <v>98</v>
      </c>
      <c r="F76" s="2" t="s">
        <v>145</v>
      </c>
      <c r="G76" s="2" t="s">
        <v>146</v>
      </c>
      <c r="H76" s="2">
        <v>900</v>
      </c>
      <c r="I76" s="2" t="s">
        <v>53</v>
      </c>
      <c r="J76" s="2">
        <v>120</v>
      </c>
      <c r="K76" s="2">
        <v>12</v>
      </c>
      <c r="L76" s="2">
        <v>510</v>
      </c>
      <c r="M76" s="2"/>
      <c r="N76" s="2" t="s">
        <v>132</v>
      </c>
      <c r="O76" s="2">
        <v>4150</v>
      </c>
      <c r="P76" s="2">
        <v>992</v>
      </c>
      <c r="Q76" s="2"/>
      <c r="R76" s="2" t="s">
        <v>133</v>
      </c>
      <c r="S76" s="2">
        <v>24</v>
      </c>
      <c r="T76" s="2">
        <v>26</v>
      </c>
      <c r="U76" s="2">
        <v>3.75</v>
      </c>
      <c r="V76" s="2">
        <v>3.75</v>
      </c>
      <c r="W76" s="2">
        <v>3.75</v>
      </c>
      <c r="X76" s="2">
        <v>229</v>
      </c>
      <c r="Y76" s="2">
        <v>230</v>
      </c>
      <c r="Z76" s="2"/>
      <c r="AA76" s="2"/>
      <c r="AB76" s="2" t="s">
        <v>56</v>
      </c>
      <c r="AC76" s="2" t="s">
        <v>56</v>
      </c>
      <c r="AD76" s="2" t="s">
        <v>56</v>
      </c>
      <c r="AE76" s="2" t="s">
        <v>56</v>
      </c>
      <c r="AF76" s="2" t="s">
        <v>57</v>
      </c>
      <c r="AG76" s="2">
        <v>21.18</v>
      </c>
      <c r="AH76" s="2">
        <v>50</v>
      </c>
      <c r="AI76" s="2">
        <v>20.39</v>
      </c>
      <c r="AJ76" s="2">
        <v>20</v>
      </c>
      <c r="AK76" s="2">
        <v>8.23</v>
      </c>
      <c r="AL76" s="2">
        <v>8.23</v>
      </c>
      <c r="AM76" s="2">
        <v>8.23</v>
      </c>
      <c r="AN76" s="2">
        <v>8.23</v>
      </c>
      <c r="AO76" s="2">
        <v>40.78</v>
      </c>
      <c r="AP76" s="2"/>
      <c r="AQ76" s="2">
        <v>816</v>
      </c>
      <c r="AR76" s="2">
        <v>408</v>
      </c>
      <c r="AS76" s="2">
        <v>49.55</v>
      </c>
      <c r="AT76" s="2">
        <v>102720</v>
      </c>
      <c r="AU76" s="2" t="s">
        <v>58</v>
      </c>
      <c r="AV76" s="2" t="s">
        <v>86</v>
      </c>
      <c r="AW76" s="2" t="s">
        <v>87</v>
      </c>
      <c r="AX76" s="2">
        <v>10</v>
      </c>
      <c r="BA76" s="2" t="s">
        <v>58</v>
      </c>
    </row>
    <row r="77" spans="1:53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>
        <v>102720</v>
      </c>
      <c r="AU77" s="2" t="s">
        <v>134</v>
      </c>
      <c r="AV77" s="2" t="s">
        <v>71</v>
      </c>
      <c r="AW77" s="2" t="s">
        <v>72</v>
      </c>
      <c r="AX77" s="2">
        <v>2</v>
      </c>
      <c r="BA77" s="2" t="s">
        <v>134</v>
      </c>
    </row>
    <row r="78" spans="1:53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>
        <v>102720</v>
      </c>
      <c r="AU78" s="2" t="s">
        <v>88</v>
      </c>
      <c r="AV78" s="2" t="s">
        <v>89</v>
      </c>
      <c r="AW78" s="2" t="s">
        <v>90</v>
      </c>
      <c r="AX78" s="2">
        <v>43</v>
      </c>
      <c r="BA78" s="2" t="s">
        <v>88</v>
      </c>
    </row>
    <row r="79" spans="1:53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>
        <v>102720</v>
      </c>
      <c r="AU79" s="2" t="s">
        <v>64</v>
      </c>
      <c r="AV79" s="2" t="s">
        <v>91</v>
      </c>
      <c r="AW79" s="2" t="s">
        <v>92</v>
      </c>
      <c r="AX79" s="2">
        <v>15</v>
      </c>
      <c r="BA79" s="2" t="s">
        <v>64</v>
      </c>
    </row>
    <row r="80" spans="1:53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>
        <v>102720</v>
      </c>
      <c r="AU80" s="2" t="s">
        <v>67</v>
      </c>
      <c r="AV80" s="2" t="s">
        <v>113</v>
      </c>
      <c r="AW80" s="2" t="s">
        <v>114</v>
      </c>
      <c r="AX80" s="2">
        <v>10</v>
      </c>
      <c r="BA80" s="2" t="s">
        <v>67</v>
      </c>
    </row>
    <row r="81" spans="1:53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>
        <v>102720</v>
      </c>
      <c r="AU81" s="2" t="s">
        <v>135</v>
      </c>
      <c r="AV81" s="2" t="s">
        <v>136</v>
      </c>
      <c r="AW81" s="2" t="s">
        <v>137</v>
      </c>
      <c r="AX81" s="2">
        <v>6</v>
      </c>
      <c r="BA81" s="2" t="s">
        <v>135</v>
      </c>
    </row>
    <row r="82" spans="1:53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>
        <v>102720</v>
      </c>
      <c r="AU82" s="2" t="s">
        <v>138</v>
      </c>
      <c r="AV82" s="2" t="s">
        <v>115</v>
      </c>
      <c r="AW82" s="2" t="s">
        <v>116</v>
      </c>
      <c r="AX82" s="2">
        <v>14</v>
      </c>
      <c r="BA82" s="2" t="s">
        <v>138</v>
      </c>
    </row>
    <row r="83" spans="1:53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BA83" s="2"/>
    </row>
    <row r="84" spans="1:53" x14ac:dyDescent="0.25">
      <c r="A84" s="2">
        <v>10</v>
      </c>
      <c r="B84" s="2">
        <v>109</v>
      </c>
      <c r="C84" s="2" t="s">
        <v>144</v>
      </c>
      <c r="D84" s="2" t="s">
        <v>51</v>
      </c>
      <c r="E84" s="2" t="s">
        <v>52</v>
      </c>
      <c r="F84" s="2" t="s">
        <v>145</v>
      </c>
      <c r="G84" s="2" t="s">
        <v>146</v>
      </c>
      <c r="H84" s="2">
        <v>200</v>
      </c>
      <c r="I84" s="2" t="s">
        <v>53</v>
      </c>
      <c r="J84" s="2">
        <v>120</v>
      </c>
      <c r="K84" s="2">
        <v>12</v>
      </c>
      <c r="L84" s="2">
        <v>550</v>
      </c>
      <c r="M84" s="2"/>
      <c r="N84" s="2"/>
      <c r="O84" s="2"/>
      <c r="P84" s="2">
        <v>456</v>
      </c>
      <c r="Q84" s="2">
        <v>50</v>
      </c>
      <c r="R84" s="2" t="s">
        <v>139</v>
      </c>
      <c r="S84" s="2">
        <v>50</v>
      </c>
      <c r="T84" s="2">
        <v>26</v>
      </c>
      <c r="U84" s="2"/>
      <c r="V84" s="2"/>
      <c r="W84" s="2"/>
      <c r="X84" s="2">
        <v>105</v>
      </c>
      <c r="Y84" s="2">
        <v>230</v>
      </c>
      <c r="Z84" s="2"/>
      <c r="AA84" s="2"/>
      <c r="AB84" s="2" t="s">
        <v>56</v>
      </c>
      <c r="AC84" s="2" t="s">
        <v>56</v>
      </c>
      <c r="AD84" s="2" t="s">
        <v>56</v>
      </c>
      <c r="AE84" s="2" t="s">
        <v>56</v>
      </c>
      <c r="AF84" s="2" t="s">
        <v>57</v>
      </c>
      <c r="AG84" s="2"/>
      <c r="AH84" s="2">
        <v>50</v>
      </c>
      <c r="AI84" s="2">
        <v>19.89</v>
      </c>
      <c r="AJ84" s="2">
        <v>20</v>
      </c>
      <c r="AK84" s="2">
        <v>8.5</v>
      </c>
      <c r="AL84" s="2">
        <v>8.5</v>
      </c>
      <c r="AM84" s="2">
        <v>8.5</v>
      </c>
      <c r="AN84" s="2">
        <v>8.5</v>
      </c>
      <c r="AO84" s="2">
        <v>39.78</v>
      </c>
      <c r="AP84" s="2"/>
      <c r="AQ84" s="2">
        <v>796</v>
      </c>
      <c r="AR84" s="2">
        <v>398</v>
      </c>
      <c r="AS84" s="2">
        <v>46.8</v>
      </c>
      <c r="AT84" s="2">
        <v>102870</v>
      </c>
      <c r="AU84" s="2" t="s">
        <v>58</v>
      </c>
      <c r="AV84" s="2" t="s">
        <v>59</v>
      </c>
      <c r="AW84" s="2" t="s">
        <v>60</v>
      </c>
      <c r="AX84" s="2">
        <v>10</v>
      </c>
      <c r="BA84" s="2" t="s">
        <v>58</v>
      </c>
    </row>
    <row r="85" spans="1:53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>
        <v>102870</v>
      </c>
      <c r="AU85" s="2" t="s">
        <v>101</v>
      </c>
      <c r="AV85" s="2" t="s">
        <v>140</v>
      </c>
      <c r="AW85" s="2" t="s">
        <v>141</v>
      </c>
      <c r="AX85" s="2">
        <v>39</v>
      </c>
      <c r="BA85" s="2" t="s">
        <v>101</v>
      </c>
    </row>
    <row r="86" spans="1:53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>
        <v>102870</v>
      </c>
      <c r="AU86" s="2" t="s">
        <v>64</v>
      </c>
      <c r="AV86" s="2" t="s">
        <v>91</v>
      </c>
      <c r="AW86" s="2" t="s">
        <v>92</v>
      </c>
      <c r="AX86" s="2">
        <v>24</v>
      </c>
      <c r="BA86" s="2" t="s">
        <v>64</v>
      </c>
    </row>
    <row r="87" spans="1:53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>
        <v>102870</v>
      </c>
      <c r="AU87" s="2" t="s">
        <v>67</v>
      </c>
      <c r="AV87" s="2" t="s">
        <v>68</v>
      </c>
      <c r="AW87" s="2" t="s">
        <v>69</v>
      </c>
      <c r="AX87" s="2">
        <v>10</v>
      </c>
      <c r="BA87" s="2" t="s">
        <v>67</v>
      </c>
    </row>
    <row r="88" spans="1:53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>
        <v>102870</v>
      </c>
      <c r="AU88" s="2" t="s">
        <v>135</v>
      </c>
      <c r="AV88" s="2" t="s">
        <v>142</v>
      </c>
      <c r="AW88" s="2" t="s">
        <v>143</v>
      </c>
      <c r="AX88" s="2">
        <v>15</v>
      </c>
      <c r="BA88" s="2" t="s">
        <v>135</v>
      </c>
    </row>
    <row r="89" spans="1:53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>
        <v>102870</v>
      </c>
      <c r="AU89" s="2" t="s">
        <v>97</v>
      </c>
      <c r="AV89" s="2" t="s">
        <v>105</v>
      </c>
      <c r="AW89" s="2" t="s">
        <v>106</v>
      </c>
      <c r="AX89" s="2">
        <v>2</v>
      </c>
      <c r="BA89" s="2" t="s">
        <v>97</v>
      </c>
    </row>
    <row r="90" spans="1:53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BA90" s="2"/>
    </row>
  </sheetData>
  <autoFilter ref="A4:AX13"/>
  <mergeCells count="1">
    <mergeCell ref="A1:AX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3.copiefils">
                <anchor moveWithCells="1" sizeWithCells="1">
                  <from>
                    <xdr:col>52</xdr:col>
                    <xdr:colOff>628650</xdr:colOff>
                    <xdr:row>0</xdr:row>
                    <xdr:rowOff>228600</xdr:rowOff>
                  </from>
                  <to>
                    <xdr:col>53</xdr:col>
                    <xdr:colOff>695325</xdr:colOff>
                    <xdr:row>2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11"/>
  <sheetViews>
    <sheetView workbookViewId="0">
      <selection activeCell="D11" sqref="D11"/>
    </sheetView>
  </sheetViews>
  <sheetFormatPr baseColWidth="10" defaultRowHeight="15" x14ac:dyDescent="0.25"/>
  <sheetData>
    <row r="1" spans="1:1" x14ac:dyDescent="0.25">
      <c r="A1" t="s">
        <v>230</v>
      </c>
    </row>
    <row r="2" spans="1:1" x14ac:dyDescent="0.25">
      <c r="A2">
        <v>1</v>
      </c>
    </row>
    <row r="3" spans="1:1" x14ac:dyDescent="0.25">
      <c r="A3">
        <v>2</v>
      </c>
    </row>
    <row r="4" spans="1:1" x14ac:dyDescent="0.25">
      <c r="A4">
        <v>2</v>
      </c>
    </row>
    <row r="5" spans="1:1" x14ac:dyDescent="0.25">
      <c r="A5">
        <v>4</v>
      </c>
    </row>
    <row r="6" spans="1:1" x14ac:dyDescent="0.25">
      <c r="A6">
        <v>5</v>
      </c>
    </row>
    <row r="7" spans="1:1" x14ac:dyDescent="0.25">
      <c r="A7">
        <v>6</v>
      </c>
    </row>
    <row r="8" spans="1:1" x14ac:dyDescent="0.25">
      <c r="A8">
        <v>7</v>
      </c>
    </row>
    <row r="9" spans="1:1" x14ac:dyDescent="0.25">
      <c r="A9">
        <v>8</v>
      </c>
    </row>
    <row r="10" spans="1:1" x14ac:dyDescent="0.25">
      <c r="A10">
        <v>9</v>
      </c>
    </row>
    <row r="11" spans="1:1" x14ac:dyDescent="0.25">
      <c r="A11">
        <v>10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M1"/>
  <sheetViews>
    <sheetView tabSelected="1" workbookViewId="0"/>
  </sheetViews>
  <sheetFormatPr baseColWidth="10" defaultRowHeight="15" x14ac:dyDescent="0.25"/>
  <cols>
    <col min="1" max="13" width="19.42578125" style="85" customWidth="1"/>
    <col min="14" max="16384" width="11.42578125" style="85"/>
  </cols>
  <sheetData>
    <row r="1" spans="1:13" ht="31.5" customHeight="1" x14ac:dyDescent="0.25">
      <c r="A1" s="102" t="s">
        <v>242</v>
      </c>
      <c r="B1" s="102" t="str">
        <f>'FEUILLE RECAP'!A6</f>
        <v xml:space="preserve">Marque Comm </v>
      </c>
      <c r="C1" s="102" t="str">
        <f>'FEUILLE RECAP'!A7</f>
        <v xml:space="preserve">Famille Produit </v>
      </c>
      <c r="D1" s="102" t="str">
        <f>'FEUILLE RECAP'!A8</f>
        <v xml:space="preserve">Construction </v>
      </c>
      <c r="E1" s="85" t="str">
        <f>'FEUILLE RECAP'!A9</f>
        <v xml:space="preserve">Fam.Production </v>
      </c>
      <c r="F1" s="85" t="str">
        <f>'FEUILLE RECAP'!A25</f>
        <v xml:space="preserve">Nb Bandes </v>
      </c>
      <c r="G1" s="102" t="str">
        <f>'FEUILLE RECAP'!A24</f>
        <v>Longueur Finie Bd</v>
      </c>
      <c r="H1" s="102" t="str">
        <f>'FEUILLE RECAP'!A27</f>
        <v xml:space="preserve">Poids Ecru </v>
      </c>
      <c r="I1" s="102" t="str">
        <f>'FEUILLE RECAP'!A29</f>
        <v xml:space="preserve">Poids Fini </v>
      </c>
      <c r="J1" s="102" t="str">
        <f>'FEUILLE RECAP'!D26</f>
        <v xml:space="preserve">Longueur Ecrue Pièce </v>
      </c>
      <c r="K1" s="102" t="str">
        <f>'FEUILLE RECAP'!D27</f>
        <v xml:space="preserve">Longueur Finie Pièce </v>
      </c>
      <c r="L1" s="103" t="s">
        <v>243</v>
      </c>
      <c r="M1" s="102" t="s">
        <v>244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utton 1">
              <controlPr defaultSize="0" print="0" autoFill="0" autoPict="0" macro="[0]!Dessin">
                <anchor moveWithCells="1" sizeWithCells="1">
                  <from>
                    <xdr:col>13</xdr:col>
                    <xdr:colOff>485775</xdr:colOff>
                    <xdr:row>1</xdr:row>
                    <xdr:rowOff>9525</xdr:rowOff>
                  </from>
                  <to>
                    <xdr:col>14</xdr:col>
                    <xdr:colOff>561975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FEUILLE RECAP</vt:lpstr>
      <vt:lpstr>COUT</vt:lpstr>
      <vt:lpstr>DONNEES GENERALES (2)</vt:lpstr>
      <vt:lpstr>Feuil1</vt:lpstr>
      <vt:lpstr>Feuil2</vt:lpstr>
      <vt:lpstr>'FEUILLE RECAP'!Zone_d_impression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stage</dc:creator>
  <cp:lastModifiedBy>Guy Blancher</cp:lastModifiedBy>
  <dcterms:created xsi:type="dcterms:W3CDTF">2022-03-14T10:39:08Z</dcterms:created>
  <dcterms:modified xsi:type="dcterms:W3CDTF">2022-03-25T16:30:34Z</dcterms:modified>
</cp:coreProperties>
</file>