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6415" windowHeight="9915"/>
  </bookViews>
  <sheets>
    <sheet name="Accueil" sheetId="5" r:id="rId1"/>
    <sheet name="Mars 2021" sheetId="6" state="hidden" r:id="rId2"/>
    <sheet name="Mois + Fiche" sheetId="3" state="hidden" r:id="rId3"/>
    <sheet name="Données" sheetId="4" state="hidden" r:id="rId4"/>
    <sheet name="Datas" sheetId="1" state="hidden" r:id="rId5"/>
  </sheets>
  <definedNames>
    <definedName name="Lettre">Données!$A$2:$A$13</definedName>
    <definedName name="nomMois" localSheetId="1">MOIS[MOIS2]</definedName>
    <definedName name="nomMois">MOIS[MOIS2]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8" i="6" l="1"/>
  <c r="W18" i="6" s="1"/>
  <c r="T17" i="6"/>
  <c r="W17" i="6" s="1"/>
  <c r="T16" i="6"/>
  <c r="T15" i="6"/>
  <c r="T14" i="6"/>
  <c r="T13" i="6"/>
  <c r="T12" i="6"/>
  <c r="T11" i="6"/>
  <c r="T10" i="6"/>
  <c r="T9" i="6"/>
  <c r="T8" i="6"/>
  <c r="T7" i="6"/>
  <c r="N6" i="6"/>
  <c r="L6" i="6"/>
  <c r="J6" i="6"/>
  <c r="H6" i="6"/>
  <c r="F6" i="6"/>
  <c r="D6" i="6"/>
  <c r="B6" i="6"/>
  <c r="B5" i="6"/>
  <c r="N12" i="6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N6" i="3"/>
  <c r="L6" i="3"/>
  <c r="J6" i="3"/>
  <c r="H6" i="3"/>
  <c r="F6" i="3"/>
  <c r="D6" i="3"/>
  <c r="B6" i="3"/>
  <c r="B5" i="3"/>
  <c r="N12" i="3" s="1"/>
  <c r="D7" i="6" l="1"/>
  <c r="L7" i="6"/>
  <c r="D8" i="6"/>
  <c r="L8" i="6"/>
  <c r="D9" i="6"/>
  <c r="L9" i="6"/>
  <c r="D10" i="6"/>
  <c r="L10" i="6"/>
  <c r="D11" i="6"/>
  <c r="L11" i="6"/>
  <c r="D12" i="6"/>
  <c r="L12" i="6"/>
  <c r="H7" i="6"/>
  <c r="H8" i="6"/>
  <c r="H9" i="6"/>
  <c r="H10" i="6"/>
  <c r="H11" i="6"/>
  <c r="H12" i="6"/>
  <c r="B7" i="6"/>
  <c r="F7" i="6"/>
  <c r="J7" i="6"/>
  <c r="N7" i="6"/>
  <c r="Q7" i="6" s="1"/>
  <c r="B8" i="6"/>
  <c r="P8" i="6" s="1"/>
  <c r="Q8" i="6" s="1"/>
  <c r="F8" i="6"/>
  <c r="J8" i="6"/>
  <c r="N8" i="6"/>
  <c r="B9" i="6"/>
  <c r="P9" i="6" s="1"/>
  <c r="Q9" i="6" s="1"/>
  <c r="F9" i="6"/>
  <c r="J9" i="6"/>
  <c r="N9" i="6"/>
  <c r="B10" i="6"/>
  <c r="P10" i="6" s="1"/>
  <c r="Q10" i="6" s="1"/>
  <c r="F10" i="6"/>
  <c r="J10" i="6"/>
  <c r="N10" i="6"/>
  <c r="B11" i="6"/>
  <c r="P11" i="6" s="1"/>
  <c r="Q11" i="6" s="1"/>
  <c r="F11" i="6"/>
  <c r="J11" i="6"/>
  <c r="N11" i="6"/>
  <c r="B12" i="6"/>
  <c r="P12" i="6" s="1"/>
  <c r="Q12" i="6" s="1"/>
  <c r="F12" i="6"/>
  <c r="J12" i="6"/>
  <c r="C31" i="1"/>
  <c r="C32" i="1"/>
  <c r="C33" i="1"/>
  <c r="B7" i="3"/>
  <c r="F7" i="3"/>
  <c r="J7" i="3"/>
  <c r="N7" i="3"/>
  <c r="D8" i="3"/>
  <c r="H8" i="3"/>
  <c r="L8" i="3"/>
  <c r="B9" i="3"/>
  <c r="F9" i="3"/>
  <c r="J9" i="3"/>
  <c r="N9" i="3"/>
  <c r="D10" i="3"/>
  <c r="H10" i="3"/>
  <c r="L10" i="3"/>
  <c r="B11" i="3"/>
  <c r="F11" i="3"/>
  <c r="J11" i="3"/>
  <c r="N11" i="3"/>
  <c r="D12" i="3"/>
  <c r="H12" i="3"/>
  <c r="L12" i="3"/>
  <c r="D7" i="3"/>
  <c r="H7" i="3"/>
  <c r="L7" i="3"/>
  <c r="B8" i="3"/>
  <c r="F8" i="3"/>
  <c r="J8" i="3"/>
  <c r="N8" i="3"/>
  <c r="D9" i="3"/>
  <c r="H9" i="3"/>
  <c r="L9" i="3"/>
  <c r="B10" i="3"/>
  <c r="F10" i="3"/>
  <c r="J10" i="3"/>
  <c r="N10" i="3"/>
  <c r="D11" i="3"/>
  <c r="H11" i="3"/>
  <c r="L11" i="3"/>
  <c r="B12" i="3"/>
  <c r="F12" i="3"/>
  <c r="J12" i="3"/>
  <c r="J13" i="4"/>
  <c r="J12" i="4"/>
  <c r="J11" i="4"/>
  <c r="J10" i="4"/>
  <c r="J9" i="4"/>
  <c r="J6" i="4"/>
  <c r="J5" i="4"/>
  <c r="J3" i="4"/>
  <c r="J8" i="4" s="1"/>
  <c r="J2" i="4"/>
  <c r="W18" i="3"/>
  <c r="T18" i="3"/>
  <c r="W17" i="3"/>
  <c r="T17" i="3"/>
  <c r="T16" i="3"/>
  <c r="T15" i="3"/>
  <c r="T14" i="3"/>
  <c r="T13" i="3"/>
  <c r="T12" i="3"/>
  <c r="T11" i="3"/>
  <c r="T10" i="3"/>
  <c r="T9" i="3"/>
  <c r="T8" i="3"/>
  <c r="T7" i="3"/>
  <c r="U18" i="6" l="1"/>
  <c r="U16" i="6"/>
  <c r="W16" i="6" s="1"/>
  <c r="U14" i="6"/>
  <c r="W14" i="6" s="1"/>
  <c r="U12" i="6"/>
  <c r="W12" i="6" s="1"/>
  <c r="U11" i="6"/>
  <c r="W11" i="6" s="1"/>
  <c r="U10" i="6"/>
  <c r="W10" i="6" s="1"/>
  <c r="U9" i="6"/>
  <c r="W9" i="6" s="1"/>
  <c r="U8" i="6"/>
  <c r="W8" i="6" s="1"/>
  <c r="U7" i="6"/>
  <c r="U17" i="6"/>
  <c r="U15" i="6"/>
  <c r="W15" i="6" s="1"/>
  <c r="U13" i="6"/>
  <c r="W13" i="6" s="1"/>
  <c r="P7" i="6"/>
  <c r="P10" i="3"/>
  <c r="Q10" i="3" s="1"/>
  <c r="P8" i="3"/>
  <c r="Q8" i="3" s="1"/>
  <c r="P12" i="3"/>
  <c r="Q12" i="3" s="1"/>
  <c r="Q7" i="3"/>
  <c r="P9" i="3"/>
  <c r="Q9" i="3" s="1"/>
  <c r="P11" i="3"/>
  <c r="Q11" i="3" s="1"/>
  <c r="J4" i="4"/>
  <c r="J7" i="4"/>
  <c r="U20" i="6" l="1"/>
  <c r="W20" i="6" s="1"/>
  <c r="U19" i="6"/>
  <c r="W19" i="6" s="1"/>
  <c r="W7" i="6"/>
  <c r="P7" i="3"/>
  <c r="U17" i="3"/>
  <c r="U15" i="3"/>
  <c r="W15" i="3" s="1"/>
  <c r="U8" i="3"/>
  <c r="W8" i="3" s="1"/>
  <c r="U10" i="3"/>
  <c r="W10" i="3" s="1"/>
  <c r="U12" i="3"/>
  <c r="W12" i="3" s="1"/>
  <c r="U14" i="3"/>
  <c r="W14" i="3" s="1"/>
  <c r="U18" i="3"/>
  <c r="U16" i="3"/>
  <c r="W16" i="3" s="1"/>
  <c r="U9" i="3"/>
  <c r="W9" i="3" s="1"/>
  <c r="U11" i="3"/>
  <c r="W11" i="3" s="1"/>
  <c r="U13" i="3"/>
  <c r="W13" i="3" s="1"/>
  <c r="U7" i="3"/>
  <c r="W25" i="6" l="1"/>
  <c r="W26" i="6" s="1"/>
  <c r="U19" i="3"/>
  <c r="W19" i="3" s="1"/>
  <c r="U20" i="3"/>
  <c r="W20" i="3" s="1"/>
  <c r="W7" i="3"/>
  <c r="W25" i="3" l="1"/>
  <c r="W26" i="3" s="1"/>
</calcChain>
</file>

<file path=xl/comments1.xml><?xml version="1.0" encoding="utf-8"?>
<comments xmlns="http://schemas.openxmlformats.org/spreadsheetml/2006/main">
  <authors>
    <author>Auteur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 xml:space="preserve">Change les jours de la semaine laisser sur 2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<sst xmlns="http://schemas.openxmlformats.org/spreadsheetml/2006/main" count="108" uniqueCount="74">
  <si>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</si>
  <si>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</si>
  <si>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</si>
  <si>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</si>
  <si>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</si>
  <si>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</si>
  <si>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</si>
  <si>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</si>
  <si>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</si>
  <si>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</si>
  <si>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</si>
  <si>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</si>
  <si>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</si>
  <si>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LETTRE</t>
  </si>
  <si>
    <t>DÉNOMINATION</t>
  </si>
  <si>
    <t>MOIS</t>
  </si>
  <si>
    <t>MOIS2</t>
  </si>
  <si>
    <t>ANNÉES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</si>
  <si>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</si>
  <si>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</si>
  <si>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</si>
  <si>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</si>
  <si>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</si>
  <si>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</si>
  <si>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</si>
  <si>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</si>
  <si>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</si>
  <si>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</si>
  <si>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</si>
  <si>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</si>
  <si>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JOURS</t>
  </si>
  <si>
    <t>DATES</t>
  </si>
  <si>
    <t xml:space="preserve">Total net </t>
  </si>
  <si>
    <t>Total brut</t>
  </si>
  <si>
    <t>Congé ancienneté</t>
  </si>
  <si>
    <t>Prime de transfert</t>
  </si>
  <si>
    <t>Prime flex salaire</t>
  </si>
  <si>
    <t xml:space="preserve">Trajet par Voyage </t>
  </si>
  <si>
    <t xml:space="preserve">Ticket restaurant </t>
  </si>
  <si>
    <t>Formation</t>
  </si>
  <si>
    <t>Réunion</t>
  </si>
  <si>
    <t>Heure sup nuit</t>
  </si>
  <si>
    <t>Heure sup m/a-m</t>
  </si>
  <si>
    <t>Jours fériés</t>
  </si>
  <si>
    <t>Journée de pont</t>
  </si>
  <si>
    <t>Jours semaine nuit</t>
  </si>
  <si>
    <t>Jours semaine m/a-m</t>
  </si>
  <si>
    <t>Dimanche matin</t>
  </si>
  <si>
    <t>Samedi matin</t>
  </si>
  <si>
    <t>Dimanche nuit</t>
  </si>
  <si>
    <t>Samedi nuit</t>
  </si>
  <si>
    <t>Taux horraire</t>
  </si>
  <si>
    <t>Total</t>
  </si>
  <si>
    <t>Heures</t>
  </si>
  <si>
    <t>Nombres de jours</t>
  </si>
  <si>
    <t>Total €</t>
  </si>
  <si>
    <t>Js M/A-p</t>
  </si>
  <si>
    <t>Js Nuit</t>
  </si>
  <si>
    <t>J de Pont</t>
  </si>
  <si>
    <t>Heure sup m/a-p</t>
  </si>
  <si>
    <t>sn</t>
  </si>
  <si>
    <t>dn</t>
  </si>
  <si>
    <t>sm</t>
  </si>
  <si>
    <t>dm</t>
  </si>
  <si>
    <t>js m/a</t>
  </si>
  <si>
    <t>js n</t>
  </si>
  <si>
    <t>jp</t>
  </si>
  <si>
    <t>jf</t>
  </si>
  <si>
    <t>h m/a</t>
  </si>
  <si>
    <t>h n</t>
  </si>
  <si>
    <t xml:space="preserve">et il faudrait un bouton pour sauvegarder la feuille </t>
  </si>
  <si>
    <t>r</t>
  </si>
  <si>
    <t>f</t>
  </si>
  <si>
    <t>https://forum.excel-pratique.com/excel/faire-une-somme-avec-un-menu-deroulant-dans-un-calendrier-161668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</si>
</sst>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 &quot;→&quot;"/>
    <numFmt numFmtId="165" formatCode="ddd\ dd/mm/yyyy"/>
    <numFmt numFmtId="166" formatCode="mmmm\ yyyy"/>
  </numFmts>
  <fonts count="1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theme="1"/>
      <name val="Nexa Bold"/>
      <family val="3"/>
    </font>
    <font>
      <sz val="14"/>
      <color rgb="FF00B0F0"/>
      <name val="Nexa Bold"/>
      <family val="3"/>
    </font>
    <font>
      <sz val="18"/>
      <color theme="1"/>
      <name val="Nexa Bold"/>
      <family val="3"/>
    </font>
    <font>
      <sz val="16"/>
      <color theme="1"/>
      <name val="Nexa Light"/>
      <family val="3"/>
    </font>
    <font>
      <sz val="10"/>
      <color theme="0"/>
      <name val="Calibri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1" fillId="0" borderId="28" applyNumberFormat="0" applyFill="0" applyAlignment="0" applyProtection="0"/>
    <xf numFmtId="0" fontId="16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164" fontId="8" fillId="0" borderId="10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64" fontId="8" fillId="7" borderId="10" xfId="0" applyNumberFormat="1" applyFont="1" applyFill="1" applyBorder="1" applyAlignment="1">
      <alignment horizontal="center" vertical="center"/>
    </xf>
    <xf numFmtId="164" fontId="8" fillId="7" borderId="13" xfId="0" applyNumberFormat="1" applyFont="1" applyFill="1" applyBorder="1" applyAlignment="1">
      <alignment horizontal="center" vertical="center"/>
    </xf>
    <xf numFmtId="164" fontId="8" fillId="7" borderId="16" xfId="0" applyNumberFormat="1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164" fontId="8" fillId="0" borderId="14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65" fontId="7" fillId="0" borderId="22" xfId="0" applyNumberFormat="1" applyFont="1" applyBorder="1" applyAlignment="1">
      <alignment horizontal="center" vertical="center"/>
    </xf>
    <xf numFmtId="165" fontId="7" fillId="0" borderId="26" xfId="0" applyNumberFormat="1" applyFont="1" applyBorder="1" applyAlignment="1">
      <alignment horizontal="center" vertical="center"/>
    </xf>
    <xf numFmtId="165" fontId="7" fillId="0" borderId="24" xfId="0" applyNumberFormat="1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2" fontId="11" fillId="8" borderId="28" xfId="1" applyNumberFormat="1" applyFill="1" applyAlignment="1" applyProtection="1">
      <alignment horizontal="center"/>
    </xf>
    <xf numFmtId="2" fontId="11" fillId="0" borderId="28" xfId="1" applyNumberFormat="1" applyProtection="1">
      <protection locked="0"/>
    </xf>
    <xf numFmtId="0" fontId="11" fillId="9" borderId="28" xfId="1" applyFill="1" applyAlignment="1" applyProtection="1">
      <alignment horizontal="center"/>
      <protection locked="0"/>
    </xf>
    <xf numFmtId="2" fontId="11" fillId="0" borderId="28" xfId="1" applyNumberFormat="1" applyAlignment="1" applyProtection="1">
      <alignment horizontal="center"/>
    </xf>
    <xf numFmtId="2" fontId="11" fillId="0" borderId="28" xfId="1" applyNumberFormat="1" applyAlignment="1" applyProtection="1">
      <alignment horizontal="center"/>
      <protection locked="0"/>
    </xf>
    <xf numFmtId="0" fontId="11" fillId="10" borderId="28" xfId="1" applyFill="1" applyAlignment="1" applyProtection="1">
      <alignment horizontal="center"/>
      <protection locked="0"/>
    </xf>
    <xf numFmtId="0" fontId="11" fillId="8" borderId="28" xfId="1" applyFill="1" applyAlignment="1" applyProtection="1">
      <alignment horizontal="center"/>
      <protection locked="0"/>
    </xf>
    <xf numFmtId="0" fontId="12" fillId="4" borderId="0" xfId="0" applyFont="1" applyFill="1" applyAlignment="1">
      <alignment vertical="center"/>
    </xf>
    <xf numFmtId="0" fontId="12" fillId="0" borderId="0" xfId="0" applyFont="1" applyAlignment="1">
      <alignment vertical="center"/>
    </xf>
    <xf numFmtId="0" fontId="13" fillId="0" borderId="9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11" borderId="9" xfId="0" applyFont="1" applyFill="1" applyBorder="1" applyAlignment="1">
      <alignment horizontal="center" vertical="center"/>
    </xf>
    <xf numFmtId="0" fontId="13" fillId="11" borderId="29" xfId="0" applyFont="1" applyFill="1" applyBorder="1" applyAlignment="1">
      <alignment horizontal="center" vertical="center"/>
    </xf>
    <xf numFmtId="0" fontId="12" fillId="11" borderId="30" xfId="0" applyFont="1" applyFill="1" applyBorder="1" applyAlignment="1">
      <alignment horizontal="center" vertical="center"/>
    </xf>
    <xf numFmtId="164" fontId="8" fillId="0" borderId="31" xfId="0" applyNumberFormat="1" applyFont="1" applyBorder="1" applyAlignment="1">
      <alignment horizontal="center" vertical="center"/>
    </xf>
    <xf numFmtId="0" fontId="12" fillId="0" borderId="12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5" fillId="5" borderId="2" xfId="0" applyNumberFormat="1" applyFont="1" applyFill="1" applyBorder="1" applyAlignment="1">
      <alignment horizontal="center" vertical="center"/>
    </xf>
    <xf numFmtId="166" fontId="5" fillId="5" borderId="3" xfId="0" applyNumberFormat="1" applyFont="1" applyFill="1" applyBorder="1" applyAlignment="1">
      <alignment horizontal="center" vertical="center"/>
    </xf>
    <xf numFmtId="166" fontId="5" fillId="5" borderId="4" xfId="0" applyNumberFormat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16" fillId="0" borderId="0" xfId="2" applyAlignment="1">
      <alignment horizontal="left" vertical="center"/>
    </xf>
    <xf numFmtId="165" fontId="7" fillId="0" borderId="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Titre 2" xfId="1" builtinId="17"/>
  </cellStyles>
  <dxfs count="266"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numFmt numFmtId="165" formatCode="ddd\ 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685800</xdr:colOff>
      <xdr:row>9</xdr:row>
      <xdr:rowOff>0</xdr:rowOff>
    </xdr:from>
    <xdr:to>
      <xdr:col>5</xdr:col>
      <xdr:colOff>590550</xdr:colOff>
      <xdr:row>10</xdr:row>
      <xdr:rowOff>180974</xdr:rowOff>
    </xdr:to>
    <xdr:sp macro="[0]!Afficher" textlink="">
      <xdr:nvSpPr>
        <xdr:cNvPr id="2" name="ZoneTexte 1"/>
        <xdr:cNvSpPr txBox="1"/>
      </xdr:nvSpPr>
      <xdr:spPr>
        <a:xfrm>
          <a:off x="2209800" y="1714500"/>
          <a:ext cx="21907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</a:rPr>
            <a:t>Afficher un mois</a:t>
          </a:r>
        </a:p>
      </xdr:txBody>
    </xdr:sp>
    <xdr:clientData fPrintsWithSheet="0"/>
  </xdr:twoCellAnchor>
  <xdr:twoCellAnchor editAs="absolute">
    <xdr:from>
      <xdr:col>2</xdr:col>
      <xdr:colOff>685800</xdr:colOff>
      <xdr:row>13</xdr:row>
      <xdr:rowOff>161925</xdr:rowOff>
    </xdr:from>
    <xdr:to>
      <xdr:col>5</xdr:col>
      <xdr:colOff>590550</xdr:colOff>
      <xdr:row>15</xdr:row>
      <xdr:rowOff>152399</xdr:rowOff>
    </xdr:to>
    <xdr:sp macro="[0]!feuillesDeDonnées" textlink="">
      <xdr:nvSpPr>
        <xdr:cNvPr id="3" name="ZoneTexte 2"/>
        <xdr:cNvSpPr txBox="1"/>
      </xdr:nvSpPr>
      <xdr:spPr>
        <a:xfrm>
          <a:off x="2209800" y="2638425"/>
          <a:ext cx="21907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</a:rPr>
            <a:t>Afficher les feuilles de</a:t>
          </a:r>
          <a:r>
            <a:rPr lang="fr-FR" sz="1200" baseline="0">
              <a:solidFill>
                <a:srgbClr val="0000FF"/>
              </a:solidFill>
            </a:rPr>
            <a:t> données</a:t>
          </a:r>
          <a:endParaRPr lang="fr-FR" sz="12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D" displayName="D" ref="A1:B13" totalsRowShown="0" headerRowDxfId="265" dataDxfId="264">
  <autoFilter ref="A1:B13"/>
  <tableColumns count="2">
    <tableColumn id="1" name="LETTRE" dataDxfId="263"/>
    <tableColumn id="2" name="DÉNOMINATION" dataDxfId="26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MOIS" displayName="MOIS" ref="D1:E13" totalsRowShown="0" headerRowDxfId="261" dataDxfId="260">
  <autoFilter ref="D1:E13"/>
  <tableColumns count="2">
    <tableColumn id="1" name="MOIS" dataDxfId="259"/>
    <tableColumn id="2" name="MOIS2" dataDxfId="258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5" name="ANNÉES" displayName="ANNÉES" ref="G1:G11" totalsRowShown="0" headerRowDxfId="257" dataDxfId="256">
  <autoFilter ref="G1:G11"/>
  <tableColumns count="1">
    <tableColumn id="1" name="ANNÉES" dataDxfId="255"/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id="6" name="JOURS" displayName="JOURS" ref="I1:J13" totalsRowShown="0" headerRowBorderDxfId="254" tableBorderDxfId="253" totalsRowBorderDxfId="252">
  <autoFilter ref="I1:J13"/>
  <tableColumns count="2">
    <tableColumn id="1" name="JOURS" dataDxfId="251"/>
    <tableColumn id="2" name="DATES" dataDxfId="250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faire-une-somme-avec-un-menu-deroulant-dans-un-calendrier-161668" TargetMode="Externa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K14" sqref="K14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2:W27"/>
  <sheetViews>
    <sheetView zoomScale="115" zoomScaleNormal="115" workbookViewId="0">
      <selection activeCell="I17" sqref="I17"/>
    </sheetView>
  </sheetViews>
  <sheetFormatPr baseColWidth="10" defaultColWidth="11.5703125" defaultRowHeight="15.75"/>
  <cols>
    <col min="1" max="1" width="3.7109375" style="9" customWidth="1"/>
    <col min="2" max="2" width="11.85546875" style="9" customWidth="1"/>
    <col min="3" max="3" width="13.7109375" style="39" customWidth="1"/>
    <col min="4" max="4" width="6.7109375" style="9" customWidth="1"/>
    <col min="5" max="5" width="14.28515625" style="39" bestFit="1" customWidth="1"/>
    <col min="6" max="6" width="6.7109375" style="9" customWidth="1"/>
    <col min="7" max="7" width="14.28515625" style="39" bestFit="1" customWidth="1"/>
    <col min="8" max="8" width="6.7109375" style="9" customWidth="1"/>
    <col min="9" max="9" width="14.28515625" style="39" bestFit="1" customWidth="1"/>
    <col min="10" max="10" width="6.7109375" style="9" customWidth="1"/>
    <col min="11" max="11" width="14.28515625" style="39" bestFit="1" customWidth="1"/>
    <col min="12" max="12" width="6.7109375" style="9" customWidth="1"/>
    <col min="13" max="13" width="14.28515625" style="39" bestFit="1" customWidth="1"/>
    <col min="14" max="14" width="6.7109375" style="9" customWidth="1"/>
    <col min="15" max="15" width="14.28515625" style="39" bestFit="1" customWidth="1"/>
    <col min="16" max="16" width="4.42578125" style="9" customWidth="1"/>
    <col min="17" max="17" width="28.28515625" style="9" bestFit="1" customWidth="1"/>
    <col min="18" max="18" width="3.7109375" style="9" customWidth="1"/>
    <col min="19" max="19" width="23.28515625" style="9" bestFit="1" customWidth="1"/>
    <col min="20" max="20" width="11.5703125" style="9"/>
    <col min="21" max="21" width="19.28515625" style="9" bestFit="1" customWidth="1"/>
    <col min="22" max="16384" width="11.5703125" style="9"/>
  </cols>
  <sheetData>
    <row r="2" spans="1:23">
      <c r="A2" s="8"/>
      <c r="B2" s="8"/>
      <c r="C2" s="38"/>
      <c r="D2" s="8"/>
      <c r="E2" s="38"/>
      <c r="F2" s="8"/>
      <c r="G2" s="38"/>
      <c r="H2" s="8"/>
      <c r="I2" s="38"/>
      <c r="J2" s="8"/>
      <c r="K2" s="38"/>
      <c r="L2" s="8"/>
      <c r="M2" s="38"/>
      <c r="N2" s="8"/>
      <c r="O2" s="38"/>
      <c r="P2" s="8"/>
      <c r="Q2" s="8"/>
      <c r="R2" s="8"/>
    </row>
    <row r="3" spans="1:23" ht="18.75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23" ht="7.15" customHeight="1" thickBot="1"/>
    <row r="5" spans="1:23" ht="19.899999999999999" customHeight="1" thickBot="1">
      <c r="B5" s="49">
        <f>DATE(Datas!$C$1,Datas!$D$1,1)</f>
        <v>44256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1"/>
      <c r="Q5" s="7" t="s">
        <v>12</v>
      </c>
      <c r="S5" s="37"/>
      <c r="T5" s="37" t="s">
        <v>55</v>
      </c>
      <c r="U5" s="37" t="s">
        <v>54</v>
      </c>
      <c r="V5" s="37" t="s">
        <v>53</v>
      </c>
      <c r="W5" s="37" t="s">
        <v>52</v>
      </c>
    </row>
    <row r="6" spans="1:23" ht="19.899999999999999" customHeight="1" thickTop="1" thickBot="1">
      <c r="B6" s="52" t="str">
        <f>INDEX({"Dim","Lun","Mar","Mer","Jeu","Ven","Sam"},1+MOD(Datas!$B$1+1-2,7))</f>
        <v>Lun</v>
      </c>
      <c r="C6" s="53"/>
      <c r="D6" s="54" t="str">
        <f>INDEX({"Dim","Lun","Mar","Mer","Jeu","Ven","Sam"},1+MOD(Datas!$B$1+2-2,7))</f>
        <v>Mar</v>
      </c>
      <c r="E6" s="55"/>
      <c r="F6" s="53" t="str">
        <f>INDEX({"Dim","Lun","Mar","Mer","Jeu","Ven","Sam"},1+MOD(Datas!$B$1+3-2,7))</f>
        <v>Mer</v>
      </c>
      <c r="G6" s="53"/>
      <c r="H6" s="54" t="str">
        <f>INDEX({"Dim","Lun","Mar","Mer","Jeu","Ven","Sam"},1+MOD(Datas!$B$1+4-2,7))</f>
        <v>Jeu</v>
      </c>
      <c r="I6" s="55"/>
      <c r="J6" s="53" t="str">
        <f>INDEX({"Dim","Lun","Mar","Mer","Jeu","Ven","Sam"},1+MOD(Datas!$B$1+5-2,7))</f>
        <v>Ven</v>
      </c>
      <c r="K6" s="53"/>
      <c r="L6" s="54" t="str">
        <f>INDEX({"Dim","Lun","Mar","Mer","Jeu","Ven","Sam"},1+MOD(Datas!$B$1+6-2,7))</f>
        <v>Sam</v>
      </c>
      <c r="M6" s="55"/>
      <c r="N6" s="53" t="str">
        <f>INDEX({"Dim","Lun","Mar","Mer","Jeu","Ven","Sam"},1+MOD(Datas!$B$1+7-2,7))</f>
        <v>Dim</v>
      </c>
      <c r="O6" s="56"/>
      <c r="Q6" s="10"/>
      <c r="S6" s="36" t="s">
        <v>51</v>
      </c>
      <c r="T6" s="35"/>
      <c r="U6" s="35"/>
      <c r="V6" s="35"/>
      <c r="W6" s="35"/>
    </row>
    <row r="7" spans="1:23" ht="19.899999999999999" customHeight="1" thickBot="1">
      <c r="B7" s="12">
        <f>IF(MONTH($B$5)&lt;&gt;MONTH($B$5-(WEEKDAY($B$5,1)-(Datas!$B$1-1))-IF((WEEKDAY($B$5,1)-(Datas!$B$1-1))&lt;=0,7,0)+(ROW(B7)-ROW($B$7))*7+(COLUMN(B7)-COLUMN($B$7)+1)),"",$B$5-(WEEKDAY($B$5,1)-(Datas!$B$1-1))-IF((WEEKDAY($B$5,1)-(Datas!$B$1-1))&lt;=0,7,0)+(ROW(B7)-ROW($B$7))*7+(COLUMN(B7)-COLUMN($B$7)+1))</f>
        <v>44256</v>
      </c>
      <c r="C7" s="40"/>
      <c r="D7" s="11">
        <f>IF(MONTH($B$5)&lt;&gt;MONTH($B$5-(WEEKDAY($B$5,1)-(Datas!$B$1-1))-IF((WEEKDAY($B$5,1)-(Datas!$B$1-1))&lt;=0,7,0)+(ROW(C7)-ROW($B$7))*7+(COLUMN(C7)-COLUMN($B$7)+1)),"",$B$5-(WEEKDAY($B$5,1)-(Datas!$B$1-1))-IF((WEEKDAY($B$5,1)-(Datas!$B$1-1))&lt;=0,7,0)+(ROW(C7)-ROW($B$7))*7+(COLUMN(C7)-COLUMN($B$7)+1))</f>
        <v>44257</v>
      </c>
      <c r="E7" s="42"/>
      <c r="F7" s="30">
        <f>IF(MONTH($B$5)&lt;&gt;MONTH($B$5-(WEEKDAY($B$5,1)-(Datas!$B$1-1))-IF((WEEKDAY($B$5,1)-(Datas!$B$1-1))&lt;=0,7,0)+(ROW(D7)-ROW($B$7))*7+(COLUMN(D7)-COLUMN($B$7)+1)),"",$B$5-(WEEKDAY($B$5,1)-(Datas!$B$1-1))-IF((WEEKDAY($B$5,1)-(Datas!$B$1-1))&lt;=0,7,0)+(ROW(D7)-ROW($B$7))*7+(COLUMN(D7)-COLUMN($B$7)+1))</f>
        <v>44258</v>
      </c>
      <c r="G7" s="40"/>
      <c r="H7" s="11">
        <f>IF(MONTH($B$5)&lt;&gt;MONTH($B$5-(WEEKDAY($B$5,1)-(Datas!$B$1-1))-IF((WEEKDAY($B$5,1)-(Datas!$B$1-1))&lt;=0,7,0)+(ROW(E7)-ROW($B$7))*7+(COLUMN(E7)-COLUMN($B$7)+1)),"",$B$5-(WEEKDAY($B$5,1)-(Datas!$B$1-1))-IF((WEEKDAY($B$5,1)-(Datas!$B$1-1))&lt;=0,7,0)+(ROW(E7)-ROW($B$7))*7+(COLUMN(E7)-COLUMN($B$7)+1))</f>
        <v>44259</v>
      </c>
      <c r="I7" s="40"/>
      <c r="J7" s="11">
        <f>IF(MONTH($B$5)&lt;&gt;MONTH($B$5-(WEEKDAY($B$5,1)-(Datas!$B$1-1))-IF((WEEKDAY($B$5,1)-(Datas!$B$1-1))&lt;=0,7,0)+(ROW(F7)-ROW($B$7))*7+(COLUMN(F7)-COLUMN($B$7)+1)),"",$B$5-(WEEKDAY($B$5,1)-(Datas!$B$1-1))-IF((WEEKDAY($B$5,1)-(Datas!$B$1-1))&lt;=0,7,0)+(ROW(F7)-ROW($B$7))*7+(COLUMN(F7)-COLUMN($B$7)+1))</f>
        <v>44260</v>
      </c>
      <c r="K7" s="40"/>
      <c r="L7" s="16">
        <f>IF(MONTH($B$5)&lt;&gt;MONTH($B$5-(WEEKDAY($B$5,1)-(Datas!$B$1-1))-IF((WEEKDAY($B$5,1)-(Datas!$B$1-1))&lt;=0,7,0)+(ROW(G7)-ROW($B$7))*7+(COLUMN(G7)-COLUMN($B$7)+1)),"",$B$5-(WEEKDAY($B$5,1)-(Datas!$B$1-1))-IF((WEEKDAY($B$5,1)-(Datas!$B$1-1))&lt;=0,7,0)+(ROW(G7)-ROW($B$7))*7+(COLUMN(G7)-COLUMN($B$7)+1))</f>
        <v>44261</v>
      </c>
      <c r="M7" s="43"/>
      <c r="N7" s="16">
        <f>IF(MONTH($B$5)&lt;&gt;MONTH($B$5-(WEEKDAY($B$5,1)-(Datas!$B$1-1))-IF((WEEKDAY($B$5,1)-(Datas!$B$1-1))&lt;=0,7,0)+(ROW(H7)-ROW($B$7))*7+(COLUMN(H7)-COLUMN($B$7)+1)),"",$B$5-(WEEKDAY($B$5,1)-(Datas!$B$1-1))-IF((WEEKDAY($B$5,1)-(Datas!$B$1-1))&lt;=0,7,0)+(ROW(H7)-ROW($B$7))*7+(COLUMN(H7)-COLUMN($B$7)+1))</f>
        <v>44262</v>
      </c>
      <c r="O7" s="44"/>
      <c r="P7" s="19">
        <f t="shared" ref="P7:P12" si="0">IF(B7="","",B7)</f>
        <v>44256</v>
      </c>
      <c r="Q7" s="20">
        <f>IF(N7="","",(INT(MOD(INT((N7-2)/7)+0.6,52+5/28))+1))</f>
        <v>9</v>
      </c>
      <c r="S7" s="36" t="s">
        <v>50</v>
      </c>
      <c r="T7" s="35">
        <f>(7*T6*1.5)+(5*T6*2)*1.25</f>
        <v>0</v>
      </c>
      <c r="U7" s="35">
        <f>COUNTIF($B$7:$O$12,Données!A2)</f>
        <v>0</v>
      </c>
      <c r="V7" s="35"/>
      <c r="W7" s="34">
        <f>(T7*U7)</f>
        <v>0</v>
      </c>
    </row>
    <row r="8" spans="1:23" ht="19.899999999999999" customHeight="1" thickTop="1" thickBot="1">
      <c r="B8" s="12">
        <f>IF(MONTH($B$5)&lt;&gt;MONTH($B$5-(WEEKDAY($B$5,1)-(Datas!$B$1-1))-IF((WEEKDAY($B$5,1)-(Datas!$B$1-1))&lt;=0,7,0)+(ROW(B8)-ROW($B$7))*7+(COLUMN(B8)-COLUMN($B$7)+1)),"",$B$5-(WEEKDAY($B$5,1)-(Datas!$B$1-1))-IF((WEEKDAY($B$5,1)-(Datas!$B$1-1))&lt;=0,7,0)+(ROW(B8)-ROW($B$7))*7+(COLUMN(B8)-COLUMN($B$7)+1))</f>
        <v>44263</v>
      </c>
      <c r="C8" s="47"/>
      <c r="D8" s="13">
        <f>IF(MONTH($B$5)&lt;&gt;MONTH($B$5-(WEEKDAY($B$5,1)-(Datas!$B$1-1))-IF((WEEKDAY($B$5,1)-(Datas!$B$1-1))&lt;=0,7,0)+(ROW(C8)-ROW($B$7))*7+(COLUMN(C8)-COLUMN($B$7)+1)),"",$B$5-(WEEKDAY($B$5,1)-(Datas!$B$1-1))-IF((WEEKDAY($B$5,1)-(Datas!$B$1-1))&lt;=0,7,0)+(ROW(C8)-ROW($B$7))*7+(COLUMN(C8)-COLUMN($B$7)+1))</f>
        <v>44264</v>
      </c>
      <c r="E8" s="47"/>
      <c r="F8" s="13">
        <f>IF(MONTH($B$5)&lt;&gt;MONTH($B$5-(WEEKDAY($B$5,1)-(Datas!$B$1-1))-IF((WEEKDAY($B$5,1)-(Datas!$B$1-1))&lt;=0,7,0)+(ROW(D8)-ROW($B$7))*7+(COLUMN(D8)-COLUMN($B$7)+1)),"",$B$5-(WEEKDAY($B$5,1)-(Datas!$B$1-1))-IF((WEEKDAY($B$5,1)-(Datas!$B$1-1))&lt;=0,7,0)+(ROW(D8)-ROW($B$7))*7+(COLUMN(D8)-COLUMN($B$7)+1))</f>
        <v>44265</v>
      </c>
      <c r="G8" s="41"/>
      <c r="H8" s="13">
        <f>IF(MONTH($B$5)&lt;&gt;MONTH($B$5-(WEEKDAY($B$5,1)-(Datas!$B$1-1))-IF((WEEKDAY($B$5,1)-(Datas!$B$1-1))&lt;=0,7,0)+(ROW(E8)-ROW($B$7))*7+(COLUMN(E8)-COLUMN($B$7)+1)),"",$B$5-(WEEKDAY($B$5,1)-(Datas!$B$1-1))-IF((WEEKDAY($B$5,1)-(Datas!$B$1-1))&lt;=0,7,0)+(ROW(E8)-ROW($B$7))*7+(COLUMN(E8)-COLUMN($B$7)+1))</f>
        <v>44266</v>
      </c>
      <c r="I8" s="41"/>
      <c r="J8" s="13">
        <f>IF(MONTH($B$5)&lt;&gt;MONTH($B$5-(WEEKDAY($B$5,1)-(Datas!$B$1-1))-IF((WEEKDAY($B$5,1)-(Datas!$B$1-1))&lt;=0,7,0)+(ROW(F8)-ROW($B$7))*7+(COLUMN(F8)-COLUMN($B$7)+1)),"",$B$5-(WEEKDAY($B$5,1)-(Datas!$B$1-1))-IF((WEEKDAY($B$5,1)-(Datas!$B$1-1))&lt;=0,7,0)+(ROW(F8)-ROW($B$7))*7+(COLUMN(F8)-COLUMN($B$7)+1))</f>
        <v>44267</v>
      </c>
      <c r="K8" s="41"/>
      <c r="L8" s="17">
        <f>IF(MONTH($B$5)&lt;&gt;MONTH($B$5-(WEEKDAY($B$5,1)-(Datas!$B$1-1))-IF((WEEKDAY($B$5,1)-(Datas!$B$1-1))&lt;=0,7,0)+(ROW(G8)-ROW($B$7))*7+(COLUMN(G8)-COLUMN($B$7)+1)),"",$B$5-(WEEKDAY($B$5,1)-(Datas!$B$1-1))-IF((WEEKDAY($B$5,1)-(Datas!$B$1-1))&lt;=0,7,0)+(ROW(G8)-ROW($B$7))*7+(COLUMN(G8)-COLUMN($B$7)+1))</f>
        <v>44268</v>
      </c>
      <c r="M8" s="43"/>
      <c r="N8" s="17">
        <f>IF(MONTH($B$5)&lt;&gt;MONTH($B$5-(WEEKDAY($B$5,1)-(Datas!$B$1-1))-IF((WEEKDAY($B$5,1)-(Datas!$B$1-1))&lt;=0,7,0)+(ROW(H8)-ROW($B$7))*7+(COLUMN(H8)-COLUMN($B$7)+1)),"",$B$5-(WEEKDAY($B$5,1)-(Datas!$B$1-1))-IF((WEEKDAY($B$5,1)-(Datas!$B$1-1))&lt;=0,7,0)+(ROW(H8)-ROW($B$7))*7+(COLUMN(H8)-COLUMN($B$7)+1))</f>
        <v>44269</v>
      </c>
      <c r="O8" s="45"/>
      <c r="P8" s="19">
        <f t="shared" si="0"/>
        <v>44263</v>
      </c>
      <c r="Q8" s="21">
        <f>IF(P8="","",(INT(MOD(INT((P8-2)/7)+0.6,52+5/28))+1))</f>
        <v>10</v>
      </c>
      <c r="S8" s="36" t="s">
        <v>49</v>
      </c>
      <c r="T8" s="35">
        <f>(T6*12*2)*1.25</f>
        <v>0</v>
      </c>
      <c r="U8" s="35">
        <f>COUNTIF($B$7:$O$12,Données!A3)</f>
        <v>0</v>
      </c>
      <c r="V8" s="35"/>
      <c r="W8" s="34">
        <f>(T8*U8)</f>
        <v>0</v>
      </c>
    </row>
    <row r="9" spans="1:23" ht="19.899999999999999" customHeight="1" thickTop="1" thickBot="1">
      <c r="B9" s="12">
        <f>IF(MONTH($B$5)&lt;&gt;MONTH($B$5-(WEEKDAY($B$5,1)-(Datas!$B$1-1))-IF((WEEKDAY($B$5,1)-(Datas!$B$1-1))&lt;=0,7,0)+(ROW(B9)-ROW($B$7))*7+(COLUMN(B9)-COLUMN($B$7)+1)),"",$B$5-(WEEKDAY($B$5,1)-(Datas!$B$1-1))-IF((WEEKDAY($B$5,1)-(Datas!$B$1-1))&lt;=0,7,0)+(ROW(B9)-ROW($B$7))*7+(COLUMN(B9)-COLUMN($B$7)+1))</f>
        <v>44270</v>
      </c>
      <c r="C9" s="41"/>
      <c r="D9" s="13">
        <f>IF(MONTH($B$5)&lt;&gt;MONTH($B$5-(WEEKDAY($B$5,1)-(Datas!$B$1-1))-IF((WEEKDAY($B$5,1)-(Datas!$B$1-1))&lt;=0,7,0)+(ROW(C9)-ROW($B$7))*7+(COLUMN(C9)-COLUMN($B$7)+1)),"",$B$5-(WEEKDAY($B$5,1)-(Datas!$B$1-1))-IF((WEEKDAY($B$5,1)-(Datas!$B$1-1))&lt;=0,7,0)+(ROW(C9)-ROW($B$7))*7+(COLUMN(C9)-COLUMN($B$7)+1))</f>
        <v>44271</v>
      </c>
      <c r="E9" s="41"/>
      <c r="F9" s="13">
        <f>IF(MONTH($B$5)&lt;&gt;MONTH($B$5-(WEEKDAY($B$5,1)-(Datas!$B$1-1))-IF((WEEKDAY($B$5,1)-(Datas!$B$1-1))&lt;=0,7,0)+(ROW(D9)-ROW($B$7))*7+(COLUMN(D9)-COLUMN($B$7)+1)),"",$B$5-(WEEKDAY($B$5,1)-(Datas!$B$1-1))-IF((WEEKDAY($B$5,1)-(Datas!$B$1-1))&lt;=0,7,0)+(ROW(D9)-ROW($B$7))*7+(COLUMN(D9)-COLUMN($B$7)+1))</f>
        <v>44272</v>
      </c>
      <c r="G9" s="41"/>
      <c r="H9" s="13">
        <f>IF(MONTH($B$5)&lt;&gt;MONTH($B$5-(WEEKDAY($B$5,1)-(Datas!$B$1-1))-IF((WEEKDAY($B$5,1)-(Datas!$B$1-1))&lt;=0,7,0)+(ROW(E9)-ROW($B$7))*7+(COLUMN(E9)-COLUMN($B$7)+1)),"",$B$5-(WEEKDAY($B$5,1)-(Datas!$B$1-1))-IF((WEEKDAY($B$5,1)-(Datas!$B$1-1))&lt;=0,7,0)+(ROW(E9)-ROW($B$7))*7+(COLUMN(E9)-COLUMN($B$7)+1))</f>
        <v>44273</v>
      </c>
      <c r="I9" s="41"/>
      <c r="J9" s="13">
        <f>IF(MONTH($B$5)&lt;&gt;MONTH($B$5-(WEEKDAY($B$5,1)-(Datas!$B$1-1))-IF((WEEKDAY($B$5,1)-(Datas!$B$1-1))&lt;=0,7,0)+(ROW(F9)-ROW($B$7))*7+(COLUMN(F9)-COLUMN($B$7)+1)),"",$B$5-(WEEKDAY($B$5,1)-(Datas!$B$1-1))-IF((WEEKDAY($B$5,1)-(Datas!$B$1-1))&lt;=0,7,0)+(ROW(F9)-ROW($B$7))*7+(COLUMN(F9)-COLUMN($B$7)+1))</f>
        <v>44274</v>
      </c>
      <c r="K9" s="59"/>
      <c r="L9" s="17">
        <f>IF(MONTH($B$5)&lt;&gt;MONTH($B$5-(WEEKDAY($B$5,1)-(Datas!$B$1-1))-IF((WEEKDAY($B$5,1)-(Datas!$B$1-1))&lt;=0,7,0)+(ROW(G9)-ROW($B$7))*7+(COLUMN(G9)-COLUMN($B$7)+1)),"",$B$5-(WEEKDAY($B$5,1)-(Datas!$B$1-1))-IF((WEEKDAY($B$5,1)-(Datas!$B$1-1))&lt;=0,7,0)+(ROW(G9)-ROW($B$7))*7+(COLUMN(G9)-COLUMN($B$7)+1))</f>
        <v>44275</v>
      </c>
      <c r="M9" s="43"/>
      <c r="N9" s="17">
        <f>IF(MONTH($B$5)&lt;&gt;MONTH($B$5-(WEEKDAY($B$5,1)-(Datas!$B$1-1))-IF((WEEKDAY($B$5,1)-(Datas!$B$1-1))&lt;=0,7,0)+(ROW(H9)-ROW($B$7))*7+(COLUMN(H9)-COLUMN($B$7)+1)),"",$B$5-(WEEKDAY($B$5,1)-(Datas!$B$1-1))-IF((WEEKDAY($B$5,1)-(Datas!$B$1-1))&lt;=0,7,0)+(ROW(H9)-ROW($B$7))*7+(COLUMN(H9)-COLUMN($B$7)+1))</f>
        <v>44276</v>
      </c>
      <c r="O9" s="44"/>
      <c r="P9" s="19">
        <f t="shared" si="0"/>
        <v>44270</v>
      </c>
      <c r="Q9" s="21">
        <f>IF(P9="","",(INT(MOD(INT((P9-2)/7)+0.6,52+5/28))+1))</f>
        <v>11</v>
      </c>
      <c r="S9" s="36" t="s">
        <v>48</v>
      </c>
      <c r="T9" s="35">
        <f>(T6*1.06*8)+(T6*1.5*4)*1.06</f>
        <v>0</v>
      </c>
      <c r="U9" s="35">
        <f>COUNTIF($B$7:$O$12,Données!A4)</f>
        <v>0</v>
      </c>
      <c r="V9" s="35"/>
      <c r="W9" s="34">
        <f>(T9*U9)</f>
        <v>0</v>
      </c>
    </row>
    <row r="10" spans="1:23" ht="19.899999999999999" customHeight="1" thickTop="1" thickBot="1">
      <c r="B10" s="12">
        <f>IF(MONTH($B$5)&lt;&gt;MONTH($B$5-(WEEKDAY($B$5,1)-(Datas!$B$1-1))-IF((WEEKDAY($B$5,1)-(Datas!$B$1-1))&lt;=0,7,0)+(ROW(B10)-ROW($B$7))*7+(COLUMN(B10)-COLUMN($B$7)+1)),"",$B$5-(WEEKDAY($B$5,1)-(Datas!$B$1-1))-IF((WEEKDAY($B$5,1)-(Datas!$B$1-1))&lt;=0,7,0)+(ROW(B10)-ROW($B$7))*7+(COLUMN(B10)-COLUMN($B$7)+1))</f>
        <v>44277</v>
      </c>
      <c r="C10" s="41"/>
      <c r="D10" s="13">
        <f>IF(MONTH($B$5)&lt;&gt;MONTH($B$5-(WEEKDAY($B$5,1)-(Datas!$B$1-1))-IF((WEEKDAY($B$5,1)-(Datas!$B$1-1))&lt;=0,7,0)+(ROW(C10)-ROW($B$7))*7+(COLUMN(C10)-COLUMN($B$7)+1)),"",$B$5-(WEEKDAY($B$5,1)-(Datas!$B$1-1))-IF((WEEKDAY($B$5,1)-(Datas!$B$1-1))&lt;=0,7,0)+(ROW(C10)-ROW($B$7))*7+(COLUMN(C10)-COLUMN($B$7)+1))</f>
        <v>44278</v>
      </c>
      <c r="E10" s="41"/>
      <c r="F10" s="13">
        <f>IF(MONTH($B$5)&lt;&gt;MONTH($B$5-(WEEKDAY($B$5,1)-(Datas!$B$1-1))-IF((WEEKDAY($B$5,1)-(Datas!$B$1-1))&lt;=0,7,0)+(ROW(D10)-ROW($B$7))*7+(COLUMN(D10)-COLUMN($B$7)+1)),"",$B$5-(WEEKDAY($B$5,1)-(Datas!$B$1-1))-IF((WEEKDAY($B$5,1)-(Datas!$B$1-1))&lt;=0,7,0)+(ROW(D10)-ROW($B$7))*7+(COLUMN(D10)-COLUMN($B$7)+1))</f>
        <v>44279</v>
      </c>
      <c r="G10" s="41"/>
      <c r="H10" s="13">
        <f>IF(MONTH($B$5)&lt;&gt;MONTH($B$5-(WEEKDAY($B$5,1)-(Datas!$B$1-1))-IF((WEEKDAY($B$5,1)-(Datas!$B$1-1))&lt;=0,7,0)+(ROW(E10)-ROW($B$7))*7+(COLUMN(E10)-COLUMN($B$7)+1)),"",$B$5-(WEEKDAY($B$5,1)-(Datas!$B$1-1))-IF((WEEKDAY($B$5,1)-(Datas!$B$1-1))&lt;=0,7,0)+(ROW(E10)-ROW($B$7))*7+(COLUMN(E10)-COLUMN($B$7)+1))</f>
        <v>44280</v>
      </c>
      <c r="I10" s="41"/>
      <c r="J10" s="13">
        <f>IF(MONTH($B$5)&lt;&gt;MONTH($B$5-(WEEKDAY($B$5,1)-(Datas!$B$1-1))-IF((WEEKDAY($B$5,1)-(Datas!$B$1-1))&lt;=0,7,0)+(ROW(F10)-ROW($B$7))*7+(COLUMN(F10)-COLUMN($B$7)+1)),"",$B$5-(WEEKDAY($B$5,1)-(Datas!$B$1-1))-IF((WEEKDAY($B$5,1)-(Datas!$B$1-1))&lt;=0,7,0)+(ROW(F10)-ROW($B$7))*7+(COLUMN(F10)-COLUMN($B$7)+1))</f>
        <v>44281</v>
      </c>
      <c r="K10" s="41"/>
      <c r="L10" s="17">
        <f>IF(MONTH($B$5)&lt;&gt;MONTH($B$5-(WEEKDAY($B$5,1)-(Datas!$B$1-1))-IF((WEEKDAY($B$5,1)-(Datas!$B$1-1))&lt;=0,7,0)+(ROW(G10)-ROW($B$7))*7+(COLUMN(G10)-COLUMN($B$7)+1)),"",$B$5-(WEEKDAY($B$5,1)-(Datas!$B$1-1))-IF((WEEKDAY($B$5,1)-(Datas!$B$1-1))&lt;=0,7,0)+(ROW(G10)-ROW($B$7))*7+(COLUMN(G10)-COLUMN($B$7)+1))</f>
        <v>44282</v>
      </c>
      <c r="M10" s="43"/>
      <c r="N10" s="17">
        <f>IF(MONTH($B$5)&lt;&gt;MONTH($B$5-(WEEKDAY($B$5,1)-(Datas!$B$1-1))-IF((WEEKDAY($B$5,1)-(Datas!$B$1-1))&lt;=0,7,0)+(ROW(H10)-ROW($B$7))*7+(COLUMN(H10)-COLUMN($B$7)+1)),"",$B$5-(WEEKDAY($B$5,1)-(Datas!$B$1-1))-IF((WEEKDAY($B$5,1)-(Datas!$B$1-1))&lt;=0,7,0)+(ROW(H10)-ROW($B$7))*7+(COLUMN(H10)-COLUMN($B$7)+1))</f>
        <v>44283</v>
      </c>
      <c r="O10" s="45"/>
      <c r="P10" s="19">
        <f t="shared" si="0"/>
        <v>44277</v>
      </c>
      <c r="Q10" s="21">
        <f>IF(P10="","",(INT(MOD(INT((P10-2)/7)+0.6,52+5/28))+1))</f>
        <v>12</v>
      </c>
      <c r="S10" s="36" t="s">
        <v>47</v>
      </c>
      <c r="T10" s="35">
        <f>(T6*12*2)*1.06</f>
        <v>0</v>
      </c>
      <c r="U10" s="35">
        <f>COUNTIF($B$7:$O$12,Données!A5)</f>
        <v>0</v>
      </c>
      <c r="V10" s="35"/>
      <c r="W10" s="34">
        <f>(T10*U10)</f>
        <v>0</v>
      </c>
    </row>
    <row r="11" spans="1:23" ht="19.899999999999999" customHeight="1" thickTop="1" thickBot="1">
      <c r="B11" s="12">
        <f>IF(MONTH($B$5)&lt;&gt;MONTH($B$5-(WEEKDAY($B$5,1)-(Datas!$B$1-1))-IF((WEEKDAY($B$5,1)-(Datas!$B$1-1))&lt;=0,7,0)+(ROW(B11)-ROW($B$7))*7+(COLUMN(B11)-COLUMN($B$7)+1)),"",$B$5-(WEEKDAY($B$5,1)-(Datas!$B$1-1))-IF((WEEKDAY($B$5,1)-(Datas!$B$1-1))&lt;=0,7,0)+(ROW(B11)-ROW($B$7))*7+(COLUMN(B11)-COLUMN($B$7)+1))</f>
        <v>44284</v>
      </c>
      <c r="C11" s="41"/>
      <c r="D11" s="13">
        <f>IF(MONTH($B$5)&lt;&gt;MONTH($B$5-(WEEKDAY($B$5,1)-(Datas!$B$1-1))-IF((WEEKDAY($B$5,1)-(Datas!$B$1-1))&lt;=0,7,0)+(ROW(C11)-ROW($B$7))*7+(COLUMN(C11)-COLUMN($B$7)+1)),"",$B$5-(WEEKDAY($B$5,1)-(Datas!$B$1-1))-IF((WEEKDAY($B$5,1)-(Datas!$B$1-1))&lt;=0,7,0)+(ROW(C11)-ROW($B$7))*7+(COLUMN(C11)-COLUMN($B$7)+1))</f>
        <v>44285</v>
      </c>
      <c r="E11" s="41"/>
      <c r="F11" s="13">
        <f>IF(MONTH($B$5)&lt;&gt;MONTH($B$5-(WEEKDAY($B$5,1)-(Datas!$B$1-1))-IF((WEEKDAY($B$5,1)-(Datas!$B$1-1))&lt;=0,7,0)+(ROW(D11)-ROW($B$7))*7+(COLUMN(D11)-COLUMN($B$7)+1)),"",$B$5-(WEEKDAY($B$5,1)-(Datas!$B$1-1))-IF((WEEKDAY($B$5,1)-(Datas!$B$1-1))&lt;=0,7,0)+(ROW(D11)-ROW($B$7))*7+(COLUMN(D11)-COLUMN($B$7)+1))</f>
        <v>44286</v>
      </c>
      <c r="G11" s="41"/>
      <c r="H11" s="13" t="str">
        <f>IF(MONTH($B$5)&lt;&gt;MONTH($B$5-(WEEKDAY($B$5,1)-(Datas!$B$1-1))-IF((WEEKDAY($B$5,1)-(Datas!$B$1-1))&lt;=0,7,0)+(ROW(E11)-ROW($B$7))*7+(COLUMN(E11)-COLUMN($B$7)+1)),"",$B$5-(WEEKDAY($B$5,1)-(Datas!$B$1-1))-IF((WEEKDAY($B$5,1)-(Datas!$B$1-1))&lt;=0,7,0)+(ROW(E11)-ROW($B$7))*7+(COLUMN(E11)-COLUMN($B$7)+1))</f>
        <v/>
      </c>
      <c r="I11" s="41"/>
      <c r="J11" s="13" t="str">
        <f>IF(MONTH($B$5)&lt;&gt;MONTH($B$5-(WEEKDAY($B$5,1)-(Datas!$B$1-1))-IF((WEEKDAY($B$5,1)-(Datas!$B$1-1))&lt;=0,7,0)+(ROW(F11)-ROW($B$7))*7+(COLUMN(F11)-COLUMN($B$7)+1)),"",$B$5-(WEEKDAY($B$5,1)-(Datas!$B$1-1))-IF((WEEKDAY($B$5,1)-(Datas!$B$1-1))&lt;=0,7,0)+(ROW(F11)-ROW($B$7))*7+(COLUMN(F11)-COLUMN($B$7)+1))</f>
        <v/>
      </c>
      <c r="K11" s="41"/>
      <c r="L11" s="17" t="str">
        <f>IF(MONTH($B$5)&lt;&gt;MONTH($B$5-(WEEKDAY($B$5,1)-(Datas!$B$1-1))-IF((WEEKDAY($B$5,1)-(Datas!$B$1-1))&lt;=0,7,0)+(ROW(G11)-ROW($B$7))*7+(COLUMN(G11)-COLUMN($B$7)+1)),"",$B$5-(WEEKDAY($B$5,1)-(Datas!$B$1-1))-IF((WEEKDAY($B$5,1)-(Datas!$B$1-1))&lt;=0,7,0)+(ROW(G11)-ROW($B$7))*7+(COLUMN(G11)-COLUMN($B$7)+1))</f>
        <v/>
      </c>
      <c r="M11" s="43"/>
      <c r="N11" s="17" t="str">
        <f>IF(MONTH($B$5)&lt;&gt;MONTH($B$5-(WEEKDAY($B$5,1)-(Datas!$B$1-1))-IF((WEEKDAY($B$5,1)-(Datas!$B$1-1))&lt;=0,7,0)+(ROW(H11)-ROW($B$7))*7+(COLUMN(H11)-COLUMN($B$7)+1)),"",$B$5-(WEEKDAY($B$5,1)-(Datas!$B$1-1))-IF((WEEKDAY($B$5,1)-(Datas!$B$1-1))&lt;=0,7,0)+(ROW(H11)-ROW($B$7))*7+(COLUMN(H11)-COLUMN($B$7)+1))</f>
        <v/>
      </c>
      <c r="O11" s="44"/>
      <c r="P11" s="19">
        <f t="shared" si="0"/>
        <v>44284</v>
      </c>
      <c r="Q11" s="21">
        <f>IF(P11="","",(INT(MOD(INT((P11-2)/7)+0.6,52+5/28))+1))</f>
        <v>13</v>
      </c>
      <c r="S11" s="36" t="s">
        <v>46</v>
      </c>
      <c r="T11" s="35">
        <f>(T6*1.06*8)</f>
        <v>0</v>
      </c>
      <c r="U11" s="35">
        <f>COUNTIF($B$7:$O$12,Données!A6)</f>
        <v>0</v>
      </c>
      <c r="V11" s="35"/>
      <c r="W11" s="34">
        <f>(T6*1.06*8)*U11</f>
        <v>0</v>
      </c>
    </row>
    <row r="12" spans="1:23" ht="19.899999999999999" customHeight="1" thickTop="1" thickBot="1">
      <c r="B12" s="23" t="str">
        <f>IF(MONTH($B$5)&lt;&gt;MONTH($B$5-(WEEKDAY($B$5,1)-(Datas!$B$1-1))-IF((WEEKDAY($B$5,1)-(Datas!$B$1-1))&lt;=0,7,0)+(ROW(B12)-ROW($B$7))*7+(COLUMN(B12)-COLUMN($B$7)+1)),"",$B$5-(WEEKDAY($B$5,1)-(Datas!$B$1-1))-IF((WEEKDAY($B$5,1)-(Datas!$B$1-1))&lt;=0,7,0)+(ROW(B12)-ROW($B$7))*7+(COLUMN(B12)-COLUMN($B$7)+1))</f>
        <v/>
      </c>
      <c r="C12" s="15"/>
      <c r="D12" s="14" t="str">
        <f>IF(MONTH($B$5)&lt;&gt;MONTH($B$5-(WEEKDAY($B$5,1)-(Datas!$B$1-1))-IF((WEEKDAY($B$5,1)-(Datas!$B$1-1))&lt;=0,7,0)+(ROW(C12)-ROW($B$7))*7+(COLUMN(C12)-COLUMN($B$7)+1)),"",$B$5-(WEEKDAY($B$5,1)-(Datas!$B$1-1))-IF((WEEKDAY($B$5,1)-(Datas!$B$1-1))&lt;=0,7,0)+(ROW(C12)-ROW($B$7))*7+(COLUMN(C12)-COLUMN($B$7)+1))</f>
        <v/>
      </c>
      <c r="E12" s="15"/>
      <c r="F12" s="14" t="str">
        <f>IF(MONTH($B$5)&lt;&gt;MONTH($B$5-(WEEKDAY($B$5,1)-(Datas!$B$1-1))-IF((WEEKDAY($B$5,1)-(Datas!$B$1-1))&lt;=0,7,0)+(ROW(D12)-ROW($B$7))*7+(COLUMN(D12)-COLUMN($B$7)+1)),"",$B$5-(WEEKDAY($B$5,1)-(Datas!$B$1-1))-IF((WEEKDAY($B$5,1)-(Datas!$B$1-1))&lt;=0,7,0)+(ROW(D12)-ROW($B$7))*7+(COLUMN(D12)-COLUMN($B$7)+1))</f>
        <v/>
      </c>
      <c r="G12" s="15"/>
      <c r="H12" s="14" t="str">
        <f>IF(MONTH($B$5)&lt;&gt;MONTH($B$5-(WEEKDAY($B$5,1)-(Datas!$B$1-1))-IF((WEEKDAY($B$5,1)-(Datas!$B$1-1))&lt;=0,7,0)+(ROW(E12)-ROW($B$7))*7+(COLUMN(E12)-COLUMN($B$7)+1)),"",$B$5-(WEEKDAY($B$5,1)-(Datas!$B$1-1))-IF((WEEKDAY($B$5,1)-(Datas!$B$1-1))&lt;=0,7,0)+(ROW(E12)-ROW($B$7))*7+(COLUMN(E12)-COLUMN($B$7)+1))</f>
        <v/>
      </c>
      <c r="I12" s="15"/>
      <c r="J12" s="14" t="str">
        <f>IF(MONTH($B$5)&lt;&gt;MONTH($B$5-(WEEKDAY($B$5,1)-(Datas!$B$1-1))-IF((WEEKDAY($B$5,1)-(Datas!$B$1-1))&lt;=0,7,0)+(ROW(F12)-ROW($B$7))*7+(COLUMN(F12)-COLUMN($B$7)+1)),"",$B$5-(WEEKDAY($B$5,1)-(Datas!$B$1-1))-IF((WEEKDAY($B$5,1)-(Datas!$B$1-1))&lt;=0,7,0)+(ROW(F12)-ROW($B$7))*7+(COLUMN(F12)-COLUMN($B$7)+1))</f>
        <v/>
      </c>
      <c r="K12" s="15"/>
      <c r="L12" s="18" t="str">
        <f>IF(MONTH($B$5)&lt;&gt;MONTH($B$5-(WEEKDAY($B$5,1)-(Datas!$B$1-1))-IF((WEEKDAY($B$5,1)-(Datas!$B$1-1))&lt;=0,7,0)+(ROW(G12)-ROW($B$7))*7+(COLUMN(G12)-COLUMN($B$7)+1)),"",$B$5-(WEEKDAY($B$5,1)-(Datas!$B$1-1))-IF((WEEKDAY($B$5,1)-(Datas!$B$1-1))&lt;=0,7,0)+(ROW(G12)-ROW($B$7))*7+(COLUMN(G12)-COLUMN($B$7)+1))</f>
        <v/>
      </c>
      <c r="M12" s="15"/>
      <c r="N12" s="18" t="str">
        <f>IF(MONTH($B$5)&lt;&gt;MONTH($B$5-(WEEKDAY($B$5,1)-(Datas!$B$1-1))-IF((WEEKDAY($B$5,1)-(Datas!$B$1-1))&lt;=0,7,0)+(ROW(H12)-ROW($B$7))*7+(COLUMN(H12)-COLUMN($B$7)+1)),"",$B$5-(WEEKDAY($B$5,1)-(Datas!$B$1-1))-IF((WEEKDAY($B$5,1)-(Datas!$B$1-1))&lt;=0,7,0)+(ROW(H12)-ROW($B$7))*7+(COLUMN(H12)-COLUMN($B$7)+1))</f>
        <v/>
      </c>
      <c r="O12" s="46"/>
      <c r="P12" s="19" t="str">
        <f t="shared" si="0"/>
        <v/>
      </c>
      <c r="Q12" s="22" t="str">
        <f>IF(P12="","",(INT(MOD(INT((P12-2)/7)+0.6,52+5/28))+1))</f>
        <v/>
      </c>
      <c r="S12" s="36" t="s">
        <v>45</v>
      </c>
      <c r="T12" s="35">
        <f>(T6*1.25*8)</f>
        <v>0</v>
      </c>
      <c r="U12" s="35">
        <f>COUNTIF($B$7:$O$12,Données!A7)</f>
        <v>0</v>
      </c>
      <c r="V12" s="35"/>
      <c r="W12" s="34">
        <f>(T6*1.25*8)*U12</f>
        <v>0</v>
      </c>
    </row>
    <row r="13" spans="1:23" ht="18" thickBot="1">
      <c r="S13" s="36" t="s">
        <v>44</v>
      </c>
      <c r="T13" s="35">
        <f>(T6*1.5*12)</f>
        <v>0</v>
      </c>
      <c r="U13" s="35">
        <f>COUNTIF($B$7:$O$12,Données!A8)</f>
        <v>0</v>
      </c>
      <c r="V13" s="35"/>
      <c r="W13" s="34">
        <f>(T6*1.5*12)*U13</f>
        <v>0</v>
      </c>
    </row>
    <row r="14" spans="1:23" ht="18.75" thickTop="1" thickBot="1">
      <c r="A14" s="8"/>
      <c r="B14" s="8"/>
      <c r="C14" s="38"/>
      <c r="D14" s="8"/>
      <c r="E14" s="38"/>
      <c r="F14" s="8"/>
      <c r="G14" s="38"/>
      <c r="H14" s="8"/>
      <c r="I14" s="38"/>
      <c r="J14" s="8"/>
      <c r="K14" s="38"/>
      <c r="L14" s="8"/>
      <c r="M14" s="38"/>
      <c r="N14" s="8"/>
      <c r="O14" s="38"/>
      <c r="P14" s="8"/>
      <c r="Q14" s="8"/>
      <c r="R14" s="8"/>
      <c r="S14" s="36" t="s">
        <v>43</v>
      </c>
      <c r="T14" s="35">
        <f>(T6*2*12)+(8*T6)</f>
        <v>0</v>
      </c>
      <c r="U14" s="35">
        <f>COUNTIF($B$7:$O$12,Données!A9)</f>
        <v>0</v>
      </c>
      <c r="V14" s="35"/>
      <c r="W14" s="34">
        <f>(T6*2*12+T6*8)*U14</f>
        <v>0</v>
      </c>
    </row>
    <row r="15" spans="1:23" ht="18.75" thickTop="1" thickBot="1">
      <c r="S15" s="36" t="s">
        <v>42</v>
      </c>
      <c r="T15" s="35">
        <f>(T6*1.56*8)</f>
        <v>0</v>
      </c>
      <c r="U15" s="35">
        <f>COUNTIF($B$7:$O$12,Données!A10)</f>
        <v>0</v>
      </c>
      <c r="V15" s="35"/>
      <c r="W15" s="34">
        <f>(T15*U15)</f>
        <v>0</v>
      </c>
    </row>
    <row r="16" spans="1:23" ht="18.75" thickTop="1" thickBot="1">
      <c r="S16" s="36" t="s">
        <v>41</v>
      </c>
      <c r="T16" s="35">
        <f>(T6*1.875*8)</f>
        <v>0</v>
      </c>
      <c r="U16" s="35">
        <f>COUNTIF($B$7:$O$12,Données!A11)</f>
        <v>0</v>
      </c>
      <c r="V16" s="35"/>
      <c r="W16" s="34">
        <f>T16*U16</f>
        <v>0</v>
      </c>
    </row>
    <row r="17" spans="3:23" ht="18.75" thickTop="1" thickBot="1">
      <c r="S17" s="36" t="s">
        <v>40</v>
      </c>
      <c r="T17" s="35">
        <f>(T6*1.5)</f>
        <v>0</v>
      </c>
      <c r="U17" s="35">
        <f>COUNTIF($B$7:$O$12,Données!A12)</f>
        <v>0</v>
      </c>
      <c r="V17" s="35"/>
      <c r="W17" s="34">
        <f>T17*V17</f>
        <v>0</v>
      </c>
    </row>
    <row r="18" spans="3:23" ht="18.75" thickTop="1" thickBot="1">
      <c r="C18" s="39" t="s">
        <v>70</v>
      </c>
      <c r="S18" s="36" t="s">
        <v>39</v>
      </c>
      <c r="T18" s="35">
        <f>(T6*1.5)</f>
        <v>0</v>
      </c>
      <c r="U18" s="35">
        <f>COUNTIF($B$7:$O$12,Données!A13)</f>
        <v>0</v>
      </c>
      <c r="V18" s="35"/>
      <c r="W18" s="34">
        <f>(T18*V18)</f>
        <v>0</v>
      </c>
    </row>
    <row r="19" spans="3:23" ht="18.75" thickTop="1" thickBot="1">
      <c r="S19" s="36" t="s">
        <v>38</v>
      </c>
      <c r="T19" s="35">
        <v>8</v>
      </c>
      <c r="U19" s="35">
        <f>(2*U7)+(U8*3)+(U9*2)+(U10*3)+U11+U12+(U14*3)+U15+U16</f>
        <v>0</v>
      </c>
      <c r="V19" s="35"/>
      <c r="W19" s="34">
        <f>U19*T19</f>
        <v>0</v>
      </c>
    </row>
    <row r="20" spans="3:23" ht="18.75" thickTop="1" thickBot="1">
      <c r="S20" s="36" t="s">
        <v>37</v>
      </c>
      <c r="T20" s="35">
        <v>4.5</v>
      </c>
      <c r="U20" s="35">
        <f>(U7+U8+U9+U10)</f>
        <v>0</v>
      </c>
      <c r="V20" s="35"/>
      <c r="W20" s="34">
        <f>(T20*U20)</f>
        <v>0</v>
      </c>
    </row>
    <row r="21" spans="3:23" ht="18.75" thickTop="1" thickBot="1">
      <c r="S21" s="36" t="s">
        <v>36</v>
      </c>
      <c r="T21" s="35"/>
      <c r="U21" s="35"/>
      <c r="V21" s="35"/>
      <c r="W21" s="34"/>
    </row>
    <row r="22" spans="3:23" ht="18.75" thickTop="1" thickBot="1">
      <c r="S22" s="36" t="s">
        <v>35</v>
      </c>
      <c r="T22" s="35"/>
      <c r="U22" s="35"/>
      <c r="V22" s="35"/>
      <c r="W22" s="34"/>
    </row>
    <row r="23" spans="3:23" ht="18.75" thickTop="1" thickBot="1">
      <c r="S23" s="36" t="s">
        <v>34</v>
      </c>
      <c r="T23" s="35"/>
      <c r="U23" s="35"/>
      <c r="V23" s="35"/>
      <c r="W23" s="34"/>
    </row>
    <row r="24" spans="3:23" ht="18.75" thickTop="1" thickBot="1">
      <c r="S24" s="36"/>
      <c r="T24" s="35"/>
      <c r="U24" s="35"/>
      <c r="V24" s="35"/>
      <c r="W24" s="34"/>
    </row>
    <row r="25" spans="3:23" ht="18.75" thickTop="1" thickBot="1">
      <c r="S25" s="33" t="s">
        <v>33</v>
      </c>
      <c r="T25" s="35"/>
      <c r="U25" s="35"/>
      <c r="V25" s="35"/>
      <c r="W25" s="34">
        <f>(W7+W8+W9+W10+W11+W12+W13+W14+W15+W16+W17+W18+W19+W20+W21+W22+W23)</f>
        <v>0</v>
      </c>
    </row>
    <row r="26" spans="3:23" ht="18.75" thickTop="1" thickBot="1">
      <c r="S26" s="33" t="s">
        <v>32</v>
      </c>
      <c r="T26" s="32"/>
      <c r="U26" s="32"/>
      <c r="V26" s="32"/>
      <c r="W26" s="31">
        <f>(W25*0.84)</f>
        <v>0</v>
      </c>
    </row>
    <row r="27" spans="3:23" ht="16.5" thickTop="1"/>
  </sheetData>
  <mergeCells count="9">
    <mergeCell ref="A3:Q3"/>
    <mergeCell ref="B5:O5"/>
    <mergeCell ref="B6:C6"/>
    <mergeCell ref="D6:E6"/>
    <mergeCell ref="F6:G6"/>
    <mergeCell ref="H6:I6"/>
    <mergeCell ref="J6:K6"/>
    <mergeCell ref="L6:M6"/>
    <mergeCell ref="N6:O6"/>
  </mergeCells>
  <conditionalFormatting sqref="H7:H11 J7:J11 L7:L11 N7:N11 B7:B11 D7:D11 F7:F11">
    <cfRule type="cellIs" dxfId="124" priority="124" operator="equal">
      <formula>""</formula>
    </cfRule>
  </conditionalFormatting>
  <conditionalFormatting sqref="C7">
    <cfRule type="expression" dxfId="123" priority="86">
      <formula>B$7=TODAY()</formula>
    </cfRule>
    <cfRule type="expression" dxfId="122" priority="123">
      <formula>B$7=""</formula>
    </cfRule>
  </conditionalFormatting>
  <conditionalFormatting sqref="E7">
    <cfRule type="expression" dxfId="121" priority="122">
      <formula>D$7=""</formula>
    </cfRule>
  </conditionalFormatting>
  <conditionalFormatting sqref="G7">
    <cfRule type="expression" dxfId="120" priority="121">
      <formula>F$7=""</formula>
    </cfRule>
  </conditionalFormatting>
  <conditionalFormatting sqref="I7">
    <cfRule type="expression" dxfId="119" priority="120">
      <formula>H$7=""</formula>
    </cfRule>
  </conditionalFormatting>
  <conditionalFormatting sqref="K7">
    <cfRule type="expression" dxfId="118" priority="119">
      <formula>J$7=""</formula>
    </cfRule>
  </conditionalFormatting>
  <conditionalFormatting sqref="M7:M11">
    <cfRule type="expression" dxfId="117" priority="118">
      <formula>L$7=""</formula>
    </cfRule>
  </conditionalFormatting>
  <conditionalFormatting sqref="O7 O9 O11">
    <cfRule type="expression" dxfId="116" priority="117">
      <formula>N$7=""</formula>
    </cfRule>
  </conditionalFormatting>
  <conditionalFormatting sqref="C8">
    <cfRule type="expression" dxfId="115" priority="73">
      <formula>B$8=TODAY()</formula>
    </cfRule>
    <cfRule type="expression" dxfId="114" priority="116">
      <formula>B$8=""</formula>
    </cfRule>
  </conditionalFormatting>
  <conditionalFormatting sqref="E8">
    <cfRule type="expression" dxfId="113" priority="115">
      <formula>D$8=""</formula>
    </cfRule>
  </conditionalFormatting>
  <conditionalFormatting sqref="G8">
    <cfRule type="expression" dxfId="112" priority="114">
      <formula>F$8=""</formula>
    </cfRule>
  </conditionalFormatting>
  <conditionalFormatting sqref="I8">
    <cfRule type="expression" dxfId="111" priority="113">
      <formula>H$8=""</formula>
    </cfRule>
  </conditionalFormatting>
  <conditionalFormatting sqref="K8">
    <cfRule type="expression" dxfId="110" priority="112">
      <formula>J$8=""</formula>
    </cfRule>
  </conditionalFormatting>
  <conditionalFormatting sqref="M8">
    <cfRule type="expression" dxfId="109" priority="111">
      <formula>L$8=""</formula>
    </cfRule>
  </conditionalFormatting>
  <conditionalFormatting sqref="O8 O10">
    <cfRule type="expression" dxfId="108" priority="110">
      <formula>N$8=""</formula>
    </cfRule>
  </conditionalFormatting>
  <conditionalFormatting sqref="C9">
    <cfRule type="expression" dxfId="107" priority="60">
      <formula>B$9=TODAY()</formula>
    </cfRule>
    <cfRule type="expression" dxfId="106" priority="109">
      <formula>B$9=""</formula>
    </cfRule>
  </conditionalFormatting>
  <conditionalFormatting sqref="E9">
    <cfRule type="expression" dxfId="105" priority="108">
      <formula>D$9=""</formula>
    </cfRule>
  </conditionalFormatting>
  <conditionalFormatting sqref="G9">
    <cfRule type="expression" dxfId="104" priority="107">
      <formula>F$9=""</formula>
    </cfRule>
  </conditionalFormatting>
  <conditionalFormatting sqref="I9">
    <cfRule type="expression" dxfId="103" priority="106">
      <formula>H$9=""</formula>
    </cfRule>
  </conditionalFormatting>
  <conditionalFormatting sqref="K9">
    <cfRule type="expression" dxfId="102" priority="105">
      <formula>J$9=""</formula>
    </cfRule>
  </conditionalFormatting>
  <conditionalFormatting sqref="M9">
    <cfRule type="expression" dxfId="101" priority="104">
      <formula>L$9=""</formula>
    </cfRule>
  </conditionalFormatting>
  <conditionalFormatting sqref="O9">
    <cfRule type="expression" dxfId="100" priority="103">
      <formula>N$9=""</formula>
    </cfRule>
  </conditionalFormatting>
  <conditionalFormatting sqref="C10">
    <cfRule type="expression" dxfId="99" priority="47">
      <formula>B$10=TODAY()</formula>
    </cfRule>
    <cfRule type="expression" dxfId="98" priority="102">
      <formula>B$10=""</formula>
    </cfRule>
  </conditionalFormatting>
  <conditionalFormatting sqref="E10">
    <cfRule type="expression" dxfId="97" priority="101">
      <formula>D$10=""</formula>
    </cfRule>
  </conditionalFormatting>
  <conditionalFormatting sqref="G10">
    <cfRule type="expression" dxfId="96" priority="100">
      <formula>F$10=""</formula>
    </cfRule>
  </conditionalFormatting>
  <conditionalFormatting sqref="I10">
    <cfRule type="expression" dxfId="95" priority="99">
      <formula>H$10=""</formula>
    </cfRule>
  </conditionalFormatting>
  <conditionalFormatting sqref="K10">
    <cfRule type="expression" dxfId="94" priority="98">
      <formula>J$10=""</formula>
    </cfRule>
  </conditionalFormatting>
  <conditionalFormatting sqref="M10">
    <cfRule type="expression" dxfId="93" priority="97">
      <formula>L$10=""</formula>
    </cfRule>
  </conditionalFormatting>
  <conditionalFormatting sqref="O10">
    <cfRule type="expression" dxfId="92" priority="96">
      <formula>N$10=""</formula>
    </cfRule>
  </conditionalFormatting>
  <conditionalFormatting sqref="C11">
    <cfRule type="expression" dxfId="91" priority="34">
      <formula>B$11=TODAY()</formula>
    </cfRule>
    <cfRule type="expression" dxfId="90" priority="95">
      <formula>B$11=""</formula>
    </cfRule>
  </conditionalFormatting>
  <conditionalFormatting sqref="E11">
    <cfRule type="expression" dxfId="89" priority="94">
      <formula>D$11=""</formula>
    </cfRule>
  </conditionalFormatting>
  <conditionalFormatting sqref="G11">
    <cfRule type="expression" dxfId="88" priority="93">
      <formula>F$11=""</formula>
    </cfRule>
  </conditionalFormatting>
  <conditionalFormatting sqref="I11">
    <cfRule type="expression" dxfId="87" priority="92">
      <formula>H$11=""</formula>
    </cfRule>
  </conditionalFormatting>
  <conditionalFormatting sqref="K11">
    <cfRule type="expression" dxfId="86" priority="91">
      <formula>J$11=""</formula>
    </cfRule>
  </conditionalFormatting>
  <conditionalFormatting sqref="M11">
    <cfRule type="expression" dxfId="85" priority="90">
      <formula>L$11=""</formula>
    </cfRule>
  </conditionalFormatting>
  <conditionalFormatting sqref="O11">
    <cfRule type="expression" dxfId="84" priority="89">
      <formula>N$11=""</formula>
    </cfRule>
  </conditionalFormatting>
  <conditionalFormatting sqref="Q7:Q12">
    <cfRule type="cellIs" dxfId="83" priority="88" operator="equal">
      <formula>""</formula>
    </cfRule>
  </conditionalFormatting>
  <conditionalFormatting sqref="B7:O12">
    <cfRule type="cellIs" dxfId="82" priority="87" operator="equal">
      <formula>TODAY()</formula>
    </cfRule>
  </conditionalFormatting>
  <conditionalFormatting sqref="E7">
    <cfRule type="expression" dxfId="81" priority="84">
      <formula>D$7=TODAY()</formula>
    </cfRule>
    <cfRule type="expression" dxfId="80" priority="85">
      <formula>D$7=""</formula>
    </cfRule>
  </conditionalFormatting>
  <conditionalFormatting sqref="G7">
    <cfRule type="expression" dxfId="79" priority="82">
      <formula>F$7=TODAY()</formula>
    </cfRule>
    <cfRule type="expression" dxfId="78" priority="83">
      <formula>F$7=""</formula>
    </cfRule>
  </conditionalFormatting>
  <conditionalFormatting sqref="I7">
    <cfRule type="expression" dxfId="77" priority="80">
      <formula>H$7=TODAY()</formula>
    </cfRule>
    <cfRule type="expression" dxfId="76" priority="81">
      <formula>H$7=""</formula>
    </cfRule>
  </conditionalFormatting>
  <conditionalFormatting sqref="K7">
    <cfRule type="expression" dxfId="75" priority="78">
      <formula>J$7=TODAY()</formula>
    </cfRule>
    <cfRule type="expression" dxfId="74" priority="79">
      <formula>J$7=""</formula>
    </cfRule>
  </conditionalFormatting>
  <conditionalFormatting sqref="M7:M11">
    <cfRule type="expression" dxfId="73" priority="76">
      <formula>L$7=TODAY()</formula>
    </cfRule>
    <cfRule type="expression" dxfId="72" priority="77">
      <formula>L$7=""</formula>
    </cfRule>
  </conditionalFormatting>
  <conditionalFormatting sqref="O7 O9 O11">
    <cfRule type="expression" dxfId="71" priority="74">
      <formula>N$7=TODAY()</formula>
    </cfRule>
    <cfRule type="expression" dxfId="70" priority="75">
      <formula>N$7=""</formula>
    </cfRule>
  </conditionalFormatting>
  <conditionalFormatting sqref="E8">
    <cfRule type="expression" dxfId="69" priority="71">
      <formula>D$8=TODAY()</formula>
    </cfRule>
    <cfRule type="expression" dxfId="68" priority="72">
      <formula>D$8=""</formula>
    </cfRule>
  </conditionalFormatting>
  <conditionalFormatting sqref="G8">
    <cfRule type="expression" dxfId="67" priority="69">
      <formula>F$8=TODAY()</formula>
    </cfRule>
    <cfRule type="expression" dxfId="66" priority="70">
      <formula>F$8=""</formula>
    </cfRule>
  </conditionalFormatting>
  <conditionalFormatting sqref="I8">
    <cfRule type="expression" dxfId="65" priority="67">
      <formula>H$8=TODAY()</formula>
    </cfRule>
    <cfRule type="expression" dxfId="64" priority="68">
      <formula>H$8=""</formula>
    </cfRule>
  </conditionalFormatting>
  <conditionalFormatting sqref="K8">
    <cfRule type="expression" dxfId="63" priority="65">
      <formula>J$8=TODAY()</formula>
    </cfRule>
    <cfRule type="expression" dxfId="62" priority="66">
      <formula>J$8=""</formula>
    </cfRule>
  </conditionalFormatting>
  <conditionalFormatting sqref="M8">
    <cfRule type="expression" dxfId="61" priority="63">
      <formula>L$8=TODAY()</formula>
    </cfRule>
    <cfRule type="expression" dxfId="60" priority="64">
      <formula>L$8=""</formula>
    </cfRule>
  </conditionalFormatting>
  <conditionalFormatting sqref="O8 O10">
    <cfRule type="expression" dxfId="59" priority="61">
      <formula>N$8=TODAY()</formula>
    </cfRule>
    <cfRule type="expression" dxfId="58" priority="62">
      <formula>N$8=""</formula>
    </cfRule>
  </conditionalFormatting>
  <conditionalFormatting sqref="E9">
    <cfRule type="expression" dxfId="57" priority="58">
      <formula>D$9=TODAY()</formula>
    </cfRule>
    <cfRule type="expression" dxfId="56" priority="59">
      <formula>D$9=""</formula>
    </cfRule>
  </conditionalFormatting>
  <conditionalFormatting sqref="G9">
    <cfRule type="expression" dxfId="55" priority="56">
      <formula>F$9=TODAY()</formula>
    </cfRule>
    <cfRule type="expression" dxfId="54" priority="57">
      <formula>F$9=""</formula>
    </cfRule>
  </conditionalFormatting>
  <conditionalFormatting sqref="I9">
    <cfRule type="expression" dxfId="53" priority="54">
      <formula>H$9=TODAY()</formula>
    </cfRule>
    <cfRule type="expression" dxfId="52" priority="55">
      <formula>H$9=""</formula>
    </cfRule>
  </conditionalFormatting>
  <conditionalFormatting sqref="K9">
    <cfRule type="expression" dxfId="51" priority="52">
      <formula>J$9=TODAY()</formula>
    </cfRule>
    <cfRule type="expression" dxfId="50" priority="53">
      <formula>J$9=""</formula>
    </cfRule>
  </conditionalFormatting>
  <conditionalFormatting sqref="M9">
    <cfRule type="expression" dxfId="49" priority="50">
      <formula>L$9=TODAY()</formula>
    </cfRule>
    <cfRule type="expression" dxfId="48" priority="51">
      <formula>L$9=""</formula>
    </cfRule>
  </conditionalFormatting>
  <conditionalFormatting sqref="O9">
    <cfRule type="expression" dxfId="47" priority="48">
      <formula>N$9=TODAY()</formula>
    </cfRule>
    <cfRule type="expression" dxfId="46" priority="49">
      <formula>N$9=""</formula>
    </cfRule>
  </conditionalFormatting>
  <conditionalFormatting sqref="E10">
    <cfRule type="expression" dxfId="45" priority="45">
      <formula>D$10=TODAY()</formula>
    </cfRule>
    <cfRule type="expression" dxfId="44" priority="46">
      <formula>D$10=""</formula>
    </cfRule>
  </conditionalFormatting>
  <conditionalFormatting sqref="G10">
    <cfRule type="expression" dxfId="43" priority="43">
      <formula>F$10=TODAY()</formula>
    </cfRule>
    <cfRule type="expression" dxfId="42" priority="44">
      <formula>F$10=""</formula>
    </cfRule>
  </conditionalFormatting>
  <conditionalFormatting sqref="I10">
    <cfRule type="expression" dxfId="41" priority="41">
      <formula>H$10=TODAY()</formula>
    </cfRule>
    <cfRule type="expression" dxfId="40" priority="42">
      <formula>H$10=""</formula>
    </cfRule>
  </conditionalFormatting>
  <conditionalFormatting sqref="K10">
    <cfRule type="expression" dxfId="39" priority="39">
      <formula>J$10=TODAY()</formula>
    </cfRule>
    <cfRule type="expression" dxfId="38" priority="40">
      <formula>J$10=""</formula>
    </cfRule>
  </conditionalFormatting>
  <conditionalFormatting sqref="M10">
    <cfRule type="expression" dxfId="37" priority="37">
      <formula>L$10=TODAY()</formula>
    </cfRule>
    <cfRule type="expression" dxfId="36" priority="38">
      <formula>L$10=""</formula>
    </cfRule>
  </conditionalFormatting>
  <conditionalFormatting sqref="O10">
    <cfRule type="expression" dxfId="35" priority="35">
      <formula>N$10=TODAY()</formula>
    </cfRule>
    <cfRule type="expression" dxfId="34" priority="36">
      <formula>N$10=""</formula>
    </cfRule>
  </conditionalFormatting>
  <conditionalFormatting sqref="E11">
    <cfRule type="expression" dxfId="33" priority="32">
      <formula>D$11=TODAY()</formula>
    </cfRule>
    <cfRule type="expression" dxfId="32" priority="33">
      <formula>D$11=""</formula>
    </cfRule>
  </conditionalFormatting>
  <conditionalFormatting sqref="G11">
    <cfRule type="expression" dxfId="31" priority="30">
      <formula>F$11=TODAY()</formula>
    </cfRule>
    <cfRule type="expression" dxfId="30" priority="31">
      <formula>F$11=""</formula>
    </cfRule>
  </conditionalFormatting>
  <conditionalFormatting sqref="I11">
    <cfRule type="expression" dxfId="29" priority="28">
      <formula>H$11=TODAY()</formula>
    </cfRule>
    <cfRule type="expression" dxfId="28" priority="29">
      <formula>H$11=""</formula>
    </cfRule>
  </conditionalFormatting>
  <conditionalFormatting sqref="K11">
    <cfRule type="expression" dxfId="27" priority="26">
      <formula>J$11=TODAY()</formula>
    </cfRule>
    <cfRule type="expression" dxfId="26" priority="27">
      <formula>J$11=""</formula>
    </cfRule>
  </conditionalFormatting>
  <conditionalFormatting sqref="M11">
    <cfRule type="expression" dxfId="25" priority="24">
      <formula>L$11=TODAY()</formula>
    </cfRule>
    <cfRule type="expression" dxfId="24" priority="25">
      <formula>L$11=""</formula>
    </cfRule>
  </conditionalFormatting>
  <conditionalFormatting sqref="O11">
    <cfRule type="expression" dxfId="23" priority="22">
      <formula>N$11=TODAY()</formula>
    </cfRule>
    <cfRule type="expression" dxfId="22" priority="23">
      <formula>N$11=""</formula>
    </cfRule>
  </conditionalFormatting>
  <conditionalFormatting sqref="C12">
    <cfRule type="expression" dxfId="21" priority="14">
      <formula>B$12=""</formula>
    </cfRule>
    <cfRule type="expression" dxfId="20" priority="21">
      <formula>B$12=TODAY()</formula>
    </cfRule>
  </conditionalFormatting>
  <conditionalFormatting sqref="E12">
    <cfRule type="expression" dxfId="19" priority="20">
      <formula>D$12=TODAY()</formula>
    </cfRule>
  </conditionalFormatting>
  <conditionalFormatting sqref="G12">
    <cfRule type="expression" dxfId="18" priority="19">
      <formula>F$12=TODAY()</formula>
    </cfRule>
  </conditionalFormatting>
  <conditionalFormatting sqref="I12">
    <cfRule type="expression" dxfId="17" priority="18">
      <formula>H$12=TODAY()</formula>
    </cfRule>
  </conditionalFormatting>
  <conditionalFormatting sqref="K12">
    <cfRule type="expression" dxfId="16" priority="17">
      <formula>J$12=TODAY()</formula>
    </cfRule>
  </conditionalFormatting>
  <conditionalFormatting sqref="M12">
    <cfRule type="expression" dxfId="15" priority="16">
      <formula>L$12=TODAY()</formula>
    </cfRule>
  </conditionalFormatting>
  <conditionalFormatting sqref="O12">
    <cfRule type="expression" dxfId="14" priority="15">
      <formula>N$12=TODAY()</formula>
    </cfRule>
  </conditionalFormatting>
  <conditionalFormatting sqref="E12">
    <cfRule type="expression" dxfId="13" priority="12">
      <formula>D$12=""</formula>
    </cfRule>
    <cfRule type="expression" dxfId="12" priority="13">
      <formula>D$12=TODAY()</formula>
    </cfRule>
  </conditionalFormatting>
  <conditionalFormatting sqref="G12">
    <cfRule type="expression" dxfId="11" priority="10">
      <formula>F$12=""</formula>
    </cfRule>
    <cfRule type="expression" dxfId="10" priority="11">
      <formula>F$12=TODAY()</formula>
    </cfRule>
  </conditionalFormatting>
  <conditionalFormatting sqref="I12">
    <cfRule type="expression" dxfId="9" priority="8">
      <formula>H$12=""</formula>
    </cfRule>
    <cfRule type="expression" dxfId="8" priority="9">
      <formula>H$12=TODAY()</formula>
    </cfRule>
  </conditionalFormatting>
  <conditionalFormatting sqref="K12">
    <cfRule type="expression" dxfId="7" priority="6">
      <formula>J$12=""</formula>
    </cfRule>
    <cfRule type="expression" dxfId="6" priority="7">
      <formula>J$12=TODAY()</formula>
    </cfRule>
  </conditionalFormatting>
  <conditionalFormatting sqref="M12">
    <cfRule type="expression" dxfId="5" priority="4">
      <formula>L$12=""</formula>
    </cfRule>
    <cfRule type="expression" dxfId="4" priority="5">
      <formula>L$12=TODAY()</formula>
    </cfRule>
  </conditionalFormatting>
  <conditionalFormatting sqref="O12">
    <cfRule type="expression" dxfId="3" priority="2">
      <formula>N$12=""</formula>
    </cfRule>
    <cfRule type="expression" dxfId="2" priority="3">
      <formula>N$12=TODAY()</formula>
    </cfRule>
  </conditionalFormatting>
  <conditionalFormatting sqref="B12 D12 F12 H12 J12 L12 N12">
    <cfRule type="cellIs" dxfId="1" priority="1" operator="equal">
      <formula>""</formula>
    </cfRule>
  </conditionalFormatting>
  <printOptions horizontalCentered="1"/>
  <pageMargins left="0.11811023622047245" right="0.11811023622047245" top="0.15748031496062992" bottom="0.35433070866141736" header="0.11811023622047245" footer="0.31496062992125984"/>
  <pageSetup paperSize="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5" id="{6BD1312C-98DC-48A0-9591-C59FC0000D1B}">
            <xm:f>NOT(ISNA(VLOOKUP(B7,Données!$J$2:$J$13,1,0)))</xm:f>
            <x14:dxf>
              <fill>
                <patternFill>
                  <bgColor rgb="FFFF0000"/>
                </patternFill>
              </fill>
            </x14:dxf>
          </x14:cfRule>
          <xm:sqref>B7:K12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Equipe">
          <x14:formula1>
            <xm:f>Données!$A$2:$A$13</xm:f>
          </x14:formula1>
          <xm:sqref>B7:O12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2:W27"/>
  <sheetViews>
    <sheetView zoomScale="115" zoomScaleNormal="115" workbookViewId="0">
      <selection activeCell="E19" sqref="E19"/>
    </sheetView>
  </sheetViews>
  <sheetFormatPr baseColWidth="10" defaultColWidth="11.5703125" defaultRowHeight="15.75"/>
  <cols>
    <col min="1" max="1" width="3.7109375" style="9" customWidth="1"/>
    <col min="2" max="2" width="11.85546875" style="9" customWidth="1"/>
    <col min="3" max="3" width="13.7109375" style="39" customWidth="1"/>
    <col min="4" max="4" width="6.7109375" style="9" customWidth="1"/>
    <col min="5" max="5" width="14.28515625" style="39" bestFit="1" customWidth="1"/>
    <col min="6" max="6" width="6.7109375" style="9" customWidth="1"/>
    <col min="7" max="7" width="14.28515625" style="39" bestFit="1" customWidth="1"/>
    <col min="8" max="8" width="6.7109375" style="9" customWidth="1"/>
    <col min="9" max="9" width="14.28515625" style="39" bestFit="1" customWidth="1"/>
    <col min="10" max="10" width="6.7109375" style="9" customWidth="1"/>
    <col min="11" max="11" width="14.28515625" style="39" bestFit="1" customWidth="1"/>
    <col min="12" max="12" width="6.7109375" style="9" customWidth="1"/>
    <col min="13" max="13" width="14.28515625" style="39" bestFit="1" customWidth="1"/>
    <col min="14" max="14" width="6.7109375" style="9" customWidth="1"/>
    <col min="15" max="15" width="14.28515625" style="39" bestFit="1" customWidth="1"/>
    <col min="16" max="16" width="4.42578125" style="9" customWidth="1"/>
    <col min="17" max="17" width="28.28515625" style="9" bestFit="1" customWidth="1"/>
    <col min="18" max="18" width="3.7109375" style="9" customWidth="1"/>
    <col min="19" max="19" width="23.28515625" style="9" bestFit="1" customWidth="1"/>
    <col min="20" max="20" width="11.5703125" style="9"/>
    <col min="21" max="21" width="19.28515625" style="9" bestFit="1" customWidth="1"/>
    <col min="22" max="16384" width="11.5703125" style="9"/>
  </cols>
  <sheetData>
    <row r="2" spans="1:23">
      <c r="A2" s="8"/>
      <c r="B2" s="8"/>
      <c r="C2" s="38"/>
      <c r="D2" s="8"/>
      <c r="E2" s="38"/>
      <c r="F2" s="8"/>
      <c r="G2" s="38"/>
      <c r="H2" s="8"/>
      <c r="I2" s="38"/>
      <c r="J2" s="8"/>
      <c r="K2" s="38"/>
      <c r="L2" s="8"/>
      <c r="M2" s="38"/>
      <c r="N2" s="8"/>
      <c r="O2" s="38"/>
      <c r="P2" s="8"/>
      <c r="Q2" s="8"/>
      <c r="R2" s="8"/>
    </row>
    <row r="3" spans="1:23" ht="18.75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23" ht="7.15" customHeight="1" thickBot="1"/>
    <row r="5" spans="1:23" ht="19.899999999999999" customHeight="1" thickBot="1">
      <c r="B5" s="49">
        <f>DATE(Datas!$C$1,Datas!$D$1,1)</f>
        <v>44256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1"/>
      <c r="Q5" s="7" t="s">
        <v>12</v>
      </c>
      <c r="S5" s="37"/>
      <c r="T5" s="37" t="s">
        <v>55</v>
      </c>
      <c r="U5" s="37" t="s">
        <v>54</v>
      </c>
      <c r="V5" s="37" t="s">
        <v>53</v>
      </c>
      <c r="W5" s="37" t="s">
        <v>52</v>
      </c>
    </row>
    <row r="6" spans="1:23" ht="19.899999999999999" customHeight="1" thickTop="1" thickBot="1">
      <c r="B6" s="52" t="str">
        <f>INDEX({"Dim","Lun","Mar","Mer","Jeu","Ven","Sam"},1+MOD(Datas!$B$1+1-2,7))</f>
        <v>Lun</v>
      </c>
      <c r="C6" s="53"/>
      <c r="D6" s="54" t="str">
        <f>INDEX({"Dim","Lun","Mar","Mer","Jeu","Ven","Sam"},1+MOD(Datas!$B$1+2-2,7))</f>
        <v>Mar</v>
      </c>
      <c r="E6" s="55"/>
      <c r="F6" s="53" t="str">
        <f>INDEX({"Dim","Lun","Mar","Mer","Jeu","Ven","Sam"},1+MOD(Datas!$B$1+3-2,7))</f>
        <v>Mer</v>
      </c>
      <c r="G6" s="53"/>
      <c r="H6" s="54" t="str">
        <f>INDEX({"Dim","Lun","Mar","Mer","Jeu","Ven","Sam"},1+MOD(Datas!$B$1+4-2,7))</f>
        <v>Jeu</v>
      </c>
      <c r="I6" s="55"/>
      <c r="J6" s="53" t="str">
        <f>INDEX({"Dim","Lun","Mar","Mer","Jeu","Ven","Sam"},1+MOD(Datas!$B$1+5-2,7))</f>
        <v>Ven</v>
      </c>
      <c r="K6" s="53"/>
      <c r="L6" s="54" t="str">
        <f>INDEX({"Dim","Lun","Mar","Mer","Jeu","Ven","Sam"},1+MOD(Datas!$B$1+6-2,7))</f>
        <v>Sam</v>
      </c>
      <c r="M6" s="55"/>
      <c r="N6" s="53" t="str">
        <f>INDEX({"Dim","Lun","Mar","Mer","Jeu","Ven","Sam"},1+MOD(Datas!$B$1+7-2,7))</f>
        <v>Dim</v>
      </c>
      <c r="O6" s="56"/>
      <c r="Q6" s="10"/>
      <c r="S6" s="36" t="s">
        <v>51</v>
      </c>
      <c r="T6" s="35"/>
      <c r="U6" s="35"/>
      <c r="V6" s="35"/>
      <c r="W6" s="35"/>
    </row>
    <row r="7" spans="1:23" ht="19.899999999999999" customHeight="1" thickBot="1">
      <c r="B7" s="12">
        <f>IF(MONTH($B$5)&lt;&gt;MONTH($B$5-(WEEKDAY($B$5,1)-(Datas!$B$1-1))-IF((WEEKDAY($B$5,1)-(Datas!$B$1-1))&lt;=0,7,0)+(ROW(B7)-ROW($B$7))*7+(COLUMN(B7)-COLUMN($B$7)+1)),"",$B$5-(WEEKDAY($B$5,1)-(Datas!$B$1-1))-IF((WEEKDAY($B$5,1)-(Datas!$B$1-1))&lt;=0,7,0)+(ROW(B7)-ROW($B$7))*7+(COLUMN(B7)-COLUMN($B$7)+1))</f>
        <v>44256</v>
      </c>
      <c r="C7" s="40"/>
      <c r="D7" s="11">
        <f>IF(MONTH($B$5)&lt;&gt;MONTH($B$5-(WEEKDAY($B$5,1)-(Datas!$B$1-1))-IF((WEEKDAY($B$5,1)-(Datas!$B$1-1))&lt;=0,7,0)+(ROW(C7)-ROW($B$7))*7+(COLUMN(C7)-COLUMN($B$7)+1)),"",$B$5-(WEEKDAY($B$5,1)-(Datas!$B$1-1))-IF((WEEKDAY($B$5,1)-(Datas!$B$1-1))&lt;=0,7,0)+(ROW(C7)-ROW($B$7))*7+(COLUMN(C7)-COLUMN($B$7)+1))</f>
        <v>44257</v>
      </c>
      <c r="E7" s="42"/>
      <c r="F7" s="30">
        <f>IF(MONTH($B$5)&lt;&gt;MONTH($B$5-(WEEKDAY($B$5,1)-(Datas!$B$1-1))-IF((WEEKDAY($B$5,1)-(Datas!$B$1-1))&lt;=0,7,0)+(ROW(D7)-ROW($B$7))*7+(COLUMN(D7)-COLUMN($B$7)+1)),"",$B$5-(WEEKDAY($B$5,1)-(Datas!$B$1-1))-IF((WEEKDAY($B$5,1)-(Datas!$B$1-1))&lt;=0,7,0)+(ROW(D7)-ROW($B$7))*7+(COLUMN(D7)-COLUMN($B$7)+1))</f>
        <v>44258</v>
      </c>
      <c r="G7" s="40"/>
      <c r="H7" s="11">
        <f>IF(MONTH($B$5)&lt;&gt;MONTH($B$5-(WEEKDAY($B$5,1)-(Datas!$B$1-1))-IF((WEEKDAY($B$5,1)-(Datas!$B$1-1))&lt;=0,7,0)+(ROW(E7)-ROW($B$7))*7+(COLUMN(E7)-COLUMN($B$7)+1)),"",$B$5-(WEEKDAY($B$5,1)-(Datas!$B$1-1))-IF((WEEKDAY($B$5,1)-(Datas!$B$1-1))&lt;=0,7,0)+(ROW(E7)-ROW($B$7))*7+(COLUMN(E7)-COLUMN($B$7)+1))</f>
        <v>44259</v>
      </c>
      <c r="I7" s="40"/>
      <c r="J7" s="11">
        <f>IF(MONTH($B$5)&lt;&gt;MONTH($B$5-(WEEKDAY($B$5,1)-(Datas!$B$1-1))-IF((WEEKDAY($B$5,1)-(Datas!$B$1-1))&lt;=0,7,0)+(ROW(F7)-ROW($B$7))*7+(COLUMN(F7)-COLUMN($B$7)+1)),"",$B$5-(WEEKDAY($B$5,1)-(Datas!$B$1-1))-IF((WEEKDAY($B$5,1)-(Datas!$B$1-1))&lt;=0,7,0)+(ROW(F7)-ROW($B$7))*7+(COLUMN(F7)-COLUMN($B$7)+1))</f>
        <v>44260</v>
      </c>
      <c r="K7" s="40"/>
      <c r="L7" s="16">
        <f>IF(MONTH($B$5)&lt;&gt;MONTH($B$5-(WEEKDAY($B$5,1)-(Datas!$B$1-1))-IF((WEEKDAY($B$5,1)-(Datas!$B$1-1))&lt;=0,7,0)+(ROW(G7)-ROW($B$7))*7+(COLUMN(G7)-COLUMN($B$7)+1)),"",$B$5-(WEEKDAY($B$5,1)-(Datas!$B$1-1))-IF((WEEKDAY($B$5,1)-(Datas!$B$1-1))&lt;=0,7,0)+(ROW(G7)-ROW($B$7))*7+(COLUMN(G7)-COLUMN($B$7)+1))</f>
        <v>44261</v>
      </c>
      <c r="M7" s="43"/>
      <c r="N7" s="16">
        <f>IF(MONTH($B$5)&lt;&gt;MONTH($B$5-(WEEKDAY($B$5,1)-(Datas!$B$1-1))-IF((WEEKDAY($B$5,1)-(Datas!$B$1-1))&lt;=0,7,0)+(ROW(H7)-ROW($B$7))*7+(COLUMN(H7)-COLUMN($B$7)+1)),"",$B$5-(WEEKDAY($B$5,1)-(Datas!$B$1-1))-IF((WEEKDAY($B$5,1)-(Datas!$B$1-1))&lt;=0,7,0)+(ROW(H7)-ROW($B$7))*7+(COLUMN(H7)-COLUMN($B$7)+1))</f>
        <v>44262</v>
      </c>
      <c r="O7" s="44"/>
      <c r="P7" s="19">
        <f t="shared" ref="P7:P12" si="0">IF(B7="","",B7)</f>
        <v>44256</v>
      </c>
      <c r="Q7" s="20">
        <f>IF(N7="","",(INT(MOD(INT((N7-2)/7)+0.6,52+5/28))+1))</f>
        <v>9</v>
      </c>
      <c r="S7" s="36" t="s">
        <v>50</v>
      </c>
      <c r="T7" s="35">
        <f>(7*T6*1.5)+(5*T6*2)*1.25</f>
        <v>0</v>
      </c>
      <c r="U7" s="35">
        <f>COUNTIF($B$7:$O$12,Données!A2)</f>
        <v>0</v>
      </c>
      <c r="V7" s="35"/>
      <c r="W7" s="34">
        <f>(T7*U7)</f>
        <v>0</v>
      </c>
    </row>
    <row r="8" spans="1:23" ht="19.899999999999999" customHeight="1" thickTop="1" thickBot="1">
      <c r="B8" s="12">
        <f>IF(MONTH($B$5)&lt;&gt;MONTH($B$5-(WEEKDAY($B$5,1)-(Datas!$B$1-1))-IF((WEEKDAY($B$5,1)-(Datas!$B$1-1))&lt;=0,7,0)+(ROW(B8)-ROW($B$7))*7+(COLUMN(B8)-COLUMN($B$7)+1)),"",$B$5-(WEEKDAY($B$5,1)-(Datas!$B$1-1))-IF((WEEKDAY($B$5,1)-(Datas!$B$1-1))&lt;=0,7,0)+(ROW(B8)-ROW($B$7))*7+(COLUMN(B8)-COLUMN($B$7)+1))</f>
        <v>44263</v>
      </c>
      <c r="C8" s="47"/>
      <c r="D8" s="13">
        <f>IF(MONTH($B$5)&lt;&gt;MONTH($B$5-(WEEKDAY($B$5,1)-(Datas!$B$1-1))-IF((WEEKDAY($B$5,1)-(Datas!$B$1-1))&lt;=0,7,0)+(ROW(C8)-ROW($B$7))*7+(COLUMN(C8)-COLUMN($B$7)+1)),"",$B$5-(WEEKDAY($B$5,1)-(Datas!$B$1-1))-IF((WEEKDAY($B$5,1)-(Datas!$B$1-1))&lt;=0,7,0)+(ROW(C8)-ROW($B$7))*7+(COLUMN(C8)-COLUMN($B$7)+1))</f>
        <v>44264</v>
      </c>
      <c r="E8" s="47"/>
      <c r="F8" s="13">
        <f>IF(MONTH($B$5)&lt;&gt;MONTH($B$5-(WEEKDAY($B$5,1)-(Datas!$B$1-1))-IF((WEEKDAY($B$5,1)-(Datas!$B$1-1))&lt;=0,7,0)+(ROW(D8)-ROW($B$7))*7+(COLUMN(D8)-COLUMN($B$7)+1)),"",$B$5-(WEEKDAY($B$5,1)-(Datas!$B$1-1))-IF((WEEKDAY($B$5,1)-(Datas!$B$1-1))&lt;=0,7,0)+(ROW(D8)-ROW($B$7))*7+(COLUMN(D8)-COLUMN($B$7)+1))</f>
        <v>44265</v>
      </c>
      <c r="G8" s="41"/>
      <c r="H8" s="13">
        <f>IF(MONTH($B$5)&lt;&gt;MONTH($B$5-(WEEKDAY($B$5,1)-(Datas!$B$1-1))-IF((WEEKDAY($B$5,1)-(Datas!$B$1-1))&lt;=0,7,0)+(ROW(E8)-ROW($B$7))*7+(COLUMN(E8)-COLUMN($B$7)+1)),"",$B$5-(WEEKDAY($B$5,1)-(Datas!$B$1-1))-IF((WEEKDAY($B$5,1)-(Datas!$B$1-1))&lt;=0,7,0)+(ROW(E8)-ROW($B$7))*7+(COLUMN(E8)-COLUMN($B$7)+1))</f>
        <v>44266</v>
      </c>
      <c r="I8" s="41"/>
      <c r="J8" s="13">
        <f>IF(MONTH($B$5)&lt;&gt;MONTH($B$5-(WEEKDAY($B$5,1)-(Datas!$B$1-1))-IF((WEEKDAY($B$5,1)-(Datas!$B$1-1))&lt;=0,7,0)+(ROW(F8)-ROW($B$7))*7+(COLUMN(F8)-COLUMN($B$7)+1)),"",$B$5-(WEEKDAY($B$5,1)-(Datas!$B$1-1))-IF((WEEKDAY($B$5,1)-(Datas!$B$1-1))&lt;=0,7,0)+(ROW(F8)-ROW($B$7))*7+(COLUMN(F8)-COLUMN($B$7)+1))</f>
        <v>44267</v>
      </c>
      <c r="K8" s="41"/>
      <c r="L8" s="17">
        <f>IF(MONTH($B$5)&lt;&gt;MONTH($B$5-(WEEKDAY($B$5,1)-(Datas!$B$1-1))-IF((WEEKDAY($B$5,1)-(Datas!$B$1-1))&lt;=0,7,0)+(ROW(G8)-ROW($B$7))*7+(COLUMN(G8)-COLUMN($B$7)+1)),"",$B$5-(WEEKDAY($B$5,1)-(Datas!$B$1-1))-IF((WEEKDAY($B$5,1)-(Datas!$B$1-1))&lt;=0,7,0)+(ROW(G8)-ROW($B$7))*7+(COLUMN(G8)-COLUMN($B$7)+1))</f>
        <v>44268</v>
      </c>
      <c r="M8" s="43"/>
      <c r="N8" s="17">
        <f>IF(MONTH($B$5)&lt;&gt;MONTH($B$5-(WEEKDAY($B$5,1)-(Datas!$B$1-1))-IF((WEEKDAY($B$5,1)-(Datas!$B$1-1))&lt;=0,7,0)+(ROW(H8)-ROW($B$7))*7+(COLUMN(H8)-COLUMN($B$7)+1)),"",$B$5-(WEEKDAY($B$5,1)-(Datas!$B$1-1))-IF((WEEKDAY($B$5,1)-(Datas!$B$1-1))&lt;=0,7,0)+(ROW(H8)-ROW($B$7))*7+(COLUMN(H8)-COLUMN($B$7)+1))</f>
        <v>44269</v>
      </c>
      <c r="O8" s="45"/>
      <c r="P8" s="19">
        <f t="shared" si="0"/>
        <v>44263</v>
      </c>
      <c r="Q8" s="21">
        <f>IF(P8="","",(INT(MOD(INT((P8-2)/7)+0.6,52+5/28))+1))</f>
        <v>10</v>
      </c>
      <c r="S8" s="36" t="s">
        <v>49</v>
      </c>
      <c r="T8" s="35">
        <f>(T6*12*2)*1.25</f>
        <v>0</v>
      </c>
      <c r="U8" s="35">
        <f>COUNTIF($B$7:$O$12,Données!A3)</f>
        <v>0</v>
      </c>
      <c r="V8" s="35"/>
      <c r="W8" s="34">
        <f>(T8*U8)</f>
        <v>0</v>
      </c>
    </row>
    <row r="9" spans="1:23" ht="19.899999999999999" customHeight="1" thickTop="1" thickBot="1">
      <c r="B9" s="12">
        <f>IF(MONTH($B$5)&lt;&gt;MONTH($B$5-(WEEKDAY($B$5,1)-(Datas!$B$1-1))-IF((WEEKDAY($B$5,1)-(Datas!$B$1-1))&lt;=0,7,0)+(ROW(B9)-ROW($B$7))*7+(COLUMN(B9)-COLUMN($B$7)+1)),"",$B$5-(WEEKDAY($B$5,1)-(Datas!$B$1-1))-IF((WEEKDAY($B$5,1)-(Datas!$B$1-1))&lt;=0,7,0)+(ROW(B9)-ROW($B$7))*7+(COLUMN(B9)-COLUMN($B$7)+1))</f>
        <v>44270</v>
      </c>
      <c r="C9" s="41"/>
      <c r="D9" s="13">
        <f>IF(MONTH($B$5)&lt;&gt;MONTH($B$5-(WEEKDAY($B$5,1)-(Datas!$B$1-1))-IF((WEEKDAY($B$5,1)-(Datas!$B$1-1))&lt;=0,7,0)+(ROW(C9)-ROW($B$7))*7+(COLUMN(C9)-COLUMN($B$7)+1)),"",$B$5-(WEEKDAY($B$5,1)-(Datas!$B$1-1))-IF((WEEKDAY($B$5,1)-(Datas!$B$1-1))&lt;=0,7,0)+(ROW(C9)-ROW($B$7))*7+(COLUMN(C9)-COLUMN($B$7)+1))</f>
        <v>44271</v>
      </c>
      <c r="E9" s="41"/>
      <c r="F9" s="13">
        <f>IF(MONTH($B$5)&lt;&gt;MONTH($B$5-(WEEKDAY($B$5,1)-(Datas!$B$1-1))-IF((WEEKDAY($B$5,1)-(Datas!$B$1-1))&lt;=0,7,0)+(ROW(D9)-ROW($B$7))*7+(COLUMN(D9)-COLUMN($B$7)+1)),"",$B$5-(WEEKDAY($B$5,1)-(Datas!$B$1-1))-IF((WEEKDAY($B$5,1)-(Datas!$B$1-1))&lt;=0,7,0)+(ROW(D9)-ROW($B$7))*7+(COLUMN(D9)-COLUMN($B$7)+1))</f>
        <v>44272</v>
      </c>
      <c r="G9" s="41"/>
      <c r="H9" s="13">
        <f>IF(MONTH($B$5)&lt;&gt;MONTH($B$5-(WEEKDAY($B$5,1)-(Datas!$B$1-1))-IF((WEEKDAY($B$5,1)-(Datas!$B$1-1))&lt;=0,7,0)+(ROW(E9)-ROW($B$7))*7+(COLUMN(E9)-COLUMN($B$7)+1)),"",$B$5-(WEEKDAY($B$5,1)-(Datas!$B$1-1))-IF((WEEKDAY($B$5,1)-(Datas!$B$1-1))&lt;=0,7,0)+(ROW(E9)-ROW($B$7))*7+(COLUMN(E9)-COLUMN($B$7)+1))</f>
        <v>44273</v>
      </c>
      <c r="I9" s="41"/>
      <c r="J9" s="13">
        <f>IF(MONTH($B$5)&lt;&gt;MONTH($B$5-(WEEKDAY($B$5,1)-(Datas!$B$1-1))-IF((WEEKDAY($B$5,1)-(Datas!$B$1-1))&lt;=0,7,0)+(ROW(F9)-ROW($B$7))*7+(COLUMN(F9)-COLUMN($B$7)+1)),"",$B$5-(WEEKDAY($B$5,1)-(Datas!$B$1-1))-IF((WEEKDAY($B$5,1)-(Datas!$B$1-1))&lt;=0,7,0)+(ROW(F9)-ROW($B$7))*7+(COLUMN(F9)-COLUMN($B$7)+1))</f>
        <v>44274</v>
      </c>
      <c r="K9" s="59"/>
      <c r="L9" s="17">
        <f>IF(MONTH($B$5)&lt;&gt;MONTH($B$5-(WEEKDAY($B$5,1)-(Datas!$B$1-1))-IF((WEEKDAY($B$5,1)-(Datas!$B$1-1))&lt;=0,7,0)+(ROW(G9)-ROW($B$7))*7+(COLUMN(G9)-COLUMN($B$7)+1)),"",$B$5-(WEEKDAY($B$5,1)-(Datas!$B$1-1))-IF((WEEKDAY($B$5,1)-(Datas!$B$1-1))&lt;=0,7,0)+(ROW(G9)-ROW($B$7))*7+(COLUMN(G9)-COLUMN($B$7)+1))</f>
        <v>44275</v>
      </c>
      <c r="M9" s="43"/>
      <c r="N9" s="17">
        <f>IF(MONTH($B$5)&lt;&gt;MONTH($B$5-(WEEKDAY($B$5,1)-(Datas!$B$1-1))-IF((WEEKDAY($B$5,1)-(Datas!$B$1-1))&lt;=0,7,0)+(ROW(H9)-ROW($B$7))*7+(COLUMN(H9)-COLUMN($B$7)+1)),"",$B$5-(WEEKDAY($B$5,1)-(Datas!$B$1-1))-IF((WEEKDAY($B$5,1)-(Datas!$B$1-1))&lt;=0,7,0)+(ROW(H9)-ROW($B$7))*7+(COLUMN(H9)-COLUMN($B$7)+1))</f>
        <v>44276</v>
      </c>
      <c r="O9" s="44"/>
      <c r="P9" s="19">
        <f t="shared" si="0"/>
        <v>44270</v>
      </c>
      <c r="Q9" s="21">
        <f>IF(P9="","",(INT(MOD(INT((P9-2)/7)+0.6,52+5/28))+1))</f>
        <v>11</v>
      </c>
      <c r="S9" s="36" t="s">
        <v>48</v>
      </c>
      <c r="T9" s="35">
        <f>(T6*1.06*8)+(T6*1.5*4)*1.06</f>
        <v>0</v>
      </c>
      <c r="U9" s="35">
        <f>COUNTIF($B$7:$O$12,Données!A4)</f>
        <v>0</v>
      </c>
      <c r="V9" s="35"/>
      <c r="W9" s="34">
        <f>(T9*U9)</f>
        <v>0</v>
      </c>
    </row>
    <row r="10" spans="1:23" ht="19.899999999999999" customHeight="1" thickTop="1" thickBot="1">
      <c r="B10" s="12">
        <f>IF(MONTH($B$5)&lt;&gt;MONTH($B$5-(WEEKDAY($B$5,1)-(Datas!$B$1-1))-IF((WEEKDAY($B$5,1)-(Datas!$B$1-1))&lt;=0,7,0)+(ROW(B10)-ROW($B$7))*7+(COLUMN(B10)-COLUMN($B$7)+1)),"",$B$5-(WEEKDAY($B$5,1)-(Datas!$B$1-1))-IF((WEEKDAY($B$5,1)-(Datas!$B$1-1))&lt;=0,7,0)+(ROW(B10)-ROW($B$7))*7+(COLUMN(B10)-COLUMN($B$7)+1))</f>
        <v>44277</v>
      </c>
      <c r="C10" s="41"/>
      <c r="D10" s="13">
        <f>IF(MONTH($B$5)&lt;&gt;MONTH($B$5-(WEEKDAY($B$5,1)-(Datas!$B$1-1))-IF((WEEKDAY($B$5,1)-(Datas!$B$1-1))&lt;=0,7,0)+(ROW(C10)-ROW($B$7))*7+(COLUMN(C10)-COLUMN($B$7)+1)),"",$B$5-(WEEKDAY($B$5,1)-(Datas!$B$1-1))-IF((WEEKDAY($B$5,1)-(Datas!$B$1-1))&lt;=0,7,0)+(ROW(C10)-ROW($B$7))*7+(COLUMN(C10)-COLUMN($B$7)+1))</f>
        <v>44278</v>
      </c>
      <c r="E10" s="41"/>
      <c r="F10" s="13">
        <f>IF(MONTH($B$5)&lt;&gt;MONTH($B$5-(WEEKDAY($B$5,1)-(Datas!$B$1-1))-IF((WEEKDAY($B$5,1)-(Datas!$B$1-1))&lt;=0,7,0)+(ROW(D10)-ROW($B$7))*7+(COLUMN(D10)-COLUMN($B$7)+1)),"",$B$5-(WEEKDAY($B$5,1)-(Datas!$B$1-1))-IF((WEEKDAY($B$5,1)-(Datas!$B$1-1))&lt;=0,7,0)+(ROW(D10)-ROW($B$7))*7+(COLUMN(D10)-COLUMN($B$7)+1))</f>
        <v>44279</v>
      </c>
      <c r="G10" s="41"/>
      <c r="H10" s="13">
        <f>IF(MONTH($B$5)&lt;&gt;MONTH($B$5-(WEEKDAY($B$5,1)-(Datas!$B$1-1))-IF((WEEKDAY($B$5,1)-(Datas!$B$1-1))&lt;=0,7,0)+(ROW(E10)-ROW($B$7))*7+(COLUMN(E10)-COLUMN($B$7)+1)),"",$B$5-(WEEKDAY($B$5,1)-(Datas!$B$1-1))-IF((WEEKDAY($B$5,1)-(Datas!$B$1-1))&lt;=0,7,0)+(ROW(E10)-ROW($B$7))*7+(COLUMN(E10)-COLUMN($B$7)+1))</f>
        <v>44280</v>
      </c>
      <c r="I10" s="41"/>
      <c r="J10" s="13">
        <f>IF(MONTH($B$5)&lt;&gt;MONTH($B$5-(WEEKDAY($B$5,1)-(Datas!$B$1-1))-IF((WEEKDAY($B$5,1)-(Datas!$B$1-1))&lt;=0,7,0)+(ROW(F10)-ROW($B$7))*7+(COLUMN(F10)-COLUMN($B$7)+1)),"",$B$5-(WEEKDAY($B$5,1)-(Datas!$B$1-1))-IF((WEEKDAY($B$5,1)-(Datas!$B$1-1))&lt;=0,7,0)+(ROW(F10)-ROW($B$7))*7+(COLUMN(F10)-COLUMN($B$7)+1))</f>
        <v>44281</v>
      </c>
      <c r="K10" s="41"/>
      <c r="L10" s="17">
        <f>IF(MONTH($B$5)&lt;&gt;MONTH($B$5-(WEEKDAY($B$5,1)-(Datas!$B$1-1))-IF((WEEKDAY($B$5,1)-(Datas!$B$1-1))&lt;=0,7,0)+(ROW(G10)-ROW($B$7))*7+(COLUMN(G10)-COLUMN($B$7)+1)),"",$B$5-(WEEKDAY($B$5,1)-(Datas!$B$1-1))-IF((WEEKDAY($B$5,1)-(Datas!$B$1-1))&lt;=0,7,0)+(ROW(G10)-ROW($B$7))*7+(COLUMN(G10)-COLUMN($B$7)+1))</f>
        <v>44282</v>
      </c>
      <c r="M10" s="43"/>
      <c r="N10" s="17">
        <f>IF(MONTH($B$5)&lt;&gt;MONTH($B$5-(WEEKDAY($B$5,1)-(Datas!$B$1-1))-IF((WEEKDAY($B$5,1)-(Datas!$B$1-1))&lt;=0,7,0)+(ROW(H10)-ROW($B$7))*7+(COLUMN(H10)-COLUMN($B$7)+1)),"",$B$5-(WEEKDAY($B$5,1)-(Datas!$B$1-1))-IF((WEEKDAY($B$5,1)-(Datas!$B$1-1))&lt;=0,7,0)+(ROW(H10)-ROW($B$7))*7+(COLUMN(H10)-COLUMN($B$7)+1))</f>
        <v>44283</v>
      </c>
      <c r="O10" s="45"/>
      <c r="P10" s="19">
        <f t="shared" si="0"/>
        <v>44277</v>
      </c>
      <c r="Q10" s="21">
        <f>IF(P10="","",(INT(MOD(INT((P10-2)/7)+0.6,52+5/28))+1))</f>
        <v>12</v>
      </c>
      <c r="S10" s="36" t="s">
        <v>47</v>
      </c>
      <c r="T10" s="35">
        <f>(T6*12*2)*1.06</f>
        <v>0</v>
      </c>
      <c r="U10" s="35">
        <f>COUNTIF($B$7:$O$12,Données!A5)</f>
        <v>0</v>
      </c>
      <c r="V10" s="35"/>
      <c r="W10" s="34">
        <f>(T10*U10)</f>
        <v>0</v>
      </c>
    </row>
    <row r="11" spans="1:23" ht="19.899999999999999" customHeight="1" thickTop="1" thickBot="1">
      <c r="B11" s="12">
        <f>IF(MONTH($B$5)&lt;&gt;MONTH($B$5-(WEEKDAY($B$5,1)-(Datas!$B$1-1))-IF((WEEKDAY($B$5,1)-(Datas!$B$1-1))&lt;=0,7,0)+(ROW(B11)-ROW($B$7))*7+(COLUMN(B11)-COLUMN($B$7)+1)),"",$B$5-(WEEKDAY($B$5,1)-(Datas!$B$1-1))-IF((WEEKDAY($B$5,1)-(Datas!$B$1-1))&lt;=0,7,0)+(ROW(B11)-ROW($B$7))*7+(COLUMN(B11)-COLUMN($B$7)+1))</f>
        <v>44284</v>
      </c>
      <c r="C11" s="41"/>
      <c r="D11" s="13">
        <f>IF(MONTH($B$5)&lt;&gt;MONTH($B$5-(WEEKDAY($B$5,1)-(Datas!$B$1-1))-IF((WEEKDAY($B$5,1)-(Datas!$B$1-1))&lt;=0,7,0)+(ROW(C11)-ROW($B$7))*7+(COLUMN(C11)-COLUMN($B$7)+1)),"",$B$5-(WEEKDAY($B$5,1)-(Datas!$B$1-1))-IF((WEEKDAY($B$5,1)-(Datas!$B$1-1))&lt;=0,7,0)+(ROW(C11)-ROW($B$7))*7+(COLUMN(C11)-COLUMN($B$7)+1))</f>
        <v>44285</v>
      </c>
      <c r="E11" s="41"/>
      <c r="F11" s="13">
        <f>IF(MONTH($B$5)&lt;&gt;MONTH($B$5-(WEEKDAY($B$5,1)-(Datas!$B$1-1))-IF((WEEKDAY($B$5,1)-(Datas!$B$1-1))&lt;=0,7,0)+(ROW(D11)-ROW($B$7))*7+(COLUMN(D11)-COLUMN($B$7)+1)),"",$B$5-(WEEKDAY($B$5,1)-(Datas!$B$1-1))-IF((WEEKDAY($B$5,1)-(Datas!$B$1-1))&lt;=0,7,0)+(ROW(D11)-ROW($B$7))*7+(COLUMN(D11)-COLUMN($B$7)+1))</f>
        <v>44286</v>
      </c>
      <c r="G11" s="41"/>
      <c r="H11" s="13" t="str">
        <f>IF(MONTH($B$5)&lt;&gt;MONTH($B$5-(WEEKDAY($B$5,1)-(Datas!$B$1-1))-IF((WEEKDAY($B$5,1)-(Datas!$B$1-1))&lt;=0,7,0)+(ROW(E11)-ROW($B$7))*7+(COLUMN(E11)-COLUMN($B$7)+1)),"",$B$5-(WEEKDAY($B$5,1)-(Datas!$B$1-1))-IF((WEEKDAY($B$5,1)-(Datas!$B$1-1))&lt;=0,7,0)+(ROW(E11)-ROW($B$7))*7+(COLUMN(E11)-COLUMN($B$7)+1))</f>
        <v/>
      </c>
      <c r="I11" s="41"/>
      <c r="J11" s="13" t="str">
        <f>IF(MONTH($B$5)&lt;&gt;MONTH($B$5-(WEEKDAY($B$5,1)-(Datas!$B$1-1))-IF((WEEKDAY($B$5,1)-(Datas!$B$1-1))&lt;=0,7,0)+(ROW(F11)-ROW($B$7))*7+(COLUMN(F11)-COLUMN($B$7)+1)),"",$B$5-(WEEKDAY($B$5,1)-(Datas!$B$1-1))-IF((WEEKDAY($B$5,1)-(Datas!$B$1-1))&lt;=0,7,0)+(ROW(F11)-ROW($B$7))*7+(COLUMN(F11)-COLUMN($B$7)+1))</f>
        <v/>
      </c>
      <c r="K11" s="41"/>
      <c r="L11" s="17" t="str">
        <f>IF(MONTH($B$5)&lt;&gt;MONTH($B$5-(WEEKDAY($B$5,1)-(Datas!$B$1-1))-IF((WEEKDAY($B$5,1)-(Datas!$B$1-1))&lt;=0,7,0)+(ROW(G11)-ROW($B$7))*7+(COLUMN(G11)-COLUMN($B$7)+1)),"",$B$5-(WEEKDAY($B$5,1)-(Datas!$B$1-1))-IF((WEEKDAY($B$5,1)-(Datas!$B$1-1))&lt;=0,7,0)+(ROW(G11)-ROW($B$7))*7+(COLUMN(G11)-COLUMN($B$7)+1))</f>
        <v/>
      </c>
      <c r="M11" s="43"/>
      <c r="N11" s="17" t="str">
        <f>IF(MONTH($B$5)&lt;&gt;MONTH($B$5-(WEEKDAY($B$5,1)-(Datas!$B$1-1))-IF((WEEKDAY($B$5,1)-(Datas!$B$1-1))&lt;=0,7,0)+(ROW(H11)-ROW($B$7))*7+(COLUMN(H11)-COLUMN($B$7)+1)),"",$B$5-(WEEKDAY($B$5,1)-(Datas!$B$1-1))-IF((WEEKDAY($B$5,1)-(Datas!$B$1-1))&lt;=0,7,0)+(ROW(H11)-ROW($B$7))*7+(COLUMN(H11)-COLUMN($B$7)+1))</f>
        <v/>
      </c>
      <c r="O11" s="44"/>
      <c r="P11" s="19">
        <f t="shared" si="0"/>
        <v>44284</v>
      </c>
      <c r="Q11" s="21">
        <f>IF(P11="","",(INT(MOD(INT((P11-2)/7)+0.6,52+5/28))+1))</f>
        <v>13</v>
      </c>
      <c r="S11" s="36" t="s">
        <v>46</v>
      </c>
      <c r="T11" s="35">
        <f>(T6*1.06*8)</f>
        <v>0</v>
      </c>
      <c r="U11" s="35">
        <f>COUNTIF($B$7:$O$12,Données!A6)</f>
        <v>0</v>
      </c>
      <c r="V11" s="35"/>
      <c r="W11" s="34">
        <f>(T6*1.06*8)*U11</f>
        <v>0</v>
      </c>
    </row>
    <row r="12" spans="1:23" ht="19.899999999999999" customHeight="1" thickTop="1" thickBot="1">
      <c r="B12" s="23" t="str">
        <f>IF(MONTH($B$5)&lt;&gt;MONTH($B$5-(WEEKDAY($B$5,1)-(Datas!$B$1-1))-IF((WEEKDAY($B$5,1)-(Datas!$B$1-1))&lt;=0,7,0)+(ROW(B12)-ROW($B$7))*7+(COLUMN(B12)-COLUMN($B$7)+1)),"",$B$5-(WEEKDAY($B$5,1)-(Datas!$B$1-1))-IF((WEEKDAY($B$5,1)-(Datas!$B$1-1))&lt;=0,7,0)+(ROW(B12)-ROW($B$7))*7+(COLUMN(B12)-COLUMN($B$7)+1))</f>
        <v/>
      </c>
      <c r="C12" s="15"/>
      <c r="D12" s="14" t="str">
        <f>IF(MONTH($B$5)&lt;&gt;MONTH($B$5-(WEEKDAY($B$5,1)-(Datas!$B$1-1))-IF((WEEKDAY($B$5,1)-(Datas!$B$1-1))&lt;=0,7,0)+(ROW(C12)-ROW($B$7))*7+(COLUMN(C12)-COLUMN($B$7)+1)),"",$B$5-(WEEKDAY($B$5,1)-(Datas!$B$1-1))-IF((WEEKDAY($B$5,1)-(Datas!$B$1-1))&lt;=0,7,0)+(ROW(C12)-ROW($B$7))*7+(COLUMN(C12)-COLUMN($B$7)+1))</f>
        <v/>
      </c>
      <c r="E12" s="15"/>
      <c r="F12" s="14" t="str">
        <f>IF(MONTH($B$5)&lt;&gt;MONTH($B$5-(WEEKDAY($B$5,1)-(Datas!$B$1-1))-IF((WEEKDAY($B$5,1)-(Datas!$B$1-1))&lt;=0,7,0)+(ROW(D12)-ROW($B$7))*7+(COLUMN(D12)-COLUMN($B$7)+1)),"",$B$5-(WEEKDAY($B$5,1)-(Datas!$B$1-1))-IF((WEEKDAY($B$5,1)-(Datas!$B$1-1))&lt;=0,7,0)+(ROW(D12)-ROW($B$7))*7+(COLUMN(D12)-COLUMN($B$7)+1))</f>
        <v/>
      </c>
      <c r="G12" s="15"/>
      <c r="H12" s="14" t="str">
        <f>IF(MONTH($B$5)&lt;&gt;MONTH($B$5-(WEEKDAY($B$5,1)-(Datas!$B$1-1))-IF((WEEKDAY($B$5,1)-(Datas!$B$1-1))&lt;=0,7,0)+(ROW(E12)-ROW($B$7))*7+(COLUMN(E12)-COLUMN($B$7)+1)),"",$B$5-(WEEKDAY($B$5,1)-(Datas!$B$1-1))-IF((WEEKDAY($B$5,1)-(Datas!$B$1-1))&lt;=0,7,0)+(ROW(E12)-ROW($B$7))*7+(COLUMN(E12)-COLUMN($B$7)+1))</f>
        <v/>
      </c>
      <c r="I12" s="15"/>
      <c r="J12" s="14" t="str">
        <f>IF(MONTH($B$5)&lt;&gt;MONTH($B$5-(WEEKDAY($B$5,1)-(Datas!$B$1-1))-IF((WEEKDAY($B$5,1)-(Datas!$B$1-1))&lt;=0,7,0)+(ROW(F12)-ROW($B$7))*7+(COLUMN(F12)-COLUMN($B$7)+1)),"",$B$5-(WEEKDAY($B$5,1)-(Datas!$B$1-1))-IF((WEEKDAY($B$5,1)-(Datas!$B$1-1))&lt;=0,7,0)+(ROW(F12)-ROW($B$7))*7+(COLUMN(F12)-COLUMN($B$7)+1))</f>
        <v/>
      </c>
      <c r="K12" s="15"/>
      <c r="L12" s="18" t="str">
        <f>IF(MONTH($B$5)&lt;&gt;MONTH($B$5-(WEEKDAY($B$5,1)-(Datas!$B$1-1))-IF((WEEKDAY($B$5,1)-(Datas!$B$1-1))&lt;=0,7,0)+(ROW(G12)-ROW($B$7))*7+(COLUMN(G12)-COLUMN($B$7)+1)),"",$B$5-(WEEKDAY($B$5,1)-(Datas!$B$1-1))-IF((WEEKDAY($B$5,1)-(Datas!$B$1-1))&lt;=0,7,0)+(ROW(G12)-ROW($B$7))*7+(COLUMN(G12)-COLUMN($B$7)+1))</f>
        <v/>
      </c>
      <c r="M12" s="15"/>
      <c r="N12" s="18" t="str">
        <f>IF(MONTH($B$5)&lt;&gt;MONTH($B$5-(WEEKDAY($B$5,1)-(Datas!$B$1-1))-IF((WEEKDAY($B$5,1)-(Datas!$B$1-1))&lt;=0,7,0)+(ROW(H12)-ROW($B$7))*7+(COLUMN(H12)-COLUMN($B$7)+1)),"",$B$5-(WEEKDAY($B$5,1)-(Datas!$B$1-1))-IF((WEEKDAY($B$5,1)-(Datas!$B$1-1))&lt;=0,7,0)+(ROW(H12)-ROW($B$7))*7+(COLUMN(H12)-COLUMN($B$7)+1))</f>
        <v/>
      </c>
      <c r="O12" s="46"/>
      <c r="P12" s="19" t="str">
        <f t="shared" si="0"/>
        <v/>
      </c>
      <c r="Q12" s="22" t="str">
        <f>IF(P12="","",(INT(MOD(INT((P12-2)/7)+0.6,52+5/28))+1))</f>
        <v/>
      </c>
      <c r="S12" s="36" t="s">
        <v>45</v>
      </c>
      <c r="T12" s="35">
        <f>(T6*1.25*8)</f>
        <v>0</v>
      </c>
      <c r="U12" s="35">
        <f>COUNTIF($B$7:$O$12,Données!A7)</f>
        <v>0</v>
      </c>
      <c r="V12" s="35"/>
      <c r="W12" s="34">
        <f>(T6*1.25*8)*U12</f>
        <v>0</v>
      </c>
    </row>
    <row r="13" spans="1:23" ht="18" thickBot="1">
      <c r="S13" s="36" t="s">
        <v>44</v>
      </c>
      <c r="T13" s="35">
        <f>(T6*1.5*12)</f>
        <v>0</v>
      </c>
      <c r="U13" s="35">
        <f>COUNTIF($B$7:$O$12,Données!A8)</f>
        <v>0</v>
      </c>
      <c r="V13" s="35"/>
      <c r="W13" s="34">
        <f>(T6*1.5*12)*U13</f>
        <v>0</v>
      </c>
    </row>
    <row r="14" spans="1:23" ht="18.75" thickTop="1" thickBot="1">
      <c r="A14" s="8"/>
      <c r="B14" s="8"/>
      <c r="C14" s="38"/>
      <c r="D14" s="8"/>
      <c r="E14" s="38"/>
      <c r="F14" s="8"/>
      <c r="G14" s="38"/>
      <c r="H14" s="8"/>
      <c r="I14" s="38"/>
      <c r="J14" s="8"/>
      <c r="K14" s="38"/>
      <c r="L14" s="8"/>
      <c r="M14" s="38"/>
      <c r="N14" s="8"/>
      <c r="O14" s="38"/>
      <c r="P14" s="8"/>
      <c r="Q14" s="8"/>
      <c r="R14" s="8"/>
      <c r="S14" s="36" t="s">
        <v>43</v>
      </c>
      <c r="T14" s="35">
        <f>(T6*2*12)+(8*T6)</f>
        <v>0</v>
      </c>
      <c r="U14" s="35">
        <f>COUNTIF($B$7:$O$12,Données!A9)</f>
        <v>0</v>
      </c>
      <c r="V14" s="35"/>
      <c r="W14" s="34">
        <f>(T6*2*12+T6*8)*U14</f>
        <v>0</v>
      </c>
    </row>
    <row r="15" spans="1:23" ht="18.75" thickTop="1" thickBot="1">
      <c r="S15" s="36" t="s">
        <v>42</v>
      </c>
      <c r="T15" s="35">
        <f>(T6*1.56*8)</f>
        <v>0</v>
      </c>
      <c r="U15" s="35">
        <f>COUNTIF($B$7:$O$12,Données!A10)</f>
        <v>0</v>
      </c>
      <c r="V15" s="35"/>
      <c r="W15" s="34">
        <f>(T15*U15)</f>
        <v>0</v>
      </c>
    </row>
    <row r="16" spans="1:23" ht="18.75" thickTop="1" thickBot="1">
      <c r="S16" s="36" t="s">
        <v>41</v>
      </c>
      <c r="T16" s="35">
        <f>(T6*1.875*8)</f>
        <v>0</v>
      </c>
      <c r="U16" s="35">
        <f>COUNTIF($B$7:$O$12,Données!A11)</f>
        <v>0</v>
      </c>
      <c r="V16" s="35"/>
      <c r="W16" s="34">
        <f>T16*U16</f>
        <v>0</v>
      </c>
    </row>
    <row r="17" spans="3:23" ht="18.75" thickTop="1" thickBot="1">
      <c r="S17" s="36" t="s">
        <v>40</v>
      </c>
      <c r="T17" s="35">
        <f>(T6*1.5)</f>
        <v>0</v>
      </c>
      <c r="U17" s="35">
        <f>COUNTIF($B$7:$O$12,Données!A12)</f>
        <v>0</v>
      </c>
      <c r="V17" s="35"/>
      <c r="W17" s="34">
        <f>T17*V17</f>
        <v>0</v>
      </c>
    </row>
    <row r="18" spans="3:23" ht="18.75" thickTop="1" thickBot="1">
      <c r="C18" s="39" t="s">
        <v>70</v>
      </c>
      <c r="S18" s="36" t="s">
        <v>39</v>
      </c>
      <c r="T18" s="35">
        <f>(T6*1.5)</f>
        <v>0</v>
      </c>
      <c r="U18" s="35">
        <f>COUNTIF($B$7:$O$12,Données!A13)</f>
        <v>0</v>
      </c>
      <c r="V18" s="35"/>
      <c r="W18" s="34">
        <f>(T18*V18)</f>
        <v>0</v>
      </c>
    </row>
    <row r="19" spans="3:23" ht="18.75" thickTop="1" thickBot="1">
      <c r="S19" s="36" t="s">
        <v>38</v>
      </c>
      <c r="T19" s="35">
        <v>8</v>
      </c>
      <c r="U19" s="35">
        <f>(2*U7)+(U8*3)+(U9*2)+(U10*3)+U11+U12+(U14*3)+U15+U16</f>
        <v>0</v>
      </c>
      <c r="V19" s="35"/>
      <c r="W19" s="34">
        <f>U19*T19</f>
        <v>0</v>
      </c>
    </row>
    <row r="20" spans="3:23" ht="18.75" thickTop="1" thickBot="1">
      <c r="S20" s="36" t="s">
        <v>37</v>
      </c>
      <c r="T20" s="35">
        <v>4.5</v>
      </c>
      <c r="U20" s="35">
        <f>(U7+U8+U9+U10)</f>
        <v>0</v>
      </c>
      <c r="V20" s="35"/>
      <c r="W20" s="34">
        <f>(T20*U20)</f>
        <v>0</v>
      </c>
    </row>
    <row r="21" spans="3:23" ht="18.75" thickTop="1" thickBot="1">
      <c r="S21" s="36" t="s">
        <v>36</v>
      </c>
      <c r="T21" s="35"/>
      <c r="U21" s="35"/>
      <c r="V21" s="35"/>
      <c r="W21" s="34"/>
    </row>
    <row r="22" spans="3:23" ht="18.75" thickTop="1" thickBot="1">
      <c r="S22" s="36" t="s">
        <v>35</v>
      </c>
      <c r="T22" s="35"/>
      <c r="U22" s="35"/>
      <c r="V22" s="35"/>
      <c r="W22" s="34"/>
    </row>
    <row r="23" spans="3:23" ht="18.75" thickTop="1" thickBot="1">
      <c r="S23" s="36" t="s">
        <v>34</v>
      </c>
      <c r="T23" s="35"/>
      <c r="U23" s="35"/>
      <c r="V23" s="35"/>
      <c r="W23" s="34"/>
    </row>
    <row r="24" spans="3:23" ht="18.75" thickTop="1" thickBot="1">
      <c r="S24" s="36"/>
      <c r="T24" s="35"/>
      <c r="U24" s="35"/>
      <c r="V24" s="35"/>
      <c r="W24" s="34"/>
    </row>
    <row r="25" spans="3:23" ht="18.75" thickTop="1" thickBot="1">
      <c r="S25" s="33" t="s">
        <v>33</v>
      </c>
      <c r="T25" s="35"/>
      <c r="U25" s="35"/>
      <c r="V25" s="35"/>
      <c r="W25" s="34">
        <f>(W7+W8+W9+W10+W11+W12+W13+W14+W15+W16+W17+W18+W19+W20+W21+W22+W23)</f>
        <v>0</v>
      </c>
    </row>
    <row r="26" spans="3:23" ht="18.75" thickTop="1" thickBot="1">
      <c r="S26" s="33" t="s">
        <v>32</v>
      </c>
      <c r="T26" s="32"/>
      <c r="U26" s="32"/>
      <c r="V26" s="32"/>
      <c r="W26" s="31">
        <f>(W25*0.84)</f>
        <v>0</v>
      </c>
    </row>
    <row r="27" spans="3:23" ht="16.5" thickTop="1"/>
  </sheetData>
  <mergeCells count="9">
    <mergeCell ref="A3:Q3"/>
    <mergeCell ref="B5:O5"/>
    <mergeCell ref="B6:C6"/>
    <mergeCell ref="D6:E6"/>
    <mergeCell ref="F6:G6"/>
    <mergeCell ref="H6:I6"/>
    <mergeCell ref="J6:K6"/>
    <mergeCell ref="L6:M6"/>
    <mergeCell ref="N6:O6"/>
  </mergeCells>
  <conditionalFormatting sqref="H7:H11 J7:J11 L7:L11 N7:N11 B7:B11 D7:D11 F7:F11">
    <cfRule type="cellIs" dxfId="249" priority="136" operator="equal">
      <formula>""</formula>
    </cfRule>
  </conditionalFormatting>
  <conditionalFormatting sqref="C7">
    <cfRule type="expression" dxfId="248" priority="89">
      <formula>B$7=TODAY()</formula>
    </cfRule>
    <cfRule type="expression" dxfId="247" priority="135">
      <formula>B$7=""</formula>
    </cfRule>
  </conditionalFormatting>
  <conditionalFormatting sqref="E7">
    <cfRule type="expression" dxfId="246" priority="134">
      <formula>D$7=""</formula>
    </cfRule>
  </conditionalFormatting>
  <conditionalFormatting sqref="G7">
    <cfRule type="expression" dxfId="245" priority="133">
      <formula>F$7=""</formula>
    </cfRule>
  </conditionalFormatting>
  <conditionalFormatting sqref="I7">
    <cfRule type="expression" dxfId="244" priority="132">
      <formula>H$7=""</formula>
    </cfRule>
  </conditionalFormatting>
  <conditionalFormatting sqref="K7">
    <cfRule type="expression" dxfId="243" priority="131">
      <formula>J$7=""</formula>
    </cfRule>
  </conditionalFormatting>
  <conditionalFormatting sqref="M7:M11">
    <cfRule type="expression" dxfId="242" priority="130">
      <formula>L$7=""</formula>
    </cfRule>
  </conditionalFormatting>
  <conditionalFormatting sqref="O7 O9 O11">
    <cfRule type="expression" dxfId="241" priority="129">
      <formula>N$7=""</formula>
    </cfRule>
  </conditionalFormatting>
  <conditionalFormatting sqref="C8">
    <cfRule type="expression" dxfId="240" priority="76">
      <formula>B$8=TODAY()</formula>
    </cfRule>
    <cfRule type="expression" dxfId="239" priority="128">
      <formula>B$8=""</formula>
    </cfRule>
  </conditionalFormatting>
  <conditionalFormatting sqref="E8">
    <cfRule type="expression" dxfId="238" priority="127">
      <formula>D$8=""</formula>
    </cfRule>
  </conditionalFormatting>
  <conditionalFormatting sqref="G8">
    <cfRule type="expression" dxfId="237" priority="126">
      <formula>F$8=""</formula>
    </cfRule>
  </conditionalFormatting>
  <conditionalFormatting sqref="I8">
    <cfRule type="expression" dxfId="236" priority="125">
      <formula>H$8=""</formula>
    </cfRule>
  </conditionalFormatting>
  <conditionalFormatting sqref="K8">
    <cfRule type="expression" dxfId="235" priority="124">
      <formula>J$8=""</formula>
    </cfRule>
  </conditionalFormatting>
  <conditionalFormatting sqref="M8">
    <cfRule type="expression" dxfId="234" priority="123">
      <formula>L$8=""</formula>
    </cfRule>
  </conditionalFormatting>
  <conditionalFormatting sqref="O8 O10">
    <cfRule type="expression" dxfId="233" priority="122">
      <formula>N$8=""</formula>
    </cfRule>
  </conditionalFormatting>
  <conditionalFormatting sqref="C9">
    <cfRule type="expression" dxfId="232" priority="63">
      <formula>B$9=TODAY()</formula>
    </cfRule>
    <cfRule type="expression" dxfId="231" priority="121">
      <formula>B$9=""</formula>
    </cfRule>
  </conditionalFormatting>
  <conditionalFormatting sqref="E9">
    <cfRule type="expression" dxfId="230" priority="120">
      <formula>D$9=""</formula>
    </cfRule>
  </conditionalFormatting>
  <conditionalFormatting sqref="G9">
    <cfRule type="expression" dxfId="229" priority="119">
      <formula>F$9=""</formula>
    </cfRule>
  </conditionalFormatting>
  <conditionalFormatting sqref="I9">
    <cfRule type="expression" dxfId="228" priority="118">
      <formula>H$9=""</formula>
    </cfRule>
  </conditionalFormatting>
  <conditionalFormatting sqref="K9">
    <cfRule type="expression" dxfId="227" priority="117">
      <formula>J$9=""</formula>
    </cfRule>
  </conditionalFormatting>
  <conditionalFormatting sqref="M9">
    <cfRule type="expression" dxfId="226" priority="116">
      <formula>L$9=""</formula>
    </cfRule>
  </conditionalFormatting>
  <conditionalFormatting sqref="O9">
    <cfRule type="expression" dxfId="225" priority="115">
      <formula>N$9=""</formula>
    </cfRule>
  </conditionalFormatting>
  <conditionalFormatting sqref="C10">
    <cfRule type="expression" dxfId="224" priority="50">
      <formula>B$10=TODAY()</formula>
    </cfRule>
    <cfRule type="expression" dxfId="223" priority="114">
      <formula>B$10=""</formula>
    </cfRule>
  </conditionalFormatting>
  <conditionalFormatting sqref="E10">
    <cfRule type="expression" dxfId="222" priority="113">
      <formula>D$10=""</formula>
    </cfRule>
  </conditionalFormatting>
  <conditionalFormatting sqref="G10">
    <cfRule type="expression" dxfId="221" priority="112">
      <formula>F$10=""</formula>
    </cfRule>
  </conditionalFormatting>
  <conditionalFormatting sqref="I10">
    <cfRule type="expression" dxfId="220" priority="111">
      <formula>H$10=""</formula>
    </cfRule>
  </conditionalFormatting>
  <conditionalFormatting sqref="K10">
    <cfRule type="expression" dxfId="219" priority="110">
      <formula>J$10=""</formula>
    </cfRule>
  </conditionalFormatting>
  <conditionalFormatting sqref="M10">
    <cfRule type="expression" dxfId="218" priority="109">
      <formula>L$10=""</formula>
    </cfRule>
  </conditionalFormatting>
  <conditionalFormatting sqref="O10">
    <cfRule type="expression" dxfId="217" priority="108">
      <formula>N$10=""</formula>
    </cfRule>
  </conditionalFormatting>
  <conditionalFormatting sqref="C11">
    <cfRule type="expression" dxfId="216" priority="37">
      <formula>B$11=TODAY()</formula>
    </cfRule>
    <cfRule type="expression" dxfId="215" priority="107">
      <formula>B$11=""</formula>
    </cfRule>
  </conditionalFormatting>
  <conditionalFormatting sqref="E11">
    <cfRule type="expression" dxfId="214" priority="106">
      <formula>D$11=""</formula>
    </cfRule>
  </conditionalFormatting>
  <conditionalFormatting sqref="G11">
    <cfRule type="expression" dxfId="213" priority="105">
      <formula>F$11=""</formula>
    </cfRule>
  </conditionalFormatting>
  <conditionalFormatting sqref="I11">
    <cfRule type="expression" dxfId="212" priority="104">
      <formula>H$11=""</formula>
    </cfRule>
  </conditionalFormatting>
  <conditionalFormatting sqref="K11">
    <cfRule type="expression" dxfId="211" priority="103">
      <formula>J$11=""</formula>
    </cfRule>
  </conditionalFormatting>
  <conditionalFormatting sqref="M11">
    <cfRule type="expression" dxfId="210" priority="102">
      <formula>L$11=""</formula>
    </cfRule>
  </conditionalFormatting>
  <conditionalFormatting sqref="O11">
    <cfRule type="expression" dxfId="209" priority="101">
      <formula>N$11=""</formula>
    </cfRule>
  </conditionalFormatting>
  <conditionalFormatting sqref="Q7:Q12">
    <cfRule type="cellIs" dxfId="208" priority="91" operator="equal">
      <formula>""</formula>
    </cfRule>
  </conditionalFormatting>
  <conditionalFormatting sqref="B7:O12">
    <cfRule type="cellIs" dxfId="207" priority="90" operator="equal">
      <formula>TODAY()</formula>
    </cfRule>
  </conditionalFormatting>
  <conditionalFormatting sqref="E7">
    <cfRule type="expression" dxfId="206" priority="87">
      <formula>D$7=TODAY()</formula>
    </cfRule>
    <cfRule type="expression" dxfId="205" priority="88">
      <formula>D$7=""</formula>
    </cfRule>
  </conditionalFormatting>
  <conditionalFormatting sqref="G7">
    <cfRule type="expression" dxfId="204" priority="85">
      <formula>F$7=TODAY()</formula>
    </cfRule>
    <cfRule type="expression" dxfId="203" priority="86">
      <formula>F$7=""</formula>
    </cfRule>
  </conditionalFormatting>
  <conditionalFormatting sqref="I7">
    <cfRule type="expression" dxfId="202" priority="83">
      <formula>H$7=TODAY()</formula>
    </cfRule>
    <cfRule type="expression" dxfId="201" priority="84">
      <formula>H$7=""</formula>
    </cfRule>
  </conditionalFormatting>
  <conditionalFormatting sqref="K7">
    <cfRule type="expression" dxfId="200" priority="81">
      <formula>J$7=TODAY()</formula>
    </cfRule>
    <cfRule type="expression" dxfId="199" priority="82">
      <formula>J$7=""</formula>
    </cfRule>
  </conditionalFormatting>
  <conditionalFormatting sqref="M7:M11">
    <cfRule type="expression" dxfId="198" priority="79">
      <formula>L$7=TODAY()</formula>
    </cfRule>
    <cfRule type="expression" dxfId="197" priority="80">
      <formula>L$7=""</formula>
    </cfRule>
  </conditionalFormatting>
  <conditionalFormatting sqref="O7 O9 O11">
    <cfRule type="expression" dxfId="196" priority="77">
      <formula>N$7=TODAY()</formula>
    </cfRule>
    <cfRule type="expression" dxfId="195" priority="78">
      <formula>N$7=""</formula>
    </cfRule>
  </conditionalFormatting>
  <conditionalFormatting sqref="E8">
    <cfRule type="expression" dxfId="194" priority="74">
      <formula>D$8=TODAY()</formula>
    </cfRule>
    <cfRule type="expression" dxfId="193" priority="75">
      <formula>D$8=""</formula>
    </cfRule>
  </conditionalFormatting>
  <conditionalFormatting sqref="G8">
    <cfRule type="expression" dxfId="192" priority="72">
      <formula>F$8=TODAY()</formula>
    </cfRule>
    <cfRule type="expression" dxfId="191" priority="73">
      <formula>F$8=""</formula>
    </cfRule>
  </conditionalFormatting>
  <conditionalFormatting sqref="I8">
    <cfRule type="expression" dxfId="190" priority="70">
      <formula>H$8=TODAY()</formula>
    </cfRule>
    <cfRule type="expression" dxfId="189" priority="71">
      <formula>H$8=""</formula>
    </cfRule>
  </conditionalFormatting>
  <conditionalFormatting sqref="K8">
    <cfRule type="expression" dxfId="188" priority="68">
      <formula>J$8=TODAY()</formula>
    </cfRule>
    <cfRule type="expression" dxfId="187" priority="69">
      <formula>J$8=""</formula>
    </cfRule>
  </conditionalFormatting>
  <conditionalFormatting sqref="M8">
    <cfRule type="expression" dxfId="186" priority="66">
      <formula>L$8=TODAY()</formula>
    </cfRule>
    <cfRule type="expression" dxfId="185" priority="67">
      <formula>L$8=""</formula>
    </cfRule>
  </conditionalFormatting>
  <conditionalFormatting sqref="O8 O10">
    <cfRule type="expression" dxfId="184" priority="64">
      <formula>N$8=TODAY()</formula>
    </cfRule>
    <cfRule type="expression" dxfId="183" priority="65">
      <formula>N$8=""</formula>
    </cfRule>
  </conditionalFormatting>
  <conditionalFormatting sqref="E9">
    <cfRule type="expression" dxfId="182" priority="61">
      <formula>D$9=TODAY()</formula>
    </cfRule>
    <cfRule type="expression" dxfId="181" priority="62">
      <formula>D$9=""</formula>
    </cfRule>
  </conditionalFormatting>
  <conditionalFormatting sqref="G9">
    <cfRule type="expression" dxfId="180" priority="59">
      <formula>F$9=TODAY()</formula>
    </cfRule>
    <cfRule type="expression" dxfId="179" priority="60">
      <formula>F$9=""</formula>
    </cfRule>
  </conditionalFormatting>
  <conditionalFormatting sqref="I9">
    <cfRule type="expression" dxfId="178" priority="57">
      <formula>H$9=TODAY()</formula>
    </cfRule>
    <cfRule type="expression" dxfId="177" priority="58">
      <formula>H$9=""</formula>
    </cfRule>
  </conditionalFormatting>
  <conditionalFormatting sqref="K9">
    <cfRule type="expression" dxfId="176" priority="55">
      <formula>J$9=TODAY()</formula>
    </cfRule>
    <cfRule type="expression" dxfId="175" priority="56">
      <formula>J$9=""</formula>
    </cfRule>
  </conditionalFormatting>
  <conditionalFormatting sqref="M9">
    <cfRule type="expression" dxfId="174" priority="53">
      <formula>L$9=TODAY()</formula>
    </cfRule>
    <cfRule type="expression" dxfId="173" priority="54">
      <formula>L$9=""</formula>
    </cfRule>
  </conditionalFormatting>
  <conditionalFormatting sqref="O9">
    <cfRule type="expression" dxfId="172" priority="51">
      <formula>N$9=TODAY()</formula>
    </cfRule>
    <cfRule type="expression" dxfId="171" priority="52">
      <formula>N$9=""</formula>
    </cfRule>
  </conditionalFormatting>
  <conditionalFormatting sqref="E10">
    <cfRule type="expression" dxfId="170" priority="48">
      <formula>D$10=TODAY()</formula>
    </cfRule>
    <cfRule type="expression" dxfId="169" priority="49">
      <formula>D$10=""</formula>
    </cfRule>
  </conditionalFormatting>
  <conditionalFormatting sqref="G10">
    <cfRule type="expression" dxfId="168" priority="46">
      <formula>F$10=TODAY()</formula>
    </cfRule>
    <cfRule type="expression" dxfId="167" priority="47">
      <formula>F$10=""</formula>
    </cfRule>
  </conditionalFormatting>
  <conditionalFormatting sqref="I10">
    <cfRule type="expression" dxfId="166" priority="44">
      <formula>H$10=TODAY()</formula>
    </cfRule>
    <cfRule type="expression" dxfId="165" priority="45">
      <formula>H$10=""</formula>
    </cfRule>
  </conditionalFormatting>
  <conditionalFormatting sqref="K10">
    <cfRule type="expression" dxfId="164" priority="42">
      <formula>J$10=TODAY()</formula>
    </cfRule>
    <cfRule type="expression" dxfId="163" priority="43">
      <formula>J$10=""</formula>
    </cfRule>
  </conditionalFormatting>
  <conditionalFormatting sqref="M10">
    <cfRule type="expression" dxfId="162" priority="40">
      <formula>L$10=TODAY()</formula>
    </cfRule>
    <cfRule type="expression" dxfId="161" priority="41">
      <formula>L$10=""</formula>
    </cfRule>
  </conditionalFormatting>
  <conditionalFormatting sqref="O10">
    <cfRule type="expression" dxfId="160" priority="38">
      <formula>N$10=TODAY()</formula>
    </cfRule>
    <cfRule type="expression" dxfId="159" priority="39">
      <formula>N$10=""</formula>
    </cfRule>
  </conditionalFormatting>
  <conditionalFormatting sqref="E11">
    <cfRule type="expression" dxfId="158" priority="35">
      <formula>D$11=TODAY()</formula>
    </cfRule>
    <cfRule type="expression" dxfId="157" priority="36">
      <formula>D$11=""</formula>
    </cfRule>
  </conditionalFormatting>
  <conditionalFormatting sqref="G11">
    <cfRule type="expression" dxfId="156" priority="33">
      <formula>F$11=TODAY()</formula>
    </cfRule>
    <cfRule type="expression" dxfId="155" priority="34">
      <formula>F$11=""</formula>
    </cfRule>
  </conditionalFormatting>
  <conditionalFormatting sqref="I11">
    <cfRule type="expression" dxfId="154" priority="31">
      <formula>H$11=TODAY()</formula>
    </cfRule>
    <cfRule type="expression" dxfId="153" priority="32">
      <formula>H$11=""</formula>
    </cfRule>
  </conditionalFormatting>
  <conditionalFormatting sqref="K11">
    <cfRule type="expression" dxfId="152" priority="29">
      <formula>J$11=TODAY()</formula>
    </cfRule>
    <cfRule type="expression" dxfId="151" priority="30">
      <formula>J$11=""</formula>
    </cfRule>
  </conditionalFormatting>
  <conditionalFormatting sqref="M11">
    <cfRule type="expression" dxfId="150" priority="27">
      <formula>L$11=TODAY()</formula>
    </cfRule>
    <cfRule type="expression" dxfId="149" priority="28">
      <formula>L$11=""</formula>
    </cfRule>
  </conditionalFormatting>
  <conditionalFormatting sqref="O11">
    <cfRule type="expression" dxfId="148" priority="25">
      <formula>N$11=TODAY()</formula>
    </cfRule>
    <cfRule type="expression" dxfId="147" priority="26">
      <formula>N$11=""</formula>
    </cfRule>
  </conditionalFormatting>
  <conditionalFormatting sqref="C12">
    <cfRule type="expression" dxfId="146" priority="17">
      <formula>B$12=""</formula>
    </cfRule>
    <cfRule type="expression" dxfId="145" priority="24">
      <formula>B$12=TODAY()</formula>
    </cfRule>
  </conditionalFormatting>
  <conditionalFormatting sqref="E12">
    <cfRule type="expression" dxfId="144" priority="23">
      <formula>D$12=TODAY()</formula>
    </cfRule>
  </conditionalFormatting>
  <conditionalFormatting sqref="G12">
    <cfRule type="expression" dxfId="143" priority="22">
      <formula>F$12=TODAY()</formula>
    </cfRule>
  </conditionalFormatting>
  <conditionalFormatting sqref="I12">
    <cfRule type="expression" dxfId="142" priority="21">
      <formula>H$12=TODAY()</formula>
    </cfRule>
  </conditionalFormatting>
  <conditionalFormatting sqref="K12">
    <cfRule type="expression" dxfId="141" priority="20">
      <formula>J$12=TODAY()</formula>
    </cfRule>
  </conditionalFormatting>
  <conditionalFormatting sqref="M12">
    <cfRule type="expression" dxfId="140" priority="19">
      <formula>L$12=TODAY()</formula>
    </cfRule>
  </conditionalFormatting>
  <conditionalFormatting sqref="O12">
    <cfRule type="expression" dxfId="139" priority="18">
      <formula>N$12=TODAY()</formula>
    </cfRule>
  </conditionalFormatting>
  <conditionalFormatting sqref="E12">
    <cfRule type="expression" dxfId="138" priority="15">
      <formula>D$12=""</formula>
    </cfRule>
    <cfRule type="expression" dxfId="137" priority="16">
      <formula>D$12=TODAY()</formula>
    </cfRule>
  </conditionalFormatting>
  <conditionalFormatting sqref="G12">
    <cfRule type="expression" dxfId="136" priority="13">
      <formula>F$12=""</formula>
    </cfRule>
    <cfRule type="expression" dxfId="135" priority="14">
      <formula>F$12=TODAY()</formula>
    </cfRule>
  </conditionalFormatting>
  <conditionalFormatting sqref="I12">
    <cfRule type="expression" dxfId="134" priority="11">
      <formula>H$12=""</formula>
    </cfRule>
    <cfRule type="expression" dxfId="133" priority="12">
      <formula>H$12=TODAY()</formula>
    </cfRule>
  </conditionalFormatting>
  <conditionalFormatting sqref="K12">
    <cfRule type="expression" dxfId="132" priority="9">
      <formula>J$12=""</formula>
    </cfRule>
    <cfRule type="expression" dxfId="131" priority="10">
      <formula>J$12=TODAY()</formula>
    </cfRule>
  </conditionalFormatting>
  <conditionalFormatting sqref="M12">
    <cfRule type="expression" dxfId="130" priority="7">
      <formula>L$12=""</formula>
    </cfRule>
    <cfRule type="expression" dxfId="129" priority="8">
      <formula>L$12=TODAY()</formula>
    </cfRule>
  </conditionalFormatting>
  <conditionalFormatting sqref="O12">
    <cfRule type="expression" dxfId="128" priority="5">
      <formula>N$12=""</formula>
    </cfRule>
    <cfRule type="expression" dxfId="127" priority="6">
      <formula>N$12=TODAY()</formula>
    </cfRule>
  </conditionalFormatting>
  <conditionalFormatting sqref="B12 D12 F12 H12 J12 L12 N12">
    <cfRule type="cellIs" dxfId="126" priority="4" operator="equal">
      <formula>""</formula>
    </cfRule>
  </conditionalFormatting>
  <printOptions horizontalCentered="1"/>
  <pageMargins left="0.11811023622047245" right="0.11811023622047245" top="0.15748031496062992" bottom="0.35433070866141736" header="0.11811023622047245" footer="0.31496062992125984"/>
  <pageSetup paperSize="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7" id="{C2D5BF97-FFF9-4569-9ACD-C79EE4E3DE2B}">
            <xm:f>NOT(ISNA(VLOOKUP(B7,Données!$J$2:$J$13,1,0)))</xm:f>
            <x14:dxf>
              <fill>
                <patternFill>
                  <bgColor rgb="FFFF0000"/>
                </patternFill>
              </fill>
            </x14:dxf>
          </x14:cfRule>
          <xm:sqref>B7:K12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185" yWindow="403" count="1">
        <x14:dataValidation type="list" allowBlank="1" showInputMessage="1" showErrorMessage="1" promptTitle="Equipe">
          <x14:formula1>
            <xm:f>Données!$A$2:$A$13</xm:f>
          </x14:formula1>
          <xm:sqref>B7:O12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O26"/>
  <sheetViews>
    <sheetView workbookViewId="0">
      <selection activeCell="E24" sqref="E24"/>
    </sheetView>
  </sheetViews>
  <sheetFormatPr baseColWidth="10" defaultColWidth="11.5703125" defaultRowHeight="15"/>
  <cols>
    <col min="1" max="1" width="11.5703125" style="1"/>
    <col min="2" max="2" width="19.85546875" style="1" customWidth="1"/>
    <col min="3" max="3" width="4.7109375" style="1" customWidth="1"/>
    <col min="4" max="5" width="11.5703125" style="1"/>
    <col min="6" max="6" width="4.7109375" style="1" customWidth="1"/>
    <col min="7" max="7" width="18.7109375" style="1" customWidth="1"/>
    <col min="8" max="8" width="4.7109375" style="1" customWidth="1"/>
    <col min="9" max="9" width="20.28515625" style="1" customWidth="1"/>
    <col min="10" max="10" width="14.28515625" style="1" bestFit="1" customWidth="1"/>
    <col min="11" max="13" width="14.28515625" style="1" customWidth="1"/>
    <col min="14" max="14" width="20.7109375" style="1" customWidth="1"/>
    <col min="15" max="15" width="4.7109375" style="1" customWidth="1"/>
    <col min="16" max="16" width="13.7109375" style="1" bestFit="1" customWidth="1"/>
    <col min="17" max="17" width="15.28515625" style="1" customWidth="1"/>
    <col min="18" max="16384" width="11.5703125" style="1"/>
  </cols>
  <sheetData>
    <row r="1" spans="1:15">
      <c r="A1" s="1" t="s">
        <v>13</v>
      </c>
      <c r="B1" s="1" t="s">
        <v>14</v>
      </c>
      <c r="D1" s="1" t="s">
        <v>15</v>
      </c>
      <c r="E1" s="1" t="s">
        <v>16</v>
      </c>
      <c r="G1" s="1" t="s">
        <v>17</v>
      </c>
      <c r="I1" s="25" t="s">
        <v>30</v>
      </c>
      <c r="J1" s="29" t="s">
        <v>31</v>
      </c>
      <c r="K1" s="58"/>
      <c r="L1" s="58"/>
      <c r="M1" s="58"/>
    </row>
    <row r="2" spans="1:15">
      <c r="A2" s="1" t="s">
        <v>60</v>
      </c>
      <c r="B2" s="1" t="s">
        <v>50</v>
      </c>
      <c r="D2" s="1">
        <v>1</v>
      </c>
      <c r="E2" s="1" t="s">
        <v>0</v>
      </c>
      <c r="G2" s="1">
        <v>2021</v>
      </c>
      <c r="I2" s="24" t="s">
        <v>18</v>
      </c>
      <c r="J2" s="27">
        <f>DATE(Datas!C1,1,1)</f>
        <v>44197</v>
      </c>
      <c r="K2" s="58"/>
      <c r="L2" s="58"/>
      <c r="M2" s="58"/>
      <c r="O2" s="57" t="s">
        <v>73</v>
      </c>
    </row>
    <row r="3" spans="1:15">
      <c r="A3" s="1" t="s">
        <v>61</v>
      </c>
      <c r="B3" s="1" t="s">
        <v>49</v>
      </c>
      <c r="D3" s="1">
        <v>2</v>
      </c>
      <c r="E3" s="1" t="s">
        <v>1</v>
      </c>
      <c r="G3" s="1">
        <v>2022</v>
      </c>
      <c r="I3" s="24" t="s">
        <v>19</v>
      </c>
      <c r="J3" s="27">
        <f>ROUND(DATE(Datas!C1,4,MOD(234-11*MOD(Datas!C1,19),30))/7,0)*7-6</f>
        <v>44290</v>
      </c>
      <c r="K3" s="58"/>
      <c r="L3" s="58"/>
      <c r="M3" s="58"/>
    </row>
    <row r="4" spans="1:15">
      <c r="A4" s="1" t="s">
        <v>62</v>
      </c>
      <c r="B4" s="1" t="s">
        <v>48</v>
      </c>
      <c r="D4" s="1">
        <v>3</v>
      </c>
      <c r="E4" s="1" t="s">
        <v>2</v>
      </c>
      <c r="G4" s="1">
        <v>2023</v>
      </c>
      <c r="I4" s="24" t="s">
        <v>20</v>
      </c>
      <c r="J4" s="27">
        <f>J3+1</f>
        <v>44291</v>
      </c>
      <c r="K4" s="58"/>
      <c r="L4" s="58"/>
      <c r="M4" s="58"/>
    </row>
    <row r="5" spans="1:15">
      <c r="A5" s="1" t="s">
        <v>63</v>
      </c>
      <c r="B5" s="1" t="s">
        <v>47</v>
      </c>
      <c r="D5" s="1">
        <v>4</v>
      </c>
      <c r="E5" s="1" t="s">
        <v>3</v>
      </c>
      <c r="G5" s="1">
        <v>2024</v>
      </c>
      <c r="I5" s="24" t="s">
        <v>21</v>
      </c>
      <c r="J5" s="27">
        <f>DATE(Datas!C1,5,1)</f>
        <v>44317</v>
      </c>
      <c r="K5" s="58"/>
      <c r="L5" s="58"/>
      <c r="M5" s="58"/>
    </row>
    <row r="6" spans="1:15">
      <c r="A6" s="1" t="s">
        <v>64</v>
      </c>
      <c r="B6" s="1" t="s">
        <v>56</v>
      </c>
      <c r="D6" s="1">
        <v>5</v>
      </c>
      <c r="E6" s="1" t="s">
        <v>4</v>
      </c>
      <c r="G6" s="1">
        <v>2025</v>
      </c>
      <c r="I6" s="24" t="s">
        <v>22</v>
      </c>
      <c r="J6" s="27">
        <f>DATE(Datas!C1,5,8)</f>
        <v>44324</v>
      </c>
      <c r="K6" s="58"/>
      <c r="L6" s="58"/>
      <c r="M6" s="58"/>
    </row>
    <row r="7" spans="1:15">
      <c r="A7" s="1" t="s">
        <v>65</v>
      </c>
      <c r="B7" s="1" t="s">
        <v>57</v>
      </c>
      <c r="D7" s="1">
        <v>6</v>
      </c>
      <c r="E7" s="1" t="s">
        <v>5</v>
      </c>
      <c r="G7" s="1">
        <v>2026</v>
      </c>
      <c r="I7" s="24" t="s">
        <v>23</v>
      </c>
      <c r="J7" s="27">
        <f>J3+39</f>
        <v>44329</v>
      </c>
      <c r="K7" s="58"/>
      <c r="L7" s="58"/>
      <c r="M7" s="58"/>
    </row>
    <row r="8" spans="1:15">
      <c r="A8" s="1" t="s">
        <v>66</v>
      </c>
      <c r="B8" s="1" t="s">
        <v>58</v>
      </c>
      <c r="D8" s="1">
        <v>7</v>
      </c>
      <c r="E8" s="1" t="s">
        <v>6</v>
      </c>
      <c r="G8" s="1">
        <v>2027</v>
      </c>
      <c r="I8" s="24" t="s">
        <v>24</v>
      </c>
      <c r="J8" s="27">
        <f>J3+50</f>
        <v>44340</v>
      </c>
      <c r="K8" s="58"/>
      <c r="L8" s="58"/>
      <c r="M8" s="58"/>
    </row>
    <row r="9" spans="1:15">
      <c r="A9" s="1" t="s">
        <v>67</v>
      </c>
      <c r="B9" s="1" t="s">
        <v>43</v>
      </c>
      <c r="D9" s="1">
        <v>8</v>
      </c>
      <c r="E9" s="1" t="s">
        <v>7</v>
      </c>
      <c r="G9" s="1">
        <v>2028</v>
      </c>
      <c r="I9" s="24" t="s">
        <v>25</v>
      </c>
      <c r="J9" s="27">
        <f>DATE(Datas!C1,7,14)</f>
        <v>44391</v>
      </c>
      <c r="K9" s="58"/>
      <c r="L9" s="58"/>
      <c r="M9" s="58"/>
    </row>
    <row r="10" spans="1:15">
      <c r="A10" s="1" t="s">
        <v>68</v>
      </c>
      <c r="B10" s="1" t="s">
        <v>59</v>
      </c>
      <c r="D10" s="1">
        <v>9</v>
      </c>
      <c r="E10" s="1" t="s">
        <v>8</v>
      </c>
      <c r="G10" s="1">
        <v>2029</v>
      </c>
      <c r="I10" s="24" t="s">
        <v>26</v>
      </c>
      <c r="J10" s="27">
        <f>DATE(Datas!C1,8,15)</f>
        <v>44423</v>
      </c>
      <c r="K10" s="58"/>
      <c r="L10" s="58"/>
      <c r="M10" s="58"/>
    </row>
    <row r="11" spans="1:15">
      <c r="A11" s="1" t="s">
        <v>69</v>
      </c>
      <c r="B11" s="1" t="s">
        <v>41</v>
      </c>
      <c r="D11" s="1">
        <v>10</v>
      </c>
      <c r="E11" s="1" t="s">
        <v>9</v>
      </c>
      <c r="G11" s="1">
        <v>2030</v>
      </c>
      <c r="I11" s="24" t="s">
        <v>27</v>
      </c>
      <c r="J11" s="27">
        <f>DATE(Datas!C1,11,1)</f>
        <v>44501</v>
      </c>
      <c r="K11" s="58"/>
      <c r="L11" s="58"/>
      <c r="M11" s="58"/>
    </row>
    <row r="12" spans="1:15">
      <c r="A12" s="1" t="s">
        <v>71</v>
      </c>
      <c r="B12" s="1" t="s">
        <v>40</v>
      </c>
      <c r="D12" s="1">
        <v>11</v>
      </c>
      <c r="E12" s="1" t="s">
        <v>10</v>
      </c>
      <c r="I12" s="24" t="s">
        <v>28</v>
      </c>
      <c r="J12" s="27">
        <f>DATE(Datas!C1,11,11)</f>
        <v>44511</v>
      </c>
      <c r="K12" s="58"/>
      <c r="L12" s="58"/>
      <c r="M12" s="58"/>
    </row>
    <row r="13" spans="1:15">
      <c r="A13" s="1" t="s">
        <v>72</v>
      </c>
      <c r="B13" s="1" t="s">
        <v>39</v>
      </c>
      <c r="D13" s="1">
        <v>12</v>
      </c>
      <c r="E13" s="1" t="s">
        <v>11</v>
      </c>
      <c r="I13" s="26" t="s">
        <v>29</v>
      </c>
      <c r="J13" s="28">
        <f>DATE(Datas!C1,12,25)</f>
        <v>44555</v>
      </c>
      <c r="K13" s="58"/>
      <c r="L13" s="58"/>
      <c r="M13" s="58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  <row r="25" spans="2:2">
      <c r="B25"/>
    </row>
    <row r="26" spans="2:2">
      <c r="B26"/>
    </row>
  </sheetData>
  <hyperlinks>
    <hyperlink ref="O2" r:id="rId1"/>
  </hyperlinks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D35"/>
  <sheetViews>
    <sheetView showFormulas="1" zoomScaleNormal="100" workbookViewId="0">
      <selection activeCell="C14" sqref="C14"/>
    </sheetView>
  </sheetViews>
  <sheetFormatPr baseColWidth="10" defaultColWidth="8.85546875" defaultRowHeight="15"/>
  <cols>
    <col min="1" max="1" width="8.85546875" style="1"/>
    <col min="2" max="2" width="12" style="1" customWidth="1"/>
    <col min="3" max="3" width="14.85546875" style="1" customWidth="1"/>
    <col min="4" max="4" width="8.85546875" style="1"/>
    <col min="5" max="20" width="5.140625" style="1" customWidth="1"/>
    <col min="21" max="16384" width="8.85546875" style="1"/>
  </cols>
  <sheetData>
    <row r="1" spans="1:4">
      <c r="B1" s="1">
        <v>2</v>
      </c>
      <c r="C1" s="5">
        <v>2021</v>
      </c>
      <c r="D1" s="6">
        <v>3</v>
      </c>
    </row>
    <row r="3" spans="1:4">
      <c r="A3" s="2">
        <v>1</v>
      </c>
      <c r="B3" s="3"/>
      <c r="C3" s="3">
        <f>DATE(C1,D1,1)</f>
        <v>44256</v>
      </c>
      <c r="D3" s="2"/>
    </row>
    <row r="4" spans="1:4">
      <c r="A4" s="2">
        <v>2</v>
      </c>
      <c r="B4" s="3"/>
      <c r="C4" s="3">
        <f>C3+1</f>
        <v>44257</v>
      </c>
      <c r="D4" s="2"/>
    </row>
    <row r="5" spans="1:4">
      <c r="A5" s="2">
        <v>3</v>
      </c>
      <c r="B5" s="3"/>
      <c r="C5" s="3">
        <f t="shared" ref="C5:C30" si="0">C4+1</f>
        <v>44258</v>
      </c>
      <c r="D5" s="2"/>
    </row>
    <row r="6" spans="1:4">
      <c r="A6" s="2">
        <v>4</v>
      </c>
      <c r="B6" s="3"/>
      <c r="C6" s="3">
        <f t="shared" si="0"/>
        <v>44259</v>
      </c>
      <c r="D6" s="2"/>
    </row>
    <row r="7" spans="1:4">
      <c r="A7" s="2">
        <v>5</v>
      </c>
      <c r="B7" s="3"/>
      <c r="C7" s="3">
        <f t="shared" si="0"/>
        <v>44260</v>
      </c>
      <c r="D7" s="2"/>
    </row>
    <row r="8" spans="1:4">
      <c r="A8" s="2">
        <v>6</v>
      </c>
      <c r="B8" s="3"/>
      <c r="C8" s="3">
        <f t="shared" si="0"/>
        <v>44261</v>
      </c>
      <c r="D8" s="2"/>
    </row>
    <row r="9" spans="1:4">
      <c r="A9" s="2">
        <v>7</v>
      </c>
      <c r="B9" s="3"/>
      <c r="C9" s="3">
        <f t="shared" si="0"/>
        <v>44262</v>
      </c>
      <c r="D9" s="2"/>
    </row>
    <row r="10" spans="1:4">
      <c r="A10" s="2">
        <v>8</v>
      </c>
      <c r="B10" s="3"/>
      <c r="C10" s="3">
        <f t="shared" si="0"/>
        <v>44263</v>
      </c>
      <c r="D10" s="2"/>
    </row>
    <row r="11" spans="1:4">
      <c r="A11" s="2">
        <v>9</v>
      </c>
      <c r="B11" s="3"/>
      <c r="C11" s="3">
        <f t="shared" si="0"/>
        <v>44264</v>
      </c>
      <c r="D11" s="2"/>
    </row>
    <row r="12" spans="1:4">
      <c r="A12" s="2">
        <v>10</v>
      </c>
      <c r="B12" s="3"/>
      <c r="C12" s="3">
        <f t="shared" si="0"/>
        <v>44265</v>
      </c>
      <c r="D12" s="2"/>
    </row>
    <row r="13" spans="1:4">
      <c r="A13" s="2">
        <v>11</v>
      </c>
      <c r="B13" s="3"/>
      <c r="C13" s="3">
        <f t="shared" si="0"/>
        <v>44266</v>
      </c>
      <c r="D13" s="2"/>
    </row>
    <row r="14" spans="1:4">
      <c r="A14" s="2">
        <v>12</v>
      </c>
      <c r="B14" s="3"/>
      <c r="C14" s="3">
        <f t="shared" si="0"/>
        <v>44267</v>
      </c>
      <c r="D14" s="2"/>
    </row>
    <row r="15" spans="1:4">
      <c r="A15" s="2">
        <v>13</v>
      </c>
      <c r="B15" s="3"/>
      <c r="C15" s="3">
        <f t="shared" si="0"/>
        <v>44268</v>
      </c>
      <c r="D15" s="2"/>
    </row>
    <row r="16" spans="1:4">
      <c r="A16" s="2">
        <v>14</v>
      </c>
      <c r="B16" s="3"/>
      <c r="C16" s="3">
        <f t="shared" si="0"/>
        <v>44269</v>
      </c>
      <c r="D16" s="2"/>
    </row>
    <row r="17" spans="1:4">
      <c r="A17" s="2">
        <v>15</v>
      </c>
      <c r="B17" s="3"/>
      <c r="C17" s="3">
        <f t="shared" si="0"/>
        <v>44270</v>
      </c>
      <c r="D17" s="2"/>
    </row>
    <row r="18" spans="1:4">
      <c r="A18" s="2">
        <v>16</v>
      </c>
      <c r="B18" s="3"/>
      <c r="C18" s="3">
        <f t="shared" si="0"/>
        <v>44271</v>
      </c>
      <c r="D18" s="2"/>
    </row>
    <row r="19" spans="1:4">
      <c r="A19" s="2">
        <v>17</v>
      </c>
      <c r="B19" s="3"/>
      <c r="C19" s="3">
        <f t="shared" si="0"/>
        <v>44272</v>
      </c>
      <c r="D19" s="2"/>
    </row>
    <row r="20" spans="1:4">
      <c r="A20" s="2">
        <v>18</v>
      </c>
      <c r="B20" s="3"/>
      <c r="C20" s="3">
        <f t="shared" si="0"/>
        <v>44273</v>
      </c>
      <c r="D20" s="2"/>
    </row>
    <row r="21" spans="1:4">
      <c r="A21" s="2">
        <v>19</v>
      </c>
      <c r="B21" s="3"/>
      <c r="C21" s="3">
        <f t="shared" si="0"/>
        <v>44274</v>
      </c>
      <c r="D21" s="2"/>
    </row>
    <row r="22" spans="1:4">
      <c r="A22" s="2">
        <v>20</v>
      </c>
      <c r="B22" s="3"/>
      <c r="C22" s="3">
        <f t="shared" si="0"/>
        <v>44275</v>
      </c>
      <c r="D22" s="2"/>
    </row>
    <row r="23" spans="1:4">
      <c r="A23" s="2">
        <v>21</v>
      </c>
      <c r="B23" s="3"/>
      <c r="C23" s="3">
        <f t="shared" si="0"/>
        <v>44276</v>
      </c>
      <c r="D23" s="2"/>
    </row>
    <row r="24" spans="1:4">
      <c r="A24" s="2">
        <v>22</v>
      </c>
      <c r="B24" s="3"/>
      <c r="C24" s="3">
        <f t="shared" si="0"/>
        <v>44277</v>
      </c>
      <c r="D24" s="2"/>
    </row>
    <row r="25" spans="1:4">
      <c r="A25" s="2">
        <v>23</v>
      </c>
      <c r="B25" s="3"/>
      <c r="C25" s="3">
        <f t="shared" si="0"/>
        <v>44278</v>
      </c>
      <c r="D25" s="2"/>
    </row>
    <row r="26" spans="1:4">
      <c r="A26" s="2">
        <v>24</v>
      </c>
      <c r="B26" s="3"/>
      <c r="C26" s="3">
        <f t="shared" si="0"/>
        <v>44279</v>
      </c>
      <c r="D26" s="2"/>
    </row>
    <row r="27" spans="1:4">
      <c r="A27" s="2">
        <v>25</v>
      </c>
      <c r="B27" s="3"/>
      <c r="C27" s="3">
        <f t="shared" si="0"/>
        <v>44280</v>
      </c>
      <c r="D27" s="2"/>
    </row>
    <row r="28" spans="1:4">
      <c r="A28" s="2">
        <v>26</v>
      </c>
      <c r="B28" s="3"/>
      <c r="C28" s="3">
        <f t="shared" si="0"/>
        <v>44281</v>
      </c>
      <c r="D28" s="2"/>
    </row>
    <row r="29" spans="1:4">
      <c r="A29" s="2">
        <v>27</v>
      </c>
      <c r="B29" s="3"/>
      <c r="C29" s="3">
        <f t="shared" si="0"/>
        <v>44282</v>
      </c>
      <c r="D29" s="2"/>
    </row>
    <row r="30" spans="1:4">
      <c r="A30" s="2">
        <v>28</v>
      </c>
      <c r="B30" s="3"/>
      <c r="C30" s="3">
        <f t="shared" si="0"/>
        <v>44283</v>
      </c>
      <c r="D30" s="2"/>
    </row>
    <row r="31" spans="1:4">
      <c r="A31" s="2">
        <v>29</v>
      </c>
      <c r="B31" s="3"/>
      <c r="C31" s="3">
        <f>IF(DAY($C$30+1)&lt;DAY($C$30),"",$C$30+1)</f>
        <v>44284</v>
      </c>
      <c r="D31" s="2"/>
    </row>
    <row r="32" spans="1:4">
      <c r="A32" s="2">
        <v>30</v>
      </c>
      <c r="B32" s="3"/>
      <c r="C32" s="3">
        <f>IF(DAY($C$30+2)&lt;DAY($C$30),"",$C$30+2)</f>
        <v>44285</v>
      </c>
      <c r="D32" s="2"/>
    </row>
    <row r="33" spans="1:4">
      <c r="A33" s="2">
        <v>31</v>
      </c>
      <c r="B33" s="3"/>
      <c r="C33" s="3">
        <f>IF(DAY($C$30+3)&lt;DAY($C$30),"",$C$30+3)</f>
        <v>44286</v>
      </c>
      <c r="D33" s="2"/>
    </row>
    <row r="34" spans="1:4">
      <c r="C34" s="4"/>
    </row>
    <row r="35" spans="1:4">
      <c r="C35" s="4"/>
    </row>
  </sheetData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Données!$G$2:$G$11</xm:f>
          </x14:formula1>
          <xm:sqref>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Mars 2021</vt:lpstr>
      <vt:lpstr>Mois + Fiche</vt:lpstr>
      <vt:lpstr>Données</vt:lpstr>
      <vt:lpstr>Datas</vt:lpstr>
      <vt:lpstr>Lettre</vt:lpstr>
      <vt:lpstr>'Mars 2021'!nomMois</vt:lpstr>
      <vt:lpstr>nomMois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2021-09-04T08:40:54Z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