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140" windowHeight="8850" activeTab="2"/>
  </bookViews>
  <sheets>
    <sheet name="BdD" sheetId="1" r:id="rId1"/>
    <sheet name="liste" sheetId="2" r:id="rId2"/>
    <sheet name="Feuil3" sheetId="3" r:id="rId3"/>
  </sheets>
  <definedNames>
    <definedName name="feries">liste!$A$2:$A$12</definedName>
    <definedName name="nom">BdD!$A$4:$A$56</definedName>
    <definedName name="nom_prenom">BdD!$C$4:$C$56</definedName>
  </definedNames>
  <calcPr calcId="152511"/>
</workbook>
</file>

<file path=xl/calcChain.xml><?xml version="1.0" encoding="utf-8"?>
<calcChain xmlns="http://schemas.openxmlformats.org/spreadsheetml/2006/main">
  <c r="H1" i="1" l="1"/>
  <c r="V21" i="1" s="1"/>
  <c r="X2" i="1"/>
  <c r="AG55" i="1"/>
  <c r="H2" i="1"/>
  <c r="J2" i="1"/>
  <c r="AG56" i="1" s="1"/>
  <c r="L2" i="1"/>
  <c r="N2" i="1"/>
  <c r="P2" i="1"/>
  <c r="R2" i="1"/>
  <c r="T2" i="1"/>
  <c r="V2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4" i="1"/>
  <c r="AD2" i="1"/>
  <c r="AB2" i="1"/>
  <c r="Z2" i="1"/>
  <c r="AI21" i="1" l="1"/>
  <c r="AJ21" i="1" s="1"/>
  <c r="X46" i="1"/>
  <c r="AH46" i="1" s="1"/>
  <c r="X10" i="1"/>
  <c r="AH10" i="1" s="1"/>
  <c r="V13" i="1"/>
  <c r="AI13" i="1" s="1"/>
  <c r="AJ13" i="1" s="1"/>
  <c r="V56" i="1"/>
  <c r="N54" i="1"/>
  <c r="P51" i="1"/>
  <c r="AB48" i="1"/>
  <c r="N46" i="1"/>
  <c r="P43" i="1"/>
  <c r="L41" i="1"/>
  <c r="L38" i="1"/>
  <c r="H35" i="1"/>
  <c r="L32" i="1"/>
  <c r="AB29" i="1"/>
  <c r="T26" i="1"/>
  <c r="AB23" i="1"/>
  <c r="H21" i="1"/>
  <c r="AB17" i="1"/>
  <c r="P15" i="1"/>
  <c r="T12" i="1"/>
  <c r="P9" i="1"/>
  <c r="T6" i="1"/>
  <c r="T4" i="1"/>
  <c r="V54" i="1"/>
  <c r="J52" i="1"/>
  <c r="L49" i="1"/>
  <c r="H47" i="1"/>
  <c r="R44" i="1"/>
  <c r="T41" i="1"/>
  <c r="T38" i="1"/>
  <c r="L36" i="1"/>
  <c r="H33" i="1"/>
  <c r="L30" i="1"/>
  <c r="P27" i="1"/>
  <c r="L24" i="1"/>
  <c r="AB21" i="1"/>
  <c r="H19" i="1"/>
  <c r="AB15" i="1"/>
  <c r="H13" i="1"/>
  <c r="T10" i="1"/>
  <c r="P7" i="1"/>
  <c r="H55" i="1"/>
  <c r="AB52" i="1"/>
  <c r="N50" i="1"/>
  <c r="P47" i="1"/>
  <c r="AB44" i="1"/>
  <c r="V42" i="1"/>
  <c r="P39" i="1"/>
  <c r="T36" i="1"/>
  <c r="AB33" i="1"/>
  <c r="T30" i="1"/>
  <c r="L28" i="1"/>
  <c r="P25" i="1"/>
  <c r="L22" i="1"/>
  <c r="P19" i="1"/>
  <c r="H17" i="1"/>
  <c r="AB13" i="1"/>
  <c r="H11" i="1"/>
  <c r="L8" i="1"/>
  <c r="H5" i="1"/>
  <c r="X50" i="1"/>
  <c r="AH50" i="1" s="1"/>
  <c r="X26" i="1"/>
  <c r="AH26" i="1" s="1"/>
  <c r="V9" i="1"/>
  <c r="AI9" i="1" s="1"/>
  <c r="AJ9" i="1" s="1"/>
  <c r="V33" i="1"/>
  <c r="AI33" i="1" s="1"/>
  <c r="AJ33" i="1" s="1"/>
  <c r="N56" i="1"/>
  <c r="L53" i="1"/>
  <c r="V50" i="1"/>
  <c r="R48" i="1"/>
  <c r="T45" i="1"/>
  <c r="H43" i="1"/>
  <c r="N40" i="1"/>
  <c r="H37" i="1"/>
  <c r="T34" i="1"/>
  <c r="AB31" i="1"/>
  <c r="T28" i="1"/>
  <c r="AB25" i="1"/>
  <c r="P23" i="1"/>
  <c r="L20" i="1"/>
  <c r="P17" i="1"/>
  <c r="T14" i="1"/>
  <c r="P11" i="1"/>
  <c r="H9" i="1"/>
  <c r="L6" i="1"/>
  <c r="H41" i="1"/>
  <c r="X30" i="1"/>
  <c r="AH30" i="1" s="1"/>
  <c r="V25" i="1"/>
  <c r="AI25" i="1" s="1"/>
  <c r="AJ25" i="1" s="1"/>
  <c r="X34" i="1"/>
  <c r="AH34" i="1" s="1"/>
  <c r="V17" i="1"/>
  <c r="AI17" i="1" s="1"/>
  <c r="AJ17" i="1" s="1"/>
  <c r="L4" i="1"/>
  <c r="Z55" i="1"/>
  <c r="T53" i="1"/>
  <c r="Z51" i="1"/>
  <c r="AD49" i="1"/>
  <c r="Z47" i="1"/>
  <c r="AD45" i="1"/>
  <c r="J44" i="1"/>
  <c r="AD41" i="1"/>
  <c r="AB39" i="1"/>
  <c r="AB37" i="1"/>
  <c r="P35" i="1"/>
  <c r="P33" i="1"/>
  <c r="P31" i="1"/>
  <c r="H29" i="1"/>
  <c r="H27" i="1"/>
  <c r="H25" i="1"/>
  <c r="T22" i="1"/>
  <c r="T20" i="1"/>
  <c r="T18" i="1"/>
  <c r="L16" i="1"/>
  <c r="L14" i="1"/>
  <c r="L12" i="1"/>
  <c r="AB9" i="1"/>
  <c r="AB7" i="1"/>
  <c r="AB5" i="1"/>
  <c r="X42" i="1"/>
  <c r="AH42" i="1" s="1"/>
  <c r="X18" i="1"/>
  <c r="AH18" i="1" s="1"/>
  <c r="V5" i="1"/>
  <c r="AI5" i="1" s="1"/>
  <c r="AJ5" i="1" s="1"/>
  <c r="V36" i="1"/>
  <c r="AI36" i="1" s="1"/>
  <c r="AJ36" i="1" s="1"/>
  <c r="V32" i="1"/>
  <c r="AI32" i="1" s="1"/>
  <c r="AJ32" i="1" s="1"/>
  <c r="V28" i="1"/>
  <c r="AI28" i="1" s="1"/>
  <c r="AJ28" i="1" s="1"/>
  <c r="V24" i="1"/>
  <c r="AI24" i="1" s="1"/>
  <c r="AJ24" i="1" s="1"/>
  <c r="V20" i="1"/>
  <c r="AI20" i="1" s="1"/>
  <c r="AJ20" i="1" s="1"/>
  <c r="V16" i="1"/>
  <c r="AI16" i="1" s="1"/>
  <c r="AJ16" i="1" s="1"/>
  <c r="V12" i="1"/>
  <c r="AI12" i="1" s="1"/>
  <c r="AJ12" i="1" s="1"/>
  <c r="V8" i="1"/>
  <c r="AI8" i="1" s="1"/>
  <c r="AJ8" i="1" s="1"/>
  <c r="V4" i="1"/>
  <c r="AI4" i="1" s="1"/>
  <c r="AJ4" i="1" s="1"/>
  <c r="X5" i="1"/>
  <c r="AH5" i="1" s="1"/>
  <c r="X9" i="1"/>
  <c r="AH9" i="1" s="1"/>
  <c r="X13" i="1"/>
  <c r="AH13" i="1" s="1"/>
  <c r="X17" i="1"/>
  <c r="AH17" i="1" s="1"/>
  <c r="X21" i="1"/>
  <c r="AH21" i="1" s="1"/>
  <c r="X25" i="1"/>
  <c r="AH25" i="1" s="1"/>
  <c r="X29" i="1"/>
  <c r="AH29" i="1" s="1"/>
  <c r="X33" i="1"/>
  <c r="AH33" i="1" s="1"/>
  <c r="X37" i="1"/>
  <c r="AH37" i="1" s="1"/>
  <c r="X41" i="1"/>
  <c r="AH41" i="1" s="1"/>
  <c r="X45" i="1"/>
  <c r="AH45" i="1" s="1"/>
  <c r="X49" i="1"/>
  <c r="AH49" i="1" s="1"/>
  <c r="X53" i="1"/>
  <c r="AH53" i="1" s="1"/>
  <c r="N5" i="1"/>
  <c r="Z5" i="1"/>
  <c r="J6" i="1"/>
  <c r="R6" i="1"/>
  <c r="AD6" i="1"/>
  <c r="N7" i="1"/>
  <c r="Z7" i="1"/>
  <c r="J8" i="1"/>
  <c r="R8" i="1"/>
  <c r="AD8" i="1"/>
  <c r="N9" i="1"/>
  <c r="Z9" i="1"/>
  <c r="J10" i="1"/>
  <c r="R10" i="1"/>
  <c r="AD10" i="1"/>
  <c r="N11" i="1"/>
  <c r="Z11" i="1"/>
  <c r="J12" i="1"/>
  <c r="R12" i="1"/>
  <c r="AD12" i="1"/>
  <c r="N13" i="1"/>
  <c r="Z13" i="1"/>
  <c r="J14" i="1"/>
  <c r="R14" i="1"/>
  <c r="AD14" i="1"/>
  <c r="N15" i="1"/>
  <c r="Z15" i="1"/>
  <c r="J16" i="1"/>
  <c r="R16" i="1"/>
  <c r="AD16" i="1"/>
  <c r="N17" i="1"/>
  <c r="Z17" i="1"/>
  <c r="J18" i="1"/>
  <c r="R18" i="1"/>
  <c r="AD18" i="1"/>
  <c r="N19" i="1"/>
  <c r="Z19" i="1"/>
  <c r="J20" i="1"/>
  <c r="R20" i="1"/>
  <c r="AD20" i="1"/>
  <c r="N21" i="1"/>
  <c r="Z21" i="1"/>
  <c r="J22" i="1"/>
  <c r="R22" i="1"/>
  <c r="AD22" i="1"/>
  <c r="N23" i="1"/>
  <c r="Z23" i="1"/>
  <c r="J24" i="1"/>
  <c r="R24" i="1"/>
  <c r="AD24" i="1"/>
  <c r="N25" i="1"/>
  <c r="Z25" i="1"/>
  <c r="J26" i="1"/>
  <c r="R26" i="1"/>
  <c r="AD26" i="1"/>
  <c r="N27" i="1"/>
  <c r="Z27" i="1"/>
  <c r="J28" i="1"/>
  <c r="R28" i="1"/>
  <c r="AD28" i="1"/>
  <c r="N29" i="1"/>
  <c r="Z29" i="1"/>
  <c r="J30" i="1"/>
  <c r="R30" i="1"/>
  <c r="AD30" i="1"/>
  <c r="N31" i="1"/>
  <c r="Z31" i="1"/>
  <c r="J32" i="1"/>
  <c r="R32" i="1"/>
  <c r="AD32" i="1"/>
  <c r="N33" i="1"/>
  <c r="Z33" i="1"/>
  <c r="J34" i="1"/>
  <c r="R34" i="1"/>
  <c r="AD34" i="1"/>
  <c r="N35" i="1"/>
  <c r="Z35" i="1"/>
  <c r="J36" i="1"/>
  <c r="R36" i="1"/>
  <c r="AD36" i="1"/>
  <c r="N37" i="1"/>
  <c r="Z37" i="1"/>
  <c r="J38" i="1"/>
  <c r="R38" i="1"/>
  <c r="AD38" i="1"/>
  <c r="N39" i="1"/>
  <c r="Z39" i="1"/>
  <c r="L40" i="1"/>
  <c r="T40" i="1"/>
  <c r="J41" i="1"/>
  <c r="R41" i="1"/>
  <c r="AB41" i="1"/>
  <c r="L42" i="1"/>
  <c r="T42" i="1"/>
  <c r="AD42" i="1"/>
  <c r="N43" i="1"/>
  <c r="V43" i="1"/>
  <c r="H44" i="1"/>
  <c r="P44" i="1"/>
  <c r="Z44" i="1"/>
  <c r="J45" i="1"/>
  <c r="R45" i="1"/>
  <c r="AB45" i="1"/>
  <c r="L46" i="1"/>
  <c r="T46" i="1"/>
  <c r="AD46" i="1"/>
  <c r="N47" i="1"/>
  <c r="V47" i="1"/>
  <c r="H48" i="1"/>
  <c r="P48" i="1"/>
  <c r="Z48" i="1"/>
  <c r="J49" i="1"/>
  <c r="R49" i="1"/>
  <c r="AB49" i="1"/>
  <c r="L50" i="1"/>
  <c r="T50" i="1"/>
  <c r="AD50" i="1"/>
  <c r="N51" i="1"/>
  <c r="V51" i="1"/>
  <c r="H52" i="1"/>
  <c r="P52" i="1"/>
  <c r="Z52" i="1"/>
  <c r="J53" i="1"/>
  <c r="R53" i="1"/>
  <c r="AB53" i="1"/>
  <c r="L54" i="1"/>
  <c r="T54" i="1"/>
  <c r="AD54" i="1"/>
  <c r="N55" i="1"/>
  <c r="V55" i="1"/>
  <c r="L56" i="1"/>
  <c r="T56" i="1"/>
  <c r="AB56" i="1"/>
  <c r="Z4" i="1"/>
  <c r="N4" i="1"/>
  <c r="H38" i="1"/>
  <c r="R42" i="1"/>
  <c r="L43" i="1"/>
  <c r="AD43" i="1"/>
  <c r="V44" i="1"/>
  <c r="H45" i="1"/>
  <c r="Z45" i="1"/>
  <c r="J46" i="1"/>
  <c r="AB46" i="1"/>
  <c r="T47" i="1"/>
  <c r="N48" i="1"/>
  <c r="H49" i="1"/>
  <c r="Z49" i="1"/>
  <c r="J50" i="1"/>
  <c r="AB50" i="1"/>
  <c r="L51" i="1"/>
  <c r="AD51" i="1"/>
  <c r="V52" i="1"/>
  <c r="H53" i="1"/>
  <c r="Z53" i="1"/>
  <c r="J54" i="1"/>
  <c r="AB54" i="1"/>
  <c r="T55" i="1"/>
  <c r="AD55" i="1"/>
  <c r="Z56" i="1"/>
  <c r="AD4" i="1"/>
  <c r="H40" i="1"/>
  <c r="V39" i="1"/>
  <c r="AI39" i="1" s="1"/>
  <c r="AJ39" i="1" s="1"/>
  <c r="V35" i="1"/>
  <c r="AI35" i="1" s="1"/>
  <c r="AJ35" i="1" s="1"/>
  <c r="V31" i="1"/>
  <c r="AI31" i="1" s="1"/>
  <c r="AJ31" i="1" s="1"/>
  <c r="V27" i="1"/>
  <c r="AI27" i="1" s="1"/>
  <c r="AJ27" i="1" s="1"/>
  <c r="V23" i="1"/>
  <c r="AI23" i="1" s="1"/>
  <c r="AJ23" i="1" s="1"/>
  <c r="V19" i="1"/>
  <c r="AI19" i="1" s="1"/>
  <c r="AJ19" i="1" s="1"/>
  <c r="V15" i="1"/>
  <c r="AI15" i="1" s="1"/>
  <c r="AJ15" i="1" s="1"/>
  <c r="V11" i="1"/>
  <c r="AI11" i="1" s="1"/>
  <c r="AJ11" i="1" s="1"/>
  <c r="V7" i="1"/>
  <c r="AI7" i="1" s="1"/>
  <c r="AJ7" i="1" s="1"/>
  <c r="X4" i="1"/>
  <c r="AH4" i="1" s="1"/>
  <c r="X8" i="1"/>
  <c r="AH8" i="1" s="1"/>
  <c r="X12" i="1"/>
  <c r="AH12" i="1" s="1"/>
  <c r="X16" i="1"/>
  <c r="AH16" i="1" s="1"/>
  <c r="X20" i="1"/>
  <c r="AH20" i="1" s="1"/>
  <c r="X24" i="1"/>
  <c r="AH24" i="1" s="1"/>
  <c r="X28" i="1"/>
  <c r="AH28" i="1" s="1"/>
  <c r="X32" i="1"/>
  <c r="AH32" i="1" s="1"/>
  <c r="X36" i="1"/>
  <c r="AH36" i="1" s="1"/>
  <c r="X40" i="1"/>
  <c r="AH40" i="1" s="1"/>
  <c r="X44" i="1"/>
  <c r="AH44" i="1" s="1"/>
  <c r="X48" i="1"/>
  <c r="AH48" i="1" s="1"/>
  <c r="X52" i="1"/>
  <c r="AH52" i="1" s="1"/>
  <c r="H56" i="1"/>
  <c r="H4" i="1"/>
  <c r="L5" i="1"/>
  <c r="T5" i="1"/>
  <c r="H6" i="1"/>
  <c r="P6" i="1"/>
  <c r="AB6" i="1"/>
  <c r="L7" i="1"/>
  <c r="T7" i="1"/>
  <c r="H8" i="1"/>
  <c r="P8" i="1"/>
  <c r="AB8" i="1"/>
  <c r="L9" i="1"/>
  <c r="T9" i="1"/>
  <c r="H10" i="1"/>
  <c r="P10" i="1"/>
  <c r="AB10" i="1"/>
  <c r="L11" i="1"/>
  <c r="T11" i="1"/>
  <c r="H12" i="1"/>
  <c r="P12" i="1"/>
  <c r="AB12" i="1"/>
  <c r="L13" i="1"/>
  <c r="T13" i="1"/>
  <c r="H14" i="1"/>
  <c r="P14" i="1"/>
  <c r="AB14" i="1"/>
  <c r="L15" i="1"/>
  <c r="T15" i="1"/>
  <c r="H16" i="1"/>
  <c r="P16" i="1"/>
  <c r="AB16" i="1"/>
  <c r="L17" i="1"/>
  <c r="T17" i="1"/>
  <c r="H18" i="1"/>
  <c r="P18" i="1"/>
  <c r="AB18" i="1"/>
  <c r="L19" i="1"/>
  <c r="T19" i="1"/>
  <c r="H20" i="1"/>
  <c r="P20" i="1"/>
  <c r="AB20" i="1"/>
  <c r="L21" i="1"/>
  <c r="T21" i="1"/>
  <c r="H22" i="1"/>
  <c r="P22" i="1"/>
  <c r="AB22" i="1"/>
  <c r="L23" i="1"/>
  <c r="T23" i="1"/>
  <c r="H24" i="1"/>
  <c r="P24" i="1"/>
  <c r="AB24" i="1"/>
  <c r="L25" i="1"/>
  <c r="T25" i="1"/>
  <c r="H26" i="1"/>
  <c r="P26" i="1"/>
  <c r="AB26" i="1"/>
  <c r="L27" i="1"/>
  <c r="T27" i="1"/>
  <c r="H28" i="1"/>
  <c r="P28" i="1"/>
  <c r="AB28" i="1"/>
  <c r="L29" i="1"/>
  <c r="T29" i="1"/>
  <c r="H30" i="1"/>
  <c r="P30" i="1"/>
  <c r="AB30" i="1"/>
  <c r="L31" i="1"/>
  <c r="T31" i="1"/>
  <c r="H32" i="1"/>
  <c r="P32" i="1"/>
  <c r="AB32" i="1"/>
  <c r="L33" i="1"/>
  <c r="T33" i="1"/>
  <c r="H34" i="1"/>
  <c r="P34" i="1"/>
  <c r="AB34" i="1"/>
  <c r="L35" i="1"/>
  <c r="T35" i="1"/>
  <c r="H36" i="1"/>
  <c r="P36" i="1"/>
  <c r="AB36" i="1"/>
  <c r="L37" i="1"/>
  <c r="T37" i="1"/>
  <c r="P38" i="1"/>
  <c r="AB38" i="1"/>
  <c r="L39" i="1"/>
  <c r="T39" i="1"/>
  <c r="J40" i="1"/>
  <c r="R40" i="1"/>
  <c r="AD40" i="1"/>
  <c r="P41" i="1"/>
  <c r="Z41" i="1"/>
  <c r="J42" i="1"/>
  <c r="AB42" i="1"/>
  <c r="T43" i="1"/>
  <c r="N44" i="1"/>
  <c r="P45" i="1"/>
  <c r="R46" i="1"/>
  <c r="L47" i="1"/>
  <c r="AD47" i="1"/>
  <c r="V48" i="1"/>
  <c r="P49" i="1"/>
  <c r="R50" i="1"/>
  <c r="T51" i="1"/>
  <c r="N52" i="1"/>
  <c r="P53" i="1"/>
  <c r="R54" i="1"/>
  <c r="L55" i="1"/>
  <c r="R56" i="1"/>
  <c r="P4" i="1"/>
  <c r="V40" i="1"/>
  <c r="V38" i="1"/>
  <c r="AI38" i="1" s="1"/>
  <c r="AJ38" i="1" s="1"/>
  <c r="V34" i="1"/>
  <c r="AI34" i="1" s="1"/>
  <c r="AJ34" i="1" s="1"/>
  <c r="V30" i="1"/>
  <c r="AI30" i="1" s="1"/>
  <c r="AJ30" i="1" s="1"/>
  <c r="V26" i="1"/>
  <c r="AI26" i="1" s="1"/>
  <c r="AJ26" i="1" s="1"/>
  <c r="V22" i="1"/>
  <c r="AI22" i="1" s="1"/>
  <c r="AJ22" i="1" s="1"/>
  <c r="V18" i="1"/>
  <c r="AI18" i="1" s="1"/>
  <c r="AJ18" i="1" s="1"/>
  <c r="V14" i="1"/>
  <c r="AI14" i="1" s="1"/>
  <c r="AJ14" i="1" s="1"/>
  <c r="V10" i="1"/>
  <c r="AI10" i="1" s="1"/>
  <c r="AJ10" i="1" s="1"/>
  <c r="V6" i="1"/>
  <c r="AI6" i="1" s="1"/>
  <c r="AJ6" i="1" s="1"/>
  <c r="X7" i="1"/>
  <c r="AH7" i="1" s="1"/>
  <c r="X11" i="1"/>
  <c r="AH11" i="1" s="1"/>
  <c r="X15" i="1"/>
  <c r="AH15" i="1" s="1"/>
  <c r="X19" i="1"/>
  <c r="AH19" i="1" s="1"/>
  <c r="X23" i="1"/>
  <c r="AH23" i="1" s="1"/>
  <c r="X27" i="1"/>
  <c r="AH27" i="1" s="1"/>
  <c r="X31" i="1"/>
  <c r="AH31" i="1" s="1"/>
  <c r="X35" i="1"/>
  <c r="AH35" i="1" s="1"/>
  <c r="X39" i="1"/>
  <c r="AH39" i="1" s="1"/>
  <c r="X43" i="1"/>
  <c r="AH43" i="1" s="1"/>
  <c r="X47" i="1"/>
  <c r="AH47" i="1" s="1"/>
  <c r="X51" i="1"/>
  <c r="AH51" i="1" s="1"/>
  <c r="X55" i="1"/>
  <c r="AH55" i="1" s="1"/>
  <c r="J56" i="1"/>
  <c r="AH56" i="1" s="1"/>
  <c r="J5" i="1"/>
  <c r="R5" i="1"/>
  <c r="AD5" i="1"/>
  <c r="N6" i="1"/>
  <c r="Z6" i="1"/>
  <c r="J7" i="1"/>
  <c r="R7" i="1"/>
  <c r="AD7" i="1"/>
  <c r="N8" i="1"/>
  <c r="Z8" i="1"/>
  <c r="J9" i="1"/>
  <c r="R9" i="1"/>
  <c r="AD9" i="1"/>
  <c r="N10" i="1"/>
  <c r="Z10" i="1"/>
  <c r="J11" i="1"/>
  <c r="R11" i="1"/>
  <c r="AD11" i="1"/>
  <c r="N12" i="1"/>
  <c r="Z12" i="1"/>
  <c r="J13" i="1"/>
  <c r="R13" i="1"/>
  <c r="AD13" i="1"/>
  <c r="N14" i="1"/>
  <c r="Z14" i="1"/>
  <c r="J15" i="1"/>
  <c r="R15" i="1"/>
  <c r="AD15" i="1"/>
  <c r="N16" i="1"/>
  <c r="Z16" i="1"/>
  <c r="J17" i="1"/>
  <c r="R17" i="1"/>
  <c r="AD17" i="1"/>
  <c r="N18" i="1"/>
  <c r="Z18" i="1"/>
  <c r="J19" i="1"/>
  <c r="R19" i="1"/>
  <c r="AD19" i="1"/>
  <c r="N20" i="1"/>
  <c r="Z20" i="1"/>
  <c r="J21" i="1"/>
  <c r="R21" i="1"/>
  <c r="AD21" i="1"/>
  <c r="N22" i="1"/>
  <c r="Z22" i="1"/>
  <c r="J23" i="1"/>
  <c r="R23" i="1"/>
  <c r="AD23" i="1"/>
  <c r="N24" i="1"/>
  <c r="Z24" i="1"/>
  <c r="J25" i="1"/>
  <c r="R25" i="1"/>
  <c r="AD25" i="1"/>
  <c r="N26" i="1"/>
  <c r="Z26" i="1"/>
  <c r="J27" i="1"/>
  <c r="R27" i="1"/>
  <c r="AD27" i="1"/>
  <c r="N28" i="1"/>
  <c r="Z28" i="1"/>
  <c r="J29" i="1"/>
  <c r="R29" i="1"/>
  <c r="AD29" i="1"/>
  <c r="N30" i="1"/>
  <c r="Z30" i="1"/>
  <c r="J31" i="1"/>
  <c r="R31" i="1"/>
  <c r="AD31" i="1"/>
  <c r="N32" i="1"/>
  <c r="Z32" i="1"/>
  <c r="J33" i="1"/>
  <c r="R33" i="1"/>
  <c r="AD33" i="1"/>
  <c r="N34" i="1"/>
  <c r="Z34" i="1"/>
  <c r="J35" i="1"/>
  <c r="R35" i="1"/>
  <c r="AD35" i="1"/>
  <c r="N36" i="1"/>
  <c r="Z36" i="1"/>
  <c r="J37" i="1"/>
  <c r="R37" i="1"/>
  <c r="AD37" i="1"/>
  <c r="N38" i="1"/>
  <c r="Z38" i="1"/>
  <c r="J39" i="1"/>
  <c r="R39" i="1"/>
  <c r="AD39" i="1"/>
  <c r="P40" i="1"/>
  <c r="AB40" i="1"/>
  <c r="N41" i="1"/>
  <c r="V41" i="1"/>
  <c r="H42" i="1"/>
  <c r="P42" i="1"/>
  <c r="Z42" i="1"/>
  <c r="J43" i="1"/>
  <c r="R43" i="1"/>
  <c r="AB43" i="1"/>
  <c r="L44" i="1"/>
  <c r="T44" i="1"/>
  <c r="AD44" i="1"/>
  <c r="N45" i="1"/>
  <c r="V45" i="1"/>
  <c r="H46" i="1"/>
  <c r="P46" i="1"/>
  <c r="Z46" i="1"/>
  <c r="J47" i="1"/>
  <c r="R47" i="1"/>
  <c r="AB47" i="1"/>
  <c r="L48" i="1"/>
  <c r="T48" i="1"/>
  <c r="AD48" i="1"/>
  <c r="N49" i="1"/>
  <c r="V49" i="1"/>
  <c r="H50" i="1"/>
  <c r="P50" i="1"/>
  <c r="Z50" i="1"/>
  <c r="J51" i="1"/>
  <c r="R51" i="1"/>
  <c r="AB51" i="1"/>
  <c r="L52" i="1"/>
  <c r="T52" i="1"/>
  <c r="AD52" i="1"/>
  <c r="N53" i="1"/>
  <c r="V53" i="1"/>
  <c r="H54" i="1"/>
  <c r="P54" i="1"/>
  <c r="Z54" i="1"/>
  <c r="J55" i="1"/>
  <c r="R55" i="1"/>
  <c r="AB55" i="1"/>
  <c r="P56" i="1"/>
  <c r="X56" i="1"/>
  <c r="AB4" i="1"/>
  <c r="R4" i="1"/>
  <c r="J4" i="1"/>
  <c r="AD56" i="1"/>
  <c r="P55" i="1"/>
  <c r="AD53" i="1"/>
  <c r="R52" i="1"/>
  <c r="H51" i="1"/>
  <c r="T49" i="1"/>
  <c r="J48" i="1"/>
  <c r="V46" i="1"/>
  <c r="L45" i="1"/>
  <c r="Z43" i="1"/>
  <c r="N42" i="1"/>
  <c r="Z40" i="1"/>
  <c r="H39" i="1"/>
  <c r="P37" i="1"/>
  <c r="AB35" i="1"/>
  <c r="L34" i="1"/>
  <c r="T32" i="1"/>
  <c r="H31" i="1"/>
  <c r="P29" i="1"/>
  <c r="AB27" i="1"/>
  <c r="L26" i="1"/>
  <c r="T24" i="1"/>
  <c r="H23" i="1"/>
  <c r="P21" i="1"/>
  <c r="AB19" i="1"/>
  <c r="L18" i="1"/>
  <c r="T16" i="1"/>
  <c r="H15" i="1"/>
  <c r="P13" i="1"/>
  <c r="AB11" i="1"/>
  <c r="L10" i="1"/>
  <c r="T8" i="1"/>
  <c r="H7" i="1"/>
  <c r="P5" i="1"/>
  <c r="X54" i="1"/>
  <c r="AH54" i="1" s="1"/>
  <c r="X38" i="1"/>
  <c r="AH38" i="1" s="1"/>
  <c r="X22" i="1"/>
  <c r="AH22" i="1" s="1"/>
  <c r="X6" i="1"/>
  <c r="AH6" i="1" s="1"/>
  <c r="V29" i="1"/>
  <c r="AI29" i="1" s="1"/>
  <c r="AJ29" i="1" s="1"/>
  <c r="V37" i="1"/>
  <c r="AI37" i="1" s="1"/>
  <c r="AJ37" i="1" s="1"/>
  <c r="X14" i="1"/>
  <c r="AH14" i="1" s="1"/>
  <c r="F47" i="1" l="1"/>
  <c r="F9" i="1"/>
  <c r="F11" i="1"/>
  <c r="F43" i="1"/>
  <c r="F13" i="1"/>
  <c r="F23" i="1"/>
  <c r="F46" i="1"/>
  <c r="F35" i="1"/>
  <c r="F27" i="1"/>
  <c r="F19" i="1"/>
  <c r="F37" i="1"/>
  <c r="F34" i="1"/>
  <c r="F29" i="1"/>
  <c r="F26" i="1"/>
  <c r="F21" i="1"/>
  <c r="F18" i="1"/>
  <c r="F5" i="1"/>
  <c r="F41" i="1"/>
  <c r="F33" i="1"/>
  <c r="F25" i="1"/>
  <c r="F17" i="1"/>
  <c r="AI41" i="1"/>
  <c r="AJ41" i="1" s="1"/>
  <c r="AI43" i="1"/>
  <c r="AJ43" i="1" s="1"/>
  <c r="AI45" i="1"/>
  <c r="AJ45" i="1" s="1"/>
  <c r="AI47" i="1"/>
  <c r="AJ47" i="1" s="1"/>
  <c r="AI49" i="1"/>
  <c r="AJ49" i="1" s="1"/>
  <c r="AI51" i="1"/>
  <c r="AJ51" i="1" s="1"/>
  <c r="AI53" i="1"/>
  <c r="AJ53" i="1" s="1"/>
  <c r="AI40" i="1"/>
  <c r="AJ40" i="1" s="1"/>
  <c r="AI55" i="1"/>
  <c r="AJ55" i="1" s="1"/>
  <c r="AI48" i="1"/>
  <c r="AJ48" i="1" s="1"/>
  <c r="AI42" i="1"/>
  <c r="AJ42" i="1" s="1"/>
  <c r="AI50" i="1"/>
  <c r="AJ50" i="1" s="1"/>
  <c r="AI44" i="1"/>
  <c r="AJ44" i="1" s="1"/>
  <c r="AI52" i="1"/>
  <c r="AJ52" i="1" s="1"/>
  <c r="AI46" i="1"/>
  <c r="AJ46" i="1" s="1"/>
  <c r="AI54" i="1"/>
  <c r="AJ54" i="1" s="1"/>
  <c r="F55" i="1"/>
  <c r="F42" i="1"/>
  <c r="F36" i="1"/>
  <c r="F28" i="1"/>
  <c r="F20" i="1"/>
  <c r="F12" i="1"/>
  <c r="F38" i="1"/>
  <c r="F52" i="1"/>
  <c r="F10" i="1"/>
  <c r="F49" i="1"/>
  <c r="F7" i="1"/>
  <c r="F30" i="1"/>
  <c r="F22" i="1"/>
  <c r="F14" i="1"/>
  <c r="F6" i="1"/>
  <c r="F56" i="1"/>
  <c r="F45" i="1"/>
  <c r="F48" i="1"/>
  <c r="AI56" i="1"/>
  <c r="AJ56" i="1" s="1"/>
  <c r="F40" i="1"/>
  <c r="F15" i="1"/>
  <c r="F39" i="1"/>
  <c r="F51" i="1"/>
  <c r="F54" i="1"/>
  <c r="F31" i="1"/>
  <c r="F50" i="1"/>
  <c r="F32" i="1"/>
  <c r="F24" i="1"/>
  <c r="F16" i="1"/>
  <c r="F8" i="1"/>
  <c r="F4" i="1"/>
  <c r="F53" i="1"/>
  <c r="F44" i="1"/>
</calcChain>
</file>

<file path=xl/sharedStrings.xml><?xml version="1.0" encoding="utf-8"?>
<sst xmlns="http://schemas.openxmlformats.org/spreadsheetml/2006/main" count="224" uniqueCount="173">
  <si>
    <t>Nom</t>
  </si>
  <si>
    <t>année concernée</t>
  </si>
  <si>
    <t>nbr de jr de cette année</t>
  </si>
  <si>
    <t>année précédente</t>
  </si>
  <si>
    <t>Prénom</t>
  </si>
  <si>
    <t>Nom&amp;Prénom</t>
  </si>
  <si>
    <t>Fonction</t>
  </si>
  <si>
    <t>sexe</t>
  </si>
  <si>
    <t>Madame</t>
  </si>
  <si>
    <t>Monsieur</t>
  </si>
  <si>
    <t>nbr jour fériés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</si>
  <si>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</si>
  <si>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</si>
  <si>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</si>
  <si>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</si>
  <si>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</si>
  <si>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</si>
  <si>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</si>
  <si>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</si>
  <si>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</si>
  <si>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</si>
  <si>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</si>
  <si>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</si>
  <si>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</si>
  <si>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</si>
  <si>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</si>
  <si>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</si>
  <si>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</si>
  <si>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</si>
  <si>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</si>
  <si>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</si>
  <si>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</si>
  <si>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</si>
  <si>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</si>
  <si>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</si>
  <si>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</si>
  <si>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</si>
  <si>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</si>
  <si>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</si>
  <si>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</si>
  <si>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</si>
  <si>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</si>
  <si>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</si>
  <si>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</si>
  <si>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</si>
  <si>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</si>
  <si>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</si>
  <si>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</si>
  <si>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</si>
  <si>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</si>
  <si>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</si>
  <si>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</si>
  <si>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</si>
  <si>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</si>
  <si>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</si>
  <si>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</si>
  <si>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</si>
  <si>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</si>
  <si>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</si>
  <si>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</si>
  <si>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</si>
  <si>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</si>
  <si>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</si>
  <si>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</si>
  <si>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</si>
  <si>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</si>
  <si>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</si>
  <si>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</si>
  <si>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</si>
  <si>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</si>
  <si>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</si>
  <si>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</si>
  <si>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</si>
  <si>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</si>
  <si>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</si>
  <si>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</si>
  <si>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</si>
  <si>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</si>
  <si>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</si>
  <si>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</si>
  <si>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</si>
  <si>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</si>
  <si>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</si>
  <si>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</si>
  <si>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</si>
  <si>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</si>
  <si>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</si>
  <si>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</si>
  <si>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</si>
  <si>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</si>
  <si>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</si>
  <si>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</si>
  <si>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</si>
  <si>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</si>
  <si>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</si>
  <si>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</si>
  <si>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</si>
  <si>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</si>
  <si>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</si>
  <si>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</si>
  <si>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</si>
  <si>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</si>
  <si>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</si>
  <si>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</si>
  <si>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</si>
  <si>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</si>
  <si>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</si>
  <si>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</si>
  <si>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</si>
  <si>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</si>
  <si>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</si>
  <si>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</si>
  <si>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</si>
  <si>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</si>
  <si>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</si>
  <si>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</si>
  <si>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</si>
  <si>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FONCTION1</t>
  </si>
  <si>
    <t>FONCTION2</t>
  </si>
  <si>
    <t>FONCTION3</t>
  </si>
  <si>
    <t>FONCTION4</t>
  </si>
  <si>
    <t>FONCTION5</t>
  </si>
  <si>
    <t>FONCTION6</t>
  </si>
  <si>
    <t>FONCTION7</t>
  </si>
  <si>
    <t>FONCTION8</t>
  </si>
  <si>
    <t>FONCTION9</t>
  </si>
  <si>
    <t>FONCTION10</t>
  </si>
  <si>
    <t>FONCTION11</t>
  </si>
  <si>
    <t>FONCTION12</t>
  </si>
  <si>
    <t>FONCTION13</t>
  </si>
  <si>
    <t>FONCTION14</t>
  </si>
  <si>
    <t>FONCTION15</t>
  </si>
  <si>
    <t>FONCTION16</t>
  </si>
  <si>
    <t>FONCTION17</t>
  </si>
  <si>
    <t>FONCTION18</t>
  </si>
  <si>
    <t>FONCTION19</t>
  </si>
  <si>
    <t>FONCTION20</t>
  </si>
  <si>
    <t>FONCTION21</t>
  </si>
  <si>
    <t>FONCTION22</t>
  </si>
  <si>
    <t>FONCTION23</t>
  </si>
  <si>
    <t>FONCTION24</t>
  </si>
  <si>
    <t>FONCTION25</t>
  </si>
  <si>
    <t>FONCTION26</t>
  </si>
  <si>
    <t>FONCTION27</t>
  </si>
  <si>
    <t>FONCTION28</t>
  </si>
  <si>
    <t>FONCTION29</t>
  </si>
  <si>
    <t>FONCTION30</t>
  </si>
  <si>
    <t>FONCTION31</t>
  </si>
  <si>
    <t>FONCTION32</t>
  </si>
  <si>
    <t>FONCTION33</t>
  </si>
  <si>
    <t>FONCTION34</t>
  </si>
  <si>
    <t>FONCTION35</t>
  </si>
  <si>
    <t>FONCTION36</t>
  </si>
  <si>
    <t>FONCTION37</t>
  </si>
  <si>
    <t>FONCTION38</t>
  </si>
  <si>
    <t>FONCTION39</t>
  </si>
  <si>
    <t>FONCTION40</t>
  </si>
  <si>
    <t>FONCTION41</t>
  </si>
  <si>
    <t>FONCTION42</t>
  </si>
  <si>
    <t>FONCTION43</t>
  </si>
  <si>
    <t>FONCTION44</t>
  </si>
  <si>
    <t>FONCTION45</t>
  </si>
  <si>
    <t>FONCTION46</t>
  </si>
  <si>
    <t>FONCTION47</t>
  </si>
  <si>
    <t>FONCTION48</t>
  </si>
  <si>
    <t>FONCTION49</t>
  </si>
  <si>
    <t>FONCTION50</t>
  </si>
  <si>
    <t>FONCTION51</t>
  </si>
  <si>
    <t>FONCTION52</t>
  </si>
  <si>
    <t>FONCTION53</t>
  </si>
  <si>
    <t xml:space="preserve">Type </t>
  </si>
  <si>
    <t xml:space="preserve">Ddépart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</si>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</sst>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Continuous"/>
    </xf>
    <xf numFmtId="14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/>
    <xf numFmtId="0" fontId="4" fillId="4" borderId="1" xfId="0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5" fillId="4" borderId="0" xfId="0" applyFont="1" applyFill="1"/>
    <xf numFmtId="1" fontId="0" fillId="0" borderId="2" xfId="0" applyNumberFormat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4" xfId="0" applyNumberFormat="1" applyFont="1" applyFill="1" applyBorder="1"/>
    <xf numFmtId="1" fontId="3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/>
    <xf numFmtId="0" fontId="3" fillId="3" borderId="1" xfId="0" applyFont="1" applyFill="1" applyBorder="1" applyAlignment="1">
      <alignment horizontal="center" vertical="center"/>
    </xf>
    <xf numFmtId="14" fontId="3" fillId="3" borderId="4" xfId="0" applyNumberFormat="1" applyFont="1" applyFill="1" applyBorder="1"/>
    <xf numFmtId="1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/>
    <xf numFmtId="0" fontId="0" fillId="0" borderId="3" xfId="0" applyBorder="1"/>
    <xf numFmtId="1" fontId="0" fillId="0" borderId="1" xfId="0" applyNumberFormat="1" applyBorder="1"/>
    <xf numFmtId="0" fontId="1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190500</xdr:colOff>
      <xdr:row>8</xdr:row>
      <xdr:rowOff>47625</xdr:rowOff>
    </xdr:from>
    <xdr:to>
      <xdr:col>4</xdr:col>
      <xdr:colOff>638175</xdr:colOff>
      <xdr:row>10</xdr:row>
      <xdr:rowOff>47625</xdr:rowOff>
    </xdr:to>
    <xdr:sp macro="[0]!Afficher" textlink="">
      <xdr:nvSpPr>
        <xdr:cNvPr id="2" name="ZoneTexte 1"/>
        <xdr:cNvSpPr txBox="1"/>
      </xdr:nvSpPr>
      <xdr:spPr>
        <a:xfrm>
          <a:off x="2476500" y="157162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56"/>
  <sheetViews>
    <sheetView workbookViewId="0">
      <selection activeCell="A13" sqref="A13"/>
    </sheetView>
  </sheetViews>
  <sheetFormatPr baseColWidth="10" defaultRowHeight="15" x14ac:dyDescent="0.25"/>
  <cols>
    <col min="1" max="1" width="20" customWidth="1"/>
    <col min="2" max="2" width="18.85546875" customWidth="1"/>
    <col min="3" max="3" width="33.85546875" customWidth="1"/>
    <col min="4" max="4" width="44.7109375" bestFit="1" customWidth="1"/>
    <col min="5" max="5" width="8.85546875" bestFit="1" customWidth="1"/>
    <col min="6" max="7" width="20.7109375" customWidth="1"/>
    <col min="8" max="31" width="11.42578125" hidden="1" customWidth="1"/>
    <col min="32" max="32" width="18" customWidth="1"/>
    <col min="33" max="34" width="14.85546875" hidden="1" customWidth="1"/>
    <col min="35" max="35" width="10.85546875" hidden="1" customWidth="1"/>
    <col min="36" max="36" width="15.140625" customWidth="1"/>
  </cols>
  <sheetData>
    <row r="1" spans="1:36" x14ac:dyDescent="0.25">
      <c r="H1" s="2">
        <f ca="1">TODAY()</f>
        <v>42554</v>
      </c>
      <c r="AF1" s="2"/>
    </row>
    <row r="2" spans="1:36" x14ac:dyDescent="0.25">
      <c r="H2" s="22">
        <f>YEAR(H3)</f>
        <v>2008</v>
      </c>
      <c r="I2" s="5"/>
      <c r="J2" s="23">
        <f>YEAR(J3)</f>
        <v>2009</v>
      </c>
      <c r="K2" s="5"/>
      <c r="L2" s="22">
        <f>YEAR(L3)</f>
        <v>2010</v>
      </c>
      <c r="M2" s="5"/>
      <c r="N2" s="23">
        <f t="shared" ref="N2" si="0">YEAR(N3)</f>
        <v>2011</v>
      </c>
      <c r="O2" s="5"/>
      <c r="P2" s="22">
        <f t="shared" ref="P2" si="1">YEAR(P3)</f>
        <v>2012</v>
      </c>
      <c r="Q2" s="5"/>
      <c r="R2" s="18">
        <f t="shared" ref="R2" si="2">YEAR(R3)</f>
        <v>2013</v>
      </c>
      <c r="S2" s="5"/>
      <c r="T2" s="14">
        <f t="shared" ref="T2" si="3">YEAR(T3)</f>
        <v>2014</v>
      </c>
      <c r="U2" s="5"/>
      <c r="V2" s="18">
        <f t="shared" ref="V2" si="4">YEAR(V3)</f>
        <v>2015</v>
      </c>
      <c r="W2" s="5"/>
      <c r="X2" s="14">
        <f t="shared" ref="X2" si="5">YEAR(X3)</f>
        <v>2016</v>
      </c>
      <c r="Y2" s="5"/>
      <c r="Z2" s="18">
        <f t="shared" ref="Z2" si="6">YEAR(Z3)</f>
        <v>2017</v>
      </c>
      <c r="AA2" s="5"/>
      <c r="AB2" s="14">
        <f>YEAR(AB3)</f>
        <v>2018</v>
      </c>
      <c r="AC2" s="5"/>
      <c r="AD2" s="18">
        <f>YEAR(AD3)</f>
        <v>2019</v>
      </c>
      <c r="AE2" s="5"/>
      <c r="AF2" s="5"/>
    </row>
    <row r="3" spans="1:36" ht="15.75" x14ac:dyDescent="0.25">
      <c r="A3" s="1" t="s">
        <v>0</v>
      </c>
      <c r="B3" s="1" t="s">
        <v>4</v>
      </c>
      <c r="C3" s="1" t="s">
        <v>5</v>
      </c>
      <c r="D3" s="27" t="s">
        <v>6</v>
      </c>
      <c r="E3" s="27" t="s">
        <v>7</v>
      </c>
      <c r="F3" s="1" t="s">
        <v>172</v>
      </c>
      <c r="G3" s="1"/>
      <c r="H3" s="15">
        <v>39630</v>
      </c>
      <c r="I3" s="17">
        <v>39994</v>
      </c>
      <c r="J3" s="19">
        <v>39995</v>
      </c>
      <c r="K3" s="21">
        <v>40359</v>
      </c>
      <c r="L3" s="15">
        <v>40360</v>
      </c>
      <c r="M3" s="17">
        <v>40724</v>
      </c>
      <c r="N3" s="19">
        <v>40725</v>
      </c>
      <c r="O3" s="21">
        <v>41090</v>
      </c>
      <c r="P3" s="15">
        <v>41091</v>
      </c>
      <c r="Q3" s="17">
        <v>41455</v>
      </c>
      <c r="R3" s="19">
        <v>41456</v>
      </c>
      <c r="S3" s="21">
        <v>41820</v>
      </c>
      <c r="T3" s="15">
        <v>41821</v>
      </c>
      <c r="U3" s="17">
        <v>42185</v>
      </c>
      <c r="V3" s="19">
        <v>42186</v>
      </c>
      <c r="W3" s="21">
        <v>42551</v>
      </c>
      <c r="X3" s="15">
        <v>42552</v>
      </c>
      <c r="Y3" s="17">
        <v>42916</v>
      </c>
      <c r="Z3" s="19">
        <v>42917</v>
      </c>
      <c r="AA3" s="21">
        <v>43281</v>
      </c>
      <c r="AB3" s="15">
        <v>43282</v>
      </c>
      <c r="AC3" s="17">
        <v>43646</v>
      </c>
      <c r="AD3" s="19">
        <v>43647</v>
      </c>
      <c r="AE3" s="21">
        <v>44012</v>
      </c>
      <c r="AF3" s="12" t="s">
        <v>171</v>
      </c>
      <c r="AG3" s="8" t="s">
        <v>1</v>
      </c>
      <c r="AH3" s="9" t="s">
        <v>2</v>
      </c>
      <c r="AI3" s="10" t="s">
        <v>3</v>
      </c>
      <c r="AJ3" s="6" t="s">
        <v>170</v>
      </c>
    </row>
    <row r="4" spans="1:36" x14ac:dyDescent="0.25">
      <c r="A4" s="3" t="s">
        <v>11</v>
      </c>
      <c r="B4" s="3" t="s">
        <v>12</v>
      </c>
      <c r="C4" s="25" t="str">
        <f>CONCATENATE(A4," ",B4)</f>
        <v>nom1 prenom1</v>
      </c>
      <c r="D4" s="25" t="s">
        <v>117</v>
      </c>
      <c r="E4" s="25" t="s">
        <v>8</v>
      </c>
      <c r="F4" s="4">
        <f ca="1">SUM(H4:AE4)</f>
        <v>233.24999999999997</v>
      </c>
      <c r="G4" s="11"/>
      <c r="H4" s="16">
        <f ca="1">IF($H$1&gt;=$H$3,DAYS360($H$3,$I$3)*2.5/30-4,0)</f>
        <v>25.916666666666668</v>
      </c>
      <c r="I4" s="24"/>
      <c r="J4" s="20">
        <f ca="1">IF($H$1&gt;=$J$3,DAYS360($J$3,$K$3)*2.5/30-4,0)</f>
        <v>25.916666666666668</v>
      </c>
      <c r="K4" s="24"/>
      <c r="L4" s="16">
        <f ca="1">IF($H$1&gt;=$L$3,DAYS360($L$3,$M$3)*2.5/30-4,0)</f>
        <v>25.916666666666668</v>
      </c>
      <c r="M4" s="24"/>
      <c r="N4" s="20">
        <f ca="1">IF($H$1&gt;=$N$3,DAYS360($N$3,$O$3)*2.5/30-4,0)</f>
        <v>25.916666666666668</v>
      </c>
      <c r="O4" s="24"/>
      <c r="P4" s="16">
        <f ca="1">IF($H$1&gt;=$P$3,DAYS360($P$3,$Q$3)*2.5/30-4,0)</f>
        <v>25.916666666666668</v>
      </c>
      <c r="Q4" s="24"/>
      <c r="R4" s="20">
        <f ca="1">IF($H$1&gt;=$R$3,DAYS360($R$3,$S$3)*2.5/30-4,0)</f>
        <v>25.916666666666668</v>
      </c>
      <c r="S4" s="24"/>
      <c r="T4" s="16">
        <f ca="1">IF($H$1&gt;=$T$3,DAYS360($T$3,$U$3)*2.5/30-4,0)</f>
        <v>25.916666666666668</v>
      </c>
      <c r="U4" s="24"/>
      <c r="V4" s="20">
        <f ca="1">IF($H$1&gt;=$V$3,DAYS360($V$3,$W$3)*2.5/30-4,0)</f>
        <v>25.916666666666668</v>
      </c>
      <c r="W4" s="24"/>
      <c r="X4" s="16">
        <f ca="1">IF($H$1&gt;=$X$3,DAYS360($X$3,$Y$3)*2.5/30-4,0)</f>
        <v>25.916666666666668</v>
      </c>
      <c r="Y4" s="24"/>
      <c r="Z4" s="20">
        <f ca="1">IF($H$1&gt;=$Z$3,DAYS360($Z$3,$AA$3)*2.5/30-4,0)</f>
        <v>0</v>
      </c>
      <c r="AA4" s="24"/>
      <c r="AB4" s="16">
        <f ca="1">IF($H$1&gt;=$AB$3,DAYS360($AB$3,$AC$3)*2.5/30-4,0)</f>
        <v>0</v>
      </c>
      <c r="AC4" s="24"/>
      <c r="AD4" s="20">
        <f ca="1">IF($H$1&gt;=$AD$3,DAYS360($AD$3,$AE$3)*2.5/30-4,0)</f>
        <v>0</v>
      </c>
      <c r="AE4" s="24"/>
      <c r="AF4" s="13">
        <v>42563</v>
      </c>
      <c r="AG4" s="7">
        <f>INDEX($H$2:$AE$2,MATCH($AF4,$H$3:$AE$3,1))</f>
        <v>2016</v>
      </c>
      <c r="AH4" s="26">
        <f ca="1">HLOOKUP($AG4,$H$2:$AE4,3,FALSE)</f>
        <v>25.916666666666668</v>
      </c>
      <c r="AI4" s="26">
        <f ca="1">HLOOKUP($AG4-1,$H$2:$AE4,3,FALSE)</f>
        <v>25.916666666666668</v>
      </c>
      <c r="AJ4" s="28" t="str">
        <f ca="1">IF(AI4&lt;&gt;"","R",IF(AND(AI4=0,AH4&gt;0),"A",""))</f>
        <v>R</v>
      </c>
    </row>
    <row r="5" spans="1:36" x14ac:dyDescent="0.25">
      <c r="A5" s="3" t="s">
        <v>13</v>
      </c>
      <c r="B5" s="3" t="s">
        <v>14</v>
      </c>
      <c r="C5" s="25" t="str">
        <f t="shared" ref="C5:C56" si="7">CONCATENATE(A5," ",B5)</f>
        <v>nom2 prenom2</v>
      </c>
      <c r="D5" s="25" t="s">
        <v>118</v>
      </c>
      <c r="E5" s="25" t="s">
        <v>9</v>
      </c>
      <c r="F5" s="4">
        <f ca="1">SUM(H5:AE5)</f>
        <v>233.24999999999997</v>
      </c>
      <c r="G5" s="11"/>
      <c r="H5" s="16">
        <f t="shared" ref="H5:H56" ca="1" si="8">IF($H$1&gt;=$H$3,DAYS360($H$3,$I$3)*2.5/30-4,0)</f>
        <v>25.916666666666668</v>
      </c>
      <c r="I5" s="24"/>
      <c r="J5" s="20">
        <f t="shared" ref="J5:J56" ca="1" si="9">IF($H$1&gt;=$J$3,DAYS360($J$3,$K$3)*2.5/30-4,0)</f>
        <v>25.916666666666668</v>
      </c>
      <c r="K5" s="24"/>
      <c r="L5" s="16">
        <f t="shared" ref="L5:L56" ca="1" si="10">IF($H$1&gt;=$L$3,DAYS360($L$3,$M$3)*2.5/30-4,0)</f>
        <v>25.916666666666668</v>
      </c>
      <c r="M5" s="24"/>
      <c r="N5" s="20">
        <f t="shared" ref="N5:N56" ca="1" si="11">IF($H$1&gt;=$N$3,DAYS360($N$3,$O$3)*2.5/30-4,0)</f>
        <v>25.916666666666668</v>
      </c>
      <c r="O5" s="24"/>
      <c r="P5" s="16">
        <f t="shared" ref="P5:P56" ca="1" si="12">IF($H$1&gt;=$P$3,DAYS360($P$3,$Q$3)*2.5/30-4,0)</f>
        <v>25.916666666666668</v>
      </c>
      <c r="Q5" s="24"/>
      <c r="R5" s="20">
        <f t="shared" ref="R5:R56" ca="1" si="13">IF($H$1&gt;=$R$3,DAYS360($R$3,$S$3)*2.5/30-4,0)</f>
        <v>25.916666666666668</v>
      </c>
      <c r="S5" s="24"/>
      <c r="T5" s="16">
        <f t="shared" ref="T5:T56" ca="1" si="14">IF($H$1&gt;=$T$3,DAYS360($T$3,$U$3)*2.5/30-4,0)</f>
        <v>25.916666666666668</v>
      </c>
      <c r="U5" s="24"/>
      <c r="V5" s="20">
        <f t="shared" ref="V5:V56" ca="1" si="15">IF($H$1&gt;=$V$3,DAYS360($V$3,$W$3)*2.5/30-4,0)</f>
        <v>25.916666666666668</v>
      </c>
      <c r="W5" s="24"/>
      <c r="X5" s="16">
        <f t="shared" ref="X5:X56" ca="1" si="16">IF($H$1&gt;=$X$3,DAYS360($X$3,$Y$3)*2.5/30-4,0)</f>
        <v>25.916666666666668</v>
      </c>
      <c r="Y5" s="24"/>
      <c r="Z5" s="20">
        <f t="shared" ref="Z5:Z56" ca="1" si="17">IF($H$1&gt;=$Z$3,DAYS360($Z$3,$AA$3)*2.5/30-4,0)</f>
        <v>0</v>
      </c>
      <c r="AA5" s="24"/>
      <c r="AB5" s="16">
        <f t="shared" ref="AB5:AB56" ca="1" si="18">IF($H$1&gt;=$AB$3,DAYS360($AB$3,$AC$3)*2.5/30-4,0)</f>
        <v>0</v>
      </c>
      <c r="AC5" s="24"/>
      <c r="AD5" s="20">
        <f t="shared" ref="AD5:AD56" ca="1" si="19">IF($H$1&gt;=$AD$3,DAYS360($AD$3,$AE$3)*2.5/30-4,0)</f>
        <v>0</v>
      </c>
      <c r="AE5" s="24"/>
      <c r="AF5" s="13">
        <v>42564</v>
      </c>
      <c r="AG5" s="7">
        <f t="shared" ref="AG5:AG55" si="20">INDEX($H$2:$AE$2,MATCH($AF5,$H$3:$AE$3,1))</f>
        <v>2016</v>
      </c>
      <c r="AH5" s="26">
        <f ca="1">HLOOKUP($AG5,$H$2:$AE5,4,FALSE)</f>
        <v>25.916666666666668</v>
      </c>
      <c r="AI5" s="26">
        <f ca="1">HLOOKUP($AG5-1,$H$2:$AE5,4,FALSE)</f>
        <v>25.916666666666668</v>
      </c>
      <c r="AJ5" s="28" t="str">
        <f t="shared" ref="AJ5:AJ56" ca="1" si="21">IF(AI5&lt;&gt;"","R",IF(AND(AI5=0,AH5&gt;0),"A",""))</f>
        <v>R</v>
      </c>
    </row>
    <row r="6" spans="1:36" x14ac:dyDescent="0.25">
      <c r="A6" s="3" t="s">
        <v>15</v>
      </c>
      <c r="B6" s="3" t="s">
        <v>16</v>
      </c>
      <c r="C6" s="25" t="str">
        <f t="shared" si="7"/>
        <v>nom3 prenom3</v>
      </c>
      <c r="D6" s="25" t="s">
        <v>119</v>
      </c>
      <c r="E6" s="25" t="s">
        <v>9</v>
      </c>
      <c r="F6" s="4">
        <f t="shared" ref="F6:F54" ca="1" si="22">SUM(H6:AE6)</f>
        <v>233.24999999999997</v>
      </c>
      <c r="G6" s="11"/>
      <c r="H6" s="16">
        <f t="shared" ca="1" si="8"/>
        <v>25.916666666666668</v>
      </c>
      <c r="I6" s="24"/>
      <c r="J6" s="20">
        <f t="shared" ca="1" si="9"/>
        <v>25.916666666666668</v>
      </c>
      <c r="K6" s="24"/>
      <c r="L6" s="16">
        <f t="shared" ca="1" si="10"/>
        <v>25.916666666666668</v>
      </c>
      <c r="M6" s="24"/>
      <c r="N6" s="20">
        <f t="shared" ca="1" si="11"/>
        <v>25.916666666666668</v>
      </c>
      <c r="O6" s="24"/>
      <c r="P6" s="16">
        <f t="shared" ca="1" si="12"/>
        <v>25.916666666666668</v>
      </c>
      <c r="Q6" s="24"/>
      <c r="R6" s="20">
        <f t="shared" ca="1" si="13"/>
        <v>25.916666666666668</v>
      </c>
      <c r="S6" s="24"/>
      <c r="T6" s="16">
        <f t="shared" ca="1" si="14"/>
        <v>25.916666666666668</v>
      </c>
      <c r="U6" s="24"/>
      <c r="V6" s="20">
        <f t="shared" ca="1" si="15"/>
        <v>25.916666666666668</v>
      </c>
      <c r="W6" s="24"/>
      <c r="X6" s="16">
        <f t="shared" ca="1" si="16"/>
        <v>25.916666666666668</v>
      </c>
      <c r="Y6" s="24"/>
      <c r="Z6" s="20">
        <f t="shared" ca="1" si="17"/>
        <v>0</v>
      </c>
      <c r="AA6" s="24"/>
      <c r="AB6" s="16">
        <f t="shared" ca="1" si="18"/>
        <v>0</v>
      </c>
      <c r="AC6" s="24"/>
      <c r="AD6" s="20">
        <f t="shared" ca="1" si="19"/>
        <v>0</v>
      </c>
      <c r="AE6" s="24"/>
      <c r="AF6" s="13">
        <v>42565</v>
      </c>
      <c r="AG6" s="7">
        <f t="shared" si="20"/>
        <v>2016</v>
      </c>
      <c r="AH6" s="26">
        <f ca="1">HLOOKUP($AG6,$H$2:$AE6,5,FALSE)</f>
        <v>25.916666666666668</v>
      </c>
      <c r="AI6" s="26">
        <f ca="1">HLOOKUP($AG6-1,$H$2:$AE6,5,FALSE)</f>
        <v>25.916666666666668</v>
      </c>
      <c r="AJ6" s="28" t="str">
        <f t="shared" ca="1" si="21"/>
        <v>R</v>
      </c>
    </row>
    <row r="7" spans="1:36" x14ac:dyDescent="0.25">
      <c r="A7" s="3" t="s">
        <v>17</v>
      </c>
      <c r="B7" s="3" t="s">
        <v>18</v>
      </c>
      <c r="C7" s="25" t="str">
        <f t="shared" si="7"/>
        <v>nom4 prenom4</v>
      </c>
      <c r="D7" s="25" t="s">
        <v>120</v>
      </c>
      <c r="E7" s="25" t="s">
        <v>8</v>
      </c>
      <c r="F7" s="4">
        <f t="shared" ca="1" si="22"/>
        <v>233.24999999999997</v>
      </c>
      <c r="G7" s="11"/>
      <c r="H7" s="16">
        <f t="shared" ca="1" si="8"/>
        <v>25.916666666666668</v>
      </c>
      <c r="I7" s="24"/>
      <c r="J7" s="20">
        <f t="shared" ca="1" si="9"/>
        <v>25.916666666666668</v>
      </c>
      <c r="K7" s="24"/>
      <c r="L7" s="16">
        <f t="shared" ca="1" si="10"/>
        <v>25.916666666666668</v>
      </c>
      <c r="M7" s="24"/>
      <c r="N7" s="20">
        <f t="shared" ca="1" si="11"/>
        <v>25.916666666666668</v>
      </c>
      <c r="O7" s="24"/>
      <c r="P7" s="16">
        <f t="shared" ca="1" si="12"/>
        <v>25.916666666666668</v>
      </c>
      <c r="Q7" s="24"/>
      <c r="R7" s="20">
        <f t="shared" ca="1" si="13"/>
        <v>25.916666666666668</v>
      </c>
      <c r="S7" s="24"/>
      <c r="T7" s="16">
        <f t="shared" ca="1" si="14"/>
        <v>25.916666666666668</v>
      </c>
      <c r="U7" s="24"/>
      <c r="V7" s="20">
        <f t="shared" ca="1" si="15"/>
        <v>25.916666666666668</v>
      </c>
      <c r="W7" s="24"/>
      <c r="X7" s="16">
        <f t="shared" ca="1" si="16"/>
        <v>25.916666666666668</v>
      </c>
      <c r="Y7" s="24"/>
      <c r="Z7" s="20">
        <f t="shared" ca="1" si="17"/>
        <v>0</v>
      </c>
      <c r="AA7" s="24"/>
      <c r="AB7" s="16">
        <f t="shared" ca="1" si="18"/>
        <v>0</v>
      </c>
      <c r="AC7" s="24"/>
      <c r="AD7" s="20">
        <f t="shared" ca="1" si="19"/>
        <v>0</v>
      </c>
      <c r="AE7" s="24"/>
      <c r="AF7" s="13">
        <v>42566</v>
      </c>
      <c r="AG7" s="7">
        <f t="shared" si="20"/>
        <v>2016</v>
      </c>
      <c r="AH7" s="26">
        <f ca="1">HLOOKUP($AG7,$H$2:$AE7,6,FALSE)</f>
        <v>25.916666666666668</v>
      </c>
      <c r="AI7" s="26">
        <f ca="1">HLOOKUP($AG7-1,$H$2:$AE7,6,FALSE)</f>
        <v>25.916666666666668</v>
      </c>
      <c r="AJ7" s="28" t="str">
        <f t="shared" ca="1" si="21"/>
        <v>R</v>
      </c>
    </row>
    <row r="8" spans="1:36" x14ac:dyDescent="0.25">
      <c r="A8" s="3" t="s">
        <v>19</v>
      </c>
      <c r="B8" s="3" t="s">
        <v>20</v>
      </c>
      <c r="C8" s="25" t="str">
        <f t="shared" si="7"/>
        <v>nom5 prenom5</v>
      </c>
      <c r="D8" s="25" t="s">
        <v>121</v>
      </c>
      <c r="E8" s="25" t="s">
        <v>9</v>
      </c>
      <c r="F8" s="4">
        <f t="shared" ca="1" si="22"/>
        <v>233.24999999999997</v>
      </c>
      <c r="G8" s="11"/>
      <c r="H8" s="16">
        <f t="shared" ca="1" si="8"/>
        <v>25.916666666666668</v>
      </c>
      <c r="I8" s="24"/>
      <c r="J8" s="20">
        <f t="shared" ca="1" si="9"/>
        <v>25.916666666666668</v>
      </c>
      <c r="K8" s="24"/>
      <c r="L8" s="16">
        <f t="shared" ca="1" si="10"/>
        <v>25.916666666666668</v>
      </c>
      <c r="M8" s="24"/>
      <c r="N8" s="20">
        <f t="shared" ca="1" si="11"/>
        <v>25.916666666666668</v>
      </c>
      <c r="O8" s="24"/>
      <c r="P8" s="16">
        <f t="shared" ca="1" si="12"/>
        <v>25.916666666666668</v>
      </c>
      <c r="Q8" s="24"/>
      <c r="R8" s="20">
        <f t="shared" ca="1" si="13"/>
        <v>25.916666666666668</v>
      </c>
      <c r="S8" s="24"/>
      <c r="T8" s="16">
        <f t="shared" ca="1" si="14"/>
        <v>25.916666666666668</v>
      </c>
      <c r="U8" s="24"/>
      <c r="V8" s="20">
        <f t="shared" ca="1" si="15"/>
        <v>25.916666666666668</v>
      </c>
      <c r="W8" s="24"/>
      <c r="X8" s="16">
        <f t="shared" ca="1" si="16"/>
        <v>25.916666666666668</v>
      </c>
      <c r="Y8" s="24"/>
      <c r="Z8" s="20">
        <f t="shared" ca="1" si="17"/>
        <v>0</v>
      </c>
      <c r="AA8" s="24"/>
      <c r="AB8" s="16">
        <f t="shared" ca="1" si="18"/>
        <v>0</v>
      </c>
      <c r="AC8" s="24"/>
      <c r="AD8" s="20">
        <f t="shared" ca="1" si="19"/>
        <v>0</v>
      </c>
      <c r="AE8" s="24"/>
      <c r="AF8" s="13">
        <v>42567</v>
      </c>
      <c r="AG8" s="7">
        <f t="shared" si="20"/>
        <v>2016</v>
      </c>
      <c r="AH8" s="26">
        <f ca="1">HLOOKUP($AG8,$H$2:$AE8,7,FALSE)</f>
        <v>25.916666666666668</v>
      </c>
      <c r="AI8" s="26">
        <f ca="1">HLOOKUP($AG8-1,$H$2:$AE8,7,FALSE)</f>
        <v>25.916666666666668</v>
      </c>
      <c r="AJ8" s="28" t="str">
        <f t="shared" ca="1" si="21"/>
        <v>R</v>
      </c>
    </row>
    <row r="9" spans="1:36" x14ac:dyDescent="0.25">
      <c r="A9" s="3" t="s">
        <v>21</v>
      </c>
      <c r="B9" s="3" t="s">
        <v>22</v>
      </c>
      <c r="C9" s="25" t="str">
        <f t="shared" si="7"/>
        <v>nom6 prenom6</v>
      </c>
      <c r="D9" s="25" t="s">
        <v>122</v>
      </c>
      <c r="E9" s="25" t="s">
        <v>9</v>
      </c>
      <c r="F9" s="4">
        <f t="shared" ca="1" si="22"/>
        <v>233.24999999999997</v>
      </c>
      <c r="G9" s="11"/>
      <c r="H9" s="16">
        <f t="shared" ca="1" si="8"/>
        <v>25.916666666666668</v>
      </c>
      <c r="I9" s="24"/>
      <c r="J9" s="20">
        <f t="shared" ca="1" si="9"/>
        <v>25.916666666666668</v>
      </c>
      <c r="K9" s="24"/>
      <c r="L9" s="16">
        <f t="shared" ca="1" si="10"/>
        <v>25.916666666666668</v>
      </c>
      <c r="M9" s="24"/>
      <c r="N9" s="20">
        <f t="shared" ca="1" si="11"/>
        <v>25.916666666666668</v>
      </c>
      <c r="O9" s="24"/>
      <c r="P9" s="16">
        <f t="shared" ca="1" si="12"/>
        <v>25.916666666666668</v>
      </c>
      <c r="Q9" s="24"/>
      <c r="R9" s="20">
        <f t="shared" ca="1" si="13"/>
        <v>25.916666666666668</v>
      </c>
      <c r="S9" s="24"/>
      <c r="T9" s="16">
        <f t="shared" ca="1" si="14"/>
        <v>25.916666666666668</v>
      </c>
      <c r="U9" s="24"/>
      <c r="V9" s="20">
        <f t="shared" ca="1" si="15"/>
        <v>25.916666666666668</v>
      </c>
      <c r="W9" s="24"/>
      <c r="X9" s="16">
        <f t="shared" ca="1" si="16"/>
        <v>25.916666666666668</v>
      </c>
      <c r="Y9" s="24"/>
      <c r="Z9" s="20">
        <f t="shared" ca="1" si="17"/>
        <v>0</v>
      </c>
      <c r="AA9" s="24"/>
      <c r="AB9" s="16">
        <f t="shared" ca="1" si="18"/>
        <v>0</v>
      </c>
      <c r="AC9" s="24"/>
      <c r="AD9" s="20">
        <f t="shared" ca="1" si="19"/>
        <v>0</v>
      </c>
      <c r="AE9" s="24"/>
      <c r="AF9" s="13">
        <v>42568</v>
      </c>
      <c r="AG9" s="7">
        <f t="shared" si="20"/>
        <v>2016</v>
      </c>
      <c r="AH9" s="26">
        <f ca="1">HLOOKUP($AG9,$H$2:$AE9,8,FALSE)</f>
        <v>25.916666666666668</v>
      </c>
      <c r="AI9" s="26">
        <f ca="1">HLOOKUP($AG9-1,$H$2:$AE9,8,FALSE)</f>
        <v>25.916666666666668</v>
      </c>
      <c r="AJ9" s="28" t="str">
        <f t="shared" ca="1" si="21"/>
        <v>R</v>
      </c>
    </row>
    <row r="10" spans="1:36" x14ac:dyDescent="0.25">
      <c r="A10" s="3" t="s">
        <v>23</v>
      </c>
      <c r="B10" s="3" t="s">
        <v>24</v>
      </c>
      <c r="C10" s="25" t="str">
        <f t="shared" si="7"/>
        <v>nom7 prenom7</v>
      </c>
      <c r="D10" s="25" t="s">
        <v>123</v>
      </c>
      <c r="E10" s="25" t="s">
        <v>9</v>
      </c>
      <c r="F10" s="4">
        <f t="shared" ca="1" si="22"/>
        <v>233.24999999999997</v>
      </c>
      <c r="G10" s="11"/>
      <c r="H10" s="16">
        <f t="shared" ca="1" si="8"/>
        <v>25.916666666666668</v>
      </c>
      <c r="I10" s="24"/>
      <c r="J10" s="20">
        <f t="shared" ca="1" si="9"/>
        <v>25.916666666666668</v>
      </c>
      <c r="K10" s="24"/>
      <c r="L10" s="16">
        <f t="shared" ca="1" si="10"/>
        <v>25.916666666666668</v>
      </c>
      <c r="M10" s="24"/>
      <c r="N10" s="20">
        <f t="shared" ca="1" si="11"/>
        <v>25.916666666666668</v>
      </c>
      <c r="O10" s="24"/>
      <c r="P10" s="16">
        <f t="shared" ca="1" si="12"/>
        <v>25.916666666666668</v>
      </c>
      <c r="Q10" s="24"/>
      <c r="R10" s="20">
        <f t="shared" ca="1" si="13"/>
        <v>25.916666666666668</v>
      </c>
      <c r="S10" s="24"/>
      <c r="T10" s="16">
        <f t="shared" ca="1" si="14"/>
        <v>25.916666666666668</v>
      </c>
      <c r="U10" s="24"/>
      <c r="V10" s="20">
        <f t="shared" ca="1" si="15"/>
        <v>25.916666666666668</v>
      </c>
      <c r="W10" s="24"/>
      <c r="X10" s="16">
        <f t="shared" ca="1" si="16"/>
        <v>25.916666666666668</v>
      </c>
      <c r="Y10" s="24"/>
      <c r="Z10" s="20">
        <f t="shared" ca="1" si="17"/>
        <v>0</v>
      </c>
      <c r="AA10" s="24"/>
      <c r="AB10" s="16">
        <f t="shared" ca="1" si="18"/>
        <v>0</v>
      </c>
      <c r="AC10" s="24"/>
      <c r="AD10" s="20">
        <f t="shared" ca="1" si="19"/>
        <v>0</v>
      </c>
      <c r="AE10" s="24"/>
      <c r="AF10" s="13">
        <v>42569</v>
      </c>
      <c r="AG10" s="7">
        <f t="shared" si="20"/>
        <v>2016</v>
      </c>
      <c r="AH10" s="26">
        <f ca="1">HLOOKUP($AG10,$H$2:$AE10,9,FALSE)</f>
        <v>25.916666666666668</v>
      </c>
      <c r="AI10" s="26">
        <f ca="1">HLOOKUP($AG10-1,$H$2:$AE10,9,FALSE)</f>
        <v>25.916666666666668</v>
      </c>
      <c r="AJ10" s="28" t="str">
        <f t="shared" ca="1" si="21"/>
        <v>R</v>
      </c>
    </row>
    <row r="11" spans="1:36" x14ac:dyDescent="0.25">
      <c r="A11" s="3" t="s">
        <v>25</v>
      </c>
      <c r="B11" s="3" t="s">
        <v>26</v>
      </c>
      <c r="C11" s="25" t="str">
        <f t="shared" si="7"/>
        <v>nom8 prenom8</v>
      </c>
      <c r="D11" s="25" t="s">
        <v>124</v>
      </c>
      <c r="E11" s="25" t="s">
        <v>9</v>
      </c>
      <c r="F11" s="4">
        <f t="shared" ca="1" si="22"/>
        <v>233.24999999999997</v>
      </c>
      <c r="G11" s="11"/>
      <c r="H11" s="16">
        <f t="shared" ca="1" si="8"/>
        <v>25.916666666666668</v>
      </c>
      <c r="I11" s="24"/>
      <c r="J11" s="20">
        <f t="shared" ca="1" si="9"/>
        <v>25.916666666666668</v>
      </c>
      <c r="K11" s="24"/>
      <c r="L11" s="16">
        <f t="shared" ca="1" si="10"/>
        <v>25.916666666666668</v>
      </c>
      <c r="M11" s="24"/>
      <c r="N11" s="20">
        <f t="shared" ca="1" si="11"/>
        <v>25.916666666666668</v>
      </c>
      <c r="O11" s="24"/>
      <c r="P11" s="16">
        <f t="shared" ca="1" si="12"/>
        <v>25.916666666666668</v>
      </c>
      <c r="Q11" s="24"/>
      <c r="R11" s="20">
        <f t="shared" ca="1" si="13"/>
        <v>25.916666666666668</v>
      </c>
      <c r="S11" s="24"/>
      <c r="T11" s="16">
        <f t="shared" ca="1" si="14"/>
        <v>25.916666666666668</v>
      </c>
      <c r="U11" s="24"/>
      <c r="V11" s="20">
        <f t="shared" ca="1" si="15"/>
        <v>25.916666666666668</v>
      </c>
      <c r="W11" s="24"/>
      <c r="X11" s="16">
        <f t="shared" ca="1" si="16"/>
        <v>25.916666666666668</v>
      </c>
      <c r="Y11" s="24"/>
      <c r="Z11" s="20">
        <f t="shared" ca="1" si="17"/>
        <v>0</v>
      </c>
      <c r="AA11" s="24"/>
      <c r="AB11" s="16">
        <f t="shared" ca="1" si="18"/>
        <v>0</v>
      </c>
      <c r="AC11" s="24"/>
      <c r="AD11" s="20">
        <f t="shared" ca="1" si="19"/>
        <v>0</v>
      </c>
      <c r="AE11" s="24"/>
      <c r="AF11" s="13">
        <v>42570</v>
      </c>
      <c r="AG11" s="7">
        <f t="shared" si="20"/>
        <v>2016</v>
      </c>
      <c r="AH11" s="26">
        <f ca="1">HLOOKUP($AG11,$H$2:$AE11,10,FALSE)</f>
        <v>25.916666666666668</v>
      </c>
      <c r="AI11" s="26">
        <f ca="1">HLOOKUP($AG11-1,$H$2:$AE11,10,FALSE)</f>
        <v>25.916666666666668</v>
      </c>
      <c r="AJ11" s="28" t="str">
        <f t="shared" ca="1" si="21"/>
        <v>R</v>
      </c>
    </row>
    <row r="12" spans="1:36" x14ac:dyDescent="0.25">
      <c r="A12" s="3" t="s">
        <v>27</v>
      </c>
      <c r="B12" s="3" t="s">
        <v>28</v>
      </c>
      <c r="C12" s="25" t="str">
        <f t="shared" si="7"/>
        <v>nom9 prenom9</v>
      </c>
      <c r="D12" s="25" t="s">
        <v>125</v>
      </c>
      <c r="E12" s="25" t="s">
        <v>8</v>
      </c>
      <c r="F12" s="4">
        <f t="shared" ca="1" si="22"/>
        <v>233.24999999999997</v>
      </c>
      <c r="G12" s="11"/>
      <c r="H12" s="16">
        <f t="shared" ca="1" si="8"/>
        <v>25.916666666666668</v>
      </c>
      <c r="I12" s="24"/>
      <c r="J12" s="20">
        <f t="shared" ca="1" si="9"/>
        <v>25.916666666666668</v>
      </c>
      <c r="K12" s="24"/>
      <c r="L12" s="16">
        <f t="shared" ca="1" si="10"/>
        <v>25.916666666666668</v>
      </c>
      <c r="M12" s="24"/>
      <c r="N12" s="20">
        <f t="shared" ca="1" si="11"/>
        <v>25.916666666666668</v>
      </c>
      <c r="O12" s="24"/>
      <c r="P12" s="16">
        <f t="shared" ca="1" si="12"/>
        <v>25.916666666666668</v>
      </c>
      <c r="Q12" s="24"/>
      <c r="R12" s="20">
        <f t="shared" ca="1" si="13"/>
        <v>25.916666666666668</v>
      </c>
      <c r="S12" s="24"/>
      <c r="T12" s="16">
        <f t="shared" ca="1" si="14"/>
        <v>25.916666666666668</v>
      </c>
      <c r="U12" s="24"/>
      <c r="V12" s="20">
        <f t="shared" ca="1" si="15"/>
        <v>25.916666666666668</v>
      </c>
      <c r="W12" s="24"/>
      <c r="X12" s="16">
        <f t="shared" ca="1" si="16"/>
        <v>25.916666666666668</v>
      </c>
      <c r="Y12" s="24"/>
      <c r="Z12" s="20">
        <f t="shared" ca="1" si="17"/>
        <v>0</v>
      </c>
      <c r="AA12" s="24"/>
      <c r="AB12" s="16">
        <f t="shared" ca="1" si="18"/>
        <v>0</v>
      </c>
      <c r="AC12" s="24"/>
      <c r="AD12" s="20">
        <f t="shared" ca="1" si="19"/>
        <v>0</v>
      </c>
      <c r="AE12" s="24"/>
      <c r="AF12" s="13">
        <v>42571</v>
      </c>
      <c r="AG12" s="7">
        <f t="shared" si="20"/>
        <v>2016</v>
      </c>
      <c r="AH12" s="26">
        <f ca="1">HLOOKUP($AG12,$H$2:$AE12,11,FALSE)</f>
        <v>25.916666666666668</v>
      </c>
      <c r="AI12" s="26">
        <f ca="1">HLOOKUP($AG12-1,$H$2:$AE12,11,FALSE)</f>
        <v>25.916666666666668</v>
      </c>
      <c r="AJ12" s="28" t="str">
        <f t="shared" ca="1" si="21"/>
        <v>R</v>
      </c>
    </row>
    <row r="13" spans="1:36" x14ac:dyDescent="0.25">
      <c r="A13" s="3" t="s">
        <v>29</v>
      </c>
      <c r="B13" s="3" t="s">
        <v>30</v>
      </c>
      <c r="C13" s="25" t="str">
        <f t="shared" si="7"/>
        <v>nom10 prenom10</v>
      </c>
      <c r="D13" s="25" t="s">
        <v>126</v>
      </c>
      <c r="E13" s="25" t="s">
        <v>9</v>
      </c>
      <c r="F13" s="4">
        <f t="shared" ca="1" si="22"/>
        <v>233.24999999999997</v>
      </c>
      <c r="G13" s="11"/>
      <c r="H13" s="16">
        <f t="shared" ca="1" si="8"/>
        <v>25.916666666666668</v>
      </c>
      <c r="I13" s="24"/>
      <c r="J13" s="20">
        <f t="shared" ca="1" si="9"/>
        <v>25.916666666666668</v>
      </c>
      <c r="K13" s="24"/>
      <c r="L13" s="16">
        <f t="shared" ca="1" si="10"/>
        <v>25.916666666666668</v>
      </c>
      <c r="M13" s="24"/>
      <c r="N13" s="20">
        <f t="shared" ca="1" si="11"/>
        <v>25.916666666666668</v>
      </c>
      <c r="O13" s="24"/>
      <c r="P13" s="16">
        <f t="shared" ca="1" si="12"/>
        <v>25.916666666666668</v>
      </c>
      <c r="Q13" s="24"/>
      <c r="R13" s="20">
        <f t="shared" ca="1" si="13"/>
        <v>25.916666666666668</v>
      </c>
      <c r="S13" s="24"/>
      <c r="T13" s="16">
        <f t="shared" ca="1" si="14"/>
        <v>25.916666666666668</v>
      </c>
      <c r="U13" s="24"/>
      <c r="V13" s="20">
        <f t="shared" ca="1" si="15"/>
        <v>25.916666666666668</v>
      </c>
      <c r="W13" s="24"/>
      <c r="X13" s="16">
        <f t="shared" ca="1" si="16"/>
        <v>25.916666666666668</v>
      </c>
      <c r="Y13" s="24"/>
      <c r="Z13" s="20">
        <f t="shared" ca="1" si="17"/>
        <v>0</v>
      </c>
      <c r="AA13" s="24"/>
      <c r="AB13" s="16">
        <f t="shared" ca="1" si="18"/>
        <v>0</v>
      </c>
      <c r="AC13" s="24"/>
      <c r="AD13" s="20">
        <f t="shared" ca="1" si="19"/>
        <v>0</v>
      </c>
      <c r="AE13" s="24"/>
      <c r="AF13" s="13">
        <v>42572</v>
      </c>
      <c r="AG13" s="7">
        <f t="shared" si="20"/>
        <v>2016</v>
      </c>
      <c r="AH13" s="26">
        <f ca="1">HLOOKUP($AG13,$H$2:$AE13,12,FALSE)</f>
        <v>25.916666666666668</v>
      </c>
      <c r="AI13" s="26">
        <f ca="1">HLOOKUP($AG13-1,$H$2:$AE13,12,FALSE)</f>
        <v>25.916666666666668</v>
      </c>
      <c r="AJ13" s="28" t="str">
        <f t="shared" ca="1" si="21"/>
        <v>R</v>
      </c>
    </row>
    <row r="14" spans="1:36" x14ac:dyDescent="0.25">
      <c r="A14" s="3" t="s">
        <v>31</v>
      </c>
      <c r="B14" s="3" t="s">
        <v>32</v>
      </c>
      <c r="C14" s="25" t="str">
        <f t="shared" si="7"/>
        <v>nom11 prenom11</v>
      </c>
      <c r="D14" s="25" t="s">
        <v>127</v>
      </c>
      <c r="E14" s="25" t="s">
        <v>9</v>
      </c>
      <c r="F14" s="4">
        <f t="shared" ca="1" si="22"/>
        <v>233.24999999999997</v>
      </c>
      <c r="G14" s="11"/>
      <c r="H14" s="16">
        <f t="shared" ca="1" si="8"/>
        <v>25.916666666666668</v>
      </c>
      <c r="I14" s="24"/>
      <c r="J14" s="20">
        <f t="shared" ca="1" si="9"/>
        <v>25.916666666666668</v>
      </c>
      <c r="K14" s="24"/>
      <c r="L14" s="16">
        <f t="shared" ca="1" si="10"/>
        <v>25.916666666666668</v>
      </c>
      <c r="M14" s="24"/>
      <c r="N14" s="20">
        <f t="shared" ca="1" si="11"/>
        <v>25.916666666666668</v>
      </c>
      <c r="O14" s="24"/>
      <c r="P14" s="16">
        <f t="shared" ca="1" si="12"/>
        <v>25.916666666666668</v>
      </c>
      <c r="Q14" s="24"/>
      <c r="R14" s="20">
        <f t="shared" ca="1" si="13"/>
        <v>25.916666666666668</v>
      </c>
      <c r="S14" s="24"/>
      <c r="T14" s="16">
        <f t="shared" ca="1" si="14"/>
        <v>25.916666666666668</v>
      </c>
      <c r="U14" s="24"/>
      <c r="V14" s="20">
        <f t="shared" ca="1" si="15"/>
        <v>25.916666666666668</v>
      </c>
      <c r="W14" s="24"/>
      <c r="X14" s="16">
        <f t="shared" ca="1" si="16"/>
        <v>25.916666666666668</v>
      </c>
      <c r="Y14" s="24"/>
      <c r="Z14" s="20">
        <f t="shared" ca="1" si="17"/>
        <v>0</v>
      </c>
      <c r="AA14" s="24"/>
      <c r="AB14" s="16">
        <f t="shared" ca="1" si="18"/>
        <v>0</v>
      </c>
      <c r="AC14" s="24"/>
      <c r="AD14" s="20">
        <f t="shared" ca="1" si="19"/>
        <v>0</v>
      </c>
      <c r="AE14" s="24"/>
      <c r="AF14" s="13">
        <v>42573</v>
      </c>
      <c r="AG14" s="7">
        <f t="shared" si="20"/>
        <v>2016</v>
      </c>
      <c r="AH14" s="26">
        <f ca="1">HLOOKUP($AG14,$H$2:$AE14,13,FALSE)</f>
        <v>25.916666666666668</v>
      </c>
      <c r="AI14" s="26">
        <f ca="1">HLOOKUP($AG14-1,$H$2:$AE14,13,FALSE)</f>
        <v>25.916666666666668</v>
      </c>
      <c r="AJ14" s="28" t="str">
        <f t="shared" ca="1" si="21"/>
        <v>R</v>
      </c>
    </row>
    <row r="15" spans="1:36" x14ac:dyDescent="0.25">
      <c r="A15" s="3" t="s">
        <v>33</v>
      </c>
      <c r="B15" s="3" t="s">
        <v>34</v>
      </c>
      <c r="C15" s="25" t="str">
        <f t="shared" si="7"/>
        <v>nom12 prenom12</v>
      </c>
      <c r="D15" s="25" t="s">
        <v>128</v>
      </c>
      <c r="E15" s="25" t="s">
        <v>9</v>
      </c>
      <c r="F15" s="4">
        <f t="shared" ca="1" si="22"/>
        <v>233.24999999999997</v>
      </c>
      <c r="G15" s="11"/>
      <c r="H15" s="16">
        <f t="shared" ca="1" si="8"/>
        <v>25.916666666666668</v>
      </c>
      <c r="I15" s="24"/>
      <c r="J15" s="20">
        <f t="shared" ca="1" si="9"/>
        <v>25.916666666666668</v>
      </c>
      <c r="K15" s="24"/>
      <c r="L15" s="16">
        <f t="shared" ca="1" si="10"/>
        <v>25.916666666666668</v>
      </c>
      <c r="M15" s="24"/>
      <c r="N15" s="20">
        <f t="shared" ca="1" si="11"/>
        <v>25.916666666666668</v>
      </c>
      <c r="O15" s="24"/>
      <c r="P15" s="16">
        <f t="shared" ca="1" si="12"/>
        <v>25.916666666666668</v>
      </c>
      <c r="Q15" s="24"/>
      <c r="R15" s="20">
        <f t="shared" ca="1" si="13"/>
        <v>25.916666666666668</v>
      </c>
      <c r="S15" s="24"/>
      <c r="T15" s="16">
        <f t="shared" ca="1" si="14"/>
        <v>25.916666666666668</v>
      </c>
      <c r="U15" s="24"/>
      <c r="V15" s="20">
        <f t="shared" ca="1" si="15"/>
        <v>25.916666666666668</v>
      </c>
      <c r="W15" s="24"/>
      <c r="X15" s="16">
        <f t="shared" ca="1" si="16"/>
        <v>25.916666666666668</v>
      </c>
      <c r="Y15" s="24"/>
      <c r="Z15" s="20">
        <f t="shared" ca="1" si="17"/>
        <v>0</v>
      </c>
      <c r="AA15" s="24"/>
      <c r="AB15" s="16">
        <f t="shared" ca="1" si="18"/>
        <v>0</v>
      </c>
      <c r="AC15" s="24"/>
      <c r="AD15" s="20">
        <f t="shared" ca="1" si="19"/>
        <v>0</v>
      </c>
      <c r="AE15" s="24"/>
      <c r="AF15" s="13">
        <v>42574</v>
      </c>
      <c r="AG15" s="7">
        <f t="shared" si="20"/>
        <v>2016</v>
      </c>
      <c r="AH15" s="26">
        <f ca="1">HLOOKUP($AG15,$H$2:$AE15,14,FALSE)</f>
        <v>25.916666666666668</v>
      </c>
      <c r="AI15" s="26">
        <f ca="1">HLOOKUP($AG15-1,$H$2:$AE15,14,FALSE)</f>
        <v>25.916666666666668</v>
      </c>
      <c r="AJ15" s="28" t="str">
        <f t="shared" ca="1" si="21"/>
        <v>R</v>
      </c>
    </row>
    <row r="16" spans="1:36" x14ac:dyDescent="0.25">
      <c r="A16" s="3" t="s">
        <v>35</v>
      </c>
      <c r="B16" s="3" t="s">
        <v>36</v>
      </c>
      <c r="C16" s="25" t="str">
        <f t="shared" si="7"/>
        <v>nom13 prenom13</v>
      </c>
      <c r="D16" s="25" t="s">
        <v>129</v>
      </c>
      <c r="E16" s="25" t="s">
        <v>8</v>
      </c>
      <c r="F16" s="4">
        <f t="shared" ca="1" si="22"/>
        <v>233.24999999999997</v>
      </c>
      <c r="G16" s="11"/>
      <c r="H16" s="16">
        <f t="shared" ca="1" si="8"/>
        <v>25.916666666666668</v>
      </c>
      <c r="I16" s="24"/>
      <c r="J16" s="20">
        <f t="shared" ca="1" si="9"/>
        <v>25.916666666666668</v>
      </c>
      <c r="K16" s="24"/>
      <c r="L16" s="16">
        <f t="shared" ca="1" si="10"/>
        <v>25.916666666666668</v>
      </c>
      <c r="M16" s="24"/>
      <c r="N16" s="20">
        <f t="shared" ca="1" si="11"/>
        <v>25.916666666666668</v>
      </c>
      <c r="O16" s="24"/>
      <c r="P16" s="16">
        <f t="shared" ca="1" si="12"/>
        <v>25.916666666666668</v>
      </c>
      <c r="Q16" s="24"/>
      <c r="R16" s="20">
        <f t="shared" ca="1" si="13"/>
        <v>25.916666666666668</v>
      </c>
      <c r="S16" s="24"/>
      <c r="T16" s="16">
        <f t="shared" ca="1" si="14"/>
        <v>25.916666666666668</v>
      </c>
      <c r="U16" s="24"/>
      <c r="V16" s="20">
        <f t="shared" ca="1" si="15"/>
        <v>25.916666666666668</v>
      </c>
      <c r="W16" s="24"/>
      <c r="X16" s="16">
        <f t="shared" ca="1" si="16"/>
        <v>25.916666666666668</v>
      </c>
      <c r="Y16" s="24"/>
      <c r="Z16" s="20">
        <f t="shared" ca="1" si="17"/>
        <v>0</v>
      </c>
      <c r="AA16" s="24"/>
      <c r="AB16" s="16">
        <f t="shared" ca="1" si="18"/>
        <v>0</v>
      </c>
      <c r="AC16" s="24"/>
      <c r="AD16" s="20">
        <f t="shared" ca="1" si="19"/>
        <v>0</v>
      </c>
      <c r="AE16" s="24"/>
      <c r="AF16" s="13">
        <v>42575</v>
      </c>
      <c r="AG16" s="7">
        <f t="shared" si="20"/>
        <v>2016</v>
      </c>
      <c r="AH16" s="26">
        <f ca="1">HLOOKUP($AG16,$H$2:$AE16,15,FALSE)</f>
        <v>25.916666666666668</v>
      </c>
      <c r="AI16" s="26">
        <f ca="1">HLOOKUP($AG16-1,$H$2:$AE16,15,FALSE)</f>
        <v>25.916666666666668</v>
      </c>
      <c r="AJ16" s="28" t="str">
        <f t="shared" ca="1" si="21"/>
        <v>R</v>
      </c>
    </row>
    <row r="17" spans="1:36" x14ac:dyDescent="0.25">
      <c r="A17" s="3" t="s">
        <v>37</v>
      </c>
      <c r="B17" s="3" t="s">
        <v>38</v>
      </c>
      <c r="C17" s="25" t="str">
        <f t="shared" si="7"/>
        <v>nom14 prenom14</v>
      </c>
      <c r="D17" s="25" t="s">
        <v>130</v>
      </c>
      <c r="E17" s="25" t="s">
        <v>8</v>
      </c>
      <c r="F17" s="4">
        <f t="shared" ca="1" si="22"/>
        <v>233.24999999999997</v>
      </c>
      <c r="G17" s="11"/>
      <c r="H17" s="16">
        <f t="shared" ca="1" si="8"/>
        <v>25.916666666666668</v>
      </c>
      <c r="I17" s="24"/>
      <c r="J17" s="20">
        <f t="shared" ca="1" si="9"/>
        <v>25.916666666666668</v>
      </c>
      <c r="K17" s="24"/>
      <c r="L17" s="16">
        <f t="shared" ca="1" si="10"/>
        <v>25.916666666666668</v>
      </c>
      <c r="M17" s="24"/>
      <c r="N17" s="20">
        <f t="shared" ca="1" si="11"/>
        <v>25.916666666666668</v>
      </c>
      <c r="O17" s="24"/>
      <c r="P17" s="16">
        <f t="shared" ca="1" si="12"/>
        <v>25.916666666666668</v>
      </c>
      <c r="Q17" s="24"/>
      <c r="R17" s="20">
        <f t="shared" ca="1" si="13"/>
        <v>25.916666666666668</v>
      </c>
      <c r="S17" s="24"/>
      <c r="T17" s="16">
        <f t="shared" ca="1" si="14"/>
        <v>25.916666666666668</v>
      </c>
      <c r="U17" s="24"/>
      <c r="V17" s="20">
        <f t="shared" ca="1" si="15"/>
        <v>25.916666666666668</v>
      </c>
      <c r="W17" s="24"/>
      <c r="X17" s="16">
        <f t="shared" ca="1" si="16"/>
        <v>25.916666666666668</v>
      </c>
      <c r="Y17" s="24"/>
      <c r="Z17" s="20">
        <f t="shared" ca="1" si="17"/>
        <v>0</v>
      </c>
      <c r="AA17" s="24"/>
      <c r="AB17" s="16">
        <f t="shared" ca="1" si="18"/>
        <v>0</v>
      </c>
      <c r="AC17" s="24"/>
      <c r="AD17" s="20">
        <f t="shared" ca="1" si="19"/>
        <v>0</v>
      </c>
      <c r="AE17" s="24"/>
      <c r="AF17" s="13">
        <v>42576</v>
      </c>
      <c r="AG17" s="7">
        <f t="shared" si="20"/>
        <v>2016</v>
      </c>
      <c r="AH17" s="26">
        <f ca="1">HLOOKUP($AG17,$H$2:$AE17,16,FALSE)</f>
        <v>25.916666666666668</v>
      </c>
      <c r="AI17" s="26">
        <f ca="1">HLOOKUP($AG17-1,$H$2:$AE17,16,FALSE)</f>
        <v>25.916666666666668</v>
      </c>
      <c r="AJ17" s="28" t="str">
        <f t="shared" ca="1" si="21"/>
        <v>R</v>
      </c>
    </row>
    <row r="18" spans="1:36" x14ac:dyDescent="0.25">
      <c r="A18" s="3" t="s">
        <v>39</v>
      </c>
      <c r="B18" s="3" t="s">
        <v>40</v>
      </c>
      <c r="C18" s="25" t="str">
        <f t="shared" si="7"/>
        <v>nom15 prenom15</v>
      </c>
      <c r="D18" s="25" t="s">
        <v>131</v>
      </c>
      <c r="E18" s="25" t="s">
        <v>9</v>
      </c>
      <c r="F18" s="4">
        <f t="shared" ca="1" si="22"/>
        <v>233.24999999999997</v>
      </c>
      <c r="G18" s="11"/>
      <c r="H18" s="16">
        <f t="shared" ca="1" si="8"/>
        <v>25.916666666666668</v>
      </c>
      <c r="I18" s="24"/>
      <c r="J18" s="20">
        <f t="shared" ca="1" si="9"/>
        <v>25.916666666666668</v>
      </c>
      <c r="K18" s="24"/>
      <c r="L18" s="16">
        <f t="shared" ca="1" si="10"/>
        <v>25.916666666666668</v>
      </c>
      <c r="M18" s="24"/>
      <c r="N18" s="20">
        <f t="shared" ca="1" si="11"/>
        <v>25.916666666666668</v>
      </c>
      <c r="O18" s="24"/>
      <c r="P18" s="16">
        <f t="shared" ca="1" si="12"/>
        <v>25.916666666666668</v>
      </c>
      <c r="Q18" s="24"/>
      <c r="R18" s="20">
        <f t="shared" ca="1" si="13"/>
        <v>25.916666666666668</v>
      </c>
      <c r="S18" s="24"/>
      <c r="T18" s="16">
        <f t="shared" ca="1" si="14"/>
        <v>25.916666666666668</v>
      </c>
      <c r="U18" s="24"/>
      <c r="V18" s="20">
        <f t="shared" ca="1" si="15"/>
        <v>25.916666666666668</v>
      </c>
      <c r="W18" s="24"/>
      <c r="X18" s="16">
        <f t="shared" ca="1" si="16"/>
        <v>25.916666666666668</v>
      </c>
      <c r="Y18" s="24"/>
      <c r="Z18" s="20">
        <f t="shared" ca="1" si="17"/>
        <v>0</v>
      </c>
      <c r="AA18" s="24"/>
      <c r="AB18" s="16">
        <f t="shared" ca="1" si="18"/>
        <v>0</v>
      </c>
      <c r="AC18" s="24"/>
      <c r="AD18" s="20">
        <f t="shared" ca="1" si="19"/>
        <v>0</v>
      </c>
      <c r="AE18" s="24"/>
      <c r="AF18" s="13">
        <v>42577</v>
      </c>
      <c r="AG18" s="7">
        <f t="shared" si="20"/>
        <v>2016</v>
      </c>
      <c r="AH18" s="26">
        <f ca="1">HLOOKUP($AG18,$H$2:$AE18,17,FALSE)</f>
        <v>25.916666666666668</v>
      </c>
      <c r="AI18" s="26">
        <f ca="1">HLOOKUP($AG18-1,$H$2:$AE18,17,FALSE)</f>
        <v>25.916666666666668</v>
      </c>
      <c r="AJ18" s="28" t="str">
        <f t="shared" ca="1" si="21"/>
        <v>R</v>
      </c>
    </row>
    <row r="19" spans="1:36" x14ac:dyDescent="0.25">
      <c r="A19" s="3" t="s">
        <v>41</v>
      </c>
      <c r="B19" s="3" t="s">
        <v>42</v>
      </c>
      <c r="C19" s="25" t="str">
        <f t="shared" si="7"/>
        <v>nom16 prenom16</v>
      </c>
      <c r="D19" s="25" t="s">
        <v>132</v>
      </c>
      <c r="E19" s="25" t="s">
        <v>9</v>
      </c>
      <c r="F19" s="4">
        <f t="shared" ca="1" si="22"/>
        <v>233.24999999999997</v>
      </c>
      <c r="G19" s="11"/>
      <c r="H19" s="16">
        <f t="shared" ca="1" si="8"/>
        <v>25.916666666666668</v>
      </c>
      <c r="I19" s="24"/>
      <c r="J19" s="20">
        <f t="shared" ca="1" si="9"/>
        <v>25.916666666666668</v>
      </c>
      <c r="K19" s="24"/>
      <c r="L19" s="16">
        <f t="shared" ca="1" si="10"/>
        <v>25.916666666666668</v>
      </c>
      <c r="M19" s="24"/>
      <c r="N19" s="20">
        <f t="shared" ca="1" si="11"/>
        <v>25.916666666666668</v>
      </c>
      <c r="O19" s="24"/>
      <c r="P19" s="16">
        <f t="shared" ca="1" si="12"/>
        <v>25.916666666666668</v>
      </c>
      <c r="Q19" s="24"/>
      <c r="R19" s="20">
        <f t="shared" ca="1" si="13"/>
        <v>25.916666666666668</v>
      </c>
      <c r="S19" s="24"/>
      <c r="T19" s="16">
        <f t="shared" ca="1" si="14"/>
        <v>25.916666666666668</v>
      </c>
      <c r="U19" s="24"/>
      <c r="V19" s="20">
        <f t="shared" ca="1" si="15"/>
        <v>25.916666666666668</v>
      </c>
      <c r="W19" s="24"/>
      <c r="X19" s="16">
        <f t="shared" ca="1" si="16"/>
        <v>25.916666666666668</v>
      </c>
      <c r="Y19" s="24"/>
      <c r="Z19" s="20">
        <f t="shared" ca="1" si="17"/>
        <v>0</v>
      </c>
      <c r="AA19" s="24"/>
      <c r="AB19" s="16">
        <f t="shared" ca="1" si="18"/>
        <v>0</v>
      </c>
      <c r="AC19" s="24"/>
      <c r="AD19" s="20">
        <f t="shared" ca="1" si="19"/>
        <v>0</v>
      </c>
      <c r="AE19" s="24"/>
      <c r="AF19" s="13">
        <v>42578</v>
      </c>
      <c r="AG19" s="7">
        <f t="shared" si="20"/>
        <v>2016</v>
      </c>
      <c r="AH19" s="26">
        <f ca="1">HLOOKUP($AG19,$H$2:$AE19,18,FALSE)</f>
        <v>25.916666666666668</v>
      </c>
      <c r="AI19" s="26">
        <f ca="1">HLOOKUP($AG19-1,$H$2:$AE19,18,FALSE)</f>
        <v>25.916666666666668</v>
      </c>
      <c r="AJ19" s="28" t="str">
        <f t="shared" ca="1" si="21"/>
        <v>R</v>
      </c>
    </row>
    <row r="20" spans="1:36" x14ac:dyDescent="0.25">
      <c r="A20" s="3" t="s">
        <v>43</v>
      </c>
      <c r="B20" s="3" t="s">
        <v>44</v>
      </c>
      <c r="C20" s="25" t="str">
        <f t="shared" si="7"/>
        <v>nom17 prenom17</v>
      </c>
      <c r="D20" s="25" t="s">
        <v>133</v>
      </c>
      <c r="E20" s="25" t="s">
        <v>8</v>
      </c>
      <c r="F20" s="4">
        <f t="shared" ca="1" si="22"/>
        <v>233.24999999999997</v>
      </c>
      <c r="G20" s="11"/>
      <c r="H20" s="16">
        <f t="shared" ca="1" si="8"/>
        <v>25.916666666666668</v>
      </c>
      <c r="I20" s="24"/>
      <c r="J20" s="20">
        <f t="shared" ca="1" si="9"/>
        <v>25.916666666666668</v>
      </c>
      <c r="K20" s="24"/>
      <c r="L20" s="16">
        <f t="shared" ca="1" si="10"/>
        <v>25.916666666666668</v>
      </c>
      <c r="M20" s="24"/>
      <c r="N20" s="20">
        <f t="shared" ca="1" si="11"/>
        <v>25.916666666666668</v>
      </c>
      <c r="O20" s="24"/>
      <c r="P20" s="16">
        <f t="shared" ca="1" si="12"/>
        <v>25.916666666666668</v>
      </c>
      <c r="Q20" s="24"/>
      <c r="R20" s="20">
        <f t="shared" ca="1" si="13"/>
        <v>25.916666666666668</v>
      </c>
      <c r="S20" s="24"/>
      <c r="T20" s="16">
        <f t="shared" ca="1" si="14"/>
        <v>25.916666666666668</v>
      </c>
      <c r="U20" s="24"/>
      <c r="V20" s="20">
        <f t="shared" ca="1" si="15"/>
        <v>25.916666666666668</v>
      </c>
      <c r="W20" s="24"/>
      <c r="X20" s="16">
        <f t="shared" ca="1" si="16"/>
        <v>25.916666666666668</v>
      </c>
      <c r="Y20" s="24"/>
      <c r="Z20" s="20">
        <f t="shared" ca="1" si="17"/>
        <v>0</v>
      </c>
      <c r="AA20" s="24"/>
      <c r="AB20" s="16">
        <f t="shared" ca="1" si="18"/>
        <v>0</v>
      </c>
      <c r="AC20" s="24"/>
      <c r="AD20" s="20">
        <f t="shared" ca="1" si="19"/>
        <v>0</v>
      </c>
      <c r="AE20" s="24"/>
      <c r="AF20" s="13">
        <v>42579</v>
      </c>
      <c r="AG20" s="7">
        <f t="shared" si="20"/>
        <v>2016</v>
      </c>
      <c r="AH20" s="26">
        <f ca="1">HLOOKUP($AG20,$H$2:$AE20,19,FALSE)</f>
        <v>25.916666666666668</v>
      </c>
      <c r="AI20" s="26">
        <f ca="1">HLOOKUP($AG20-1,$H$2:$AE20,19,FALSE)</f>
        <v>25.916666666666668</v>
      </c>
      <c r="AJ20" s="28" t="str">
        <f t="shared" ca="1" si="21"/>
        <v>R</v>
      </c>
    </row>
    <row r="21" spans="1:36" x14ac:dyDescent="0.25">
      <c r="A21" s="3" t="s">
        <v>45</v>
      </c>
      <c r="B21" s="3" t="s">
        <v>46</v>
      </c>
      <c r="C21" s="25" t="str">
        <f t="shared" si="7"/>
        <v>nom18 prenom18</v>
      </c>
      <c r="D21" s="25" t="s">
        <v>134</v>
      </c>
      <c r="E21" s="25" t="s">
        <v>9</v>
      </c>
      <c r="F21" s="4">
        <f t="shared" ca="1" si="22"/>
        <v>233.24999999999997</v>
      </c>
      <c r="G21" s="11"/>
      <c r="H21" s="16">
        <f t="shared" ca="1" si="8"/>
        <v>25.916666666666668</v>
      </c>
      <c r="I21" s="24"/>
      <c r="J21" s="20">
        <f t="shared" ca="1" si="9"/>
        <v>25.916666666666668</v>
      </c>
      <c r="K21" s="24"/>
      <c r="L21" s="16">
        <f t="shared" ca="1" si="10"/>
        <v>25.916666666666668</v>
      </c>
      <c r="M21" s="24"/>
      <c r="N21" s="20">
        <f t="shared" ca="1" si="11"/>
        <v>25.916666666666668</v>
      </c>
      <c r="O21" s="24"/>
      <c r="P21" s="16">
        <f t="shared" ca="1" si="12"/>
        <v>25.916666666666668</v>
      </c>
      <c r="Q21" s="24"/>
      <c r="R21" s="20">
        <f t="shared" ca="1" si="13"/>
        <v>25.916666666666668</v>
      </c>
      <c r="S21" s="24"/>
      <c r="T21" s="16">
        <f t="shared" ca="1" si="14"/>
        <v>25.916666666666668</v>
      </c>
      <c r="U21" s="24"/>
      <c r="V21" s="20">
        <f t="shared" ca="1" si="15"/>
        <v>25.916666666666668</v>
      </c>
      <c r="W21" s="24"/>
      <c r="X21" s="16">
        <f t="shared" ca="1" si="16"/>
        <v>25.916666666666668</v>
      </c>
      <c r="Y21" s="24"/>
      <c r="Z21" s="20">
        <f t="shared" ca="1" si="17"/>
        <v>0</v>
      </c>
      <c r="AA21" s="24"/>
      <c r="AB21" s="16">
        <f t="shared" ca="1" si="18"/>
        <v>0</v>
      </c>
      <c r="AC21" s="24"/>
      <c r="AD21" s="20">
        <f t="shared" ca="1" si="19"/>
        <v>0</v>
      </c>
      <c r="AE21" s="24"/>
      <c r="AF21" s="13">
        <v>42580</v>
      </c>
      <c r="AG21" s="7">
        <f t="shared" si="20"/>
        <v>2016</v>
      </c>
      <c r="AH21" s="26">
        <f ca="1">HLOOKUP($AG21,$H$2:$AE21,20,FALSE)</f>
        <v>25.916666666666668</v>
      </c>
      <c r="AI21" s="26">
        <f ca="1">HLOOKUP($AG21-1,$H$2:$AE21,20,FALSE)</f>
        <v>25.916666666666668</v>
      </c>
      <c r="AJ21" s="28" t="str">
        <f t="shared" ca="1" si="21"/>
        <v>R</v>
      </c>
    </row>
    <row r="22" spans="1:36" x14ac:dyDescent="0.25">
      <c r="A22" s="3" t="s">
        <v>47</v>
      </c>
      <c r="B22" s="3" t="s">
        <v>48</v>
      </c>
      <c r="C22" s="25" t="str">
        <f t="shared" si="7"/>
        <v>nom19 prenom19</v>
      </c>
      <c r="D22" s="25" t="s">
        <v>135</v>
      </c>
      <c r="E22" s="25" t="s">
        <v>8</v>
      </c>
      <c r="F22" s="4">
        <f t="shared" ca="1" si="22"/>
        <v>233.24999999999997</v>
      </c>
      <c r="G22" s="11"/>
      <c r="H22" s="16">
        <f t="shared" ca="1" si="8"/>
        <v>25.916666666666668</v>
      </c>
      <c r="I22" s="24"/>
      <c r="J22" s="20">
        <f t="shared" ca="1" si="9"/>
        <v>25.916666666666668</v>
      </c>
      <c r="K22" s="24"/>
      <c r="L22" s="16">
        <f t="shared" ca="1" si="10"/>
        <v>25.916666666666668</v>
      </c>
      <c r="M22" s="24"/>
      <c r="N22" s="20">
        <f t="shared" ca="1" si="11"/>
        <v>25.916666666666668</v>
      </c>
      <c r="O22" s="24"/>
      <c r="P22" s="16">
        <f t="shared" ca="1" si="12"/>
        <v>25.916666666666668</v>
      </c>
      <c r="Q22" s="24"/>
      <c r="R22" s="20">
        <f t="shared" ca="1" si="13"/>
        <v>25.916666666666668</v>
      </c>
      <c r="S22" s="24"/>
      <c r="T22" s="16">
        <f t="shared" ca="1" si="14"/>
        <v>25.916666666666668</v>
      </c>
      <c r="U22" s="24"/>
      <c r="V22" s="20">
        <f t="shared" ca="1" si="15"/>
        <v>25.916666666666668</v>
      </c>
      <c r="W22" s="24"/>
      <c r="X22" s="16">
        <f t="shared" ca="1" si="16"/>
        <v>25.916666666666668</v>
      </c>
      <c r="Y22" s="24"/>
      <c r="Z22" s="20">
        <f t="shared" ca="1" si="17"/>
        <v>0</v>
      </c>
      <c r="AA22" s="24"/>
      <c r="AB22" s="16">
        <f t="shared" ca="1" si="18"/>
        <v>0</v>
      </c>
      <c r="AC22" s="24"/>
      <c r="AD22" s="20">
        <f t="shared" ca="1" si="19"/>
        <v>0</v>
      </c>
      <c r="AE22" s="24"/>
      <c r="AF22" s="13">
        <v>42581</v>
      </c>
      <c r="AG22" s="7">
        <f t="shared" si="20"/>
        <v>2016</v>
      </c>
      <c r="AH22" s="26">
        <f ca="1">HLOOKUP($AG22,$H$2:$AE22,21,FALSE)</f>
        <v>25.916666666666668</v>
      </c>
      <c r="AI22" s="26">
        <f ca="1">HLOOKUP($AG22-1,$H$2:$AE22,21,FALSE)</f>
        <v>25.916666666666668</v>
      </c>
      <c r="AJ22" s="28" t="str">
        <f t="shared" ca="1" si="21"/>
        <v>R</v>
      </c>
    </row>
    <row r="23" spans="1:36" x14ac:dyDescent="0.25">
      <c r="A23" s="3" t="s">
        <v>49</v>
      </c>
      <c r="B23" s="3" t="s">
        <v>50</v>
      </c>
      <c r="C23" s="25" t="str">
        <f t="shared" si="7"/>
        <v>nom20 prenom20</v>
      </c>
      <c r="D23" s="25" t="s">
        <v>136</v>
      </c>
      <c r="E23" s="25" t="s">
        <v>8</v>
      </c>
      <c r="F23" s="4">
        <f t="shared" ca="1" si="22"/>
        <v>233.24999999999997</v>
      </c>
      <c r="G23" s="11"/>
      <c r="H23" s="16">
        <f t="shared" ca="1" si="8"/>
        <v>25.916666666666668</v>
      </c>
      <c r="I23" s="24"/>
      <c r="J23" s="20">
        <f t="shared" ca="1" si="9"/>
        <v>25.916666666666668</v>
      </c>
      <c r="K23" s="24"/>
      <c r="L23" s="16">
        <f t="shared" ca="1" si="10"/>
        <v>25.916666666666668</v>
      </c>
      <c r="M23" s="24"/>
      <c r="N23" s="20">
        <f t="shared" ca="1" si="11"/>
        <v>25.916666666666668</v>
      </c>
      <c r="O23" s="24"/>
      <c r="P23" s="16">
        <f t="shared" ca="1" si="12"/>
        <v>25.916666666666668</v>
      </c>
      <c r="Q23" s="24"/>
      <c r="R23" s="20">
        <f t="shared" ca="1" si="13"/>
        <v>25.916666666666668</v>
      </c>
      <c r="S23" s="24"/>
      <c r="T23" s="16">
        <f t="shared" ca="1" si="14"/>
        <v>25.916666666666668</v>
      </c>
      <c r="U23" s="24"/>
      <c r="V23" s="20">
        <f t="shared" ca="1" si="15"/>
        <v>25.916666666666668</v>
      </c>
      <c r="W23" s="24"/>
      <c r="X23" s="16">
        <f t="shared" ca="1" si="16"/>
        <v>25.916666666666668</v>
      </c>
      <c r="Y23" s="24"/>
      <c r="Z23" s="20">
        <f t="shared" ca="1" si="17"/>
        <v>0</v>
      </c>
      <c r="AA23" s="24"/>
      <c r="AB23" s="16">
        <f t="shared" ca="1" si="18"/>
        <v>0</v>
      </c>
      <c r="AC23" s="24"/>
      <c r="AD23" s="20">
        <f t="shared" ca="1" si="19"/>
        <v>0</v>
      </c>
      <c r="AE23" s="24"/>
      <c r="AF23" s="13">
        <v>42582</v>
      </c>
      <c r="AG23" s="7">
        <f t="shared" si="20"/>
        <v>2016</v>
      </c>
      <c r="AH23" s="26">
        <f ca="1">HLOOKUP($AG23,$H$2:$AE23,22,FALSE)</f>
        <v>25.916666666666668</v>
      </c>
      <c r="AI23" s="26">
        <f ca="1">HLOOKUP($AG23-1,$H$2:$AE23,22,FALSE)</f>
        <v>25.916666666666668</v>
      </c>
      <c r="AJ23" s="28" t="str">
        <f t="shared" ca="1" si="21"/>
        <v>R</v>
      </c>
    </row>
    <row r="24" spans="1:36" x14ac:dyDescent="0.25">
      <c r="A24" s="3" t="s">
        <v>51</v>
      </c>
      <c r="B24" s="3" t="s">
        <v>52</v>
      </c>
      <c r="C24" s="25" t="str">
        <f t="shared" si="7"/>
        <v>nom21 prenom21</v>
      </c>
      <c r="D24" s="25" t="s">
        <v>137</v>
      </c>
      <c r="E24" s="25" t="s">
        <v>8</v>
      </c>
      <c r="F24" s="4">
        <f t="shared" ca="1" si="22"/>
        <v>233.24999999999997</v>
      </c>
      <c r="G24" s="11"/>
      <c r="H24" s="16">
        <f t="shared" ca="1" si="8"/>
        <v>25.916666666666668</v>
      </c>
      <c r="I24" s="24"/>
      <c r="J24" s="20">
        <f t="shared" ca="1" si="9"/>
        <v>25.916666666666668</v>
      </c>
      <c r="K24" s="24"/>
      <c r="L24" s="16">
        <f t="shared" ca="1" si="10"/>
        <v>25.916666666666668</v>
      </c>
      <c r="M24" s="24"/>
      <c r="N24" s="20">
        <f t="shared" ca="1" si="11"/>
        <v>25.916666666666668</v>
      </c>
      <c r="O24" s="24"/>
      <c r="P24" s="16">
        <f t="shared" ca="1" si="12"/>
        <v>25.916666666666668</v>
      </c>
      <c r="Q24" s="24"/>
      <c r="R24" s="20">
        <f t="shared" ca="1" si="13"/>
        <v>25.916666666666668</v>
      </c>
      <c r="S24" s="24"/>
      <c r="T24" s="16">
        <f t="shared" ca="1" si="14"/>
        <v>25.916666666666668</v>
      </c>
      <c r="U24" s="24"/>
      <c r="V24" s="20">
        <f t="shared" ca="1" si="15"/>
        <v>25.916666666666668</v>
      </c>
      <c r="W24" s="24"/>
      <c r="X24" s="16">
        <f t="shared" ca="1" si="16"/>
        <v>25.916666666666668</v>
      </c>
      <c r="Y24" s="24"/>
      <c r="Z24" s="20">
        <f t="shared" ca="1" si="17"/>
        <v>0</v>
      </c>
      <c r="AA24" s="24"/>
      <c r="AB24" s="16">
        <f t="shared" ca="1" si="18"/>
        <v>0</v>
      </c>
      <c r="AC24" s="24"/>
      <c r="AD24" s="20">
        <f t="shared" ca="1" si="19"/>
        <v>0</v>
      </c>
      <c r="AE24" s="24"/>
      <c r="AF24" s="13">
        <v>42583</v>
      </c>
      <c r="AG24" s="7">
        <f t="shared" si="20"/>
        <v>2016</v>
      </c>
      <c r="AH24" s="26">
        <f ca="1">HLOOKUP($AG24,$H$2:$AE24,23,FALSE)</f>
        <v>25.916666666666668</v>
      </c>
      <c r="AI24" s="26">
        <f ca="1">HLOOKUP($AG24-1,$H$2:$AE24,23,FALSE)</f>
        <v>25.916666666666668</v>
      </c>
      <c r="AJ24" s="28" t="str">
        <f t="shared" ca="1" si="21"/>
        <v>R</v>
      </c>
    </row>
    <row r="25" spans="1:36" x14ac:dyDescent="0.25">
      <c r="A25" s="3" t="s">
        <v>53</v>
      </c>
      <c r="B25" s="3" t="s">
        <v>54</v>
      </c>
      <c r="C25" s="25" t="str">
        <f t="shared" si="7"/>
        <v>nom22 prenom22</v>
      </c>
      <c r="D25" s="25" t="s">
        <v>138</v>
      </c>
      <c r="E25" s="25" t="s">
        <v>9</v>
      </c>
      <c r="F25" s="4">
        <f t="shared" ca="1" si="22"/>
        <v>233.24999999999997</v>
      </c>
      <c r="G25" s="11"/>
      <c r="H25" s="16">
        <f t="shared" ca="1" si="8"/>
        <v>25.916666666666668</v>
      </c>
      <c r="I25" s="24"/>
      <c r="J25" s="20">
        <f t="shared" ca="1" si="9"/>
        <v>25.916666666666668</v>
      </c>
      <c r="K25" s="24"/>
      <c r="L25" s="16">
        <f t="shared" ca="1" si="10"/>
        <v>25.916666666666668</v>
      </c>
      <c r="M25" s="24"/>
      <c r="N25" s="20">
        <f t="shared" ca="1" si="11"/>
        <v>25.916666666666668</v>
      </c>
      <c r="O25" s="24"/>
      <c r="P25" s="16">
        <f t="shared" ca="1" si="12"/>
        <v>25.916666666666668</v>
      </c>
      <c r="Q25" s="24"/>
      <c r="R25" s="20">
        <f t="shared" ca="1" si="13"/>
        <v>25.916666666666668</v>
      </c>
      <c r="S25" s="24"/>
      <c r="T25" s="16">
        <f t="shared" ca="1" si="14"/>
        <v>25.916666666666668</v>
      </c>
      <c r="U25" s="24"/>
      <c r="V25" s="20">
        <f t="shared" ca="1" si="15"/>
        <v>25.916666666666668</v>
      </c>
      <c r="W25" s="24"/>
      <c r="X25" s="16">
        <f t="shared" ca="1" si="16"/>
        <v>25.916666666666668</v>
      </c>
      <c r="Y25" s="24"/>
      <c r="Z25" s="20">
        <f t="shared" ca="1" si="17"/>
        <v>0</v>
      </c>
      <c r="AA25" s="24"/>
      <c r="AB25" s="16">
        <f t="shared" ca="1" si="18"/>
        <v>0</v>
      </c>
      <c r="AC25" s="24"/>
      <c r="AD25" s="20">
        <f t="shared" ca="1" si="19"/>
        <v>0</v>
      </c>
      <c r="AE25" s="24"/>
      <c r="AF25" s="13">
        <v>42584</v>
      </c>
      <c r="AG25" s="7">
        <f t="shared" si="20"/>
        <v>2016</v>
      </c>
      <c r="AH25" s="26">
        <f ca="1">HLOOKUP($AG25,$H$2:$AE25,24,FALSE)</f>
        <v>25.916666666666668</v>
      </c>
      <c r="AI25" s="26">
        <f ca="1">HLOOKUP($AG25-1,$H$2:$AE25,24,FALSE)</f>
        <v>25.916666666666668</v>
      </c>
      <c r="AJ25" s="28" t="str">
        <f t="shared" ca="1" si="21"/>
        <v>R</v>
      </c>
    </row>
    <row r="26" spans="1:36" x14ac:dyDescent="0.25">
      <c r="A26" s="3" t="s">
        <v>55</v>
      </c>
      <c r="B26" s="3" t="s">
        <v>56</v>
      </c>
      <c r="C26" s="25" t="str">
        <f t="shared" si="7"/>
        <v>nom23 prenom23</v>
      </c>
      <c r="D26" s="25" t="s">
        <v>139</v>
      </c>
      <c r="E26" s="25" t="s">
        <v>8</v>
      </c>
      <c r="F26" s="4">
        <f t="shared" ca="1" si="22"/>
        <v>233.24999999999997</v>
      </c>
      <c r="G26" s="11"/>
      <c r="H26" s="16">
        <f t="shared" ca="1" si="8"/>
        <v>25.916666666666668</v>
      </c>
      <c r="I26" s="24"/>
      <c r="J26" s="20">
        <f t="shared" ca="1" si="9"/>
        <v>25.916666666666668</v>
      </c>
      <c r="K26" s="24"/>
      <c r="L26" s="16">
        <f t="shared" ca="1" si="10"/>
        <v>25.916666666666668</v>
      </c>
      <c r="M26" s="24"/>
      <c r="N26" s="20">
        <f t="shared" ca="1" si="11"/>
        <v>25.916666666666668</v>
      </c>
      <c r="O26" s="24"/>
      <c r="P26" s="16">
        <f t="shared" ca="1" si="12"/>
        <v>25.916666666666668</v>
      </c>
      <c r="Q26" s="24"/>
      <c r="R26" s="20">
        <f t="shared" ca="1" si="13"/>
        <v>25.916666666666668</v>
      </c>
      <c r="S26" s="24"/>
      <c r="T26" s="16">
        <f t="shared" ca="1" si="14"/>
        <v>25.916666666666668</v>
      </c>
      <c r="U26" s="24"/>
      <c r="V26" s="20">
        <f t="shared" ca="1" si="15"/>
        <v>25.916666666666668</v>
      </c>
      <c r="W26" s="24"/>
      <c r="X26" s="16">
        <f t="shared" ca="1" si="16"/>
        <v>25.916666666666668</v>
      </c>
      <c r="Y26" s="24"/>
      <c r="Z26" s="20">
        <f t="shared" ca="1" si="17"/>
        <v>0</v>
      </c>
      <c r="AA26" s="24"/>
      <c r="AB26" s="16">
        <f t="shared" ca="1" si="18"/>
        <v>0</v>
      </c>
      <c r="AC26" s="24"/>
      <c r="AD26" s="20">
        <f t="shared" ca="1" si="19"/>
        <v>0</v>
      </c>
      <c r="AE26" s="24"/>
      <c r="AF26" s="13">
        <v>42585</v>
      </c>
      <c r="AG26" s="7">
        <f t="shared" si="20"/>
        <v>2016</v>
      </c>
      <c r="AH26" s="26">
        <f ca="1">HLOOKUP($AG26,$H$2:$AE26,25,FALSE)</f>
        <v>25.916666666666668</v>
      </c>
      <c r="AI26" s="26">
        <f ca="1">HLOOKUP($AG26-1,$H$2:$AE26,25,FALSE)</f>
        <v>25.916666666666668</v>
      </c>
      <c r="AJ26" s="28" t="str">
        <f t="shared" ca="1" si="21"/>
        <v>R</v>
      </c>
    </row>
    <row r="27" spans="1:36" x14ac:dyDescent="0.25">
      <c r="A27" s="3" t="s">
        <v>57</v>
      </c>
      <c r="B27" s="3" t="s">
        <v>58</v>
      </c>
      <c r="C27" s="25" t="str">
        <f t="shared" si="7"/>
        <v>nom24 prenom24</v>
      </c>
      <c r="D27" s="25" t="s">
        <v>140</v>
      </c>
      <c r="E27" s="25" t="s">
        <v>8</v>
      </c>
      <c r="F27" s="4">
        <f t="shared" ca="1" si="22"/>
        <v>233.24999999999997</v>
      </c>
      <c r="G27" s="11"/>
      <c r="H27" s="16">
        <f t="shared" ca="1" si="8"/>
        <v>25.916666666666668</v>
      </c>
      <c r="I27" s="24"/>
      <c r="J27" s="20">
        <f t="shared" ca="1" si="9"/>
        <v>25.916666666666668</v>
      </c>
      <c r="K27" s="24"/>
      <c r="L27" s="16">
        <f t="shared" ca="1" si="10"/>
        <v>25.916666666666668</v>
      </c>
      <c r="M27" s="24"/>
      <c r="N27" s="20">
        <f t="shared" ca="1" si="11"/>
        <v>25.916666666666668</v>
      </c>
      <c r="O27" s="24"/>
      <c r="P27" s="16">
        <f t="shared" ca="1" si="12"/>
        <v>25.916666666666668</v>
      </c>
      <c r="Q27" s="24"/>
      <c r="R27" s="20">
        <f t="shared" ca="1" si="13"/>
        <v>25.916666666666668</v>
      </c>
      <c r="S27" s="24"/>
      <c r="T27" s="16">
        <f t="shared" ca="1" si="14"/>
        <v>25.916666666666668</v>
      </c>
      <c r="U27" s="24"/>
      <c r="V27" s="20">
        <f t="shared" ca="1" si="15"/>
        <v>25.916666666666668</v>
      </c>
      <c r="W27" s="24"/>
      <c r="X27" s="16">
        <f t="shared" ca="1" si="16"/>
        <v>25.916666666666668</v>
      </c>
      <c r="Y27" s="24"/>
      <c r="Z27" s="20">
        <f t="shared" ca="1" si="17"/>
        <v>0</v>
      </c>
      <c r="AA27" s="24"/>
      <c r="AB27" s="16">
        <f t="shared" ca="1" si="18"/>
        <v>0</v>
      </c>
      <c r="AC27" s="24"/>
      <c r="AD27" s="20">
        <f t="shared" ca="1" si="19"/>
        <v>0</v>
      </c>
      <c r="AE27" s="24"/>
      <c r="AF27" s="13">
        <v>42586</v>
      </c>
      <c r="AG27" s="7">
        <f t="shared" si="20"/>
        <v>2016</v>
      </c>
      <c r="AH27" s="26">
        <f ca="1">HLOOKUP($AG27,$H$2:$AE27,26,FALSE)</f>
        <v>25.916666666666668</v>
      </c>
      <c r="AI27" s="26">
        <f ca="1">HLOOKUP($AG27-1,$H$2:$AE27,26,FALSE)</f>
        <v>25.916666666666668</v>
      </c>
      <c r="AJ27" s="28" t="str">
        <f t="shared" ca="1" si="21"/>
        <v>R</v>
      </c>
    </row>
    <row r="28" spans="1:36" x14ac:dyDescent="0.25">
      <c r="A28" s="3" t="s">
        <v>59</v>
      </c>
      <c r="B28" s="3" t="s">
        <v>60</v>
      </c>
      <c r="C28" s="25" t="str">
        <f t="shared" si="7"/>
        <v>nom25 prenom25</v>
      </c>
      <c r="D28" s="25" t="s">
        <v>141</v>
      </c>
      <c r="E28" s="25" t="s">
        <v>8</v>
      </c>
      <c r="F28" s="4">
        <f t="shared" ca="1" si="22"/>
        <v>233.24999999999997</v>
      </c>
      <c r="G28" s="11"/>
      <c r="H28" s="16">
        <f t="shared" ca="1" si="8"/>
        <v>25.916666666666668</v>
      </c>
      <c r="I28" s="24"/>
      <c r="J28" s="20">
        <f t="shared" ca="1" si="9"/>
        <v>25.916666666666668</v>
      </c>
      <c r="K28" s="24"/>
      <c r="L28" s="16">
        <f t="shared" ca="1" si="10"/>
        <v>25.916666666666668</v>
      </c>
      <c r="M28" s="24"/>
      <c r="N28" s="20">
        <f t="shared" ca="1" si="11"/>
        <v>25.916666666666668</v>
      </c>
      <c r="O28" s="24"/>
      <c r="P28" s="16">
        <f t="shared" ca="1" si="12"/>
        <v>25.916666666666668</v>
      </c>
      <c r="Q28" s="24"/>
      <c r="R28" s="20">
        <f t="shared" ca="1" si="13"/>
        <v>25.916666666666668</v>
      </c>
      <c r="S28" s="24"/>
      <c r="T28" s="16">
        <f t="shared" ca="1" si="14"/>
        <v>25.916666666666668</v>
      </c>
      <c r="U28" s="24"/>
      <c r="V28" s="20">
        <f t="shared" ca="1" si="15"/>
        <v>25.916666666666668</v>
      </c>
      <c r="W28" s="24"/>
      <c r="X28" s="16">
        <f t="shared" ca="1" si="16"/>
        <v>25.916666666666668</v>
      </c>
      <c r="Y28" s="24"/>
      <c r="Z28" s="20">
        <f t="shared" ca="1" si="17"/>
        <v>0</v>
      </c>
      <c r="AA28" s="24"/>
      <c r="AB28" s="16">
        <f t="shared" ca="1" si="18"/>
        <v>0</v>
      </c>
      <c r="AC28" s="24"/>
      <c r="AD28" s="20">
        <f t="shared" ca="1" si="19"/>
        <v>0</v>
      </c>
      <c r="AE28" s="24"/>
      <c r="AF28" s="13">
        <v>42587</v>
      </c>
      <c r="AG28" s="7">
        <f t="shared" si="20"/>
        <v>2016</v>
      </c>
      <c r="AH28" s="26">
        <f ca="1">HLOOKUP($AG28,$H$2:$AE28,27,FALSE)</f>
        <v>25.916666666666668</v>
      </c>
      <c r="AI28" s="26">
        <f ca="1">HLOOKUP($AG28-1,$H$2:$AE28,27,FALSE)</f>
        <v>25.916666666666668</v>
      </c>
      <c r="AJ28" s="28" t="str">
        <f t="shared" ca="1" si="21"/>
        <v>R</v>
      </c>
    </row>
    <row r="29" spans="1:36" x14ac:dyDescent="0.25">
      <c r="A29" s="3" t="s">
        <v>61</v>
      </c>
      <c r="B29" s="3" t="s">
        <v>62</v>
      </c>
      <c r="C29" s="25" t="str">
        <f t="shared" si="7"/>
        <v>nom26 prenom26</v>
      </c>
      <c r="D29" s="25" t="s">
        <v>142</v>
      </c>
      <c r="E29" s="25" t="s">
        <v>8</v>
      </c>
      <c r="F29" s="4">
        <f t="shared" ca="1" si="22"/>
        <v>233.24999999999997</v>
      </c>
      <c r="G29" s="11"/>
      <c r="H29" s="16">
        <f t="shared" ca="1" si="8"/>
        <v>25.916666666666668</v>
      </c>
      <c r="I29" s="24"/>
      <c r="J29" s="20">
        <f t="shared" ca="1" si="9"/>
        <v>25.916666666666668</v>
      </c>
      <c r="K29" s="24"/>
      <c r="L29" s="16">
        <f t="shared" ca="1" si="10"/>
        <v>25.916666666666668</v>
      </c>
      <c r="M29" s="24"/>
      <c r="N29" s="20">
        <f t="shared" ca="1" si="11"/>
        <v>25.916666666666668</v>
      </c>
      <c r="O29" s="24"/>
      <c r="P29" s="16">
        <f t="shared" ca="1" si="12"/>
        <v>25.916666666666668</v>
      </c>
      <c r="Q29" s="24"/>
      <c r="R29" s="20">
        <f t="shared" ca="1" si="13"/>
        <v>25.916666666666668</v>
      </c>
      <c r="S29" s="24"/>
      <c r="T29" s="16">
        <f t="shared" ca="1" si="14"/>
        <v>25.916666666666668</v>
      </c>
      <c r="U29" s="24"/>
      <c r="V29" s="20">
        <f t="shared" ca="1" si="15"/>
        <v>25.916666666666668</v>
      </c>
      <c r="W29" s="24"/>
      <c r="X29" s="16">
        <f t="shared" ca="1" si="16"/>
        <v>25.916666666666668</v>
      </c>
      <c r="Y29" s="24"/>
      <c r="Z29" s="20">
        <f t="shared" ca="1" si="17"/>
        <v>0</v>
      </c>
      <c r="AA29" s="24"/>
      <c r="AB29" s="16">
        <f t="shared" ca="1" si="18"/>
        <v>0</v>
      </c>
      <c r="AC29" s="24"/>
      <c r="AD29" s="20">
        <f t="shared" ca="1" si="19"/>
        <v>0</v>
      </c>
      <c r="AE29" s="24"/>
      <c r="AF29" s="13">
        <v>42588</v>
      </c>
      <c r="AG29" s="7">
        <f t="shared" si="20"/>
        <v>2016</v>
      </c>
      <c r="AH29" s="26">
        <f ca="1">HLOOKUP($AG29,$H$2:$AE29,28,FALSE)</f>
        <v>25.916666666666668</v>
      </c>
      <c r="AI29" s="26">
        <f ca="1">HLOOKUP($AG29-1,$H$2:$AE29,28,FALSE)</f>
        <v>25.916666666666668</v>
      </c>
      <c r="AJ29" s="28" t="str">
        <f t="shared" ca="1" si="21"/>
        <v>R</v>
      </c>
    </row>
    <row r="30" spans="1:36" x14ac:dyDescent="0.25">
      <c r="A30" s="3" t="s">
        <v>63</v>
      </c>
      <c r="B30" s="3" t="s">
        <v>64</v>
      </c>
      <c r="C30" s="25" t="str">
        <f t="shared" si="7"/>
        <v>nom27 prenom27</v>
      </c>
      <c r="D30" s="25" t="s">
        <v>143</v>
      </c>
      <c r="E30" s="25" t="s">
        <v>9</v>
      </c>
      <c r="F30" s="4">
        <f t="shared" ca="1" si="22"/>
        <v>233.24999999999997</v>
      </c>
      <c r="G30" s="11"/>
      <c r="H30" s="16">
        <f t="shared" ca="1" si="8"/>
        <v>25.916666666666668</v>
      </c>
      <c r="I30" s="24"/>
      <c r="J30" s="20">
        <f t="shared" ca="1" si="9"/>
        <v>25.916666666666668</v>
      </c>
      <c r="K30" s="24"/>
      <c r="L30" s="16">
        <f t="shared" ca="1" si="10"/>
        <v>25.916666666666668</v>
      </c>
      <c r="M30" s="24"/>
      <c r="N30" s="20">
        <f t="shared" ca="1" si="11"/>
        <v>25.916666666666668</v>
      </c>
      <c r="O30" s="24"/>
      <c r="P30" s="16">
        <f t="shared" ca="1" si="12"/>
        <v>25.916666666666668</v>
      </c>
      <c r="Q30" s="24"/>
      <c r="R30" s="20">
        <f t="shared" ca="1" si="13"/>
        <v>25.916666666666668</v>
      </c>
      <c r="S30" s="24"/>
      <c r="T30" s="16">
        <f t="shared" ca="1" si="14"/>
        <v>25.916666666666668</v>
      </c>
      <c r="U30" s="24"/>
      <c r="V30" s="20">
        <f t="shared" ca="1" si="15"/>
        <v>25.916666666666668</v>
      </c>
      <c r="W30" s="24"/>
      <c r="X30" s="16">
        <f t="shared" ca="1" si="16"/>
        <v>25.916666666666668</v>
      </c>
      <c r="Y30" s="24"/>
      <c r="Z30" s="20">
        <f t="shared" ca="1" si="17"/>
        <v>0</v>
      </c>
      <c r="AA30" s="24"/>
      <c r="AB30" s="16">
        <f t="shared" ca="1" si="18"/>
        <v>0</v>
      </c>
      <c r="AC30" s="24"/>
      <c r="AD30" s="20">
        <f t="shared" ca="1" si="19"/>
        <v>0</v>
      </c>
      <c r="AE30" s="24"/>
      <c r="AF30" s="13">
        <v>42589</v>
      </c>
      <c r="AG30" s="7">
        <f t="shared" si="20"/>
        <v>2016</v>
      </c>
      <c r="AH30" s="26">
        <f ca="1">HLOOKUP($AG30,$H$2:$AE30,29,FALSE)</f>
        <v>25.916666666666668</v>
      </c>
      <c r="AI30" s="26">
        <f ca="1">HLOOKUP($AG30-1,$H$2:$AE30,29,FALSE)</f>
        <v>25.916666666666668</v>
      </c>
      <c r="AJ30" s="28" t="str">
        <f t="shared" ca="1" si="21"/>
        <v>R</v>
      </c>
    </row>
    <row r="31" spans="1:36" x14ac:dyDescent="0.25">
      <c r="A31" s="3" t="s">
        <v>65</v>
      </c>
      <c r="B31" s="3" t="s">
        <v>66</v>
      </c>
      <c r="C31" s="25" t="str">
        <f t="shared" si="7"/>
        <v>nom28 prenom28</v>
      </c>
      <c r="D31" s="25" t="s">
        <v>144</v>
      </c>
      <c r="E31" s="25" t="s">
        <v>9</v>
      </c>
      <c r="F31" s="4">
        <f t="shared" ca="1" si="22"/>
        <v>233.24999999999997</v>
      </c>
      <c r="G31" s="11"/>
      <c r="H31" s="16">
        <f t="shared" ca="1" si="8"/>
        <v>25.916666666666668</v>
      </c>
      <c r="I31" s="24"/>
      <c r="J31" s="20">
        <f t="shared" ca="1" si="9"/>
        <v>25.916666666666668</v>
      </c>
      <c r="K31" s="24"/>
      <c r="L31" s="16">
        <f t="shared" ca="1" si="10"/>
        <v>25.916666666666668</v>
      </c>
      <c r="M31" s="24"/>
      <c r="N31" s="20">
        <f t="shared" ca="1" si="11"/>
        <v>25.916666666666668</v>
      </c>
      <c r="O31" s="24"/>
      <c r="P31" s="16">
        <f t="shared" ca="1" si="12"/>
        <v>25.916666666666668</v>
      </c>
      <c r="Q31" s="24"/>
      <c r="R31" s="20">
        <f t="shared" ca="1" si="13"/>
        <v>25.916666666666668</v>
      </c>
      <c r="S31" s="24"/>
      <c r="T31" s="16">
        <f t="shared" ca="1" si="14"/>
        <v>25.916666666666668</v>
      </c>
      <c r="U31" s="24"/>
      <c r="V31" s="20">
        <f t="shared" ca="1" si="15"/>
        <v>25.916666666666668</v>
      </c>
      <c r="W31" s="24"/>
      <c r="X31" s="16">
        <f t="shared" ca="1" si="16"/>
        <v>25.916666666666668</v>
      </c>
      <c r="Y31" s="24"/>
      <c r="Z31" s="20">
        <f t="shared" ca="1" si="17"/>
        <v>0</v>
      </c>
      <c r="AA31" s="24"/>
      <c r="AB31" s="16">
        <f t="shared" ca="1" si="18"/>
        <v>0</v>
      </c>
      <c r="AC31" s="24"/>
      <c r="AD31" s="20">
        <f t="shared" ca="1" si="19"/>
        <v>0</v>
      </c>
      <c r="AE31" s="24"/>
      <c r="AF31" s="13">
        <v>42590</v>
      </c>
      <c r="AG31" s="7">
        <f t="shared" si="20"/>
        <v>2016</v>
      </c>
      <c r="AH31" s="26">
        <f ca="1">HLOOKUP($AG31,$H$2:$AE31,30,FALSE)</f>
        <v>25.916666666666668</v>
      </c>
      <c r="AI31" s="26">
        <f ca="1">HLOOKUP($AG31-1,$H$2:$AE31,30,FALSE)</f>
        <v>25.916666666666668</v>
      </c>
      <c r="AJ31" s="28" t="str">
        <f t="shared" ca="1" si="21"/>
        <v>R</v>
      </c>
    </row>
    <row r="32" spans="1:36" x14ac:dyDescent="0.25">
      <c r="A32" s="3" t="s">
        <v>67</v>
      </c>
      <c r="B32" s="3" t="s">
        <v>68</v>
      </c>
      <c r="C32" s="25" t="str">
        <f t="shared" si="7"/>
        <v>nom29 prenom29</v>
      </c>
      <c r="D32" s="25" t="s">
        <v>145</v>
      </c>
      <c r="E32" s="25" t="s">
        <v>9</v>
      </c>
      <c r="F32" s="4">
        <f t="shared" ca="1" si="22"/>
        <v>233.24999999999997</v>
      </c>
      <c r="G32" s="11"/>
      <c r="H32" s="16">
        <f t="shared" ca="1" si="8"/>
        <v>25.916666666666668</v>
      </c>
      <c r="I32" s="24"/>
      <c r="J32" s="20">
        <f t="shared" ca="1" si="9"/>
        <v>25.916666666666668</v>
      </c>
      <c r="K32" s="24"/>
      <c r="L32" s="16">
        <f t="shared" ca="1" si="10"/>
        <v>25.916666666666668</v>
      </c>
      <c r="M32" s="24"/>
      <c r="N32" s="20">
        <f t="shared" ca="1" si="11"/>
        <v>25.916666666666668</v>
      </c>
      <c r="O32" s="24"/>
      <c r="P32" s="16">
        <f t="shared" ca="1" si="12"/>
        <v>25.916666666666668</v>
      </c>
      <c r="Q32" s="24"/>
      <c r="R32" s="20">
        <f t="shared" ca="1" si="13"/>
        <v>25.916666666666668</v>
      </c>
      <c r="S32" s="24"/>
      <c r="T32" s="16">
        <f t="shared" ca="1" si="14"/>
        <v>25.916666666666668</v>
      </c>
      <c r="U32" s="24"/>
      <c r="V32" s="20">
        <f t="shared" ca="1" si="15"/>
        <v>25.916666666666668</v>
      </c>
      <c r="W32" s="24"/>
      <c r="X32" s="16">
        <f t="shared" ca="1" si="16"/>
        <v>25.916666666666668</v>
      </c>
      <c r="Y32" s="24"/>
      <c r="Z32" s="20">
        <f t="shared" ca="1" si="17"/>
        <v>0</v>
      </c>
      <c r="AA32" s="24"/>
      <c r="AB32" s="16">
        <f t="shared" ca="1" si="18"/>
        <v>0</v>
      </c>
      <c r="AC32" s="24"/>
      <c r="AD32" s="20">
        <f t="shared" ca="1" si="19"/>
        <v>0</v>
      </c>
      <c r="AE32" s="24"/>
      <c r="AF32" s="13">
        <v>42591</v>
      </c>
      <c r="AG32" s="7">
        <f t="shared" si="20"/>
        <v>2016</v>
      </c>
      <c r="AH32" s="26">
        <f ca="1">HLOOKUP($AG32,$H$2:$AE32,31,FALSE)</f>
        <v>25.916666666666668</v>
      </c>
      <c r="AI32" s="26">
        <f ca="1">HLOOKUP($AG32-1,$H$2:$AE32,31,FALSE)</f>
        <v>25.916666666666668</v>
      </c>
      <c r="AJ32" s="28" t="str">
        <f t="shared" ca="1" si="21"/>
        <v>R</v>
      </c>
    </row>
    <row r="33" spans="1:36" x14ac:dyDescent="0.25">
      <c r="A33" s="3" t="s">
        <v>69</v>
      </c>
      <c r="B33" s="3" t="s">
        <v>70</v>
      </c>
      <c r="C33" s="25" t="str">
        <f t="shared" si="7"/>
        <v>nom30 prenom30</v>
      </c>
      <c r="D33" s="25" t="s">
        <v>146</v>
      </c>
      <c r="E33" s="25" t="s">
        <v>9</v>
      </c>
      <c r="F33" s="4">
        <f t="shared" ca="1" si="22"/>
        <v>233.24999999999997</v>
      </c>
      <c r="G33" s="11"/>
      <c r="H33" s="16">
        <f t="shared" ca="1" si="8"/>
        <v>25.916666666666668</v>
      </c>
      <c r="I33" s="24"/>
      <c r="J33" s="20">
        <f t="shared" ca="1" si="9"/>
        <v>25.916666666666668</v>
      </c>
      <c r="K33" s="24"/>
      <c r="L33" s="16">
        <f t="shared" ca="1" si="10"/>
        <v>25.916666666666668</v>
      </c>
      <c r="M33" s="24"/>
      <c r="N33" s="20">
        <f t="shared" ca="1" si="11"/>
        <v>25.916666666666668</v>
      </c>
      <c r="O33" s="24"/>
      <c r="P33" s="16">
        <f t="shared" ca="1" si="12"/>
        <v>25.916666666666668</v>
      </c>
      <c r="Q33" s="24"/>
      <c r="R33" s="20">
        <f t="shared" ca="1" si="13"/>
        <v>25.916666666666668</v>
      </c>
      <c r="S33" s="24"/>
      <c r="T33" s="16">
        <f t="shared" ca="1" si="14"/>
        <v>25.916666666666668</v>
      </c>
      <c r="U33" s="24"/>
      <c r="V33" s="20">
        <f t="shared" ca="1" si="15"/>
        <v>25.916666666666668</v>
      </c>
      <c r="W33" s="24"/>
      <c r="X33" s="16">
        <f t="shared" ca="1" si="16"/>
        <v>25.916666666666668</v>
      </c>
      <c r="Y33" s="24"/>
      <c r="Z33" s="20">
        <f t="shared" ca="1" si="17"/>
        <v>0</v>
      </c>
      <c r="AA33" s="24"/>
      <c r="AB33" s="16">
        <f t="shared" ca="1" si="18"/>
        <v>0</v>
      </c>
      <c r="AC33" s="24"/>
      <c r="AD33" s="20">
        <f t="shared" ca="1" si="19"/>
        <v>0</v>
      </c>
      <c r="AE33" s="24"/>
      <c r="AF33" s="13">
        <v>42592</v>
      </c>
      <c r="AG33" s="7">
        <f t="shared" si="20"/>
        <v>2016</v>
      </c>
      <c r="AH33" s="26">
        <f ca="1">HLOOKUP($AG33,$H$2:$AE33,32,FALSE)</f>
        <v>25.916666666666668</v>
      </c>
      <c r="AI33" s="26">
        <f ca="1">HLOOKUP($AG33-1,$H$2:$AE33,32,FALSE)</f>
        <v>25.916666666666668</v>
      </c>
      <c r="AJ33" s="28" t="str">
        <f t="shared" ca="1" si="21"/>
        <v>R</v>
      </c>
    </row>
    <row r="34" spans="1:36" x14ac:dyDescent="0.25">
      <c r="A34" s="3" t="s">
        <v>71</v>
      </c>
      <c r="B34" s="3" t="s">
        <v>72</v>
      </c>
      <c r="C34" s="25" t="str">
        <f t="shared" si="7"/>
        <v>nom31 prenom31</v>
      </c>
      <c r="D34" s="25" t="s">
        <v>147</v>
      </c>
      <c r="E34" s="25" t="s">
        <v>9</v>
      </c>
      <c r="F34" s="4">
        <f t="shared" ca="1" si="22"/>
        <v>233.24999999999997</v>
      </c>
      <c r="G34" s="11"/>
      <c r="H34" s="16">
        <f t="shared" ca="1" si="8"/>
        <v>25.916666666666668</v>
      </c>
      <c r="I34" s="24"/>
      <c r="J34" s="20">
        <f t="shared" ca="1" si="9"/>
        <v>25.916666666666668</v>
      </c>
      <c r="K34" s="24"/>
      <c r="L34" s="16">
        <f t="shared" ca="1" si="10"/>
        <v>25.916666666666668</v>
      </c>
      <c r="M34" s="24"/>
      <c r="N34" s="20">
        <f t="shared" ca="1" si="11"/>
        <v>25.916666666666668</v>
      </c>
      <c r="O34" s="24"/>
      <c r="P34" s="16">
        <f t="shared" ca="1" si="12"/>
        <v>25.916666666666668</v>
      </c>
      <c r="Q34" s="24"/>
      <c r="R34" s="20">
        <f t="shared" ca="1" si="13"/>
        <v>25.916666666666668</v>
      </c>
      <c r="S34" s="24"/>
      <c r="T34" s="16">
        <f t="shared" ca="1" si="14"/>
        <v>25.916666666666668</v>
      </c>
      <c r="U34" s="24"/>
      <c r="V34" s="20">
        <f t="shared" ca="1" si="15"/>
        <v>25.916666666666668</v>
      </c>
      <c r="W34" s="24"/>
      <c r="X34" s="16">
        <f t="shared" ca="1" si="16"/>
        <v>25.916666666666668</v>
      </c>
      <c r="Y34" s="24"/>
      <c r="Z34" s="20">
        <f t="shared" ca="1" si="17"/>
        <v>0</v>
      </c>
      <c r="AA34" s="24"/>
      <c r="AB34" s="16">
        <f t="shared" ca="1" si="18"/>
        <v>0</v>
      </c>
      <c r="AC34" s="24"/>
      <c r="AD34" s="20">
        <f t="shared" ca="1" si="19"/>
        <v>0</v>
      </c>
      <c r="AE34" s="24"/>
      <c r="AF34" s="13">
        <v>42593</v>
      </c>
      <c r="AG34" s="7">
        <f t="shared" si="20"/>
        <v>2016</v>
      </c>
      <c r="AH34" s="26">
        <f ca="1">HLOOKUP($AG34,$H$2:$AE34,33,FALSE)</f>
        <v>25.916666666666668</v>
      </c>
      <c r="AI34" s="26">
        <f ca="1">HLOOKUP($AG34-1,$H$2:$AE34,33,FALSE)</f>
        <v>25.916666666666668</v>
      </c>
      <c r="AJ34" s="28" t="str">
        <f t="shared" ca="1" si="21"/>
        <v>R</v>
      </c>
    </row>
    <row r="35" spans="1:36" x14ac:dyDescent="0.25">
      <c r="A35" s="3" t="s">
        <v>73</v>
      </c>
      <c r="B35" s="3" t="s">
        <v>74</v>
      </c>
      <c r="C35" s="25" t="str">
        <f t="shared" si="7"/>
        <v>nom32 prenom32</v>
      </c>
      <c r="D35" s="25" t="s">
        <v>148</v>
      </c>
      <c r="E35" s="25" t="s">
        <v>9</v>
      </c>
      <c r="F35" s="4">
        <f t="shared" ca="1" si="22"/>
        <v>233.24999999999997</v>
      </c>
      <c r="G35" s="11"/>
      <c r="H35" s="16">
        <f t="shared" ca="1" si="8"/>
        <v>25.916666666666668</v>
      </c>
      <c r="I35" s="24"/>
      <c r="J35" s="20">
        <f t="shared" ca="1" si="9"/>
        <v>25.916666666666668</v>
      </c>
      <c r="K35" s="24"/>
      <c r="L35" s="16">
        <f t="shared" ca="1" si="10"/>
        <v>25.916666666666668</v>
      </c>
      <c r="M35" s="24"/>
      <c r="N35" s="20">
        <f t="shared" ca="1" si="11"/>
        <v>25.916666666666668</v>
      </c>
      <c r="O35" s="24"/>
      <c r="P35" s="16">
        <f t="shared" ca="1" si="12"/>
        <v>25.916666666666668</v>
      </c>
      <c r="Q35" s="24"/>
      <c r="R35" s="20">
        <f t="shared" ca="1" si="13"/>
        <v>25.916666666666668</v>
      </c>
      <c r="S35" s="24"/>
      <c r="T35" s="16">
        <f t="shared" ca="1" si="14"/>
        <v>25.916666666666668</v>
      </c>
      <c r="U35" s="24"/>
      <c r="V35" s="20">
        <f t="shared" ca="1" si="15"/>
        <v>25.916666666666668</v>
      </c>
      <c r="W35" s="24"/>
      <c r="X35" s="16">
        <f t="shared" ca="1" si="16"/>
        <v>25.916666666666668</v>
      </c>
      <c r="Y35" s="24"/>
      <c r="Z35" s="20">
        <f t="shared" ca="1" si="17"/>
        <v>0</v>
      </c>
      <c r="AA35" s="24"/>
      <c r="AB35" s="16">
        <f t="shared" ca="1" si="18"/>
        <v>0</v>
      </c>
      <c r="AC35" s="24"/>
      <c r="AD35" s="20">
        <f t="shared" ca="1" si="19"/>
        <v>0</v>
      </c>
      <c r="AE35" s="24"/>
      <c r="AF35" s="13">
        <v>42594</v>
      </c>
      <c r="AG35" s="7">
        <f t="shared" si="20"/>
        <v>2016</v>
      </c>
      <c r="AH35" s="26">
        <f ca="1">HLOOKUP($AG35,$H$2:$AE35,34,FALSE)</f>
        <v>25.916666666666668</v>
      </c>
      <c r="AI35" s="26">
        <f ca="1">HLOOKUP($AG35-1,$H$2:$AE35,34,FALSE)</f>
        <v>25.916666666666668</v>
      </c>
      <c r="AJ35" s="28" t="str">
        <f t="shared" ca="1" si="21"/>
        <v>R</v>
      </c>
    </row>
    <row r="36" spans="1:36" x14ac:dyDescent="0.25">
      <c r="A36" s="3" t="s">
        <v>75</v>
      </c>
      <c r="B36" s="3" t="s">
        <v>76</v>
      </c>
      <c r="C36" s="25" t="str">
        <f t="shared" si="7"/>
        <v>nom33 prenom33</v>
      </c>
      <c r="D36" s="25" t="s">
        <v>149</v>
      </c>
      <c r="E36" s="25" t="s">
        <v>9</v>
      </c>
      <c r="F36" s="4">
        <f t="shared" ca="1" si="22"/>
        <v>233.24999999999997</v>
      </c>
      <c r="G36" s="11"/>
      <c r="H36" s="16">
        <f t="shared" ca="1" si="8"/>
        <v>25.916666666666668</v>
      </c>
      <c r="I36" s="24"/>
      <c r="J36" s="20">
        <f t="shared" ca="1" si="9"/>
        <v>25.916666666666668</v>
      </c>
      <c r="K36" s="24"/>
      <c r="L36" s="16">
        <f t="shared" ca="1" si="10"/>
        <v>25.916666666666668</v>
      </c>
      <c r="M36" s="24"/>
      <c r="N36" s="20">
        <f t="shared" ca="1" si="11"/>
        <v>25.916666666666668</v>
      </c>
      <c r="O36" s="24"/>
      <c r="P36" s="16">
        <f t="shared" ca="1" si="12"/>
        <v>25.916666666666668</v>
      </c>
      <c r="Q36" s="24"/>
      <c r="R36" s="20">
        <f t="shared" ca="1" si="13"/>
        <v>25.916666666666668</v>
      </c>
      <c r="S36" s="24"/>
      <c r="T36" s="16">
        <f t="shared" ca="1" si="14"/>
        <v>25.916666666666668</v>
      </c>
      <c r="U36" s="24"/>
      <c r="V36" s="20">
        <f t="shared" ca="1" si="15"/>
        <v>25.916666666666668</v>
      </c>
      <c r="W36" s="24"/>
      <c r="X36" s="16">
        <f t="shared" ca="1" si="16"/>
        <v>25.916666666666668</v>
      </c>
      <c r="Y36" s="24"/>
      <c r="Z36" s="20">
        <f t="shared" ca="1" si="17"/>
        <v>0</v>
      </c>
      <c r="AA36" s="24"/>
      <c r="AB36" s="16">
        <f t="shared" ca="1" si="18"/>
        <v>0</v>
      </c>
      <c r="AC36" s="24"/>
      <c r="AD36" s="20">
        <f t="shared" ca="1" si="19"/>
        <v>0</v>
      </c>
      <c r="AE36" s="24"/>
      <c r="AF36" s="13">
        <v>42595</v>
      </c>
      <c r="AG36" s="7">
        <f t="shared" si="20"/>
        <v>2016</v>
      </c>
      <c r="AH36" s="26">
        <f ca="1">HLOOKUP($AG36,$H$2:$AE36,35,FALSE)</f>
        <v>25.916666666666668</v>
      </c>
      <c r="AI36" s="26">
        <f ca="1">HLOOKUP($AG36-1,$H$2:$AE36,35,FALSE)</f>
        <v>25.916666666666668</v>
      </c>
      <c r="AJ36" s="28" t="str">
        <f t="shared" ca="1" si="21"/>
        <v>R</v>
      </c>
    </row>
    <row r="37" spans="1:36" x14ac:dyDescent="0.25">
      <c r="A37" s="3" t="s">
        <v>77</v>
      </c>
      <c r="B37" s="3" t="s">
        <v>78</v>
      </c>
      <c r="C37" s="25" t="str">
        <f t="shared" si="7"/>
        <v>nom34 prenom34</v>
      </c>
      <c r="D37" s="25" t="s">
        <v>150</v>
      </c>
      <c r="E37" s="25" t="s">
        <v>9</v>
      </c>
      <c r="F37" s="4">
        <f t="shared" ca="1" si="22"/>
        <v>233.24999999999997</v>
      </c>
      <c r="G37" s="11"/>
      <c r="H37" s="16">
        <f t="shared" ca="1" si="8"/>
        <v>25.916666666666668</v>
      </c>
      <c r="I37" s="24"/>
      <c r="J37" s="20">
        <f t="shared" ca="1" si="9"/>
        <v>25.916666666666668</v>
      </c>
      <c r="K37" s="24"/>
      <c r="L37" s="16">
        <f t="shared" ca="1" si="10"/>
        <v>25.916666666666668</v>
      </c>
      <c r="M37" s="24"/>
      <c r="N37" s="20">
        <f t="shared" ca="1" si="11"/>
        <v>25.916666666666668</v>
      </c>
      <c r="O37" s="24"/>
      <c r="P37" s="16">
        <f t="shared" ca="1" si="12"/>
        <v>25.916666666666668</v>
      </c>
      <c r="Q37" s="24"/>
      <c r="R37" s="20">
        <f t="shared" ca="1" si="13"/>
        <v>25.916666666666668</v>
      </c>
      <c r="S37" s="24"/>
      <c r="T37" s="16">
        <f t="shared" ca="1" si="14"/>
        <v>25.916666666666668</v>
      </c>
      <c r="U37" s="24"/>
      <c r="V37" s="20">
        <f t="shared" ca="1" si="15"/>
        <v>25.916666666666668</v>
      </c>
      <c r="W37" s="24"/>
      <c r="X37" s="16">
        <f t="shared" ca="1" si="16"/>
        <v>25.916666666666668</v>
      </c>
      <c r="Y37" s="24"/>
      <c r="Z37" s="20">
        <f t="shared" ca="1" si="17"/>
        <v>0</v>
      </c>
      <c r="AA37" s="24"/>
      <c r="AB37" s="16">
        <f t="shared" ca="1" si="18"/>
        <v>0</v>
      </c>
      <c r="AC37" s="24"/>
      <c r="AD37" s="20">
        <f t="shared" ca="1" si="19"/>
        <v>0</v>
      </c>
      <c r="AE37" s="24"/>
      <c r="AF37" s="13">
        <v>42596</v>
      </c>
      <c r="AG37" s="7">
        <f t="shared" si="20"/>
        <v>2016</v>
      </c>
      <c r="AH37" s="26">
        <f ca="1">HLOOKUP($AG37,$H$2:$AE37,36,FALSE)</f>
        <v>25.916666666666668</v>
      </c>
      <c r="AI37" s="26">
        <f ca="1">HLOOKUP($AG37-1,$H$2:$AE37,36,FALSE)</f>
        <v>25.916666666666668</v>
      </c>
      <c r="AJ37" s="28" t="str">
        <f t="shared" ca="1" si="21"/>
        <v>R</v>
      </c>
    </row>
    <row r="38" spans="1:36" x14ac:dyDescent="0.25">
      <c r="A38" s="3" t="s">
        <v>79</v>
      </c>
      <c r="B38" s="3" t="s">
        <v>80</v>
      </c>
      <c r="C38" s="25" t="str">
        <f t="shared" si="7"/>
        <v>nom35 prenom35</v>
      </c>
      <c r="D38" s="25" t="s">
        <v>151</v>
      </c>
      <c r="E38" s="25" t="s">
        <v>9</v>
      </c>
      <c r="F38" s="4">
        <f t="shared" ca="1" si="22"/>
        <v>233.24999999999997</v>
      </c>
      <c r="G38" s="11"/>
      <c r="H38" s="16">
        <f t="shared" ca="1" si="8"/>
        <v>25.916666666666668</v>
      </c>
      <c r="I38" s="24"/>
      <c r="J38" s="20">
        <f t="shared" ca="1" si="9"/>
        <v>25.916666666666668</v>
      </c>
      <c r="K38" s="24"/>
      <c r="L38" s="16">
        <f t="shared" ca="1" si="10"/>
        <v>25.916666666666668</v>
      </c>
      <c r="M38" s="24"/>
      <c r="N38" s="20">
        <f t="shared" ca="1" si="11"/>
        <v>25.916666666666668</v>
      </c>
      <c r="O38" s="24"/>
      <c r="P38" s="16">
        <f t="shared" ca="1" si="12"/>
        <v>25.916666666666668</v>
      </c>
      <c r="Q38" s="24"/>
      <c r="R38" s="20">
        <f t="shared" ca="1" si="13"/>
        <v>25.916666666666668</v>
      </c>
      <c r="S38" s="24"/>
      <c r="T38" s="16">
        <f t="shared" ca="1" si="14"/>
        <v>25.916666666666668</v>
      </c>
      <c r="U38" s="24"/>
      <c r="V38" s="20">
        <f t="shared" ca="1" si="15"/>
        <v>25.916666666666668</v>
      </c>
      <c r="W38" s="24"/>
      <c r="X38" s="16">
        <f t="shared" ca="1" si="16"/>
        <v>25.916666666666668</v>
      </c>
      <c r="Y38" s="24"/>
      <c r="Z38" s="20">
        <f t="shared" ca="1" si="17"/>
        <v>0</v>
      </c>
      <c r="AA38" s="24"/>
      <c r="AB38" s="16">
        <f t="shared" ca="1" si="18"/>
        <v>0</v>
      </c>
      <c r="AC38" s="24"/>
      <c r="AD38" s="20">
        <f t="shared" ca="1" si="19"/>
        <v>0</v>
      </c>
      <c r="AE38" s="24"/>
      <c r="AF38" s="13">
        <v>42597</v>
      </c>
      <c r="AG38" s="7">
        <f t="shared" si="20"/>
        <v>2016</v>
      </c>
      <c r="AH38" s="26">
        <f ca="1">HLOOKUP($AG38,$H$2:$AE38,37,FALSE)</f>
        <v>25.916666666666668</v>
      </c>
      <c r="AI38" s="26">
        <f ca="1">HLOOKUP($AG38-1,$H$2:$AE38,37,FALSE)</f>
        <v>25.916666666666668</v>
      </c>
      <c r="AJ38" s="28" t="str">
        <f t="shared" ca="1" si="21"/>
        <v>R</v>
      </c>
    </row>
    <row r="39" spans="1:36" x14ac:dyDescent="0.25">
      <c r="A39" s="3" t="s">
        <v>81</v>
      </c>
      <c r="B39" s="3" t="s">
        <v>82</v>
      </c>
      <c r="C39" s="25" t="str">
        <f t="shared" si="7"/>
        <v>nom36 prenom36</v>
      </c>
      <c r="D39" s="25" t="s">
        <v>152</v>
      </c>
      <c r="E39" s="25" t="s">
        <v>9</v>
      </c>
      <c r="F39" s="4">
        <f t="shared" ca="1" si="22"/>
        <v>233.24999999999997</v>
      </c>
      <c r="G39" s="11"/>
      <c r="H39" s="16">
        <f t="shared" ca="1" si="8"/>
        <v>25.916666666666668</v>
      </c>
      <c r="I39" s="24"/>
      <c r="J39" s="20">
        <f t="shared" ca="1" si="9"/>
        <v>25.916666666666668</v>
      </c>
      <c r="K39" s="24"/>
      <c r="L39" s="16">
        <f t="shared" ca="1" si="10"/>
        <v>25.916666666666668</v>
      </c>
      <c r="M39" s="24"/>
      <c r="N39" s="20">
        <f t="shared" ca="1" si="11"/>
        <v>25.916666666666668</v>
      </c>
      <c r="O39" s="24"/>
      <c r="P39" s="16">
        <f t="shared" ca="1" si="12"/>
        <v>25.916666666666668</v>
      </c>
      <c r="Q39" s="24"/>
      <c r="R39" s="20">
        <f t="shared" ca="1" si="13"/>
        <v>25.916666666666668</v>
      </c>
      <c r="S39" s="24"/>
      <c r="T39" s="16">
        <f t="shared" ca="1" si="14"/>
        <v>25.916666666666668</v>
      </c>
      <c r="U39" s="24"/>
      <c r="V39" s="20">
        <f t="shared" ca="1" si="15"/>
        <v>25.916666666666668</v>
      </c>
      <c r="W39" s="24"/>
      <c r="X39" s="16">
        <f t="shared" ca="1" si="16"/>
        <v>25.916666666666668</v>
      </c>
      <c r="Y39" s="24"/>
      <c r="Z39" s="20">
        <f t="shared" ca="1" si="17"/>
        <v>0</v>
      </c>
      <c r="AA39" s="24"/>
      <c r="AB39" s="16">
        <f t="shared" ca="1" si="18"/>
        <v>0</v>
      </c>
      <c r="AC39" s="24"/>
      <c r="AD39" s="20">
        <f t="shared" ca="1" si="19"/>
        <v>0</v>
      </c>
      <c r="AE39" s="24"/>
      <c r="AF39" s="13">
        <v>42598</v>
      </c>
      <c r="AG39" s="7">
        <f t="shared" si="20"/>
        <v>2016</v>
      </c>
      <c r="AH39" s="26">
        <f ca="1">HLOOKUP($AG39,$H$2:$AE39,38,FALSE)</f>
        <v>25.916666666666668</v>
      </c>
      <c r="AI39" s="26">
        <f ca="1">HLOOKUP($AG39-1,$H$2:$AE39,38,FALSE)</f>
        <v>25.916666666666668</v>
      </c>
      <c r="AJ39" s="28" t="str">
        <f t="shared" ca="1" si="21"/>
        <v>R</v>
      </c>
    </row>
    <row r="40" spans="1:36" x14ac:dyDescent="0.25">
      <c r="A40" s="3" t="s">
        <v>83</v>
      </c>
      <c r="B40" s="3" t="s">
        <v>84</v>
      </c>
      <c r="C40" s="25" t="str">
        <f t="shared" si="7"/>
        <v>nom37 prenom37</v>
      </c>
      <c r="D40" s="25" t="s">
        <v>153</v>
      </c>
      <c r="E40" s="25" t="s">
        <v>9</v>
      </c>
      <c r="F40" s="4">
        <f t="shared" ca="1" si="22"/>
        <v>233.24999999999997</v>
      </c>
      <c r="G40" s="11"/>
      <c r="H40" s="16">
        <f t="shared" ca="1" si="8"/>
        <v>25.916666666666668</v>
      </c>
      <c r="I40" s="24"/>
      <c r="J40" s="20">
        <f t="shared" ca="1" si="9"/>
        <v>25.916666666666668</v>
      </c>
      <c r="K40" s="24"/>
      <c r="L40" s="16">
        <f t="shared" ca="1" si="10"/>
        <v>25.916666666666668</v>
      </c>
      <c r="M40" s="24"/>
      <c r="N40" s="20">
        <f t="shared" ca="1" si="11"/>
        <v>25.916666666666668</v>
      </c>
      <c r="O40" s="24"/>
      <c r="P40" s="16">
        <f t="shared" ca="1" si="12"/>
        <v>25.916666666666668</v>
      </c>
      <c r="Q40" s="24"/>
      <c r="R40" s="20">
        <f t="shared" ca="1" si="13"/>
        <v>25.916666666666668</v>
      </c>
      <c r="S40" s="24"/>
      <c r="T40" s="16">
        <f t="shared" ca="1" si="14"/>
        <v>25.916666666666668</v>
      </c>
      <c r="U40" s="24"/>
      <c r="V40" s="20">
        <f t="shared" ca="1" si="15"/>
        <v>25.916666666666668</v>
      </c>
      <c r="W40" s="24"/>
      <c r="X40" s="16">
        <f t="shared" ca="1" si="16"/>
        <v>25.916666666666668</v>
      </c>
      <c r="Y40" s="24"/>
      <c r="Z40" s="20">
        <f t="shared" ca="1" si="17"/>
        <v>0</v>
      </c>
      <c r="AA40" s="24"/>
      <c r="AB40" s="16">
        <f t="shared" ca="1" si="18"/>
        <v>0</v>
      </c>
      <c r="AC40" s="24"/>
      <c r="AD40" s="20">
        <f t="shared" ca="1" si="19"/>
        <v>0</v>
      </c>
      <c r="AE40" s="24"/>
      <c r="AF40" s="13">
        <v>42599</v>
      </c>
      <c r="AG40" s="7">
        <f t="shared" si="20"/>
        <v>2016</v>
      </c>
      <c r="AH40" s="26">
        <f ca="1">HLOOKUP($AG40,$H$2:$AE40,39,FALSE)</f>
        <v>25.916666666666668</v>
      </c>
      <c r="AI40" s="26">
        <f ca="1">HLOOKUP($AG40-1,$H$2:$AE40,39,FALSE)</f>
        <v>25.916666666666668</v>
      </c>
      <c r="AJ40" s="28" t="str">
        <f t="shared" ca="1" si="21"/>
        <v>R</v>
      </c>
    </row>
    <row r="41" spans="1:36" x14ac:dyDescent="0.25">
      <c r="A41" s="3" t="s">
        <v>85</v>
      </c>
      <c r="B41" s="3" t="s">
        <v>86</v>
      </c>
      <c r="C41" s="25" t="str">
        <f t="shared" si="7"/>
        <v>nom38 prenom38</v>
      </c>
      <c r="D41" s="25" t="s">
        <v>154</v>
      </c>
      <c r="E41" s="25" t="s">
        <v>9</v>
      </c>
      <c r="F41" s="4">
        <f t="shared" ca="1" si="22"/>
        <v>233.24999999999997</v>
      </c>
      <c r="G41" s="11"/>
      <c r="H41" s="16">
        <f t="shared" ca="1" si="8"/>
        <v>25.916666666666668</v>
      </c>
      <c r="I41" s="24"/>
      <c r="J41" s="20">
        <f t="shared" ca="1" si="9"/>
        <v>25.916666666666668</v>
      </c>
      <c r="K41" s="24"/>
      <c r="L41" s="16">
        <f t="shared" ca="1" si="10"/>
        <v>25.916666666666668</v>
      </c>
      <c r="M41" s="24"/>
      <c r="N41" s="20">
        <f t="shared" ca="1" si="11"/>
        <v>25.916666666666668</v>
      </c>
      <c r="O41" s="24"/>
      <c r="P41" s="16">
        <f t="shared" ca="1" si="12"/>
        <v>25.916666666666668</v>
      </c>
      <c r="Q41" s="24"/>
      <c r="R41" s="20">
        <f t="shared" ca="1" si="13"/>
        <v>25.916666666666668</v>
      </c>
      <c r="S41" s="24"/>
      <c r="T41" s="16">
        <f t="shared" ca="1" si="14"/>
        <v>25.916666666666668</v>
      </c>
      <c r="U41" s="24"/>
      <c r="V41" s="20">
        <f t="shared" ca="1" si="15"/>
        <v>25.916666666666668</v>
      </c>
      <c r="W41" s="24"/>
      <c r="X41" s="16">
        <f t="shared" ca="1" si="16"/>
        <v>25.916666666666668</v>
      </c>
      <c r="Y41" s="24"/>
      <c r="Z41" s="20">
        <f t="shared" ca="1" si="17"/>
        <v>0</v>
      </c>
      <c r="AA41" s="24"/>
      <c r="AB41" s="16">
        <f t="shared" ca="1" si="18"/>
        <v>0</v>
      </c>
      <c r="AC41" s="24"/>
      <c r="AD41" s="20">
        <f t="shared" ca="1" si="19"/>
        <v>0</v>
      </c>
      <c r="AE41" s="24"/>
      <c r="AF41" s="13">
        <v>42600</v>
      </c>
      <c r="AG41" s="7">
        <f t="shared" si="20"/>
        <v>2016</v>
      </c>
      <c r="AH41" s="26">
        <f ca="1">HLOOKUP($AG41,$H$2:$AE41,40,FALSE)</f>
        <v>25.916666666666668</v>
      </c>
      <c r="AI41" s="26">
        <f ca="1">HLOOKUP($AG41-1,$H$2:$AE41,39,FALSE)</f>
        <v>25.916666666666668</v>
      </c>
      <c r="AJ41" s="28" t="str">
        <f t="shared" ca="1" si="21"/>
        <v>R</v>
      </c>
    </row>
    <row r="42" spans="1:36" x14ac:dyDescent="0.25">
      <c r="A42" s="3" t="s">
        <v>87</v>
      </c>
      <c r="B42" s="3" t="s">
        <v>88</v>
      </c>
      <c r="C42" s="25" t="str">
        <f t="shared" si="7"/>
        <v>nom39 prenom39</v>
      </c>
      <c r="D42" s="25" t="s">
        <v>155</v>
      </c>
      <c r="E42" s="25" t="s">
        <v>9</v>
      </c>
      <c r="F42" s="4">
        <f t="shared" ca="1" si="22"/>
        <v>233.24999999999997</v>
      </c>
      <c r="G42" s="11"/>
      <c r="H42" s="16">
        <f t="shared" ca="1" si="8"/>
        <v>25.916666666666668</v>
      </c>
      <c r="I42" s="24"/>
      <c r="J42" s="20">
        <f t="shared" ca="1" si="9"/>
        <v>25.916666666666668</v>
      </c>
      <c r="K42" s="24"/>
      <c r="L42" s="16">
        <f t="shared" ca="1" si="10"/>
        <v>25.916666666666668</v>
      </c>
      <c r="M42" s="24"/>
      <c r="N42" s="20">
        <f t="shared" ca="1" si="11"/>
        <v>25.916666666666668</v>
      </c>
      <c r="O42" s="24"/>
      <c r="P42" s="16">
        <f t="shared" ca="1" si="12"/>
        <v>25.916666666666668</v>
      </c>
      <c r="Q42" s="24"/>
      <c r="R42" s="20">
        <f t="shared" ca="1" si="13"/>
        <v>25.916666666666668</v>
      </c>
      <c r="S42" s="24"/>
      <c r="T42" s="16">
        <f t="shared" ca="1" si="14"/>
        <v>25.916666666666668</v>
      </c>
      <c r="U42" s="24"/>
      <c r="V42" s="20">
        <f t="shared" ca="1" si="15"/>
        <v>25.916666666666668</v>
      </c>
      <c r="W42" s="24"/>
      <c r="X42" s="16">
        <f t="shared" ca="1" si="16"/>
        <v>25.916666666666668</v>
      </c>
      <c r="Y42" s="24"/>
      <c r="Z42" s="20">
        <f t="shared" ca="1" si="17"/>
        <v>0</v>
      </c>
      <c r="AA42" s="24"/>
      <c r="AB42" s="16">
        <f t="shared" ca="1" si="18"/>
        <v>0</v>
      </c>
      <c r="AC42" s="24"/>
      <c r="AD42" s="20">
        <f t="shared" ca="1" si="19"/>
        <v>0</v>
      </c>
      <c r="AE42" s="24"/>
      <c r="AF42" s="13">
        <v>42601</v>
      </c>
      <c r="AG42" s="7">
        <f t="shared" si="20"/>
        <v>2016</v>
      </c>
      <c r="AH42" s="26">
        <f ca="1">HLOOKUP($AG42,$H$2:$AE42,41,FALSE)</f>
        <v>25.916666666666668</v>
      </c>
      <c r="AI42" s="26">
        <f ca="1">HLOOKUP($AG42-1,$H$2:$AE42,39,FALSE)</f>
        <v>25.916666666666668</v>
      </c>
      <c r="AJ42" s="28" t="str">
        <f t="shared" ca="1" si="21"/>
        <v>R</v>
      </c>
    </row>
    <row r="43" spans="1:36" x14ac:dyDescent="0.25">
      <c r="A43" s="3" t="s">
        <v>89</v>
      </c>
      <c r="B43" s="3" t="s">
        <v>90</v>
      </c>
      <c r="C43" s="25" t="str">
        <f t="shared" si="7"/>
        <v>nom40 prenom40</v>
      </c>
      <c r="D43" s="25" t="s">
        <v>156</v>
      </c>
      <c r="E43" s="25" t="s">
        <v>9</v>
      </c>
      <c r="F43" s="4">
        <f t="shared" ca="1" si="22"/>
        <v>233.24999999999997</v>
      </c>
      <c r="G43" s="11"/>
      <c r="H43" s="16">
        <f t="shared" ca="1" si="8"/>
        <v>25.916666666666668</v>
      </c>
      <c r="I43" s="24"/>
      <c r="J43" s="20">
        <f t="shared" ca="1" si="9"/>
        <v>25.916666666666668</v>
      </c>
      <c r="K43" s="24"/>
      <c r="L43" s="16">
        <f t="shared" ca="1" si="10"/>
        <v>25.916666666666668</v>
      </c>
      <c r="M43" s="24"/>
      <c r="N43" s="20">
        <f t="shared" ca="1" si="11"/>
        <v>25.916666666666668</v>
      </c>
      <c r="O43" s="24"/>
      <c r="P43" s="16">
        <f t="shared" ca="1" si="12"/>
        <v>25.916666666666668</v>
      </c>
      <c r="Q43" s="24"/>
      <c r="R43" s="20">
        <f t="shared" ca="1" si="13"/>
        <v>25.916666666666668</v>
      </c>
      <c r="S43" s="24"/>
      <c r="T43" s="16">
        <f t="shared" ca="1" si="14"/>
        <v>25.916666666666668</v>
      </c>
      <c r="U43" s="24"/>
      <c r="V43" s="20">
        <f t="shared" ca="1" si="15"/>
        <v>25.916666666666668</v>
      </c>
      <c r="W43" s="24"/>
      <c r="X43" s="16">
        <f t="shared" ca="1" si="16"/>
        <v>25.916666666666668</v>
      </c>
      <c r="Y43" s="24"/>
      <c r="Z43" s="20">
        <f t="shared" ca="1" si="17"/>
        <v>0</v>
      </c>
      <c r="AA43" s="24"/>
      <c r="AB43" s="16">
        <f t="shared" ca="1" si="18"/>
        <v>0</v>
      </c>
      <c r="AC43" s="24"/>
      <c r="AD43" s="20">
        <f t="shared" ca="1" si="19"/>
        <v>0</v>
      </c>
      <c r="AE43" s="24"/>
      <c r="AF43" s="13">
        <v>42602</v>
      </c>
      <c r="AG43" s="7">
        <f t="shared" si="20"/>
        <v>2016</v>
      </c>
      <c r="AH43" s="26">
        <f ca="1">HLOOKUP($AG43,$H$2:$AE43,42,FALSE)</f>
        <v>25.916666666666668</v>
      </c>
      <c r="AI43" s="26">
        <f ca="1">HLOOKUP($AG43-1,$H$2:$AE43,39,FALSE)</f>
        <v>25.916666666666668</v>
      </c>
      <c r="AJ43" s="28" t="str">
        <f t="shared" ca="1" si="21"/>
        <v>R</v>
      </c>
    </row>
    <row r="44" spans="1:36" x14ac:dyDescent="0.25">
      <c r="A44" s="3" t="s">
        <v>91</v>
      </c>
      <c r="B44" s="3" t="s">
        <v>92</v>
      </c>
      <c r="C44" s="25" t="str">
        <f t="shared" si="7"/>
        <v>nom41 prenom41</v>
      </c>
      <c r="D44" s="25" t="s">
        <v>157</v>
      </c>
      <c r="E44" s="25" t="s">
        <v>9</v>
      </c>
      <c r="F44" s="4">
        <f t="shared" ca="1" si="22"/>
        <v>233.24999999999997</v>
      </c>
      <c r="G44" s="11"/>
      <c r="H44" s="16">
        <f t="shared" ca="1" si="8"/>
        <v>25.916666666666668</v>
      </c>
      <c r="I44" s="24"/>
      <c r="J44" s="20">
        <f t="shared" ca="1" si="9"/>
        <v>25.916666666666668</v>
      </c>
      <c r="K44" s="24"/>
      <c r="L44" s="16">
        <f t="shared" ca="1" si="10"/>
        <v>25.916666666666668</v>
      </c>
      <c r="M44" s="24"/>
      <c r="N44" s="20">
        <f t="shared" ca="1" si="11"/>
        <v>25.916666666666668</v>
      </c>
      <c r="O44" s="24"/>
      <c r="P44" s="16">
        <f t="shared" ca="1" si="12"/>
        <v>25.916666666666668</v>
      </c>
      <c r="Q44" s="24"/>
      <c r="R44" s="20">
        <f t="shared" ca="1" si="13"/>
        <v>25.916666666666668</v>
      </c>
      <c r="S44" s="24"/>
      <c r="T44" s="16">
        <f t="shared" ca="1" si="14"/>
        <v>25.916666666666668</v>
      </c>
      <c r="U44" s="24"/>
      <c r="V44" s="20">
        <f t="shared" ca="1" si="15"/>
        <v>25.916666666666668</v>
      </c>
      <c r="W44" s="24"/>
      <c r="X44" s="16">
        <f t="shared" ca="1" si="16"/>
        <v>25.916666666666668</v>
      </c>
      <c r="Y44" s="24"/>
      <c r="Z44" s="20">
        <f t="shared" ca="1" si="17"/>
        <v>0</v>
      </c>
      <c r="AA44" s="24"/>
      <c r="AB44" s="16">
        <f t="shared" ca="1" si="18"/>
        <v>0</v>
      </c>
      <c r="AC44" s="24"/>
      <c r="AD44" s="20">
        <f t="shared" ca="1" si="19"/>
        <v>0</v>
      </c>
      <c r="AE44" s="24"/>
      <c r="AF44" s="13">
        <v>42603</v>
      </c>
      <c r="AG44" s="7">
        <f t="shared" si="20"/>
        <v>2016</v>
      </c>
      <c r="AH44" s="26">
        <f ca="1">HLOOKUP($AG44,$H$2:$AE44,43,FALSE)</f>
        <v>25.916666666666668</v>
      </c>
      <c r="AI44" s="26">
        <f ca="1">HLOOKUP($AG44-1,$H$2:$AE44,39,FALSE)</f>
        <v>25.916666666666668</v>
      </c>
      <c r="AJ44" s="28" t="str">
        <f t="shared" ca="1" si="21"/>
        <v>R</v>
      </c>
    </row>
    <row r="45" spans="1:36" x14ac:dyDescent="0.25">
      <c r="A45" s="3" t="s">
        <v>93</v>
      </c>
      <c r="B45" s="3" t="s">
        <v>94</v>
      </c>
      <c r="C45" s="25" t="str">
        <f t="shared" si="7"/>
        <v>nom42 prenom42</v>
      </c>
      <c r="D45" s="25" t="s">
        <v>158</v>
      </c>
      <c r="E45" s="25" t="s">
        <v>8</v>
      </c>
      <c r="F45" s="4">
        <f t="shared" ca="1" si="22"/>
        <v>233.24999999999997</v>
      </c>
      <c r="G45" s="11"/>
      <c r="H45" s="16">
        <f t="shared" ca="1" si="8"/>
        <v>25.916666666666668</v>
      </c>
      <c r="I45" s="24"/>
      <c r="J45" s="20">
        <f t="shared" ca="1" si="9"/>
        <v>25.916666666666668</v>
      </c>
      <c r="K45" s="24"/>
      <c r="L45" s="16">
        <f t="shared" ca="1" si="10"/>
        <v>25.916666666666668</v>
      </c>
      <c r="M45" s="24"/>
      <c r="N45" s="20">
        <f t="shared" ca="1" si="11"/>
        <v>25.916666666666668</v>
      </c>
      <c r="O45" s="24"/>
      <c r="P45" s="16">
        <f t="shared" ca="1" si="12"/>
        <v>25.916666666666668</v>
      </c>
      <c r="Q45" s="24"/>
      <c r="R45" s="20">
        <f t="shared" ca="1" si="13"/>
        <v>25.916666666666668</v>
      </c>
      <c r="S45" s="24"/>
      <c r="T45" s="16">
        <f t="shared" ca="1" si="14"/>
        <v>25.916666666666668</v>
      </c>
      <c r="U45" s="24"/>
      <c r="V45" s="20">
        <f t="shared" ca="1" si="15"/>
        <v>25.916666666666668</v>
      </c>
      <c r="W45" s="24"/>
      <c r="X45" s="16">
        <f t="shared" ca="1" si="16"/>
        <v>25.916666666666668</v>
      </c>
      <c r="Y45" s="24"/>
      <c r="Z45" s="20">
        <f t="shared" ca="1" si="17"/>
        <v>0</v>
      </c>
      <c r="AA45" s="24"/>
      <c r="AB45" s="16">
        <f t="shared" ca="1" si="18"/>
        <v>0</v>
      </c>
      <c r="AC45" s="24"/>
      <c r="AD45" s="20">
        <f t="shared" ca="1" si="19"/>
        <v>0</v>
      </c>
      <c r="AE45" s="24"/>
      <c r="AF45" s="13">
        <v>42604</v>
      </c>
      <c r="AG45" s="7">
        <f t="shared" si="20"/>
        <v>2016</v>
      </c>
      <c r="AH45" s="26">
        <f ca="1">HLOOKUP($AG45,$H$2:$AE45,44,FALSE)</f>
        <v>25.916666666666668</v>
      </c>
      <c r="AI45" s="26">
        <f ca="1">HLOOKUP($AG45-1,$H$2:$AE45,39,FALSE)</f>
        <v>25.916666666666668</v>
      </c>
      <c r="AJ45" s="28" t="str">
        <f t="shared" ca="1" si="21"/>
        <v>R</v>
      </c>
    </row>
    <row r="46" spans="1:36" x14ac:dyDescent="0.25">
      <c r="A46" s="3" t="s">
        <v>95</v>
      </c>
      <c r="B46" s="3" t="s">
        <v>96</v>
      </c>
      <c r="C46" s="25" t="str">
        <f t="shared" si="7"/>
        <v>nom43 prenom43</v>
      </c>
      <c r="D46" s="25" t="s">
        <v>159</v>
      </c>
      <c r="E46" s="25" t="s">
        <v>8</v>
      </c>
      <c r="F46" s="4">
        <f t="shared" ca="1" si="22"/>
        <v>233.24999999999997</v>
      </c>
      <c r="G46" s="11"/>
      <c r="H46" s="16">
        <f t="shared" ca="1" si="8"/>
        <v>25.916666666666668</v>
      </c>
      <c r="I46" s="24"/>
      <c r="J46" s="20">
        <f t="shared" ca="1" si="9"/>
        <v>25.916666666666668</v>
      </c>
      <c r="K46" s="24"/>
      <c r="L46" s="16">
        <f t="shared" ca="1" si="10"/>
        <v>25.916666666666668</v>
      </c>
      <c r="M46" s="24"/>
      <c r="N46" s="20">
        <f t="shared" ca="1" si="11"/>
        <v>25.916666666666668</v>
      </c>
      <c r="O46" s="24"/>
      <c r="P46" s="16">
        <f t="shared" ca="1" si="12"/>
        <v>25.916666666666668</v>
      </c>
      <c r="Q46" s="24"/>
      <c r="R46" s="20">
        <f t="shared" ca="1" si="13"/>
        <v>25.916666666666668</v>
      </c>
      <c r="S46" s="24"/>
      <c r="T46" s="16">
        <f t="shared" ca="1" si="14"/>
        <v>25.916666666666668</v>
      </c>
      <c r="U46" s="24"/>
      <c r="V46" s="20">
        <f t="shared" ca="1" si="15"/>
        <v>25.916666666666668</v>
      </c>
      <c r="W46" s="24"/>
      <c r="X46" s="16">
        <f t="shared" ca="1" si="16"/>
        <v>25.916666666666668</v>
      </c>
      <c r="Y46" s="24"/>
      <c r="Z46" s="20">
        <f t="shared" ca="1" si="17"/>
        <v>0</v>
      </c>
      <c r="AA46" s="24"/>
      <c r="AB46" s="16">
        <f t="shared" ca="1" si="18"/>
        <v>0</v>
      </c>
      <c r="AC46" s="24"/>
      <c r="AD46" s="20">
        <f t="shared" ca="1" si="19"/>
        <v>0</v>
      </c>
      <c r="AE46" s="24"/>
      <c r="AF46" s="13">
        <v>42605</v>
      </c>
      <c r="AG46" s="7">
        <f t="shared" si="20"/>
        <v>2016</v>
      </c>
      <c r="AH46" s="26">
        <f ca="1">HLOOKUP($AG46,$H$2:$AE46,45,FALSE)</f>
        <v>25.916666666666668</v>
      </c>
      <c r="AI46" s="26">
        <f ca="1">HLOOKUP($AG46-1,$H$2:$AE46,39,FALSE)</f>
        <v>25.916666666666668</v>
      </c>
      <c r="AJ46" s="28" t="str">
        <f t="shared" ca="1" si="21"/>
        <v>R</v>
      </c>
    </row>
    <row r="47" spans="1:36" x14ac:dyDescent="0.25">
      <c r="A47" s="3" t="s">
        <v>97</v>
      </c>
      <c r="B47" s="3" t="s">
        <v>98</v>
      </c>
      <c r="C47" s="25" t="str">
        <f t="shared" si="7"/>
        <v>nom44 prenom44</v>
      </c>
      <c r="D47" s="25" t="s">
        <v>160</v>
      </c>
      <c r="E47" s="25" t="s">
        <v>9</v>
      </c>
      <c r="F47" s="4">
        <f t="shared" ca="1" si="22"/>
        <v>233.24999999999997</v>
      </c>
      <c r="G47" s="11"/>
      <c r="H47" s="16">
        <f t="shared" ca="1" si="8"/>
        <v>25.916666666666668</v>
      </c>
      <c r="I47" s="24"/>
      <c r="J47" s="20">
        <f t="shared" ca="1" si="9"/>
        <v>25.916666666666668</v>
      </c>
      <c r="K47" s="24"/>
      <c r="L47" s="16">
        <f t="shared" ca="1" si="10"/>
        <v>25.916666666666668</v>
      </c>
      <c r="M47" s="24"/>
      <c r="N47" s="20">
        <f t="shared" ca="1" si="11"/>
        <v>25.916666666666668</v>
      </c>
      <c r="O47" s="24"/>
      <c r="P47" s="16">
        <f t="shared" ca="1" si="12"/>
        <v>25.916666666666668</v>
      </c>
      <c r="Q47" s="24"/>
      <c r="R47" s="20">
        <f t="shared" ca="1" si="13"/>
        <v>25.916666666666668</v>
      </c>
      <c r="S47" s="24"/>
      <c r="T47" s="16">
        <f t="shared" ca="1" si="14"/>
        <v>25.916666666666668</v>
      </c>
      <c r="U47" s="24"/>
      <c r="V47" s="20">
        <f t="shared" ca="1" si="15"/>
        <v>25.916666666666668</v>
      </c>
      <c r="W47" s="24"/>
      <c r="X47" s="16">
        <f t="shared" ca="1" si="16"/>
        <v>25.916666666666668</v>
      </c>
      <c r="Y47" s="24"/>
      <c r="Z47" s="20">
        <f t="shared" ca="1" si="17"/>
        <v>0</v>
      </c>
      <c r="AA47" s="24"/>
      <c r="AB47" s="16">
        <f t="shared" ca="1" si="18"/>
        <v>0</v>
      </c>
      <c r="AC47" s="24"/>
      <c r="AD47" s="20">
        <f t="shared" ca="1" si="19"/>
        <v>0</v>
      </c>
      <c r="AE47" s="24"/>
      <c r="AF47" s="13">
        <v>42606</v>
      </c>
      <c r="AG47" s="7">
        <f t="shared" si="20"/>
        <v>2016</v>
      </c>
      <c r="AH47" s="26">
        <f ca="1">HLOOKUP($AG47,$H$2:$AE47,46,FALSE)</f>
        <v>25.916666666666668</v>
      </c>
      <c r="AI47" s="26">
        <f ca="1">HLOOKUP($AG47-1,$H$2:$AE47,39,FALSE)</f>
        <v>25.916666666666668</v>
      </c>
      <c r="AJ47" s="28" t="str">
        <f t="shared" ca="1" si="21"/>
        <v>R</v>
      </c>
    </row>
    <row r="48" spans="1:36" x14ac:dyDescent="0.25">
      <c r="A48" s="3" t="s">
        <v>99</v>
      </c>
      <c r="B48" s="3" t="s">
        <v>100</v>
      </c>
      <c r="C48" s="25" t="str">
        <f t="shared" si="7"/>
        <v>nom45 prenom45</v>
      </c>
      <c r="D48" s="25" t="s">
        <v>161</v>
      </c>
      <c r="E48" s="25" t="s">
        <v>8</v>
      </c>
      <c r="F48" s="4">
        <f t="shared" ca="1" si="22"/>
        <v>233.24999999999997</v>
      </c>
      <c r="G48" s="11"/>
      <c r="H48" s="16">
        <f t="shared" ca="1" si="8"/>
        <v>25.916666666666668</v>
      </c>
      <c r="I48" s="24"/>
      <c r="J48" s="20">
        <f t="shared" ca="1" si="9"/>
        <v>25.916666666666668</v>
      </c>
      <c r="K48" s="24"/>
      <c r="L48" s="16">
        <f t="shared" ca="1" si="10"/>
        <v>25.916666666666668</v>
      </c>
      <c r="M48" s="24"/>
      <c r="N48" s="20">
        <f t="shared" ca="1" si="11"/>
        <v>25.916666666666668</v>
      </c>
      <c r="O48" s="24"/>
      <c r="P48" s="16">
        <f t="shared" ca="1" si="12"/>
        <v>25.916666666666668</v>
      </c>
      <c r="Q48" s="24"/>
      <c r="R48" s="20">
        <f t="shared" ca="1" si="13"/>
        <v>25.916666666666668</v>
      </c>
      <c r="S48" s="24"/>
      <c r="T48" s="16">
        <f t="shared" ca="1" si="14"/>
        <v>25.916666666666668</v>
      </c>
      <c r="U48" s="24"/>
      <c r="V48" s="20">
        <f t="shared" ca="1" si="15"/>
        <v>25.916666666666668</v>
      </c>
      <c r="W48" s="24"/>
      <c r="X48" s="16">
        <f t="shared" ca="1" si="16"/>
        <v>25.916666666666668</v>
      </c>
      <c r="Y48" s="24"/>
      <c r="Z48" s="20">
        <f t="shared" ca="1" si="17"/>
        <v>0</v>
      </c>
      <c r="AA48" s="24"/>
      <c r="AB48" s="16">
        <f t="shared" ca="1" si="18"/>
        <v>0</v>
      </c>
      <c r="AC48" s="24"/>
      <c r="AD48" s="20">
        <f t="shared" ca="1" si="19"/>
        <v>0</v>
      </c>
      <c r="AE48" s="24"/>
      <c r="AF48" s="13">
        <v>42607</v>
      </c>
      <c r="AG48" s="7">
        <f t="shared" si="20"/>
        <v>2016</v>
      </c>
      <c r="AH48" s="26">
        <f ca="1">HLOOKUP($AG48,$H$2:$AE48,47,FALSE)</f>
        <v>25.916666666666668</v>
      </c>
      <c r="AI48" s="26">
        <f ca="1">HLOOKUP($AG48-1,$H$2:$AE48,39,FALSE)</f>
        <v>25.916666666666668</v>
      </c>
      <c r="AJ48" s="28" t="str">
        <f t="shared" ca="1" si="21"/>
        <v>R</v>
      </c>
    </row>
    <row r="49" spans="1:36" x14ac:dyDescent="0.25">
      <c r="A49" s="3" t="s">
        <v>101</v>
      </c>
      <c r="B49" s="3" t="s">
        <v>102</v>
      </c>
      <c r="C49" s="25" t="str">
        <f t="shared" si="7"/>
        <v>nom46 prenom46</v>
      </c>
      <c r="D49" s="25" t="s">
        <v>162</v>
      </c>
      <c r="E49" s="25" t="s">
        <v>8</v>
      </c>
      <c r="F49" s="4">
        <f t="shared" ca="1" si="22"/>
        <v>233.24999999999997</v>
      </c>
      <c r="G49" s="11"/>
      <c r="H49" s="16">
        <f t="shared" ca="1" si="8"/>
        <v>25.916666666666668</v>
      </c>
      <c r="I49" s="24"/>
      <c r="J49" s="20">
        <f t="shared" ca="1" si="9"/>
        <v>25.916666666666668</v>
      </c>
      <c r="K49" s="24"/>
      <c r="L49" s="16">
        <f t="shared" ca="1" si="10"/>
        <v>25.916666666666668</v>
      </c>
      <c r="M49" s="24"/>
      <c r="N49" s="20">
        <f t="shared" ca="1" si="11"/>
        <v>25.916666666666668</v>
      </c>
      <c r="O49" s="24"/>
      <c r="P49" s="16">
        <f t="shared" ca="1" si="12"/>
        <v>25.916666666666668</v>
      </c>
      <c r="Q49" s="24"/>
      <c r="R49" s="20">
        <f t="shared" ca="1" si="13"/>
        <v>25.916666666666668</v>
      </c>
      <c r="S49" s="24"/>
      <c r="T49" s="16">
        <f t="shared" ca="1" si="14"/>
        <v>25.916666666666668</v>
      </c>
      <c r="U49" s="24"/>
      <c r="V49" s="20">
        <f t="shared" ca="1" si="15"/>
        <v>25.916666666666668</v>
      </c>
      <c r="W49" s="24"/>
      <c r="X49" s="16">
        <f t="shared" ca="1" si="16"/>
        <v>25.916666666666668</v>
      </c>
      <c r="Y49" s="24"/>
      <c r="Z49" s="20">
        <f t="shared" ca="1" si="17"/>
        <v>0</v>
      </c>
      <c r="AA49" s="24"/>
      <c r="AB49" s="16">
        <f t="shared" ca="1" si="18"/>
        <v>0</v>
      </c>
      <c r="AC49" s="24"/>
      <c r="AD49" s="20">
        <f t="shared" ca="1" si="19"/>
        <v>0</v>
      </c>
      <c r="AE49" s="24"/>
      <c r="AF49" s="13">
        <v>42608</v>
      </c>
      <c r="AG49" s="7">
        <f t="shared" si="20"/>
        <v>2016</v>
      </c>
      <c r="AH49" s="26">
        <f ca="1">HLOOKUP($AG49,$H$2:$AE49,48,FALSE)</f>
        <v>25.916666666666668</v>
      </c>
      <c r="AI49" s="26">
        <f ca="1">HLOOKUP($AG49-1,$H$2:$AE49,39,FALSE)</f>
        <v>25.916666666666668</v>
      </c>
      <c r="AJ49" s="28" t="str">
        <f t="shared" ca="1" si="21"/>
        <v>R</v>
      </c>
    </row>
    <row r="50" spans="1:36" x14ac:dyDescent="0.25">
      <c r="A50" s="3" t="s">
        <v>103</v>
      </c>
      <c r="B50" s="3" t="s">
        <v>104</v>
      </c>
      <c r="C50" s="25" t="str">
        <f t="shared" si="7"/>
        <v>nom47 prenom47</v>
      </c>
      <c r="D50" s="25" t="s">
        <v>163</v>
      </c>
      <c r="E50" s="25" t="s">
        <v>8</v>
      </c>
      <c r="F50" s="4">
        <f t="shared" ca="1" si="22"/>
        <v>233.24999999999997</v>
      </c>
      <c r="G50" s="11"/>
      <c r="H50" s="16">
        <f t="shared" ca="1" si="8"/>
        <v>25.916666666666668</v>
      </c>
      <c r="I50" s="24"/>
      <c r="J50" s="20">
        <f t="shared" ca="1" si="9"/>
        <v>25.916666666666668</v>
      </c>
      <c r="K50" s="24"/>
      <c r="L50" s="16">
        <f t="shared" ca="1" si="10"/>
        <v>25.916666666666668</v>
      </c>
      <c r="M50" s="24"/>
      <c r="N50" s="20">
        <f t="shared" ca="1" si="11"/>
        <v>25.916666666666668</v>
      </c>
      <c r="O50" s="24"/>
      <c r="P50" s="16">
        <f t="shared" ca="1" si="12"/>
        <v>25.916666666666668</v>
      </c>
      <c r="Q50" s="24"/>
      <c r="R50" s="20">
        <f t="shared" ca="1" si="13"/>
        <v>25.916666666666668</v>
      </c>
      <c r="S50" s="24"/>
      <c r="T50" s="16">
        <f t="shared" ca="1" si="14"/>
        <v>25.916666666666668</v>
      </c>
      <c r="U50" s="24"/>
      <c r="V50" s="20">
        <f t="shared" ca="1" si="15"/>
        <v>25.916666666666668</v>
      </c>
      <c r="W50" s="24"/>
      <c r="X50" s="16">
        <f t="shared" ca="1" si="16"/>
        <v>25.916666666666668</v>
      </c>
      <c r="Y50" s="24"/>
      <c r="Z50" s="20">
        <f t="shared" ca="1" si="17"/>
        <v>0</v>
      </c>
      <c r="AA50" s="24"/>
      <c r="AB50" s="16">
        <f t="shared" ca="1" si="18"/>
        <v>0</v>
      </c>
      <c r="AC50" s="24"/>
      <c r="AD50" s="20">
        <f t="shared" ca="1" si="19"/>
        <v>0</v>
      </c>
      <c r="AE50" s="24"/>
      <c r="AF50" s="13">
        <v>42609</v>
      </c>
      <c r="AG50" s="7">
        <f t="shared" si="20"/>
        <v>2016</v>
      </c>
      <c r="AH50" s="26">
        <f ca="1">HLOOKUP($AG50,$H$2:$AE50,49,FALSE)</f>
        <v>25.916666666666668</v>
      </c>
      <c r="AI50" s="26">
        <f ca="1">HLOOKUP($AG50-1,$H$2:$AE50,39,FALSE)</f>
        <v>25.916666666666668</v>
      </c>
      <c r="AJ50" s="28" t="str">
        <f t="shared" ca="1" si="21"/>
        <v>R</v>
      </c>
    </row>
    <row r="51" spans="1:36" x14ac:dyDescent="0.25">
      <c r="A51" s="3" t="s">
        <v>105</v>
      </c>
      <c r="B51" s="3" t="s">
        <v>106</v>
      </c>
      <c r="C51" s="25" t="str">
        <f t="shared" si="7"/>
        <v>nom48 prenom48</v>
      </c>
      <c r="D51" s="25" t="s">
        <v>164</v>
      </c>
      <c r="E51" s="25" t="s">
        <v>9</v>
      </c>
      <c r="F51" s="4">
        <f t="shared" ca="1" si="22"/>
        <v>233.24999999999997</v>
      </c>
      <c r="G51" s="11"/>
      <c r="H51" s="16">
        <f t="shared" ca="1" si="8"/>
        <v>25.916666666666668</v>
      </c>
      <c r="I51" s="24"/>
      <c r="J51" s="20">
        <f t="shared" ca="1" si="9"/>
        <v>25.916666666666668</v>
      </c>
      <c r="K51" s="24"/>
      <c r="L51" s="16">
        <f t="shared" ca="1" si="10"/>
        <v>25.916666666666668</v>
      </c>
      <c r="M51" s="24"/>
      <c r="N51" s="20">
        <f t="shared" ca="1" si="11"/>
        <v>25.916666666666668</v>
      </c>
      <c r="O51" s="24"/>
      <c r="P51" s="16">
        <f t="shared" ca="1" si="12"/>
        <v>25.916666666666668</v>
      </c>
      <c r="Q51" s="24"/>
      <c r="R51" s="20">
        <f t="shared" ca="1" si="13"/>
        <v>25.916666666666668</v>
      </c>
      <c r="S51" s="24"/>
      <c r="T51" s="16">
        <f t="shared" ca="1" si="14"/>
        <v>25.916666666666668</v>
      </c>
      <c r="U51" s="24"/>
      <c r="V51" s="20">
        <f t="shared" ca="1" si="15"/>
        <v>25.916666666666668</v>
      </c>
      <c r="W51" s="24"/>
      <c r="X51" s="16">
        <f t="shared" ca="1" si="16"/>
        <v>25.916666666666668</v>
      </c>
      <c r="Y51" s="24"/>
      <c r="Z51" s="20">
        <f t="shared" ca="1" si="17"/>
        <v>0</v>
      </c>
      <c r="AA51" s="24"/>
      <c r="AB51" s="16">
        <f t="shared" ca="1" si="18"/>
        <v>0</v>
      </c>
      <c r="AC51" s="24"/>
      <c r="AD51" s="20">
        <f t="shared" ca="1" si="19"/>
        <v>0</v>
      </c>
      <c r="AE51" s="24"/>
      <c r="AF51" s="13">
        <v>42610</v>
      </c>
      <c r="AG51" s="7">
        <f t="shared" si="20"/>
        <v>2016</v>
      </c>
      <c r="AH51" s="26">
        <f ca="1">HLOOKUP($AG51,$H$2:$AE51,50,FALSE)</f>
        <v>25.916666666666668</v>
      </c>
      <c r="AI51" s="26">
        <f ca="1">HLOOKUP($AG51-1,$H$2:$AE51,39,FALSE)</f>
        <v>25.916666666666668</v>
      </c>
      <c r="AJ51" s="28" t="str">
        <f t="shared" ca="1" si="21"/>
        <v>R</v>
      </c>
    </row>
    <row r="52" spans="1:36" x14ac:dyDescent="0.25">
      <c r="A52" s="3" t="s">
        <v>107</v>
      </c>
      <c r="B52" s="3" t="s">
        <v>108</v>
      </c>
      <c r="C52" s="25" t="str">
        <f t="shared" si="7"/>
        <v>nom49 prenom49</v>
      </c>
      <c r="D52" s="25" t="s">
        <v>165</v>
      </c>
      <c r="E52" s="25" t="s">
        <v>9</v>
      </c>
      <c r="F52" s="4">
        <f t="shared" ca="1" si="22"/>
        <v>233.24999999999997</v>
      </c>
      <c r="G52" s="11"/>
      <c r="H52" s="16">
        <f t="shared" ca="1" si="8"/>
        <v>25.916666666666668</v>
      </c>
      <c r="I52" s="24"/>
      <c r="J52" s="20">
        <f t="shared" ca="1" si="9"/>
        <v>25.916666666666668</v>
      </c>
      <c r="K52" s="24"/>
      <c r="L52" s="16">
        <f t="shared" ca="1" si="10"/>
        <v>25.916666666666668</v>
      </c>
      <c r="M52" s="24"/>
      <c r="N52" s="20">
        <f t="shared" ca="1" si="11"/>
        <v>25.916666666666668</v>
      </c>
      <c r="O52" s="24"/>
      <c r="P52" s="16">
        <f t="shared" ca="1" si="12"/>
        <v>25.916666666666668</v>
      </c>
      <c r="Q52" s="24"/>
      <c r="R52" s="20">
        <f t="shared" ca="1" si="13"/>
        <v>25.916666666666668</v>
      </c>
      <c r="S52" s="24"/>
      <c r="T52" s="16">
        <f t="shared" ca="1" si="14"/>
        <v>25.916666666666668</v>
      </c>
      <c r="U52" s="24"/>
      <c r="V52" s="20">
        <f t="shared" ca="1" si="15"/>
        <v>25.916666666666668</v>
      </c>
      <c r="W52" s="24"/>
      <c r="X52" s="16">
        <f t="shared" ca="1" si="16"/>
        <v>25.916666666666668</v>
      </c>
      <c r="Y52" s="24"/>
      <c r="Z52" s="20">
        <f t="shared" ca="1" si="17"/>
        <v>0</v>
      </c>
      <c r="AA52" s="24"/>
      <c r="AB52" s="16">
        <f t="shared" ca="1" si="18"/>
        <v>0</v>
      </c>
      <c r="AC52" s="24"/>
      <c r="AD52" s="20">
        <f t="shared" ca="1" si="19"/>
        <v>0</v>
      </c>
      <c r="AE52" s="24"/>
      <c r="AF52" s="13">
        <v>42611</v>
      </c>
      <c r="AG52" s="7">
        <f t="shared" si="20"/>
        <v>2016</v>
      </c>
      <c r="AH52" s="26">
        <f ca="1">HLOOKUP($AG52,$H$2:$AE52,51,FALSE)</f>
        <v>25.916666666666668</v>
      </c>
      <c r="AI52" s="26">
        <f ca="1">HLOOKUP($AG52-1,$H$2:$AE52,39,FALSE)</f>
        <v>25.916666666666668</v>
      </c>
      <c r="AJ52" s="28" t="str">
        <f t="shared" ca="1" si="21"/>
        <v>R</v>
      </c>
    </row>
    <row r="53" spans="1:36" x14ac:dyDescent="0.25">
      <c r="A53" s="3" t="s">
        <v>109</v>
      </c>
      <c r="B53" s="3" t="s">
        <v>110</v>
      </c>
      <c r="C53" s="25" t="str">
        <f t="shared" si="7"/>
        <v>nom50 prenom50</v>
      </c>
      <c r="D53" s="25" t="s">
        <v>166</v>
      </c>
      <c r="E53" s="25" t="s">
        <v>9</v>
      </c>
      <c r="F53" s="4">
        <f t="shared" ca="1" si="22"/>
        <v>233.24999999999997</v>
      </c>
      <c r="G53" s="11"/>
      <c r="H53" s="16">
        <f t="shared" ca="1" si="8"/>
        <v>25.916666666666668</v>
      </c>
      <c r="I53" s="24"/>
      <c r="J53" s="20">
        <f t="shared" ca="1" si="9"/>
        <v>25.916666666666668</v>
      </c>
      <c r="K53" s="24"/>
      <c r="L53" s="16">
        <f t="shared" ca="1" si="10"/>
        <v>25.916666666666668</v>
      </c>
      <c r="M53" s="24"/>
      <c r="N53" s="20">
        <f t="shared" ca="1" si="11"/>
        <v>25.916666666666668</v>
      </c>
      <c r="O53" s="24"/>
      <c r="P53" s="16">
        <f t="shared" ca="1" si="12"/>
        <v>25.916666666666668</v>
      </c>
      <c r="Q53" s="24"/>
      <c r="R53" s="20">
        <f t="shared" ca="1" si="13"/>
        <v>25.916666666666668</v>
      </c>
      <c r="S53" s="24"/>
      <c r="T53" s="16">
        <f t="shared" ca="1" si="14"/>
        <v>25.916666666666668</v>
      </c>
      <c r="U53" s="24"/>
      <c r="V53" s="20">
        <f t="shared" ca="1" si="15"/>
        <v>25.916666666666668</v>
      </c>
      <c r="W53" s="24"/>
      <c r="X53" s="16">
        <f t="shared" ca="1" si="16"/>
        <v>25.916666666666668</v>
      </c>
      <c r="Y53" s="24"/>
      <c r="Z53" s="20">
        <f t="shared" ca="1" si="17"/>
        <v>0</v>
      </c>
      <c r="AA53" s="24"/>
      <c r="AB53" s="16">
        <f t="shared" ca="1" si="18"/>
        <v>0</v>
      </c>
      <c r="AC53" s="24"/>
      <c r="AD53" s="20">
        <f t="shared" ca="1" si="19"/>
        <v>0</v>
      </c>
      <c r="AE53" s="24"/>
      <c r="AF53" s="13">
        <v>42612</v>
      </c>
      <c r="AG53" s="7">
        <f t="shared" si="20"/>
        <v>2016</v>
      </c>
      <c r="AH53" s="26">
        <f ca="1">HLOOKUP($AG53,$H$2:$AE53,52,FALSE)</f>
        <v>25.916666666666668</v>
      </c>
      <c r="AI53" s="26">
        <f ca="1">HLOOKUP($AG53-1,$H$2:$AE53,39,FALSE)</f>
        <v>25.916666666666668</v>
      </c>
      <c r="AJ53" s="28" t="str">
        <f t="shared" ca="1" si="21"/>
        <v>R</v>
      </c>
    </row>
    <row r="54" spans="1:36" x14ac:dyDescent="0.25">
      <c r="A54" s="3" t="s">
        <v>111</v>
      </c>
      <c r="B54" s="3" t="s">
        <v>112</v>
      </c>
      <c r="C54" s="25" t="str">
        <f t="shared" si="7"/>
        <v>nom51 prenom51</v>
      </c>
      <c r="D54" s="25" t="s">
        <v>167</v>
      </c>
      <c r="E54" s="25" t="s">
        <v>9</v>
      </c>
      <c r="F54" s="4">
        <f t="shared" ca="1" si="22"/>
        <v>233.24999999999997</v>
      </c>
      <c r="G54" s="11"/>
      <c r="H54" s="16">
        <f t="shared" ca="1" si="8"/>
        <v>25.916666666666668</v>
      </c>
      <c r="I54" s="24"/>
      <c r="J54" s="20">
        <f t="shared" ca="1" si="9"/>
        <v>25.916666666666668</v>
      </c>
      <c r="K54" s="24"/>
      <c r="L54" s="16">
        <f t="shared" ca="1" si="10"/>
        <v>25.916666666666668</v>
      </c>
      <c r="M54" s="24"/>
      <c r="N54" s="20">
        <f t="shared" ca="1" si="11"/>
        <v>25.916666666666668</v>
      </c>
      <c r="O54" s="24"/>
      <c r="P54" s="16">
        <f t="shared" ca="1" si="12"/>
        <v>25.916666666666668</v>
      </c>
      <c r="Q54" s="24"/>
      <c r="R54" s="20">
        <f t="shared" ca="1" si="13"/>
        <v>25.916666666666668</v>
      </c>
      <c r="S54" s="24"/>
      <c r="T54" s="16">
        <f t="shared" ca="1" si="14"/>
        <v>25.916666666666668</v>
      </c>
      <c r="U54" s="24"/>
      <c r="V54" s="20">
        <f t="shared" ca="1" si="15"/>
        <v>25.916666666666668</v>
      </c>
      <c r="W54" s="24"/>
      <c r="X54" s="16">
        <f t="shared" ca="1" si="16"/>
        <v>25.916666666666668</v>
      </c>
      <c r="Y54" s="24"/>
      <c r="Z54" s="20">
        <f t="shared" ca="1" si="17"/>
        <v>0</v>
      </c>
      <c r="AA54" s="24"/>
      <c r="AB54" s="16">
        <f t="shared" ca="1" si="18"/>
        <v>0</v>
      </c>
      <c r="AC54" s="24"/>
      <c r="AD54" s="20">
        <f t="shared" ca="1" si="19"/>
        <v>0</v>
      </c>
      <c r="AE54" s="24"/>
      <c r="AF54" s="13">
        <v>42613</v>
      </c>
      <c r="AG54" s="7">
        <f t="shared" si="20"/>
        <v>2016</v>
      </c>
      <c r="AH54" s="26">
        <f ca="1">HLOOKUP($AG54,$H$2:$AE54,53,FALSE)</f>
        <v>25.916666666666668</v>
      </c>
      <c r="AI54" s="26">
        <f ca="1">HLOOKUP($AG54-1,$H$2:$AE54,39,FALSE)</f>
        <v>25.916666666666668</v>
      </c>
      <c r="AJ54" s="28" t="str">
        <f t="shared" ca="1" si="21"/>
        <v>R</v>
      </c>
    </row>
    <row r="55" spans="1:36" x14ac:dyDescent="0.25">
      <c r="A55" s="3" t="s">
        <v>113</v>
      </c>
      <c r="B55" s="3" t="s">
        <v>114</v>
      </c>
      <c r="C55" s="25" t="str">
        <f t="shared" si="7"/>
        <v>nom52 prenom52</v>
      </c>
      <c r="D55" s="25" t="s">
        <v>168</v>
      </c>
      <c r="E55" s="25" t="s">
        <v>9</v>
      </c>
      <c r="F55" s="4">
        <f ca="1">SUM(H55:AE55)</f>
        <v>233.24999999999997</v>
      </c>
      <c r="G55" s="11"/>
      <c r="H55" s="16">
        <f t="shared" ca="1" si="8"/>
        <v>25.916666666666668</v>
      </c>
      <c r="I55" s="24"/>
      <c r="J55" s="20">
        <f t="shared" ca="1" si="9"/>
        <v>25.916666666666668</v>
      </c>
      <c r="K55" s="24"/>
      <c r="L55" s="16">
        <f t="shared" ca="1" si="10"/>
        <v>25.916666666666668</v>
      </c>
      <c r="M55" s="24"/>
      <c r="N55" s="20">
        <f t="shared" ca="1" si="11"/>
        <v>25.916666666666668</v>
      </c>
      <c r="O55" s="24"/>
      <c r="P55" s="16">
        <f t="shared" ca="1" si="12"/>
        <v>25.916666666666668</v>
      </c>
      <c r="Q55" s="24"/>
      <c r="R55" s="20">
        <f t="shared" ca="1" si="13"/>
        <v>25.916666666666668</v>
      </c>
      <c r="S55" s="24"/>
      <c r="T55" s="16">
        <f t="shared" ca="1" si="14"/>
        <v>25.916666666666668</v>
      </c>
      <c r="U55" s="24"/>
      <c r="V55" s="20">
        <f t="shared" ca="1" si="15"/>
        <v>25.916666666666668</v>
      </c>
      <c r="W55" s="24"/>
      <c r="X55" s="16">
        <f t="shared" ca="1" si="16"/>
        <v>25.916666666666668</v>
      </c>
      <c r="Y55" s="24"/>
      <c r="Z55" s="20">
        <f t="shared" ca="1" si="17"/>
        <v>0</v>
      </c>
      <c r="AA55" s="24"/>
      <c r="AB55" s="16">
        <f t="shared" ca="1" si="18"/>
        <v>0</v>
      </c>
      <c r="AC55" s="24"/>
      <c r="AD55" s="20">
        <f t="shared" ca="1" si="19"/>
        <v>0</v>
      </c>
      <c r="AE55" s="24"/>
      <c r="AF55" s="13">
        <v>42614</v>
      </c>
      <c r="AG55" s="7">
        <f t="shared" si="20"/>
        <v>2016</v>
      </c>
      <c r="AH55" s="26">
        <f ca="1">HLOOKUP($AG55,$H$2:$AE55,54,FALSE)</f>
        <v>25.916666666666668</v>
      </c>
      <c r="AI55" s="26">
        <f ca="1">HLOOKUP($AG55-1,$H$2:$AE55,39,FALSE)</f>
        <v>25.916666666666668</v>
      </c>
      <c r="AJ55" s="28" t="str">
        <f t="shared" ca="1" si="21"/>
        <v>R</v>
      </c>
    </row>
    <row r="56" spans="1:36" x14ac:dyDescent="0.25">
      <c r="A56" s="3" t="s">
        <v>115</v>
      </c>
      <c r="B56" s="3" t="s">
        <v>116</v>
      </c>
      <c r="C56" s="25" t="str">
        <f t="shared" si="7"/>
        <v>nom53 prenom53</v>
      </c>
      <c r="D56" s="25" t="s">
        <v>169</v>
      </c>
      <c r="E56" s="25" t="s">
        <v>9</v>
      </c>
      <c r="F56" s="4">
        <f t="shared" ref="F56" ca="1" si="23">SUM(H56:AE56)</f>
        <v>233.24999999999997</v>
      </c>
      <c r="G56" s="11"/>
      <c r="H56" s="16">
        <f t="shared" ca="1" si="8"/>
        <v>25.916666666666668</v>
      </c>
      <c r="I56" s="24"/>
      <c r="J56" s="20">
        <f t="shared" ca="1" si="9"/>
        <v>25.916666666666668</v>
      </c>
      <c r="K56" s="24"/>
      <c r="L56" s="16">
        <f t="shared" ca="1" si="10"/>
        <v>25.916666666666668</v>
      </c>
      <c r="M56" s="24"/>
      <c r="N56" s="20">
        <f t="shared" ca="1" si="11"/>
        <v>25.916666666666668</v>
      </c>
      <c r="O56" s="24"/>
      <c r="P56" s="16">
        <f t="shared" ca="1" si="12"/>
        <v>25.916666666666668</v>
      </c>
      <c r="Q56" s="24"/>
      <c r="R56" s="20">
        <f t="shared" ca="1" si="13"/>
        <v>25.916666666666668</v>
      </c>
      <c r="S56" s="24"/>
      <c r="T56" s="16">
        <f t="shared" ca="1" si="14"/>
        <v>25.916666666666668</v>
      </c>
      <c r="U56" s="24"/>
      <c r="V56" s="20">
        <f t="shared" ca="1" si="15"/>
        <v>25.916666666666668</v>
      </c>
      <c r="W56" s="24"/>
      <c r="X56" s="16">
        <f t="shared" ca="1" si="16"/>
        <v>25.916666666666668</v>
      </c>
      <c r="Y56" s="24"/>
      <c r="Z56" s="20">
        <f t="shared" ca="1" si="17"/>
        <v>0</v>
      </c>
      <c r="AA56" s="24"/>
      <c r="AB56" s="16">
        <f t="shared" ca="1" si="18"/>
        <v>0</v>
      </c>
      <c r="AC56" s="24"/>
      <c r="AD56" s="20">
        <f t="shared" ca="1" si="19"/>
        <v>0</v>
      </c>
      <c r="AE56" s="24"/>
      <c r="AF56" s="13">
        <v>39995</v>
      </c>
      <c r="AG56" s="7">
        <f>INDEX($H$2:$AE$2,MATCH($AF56,$H$3:$AE$3,1))</f>
        <v>2009</v>
      </c>
      <c r="AH56" s="26">
        <f ca="1">HLOOKUP($AG56,$H$2:$AE56,55,FALSE)</f>
        <v>25.916666666666668</v>
      </c>
      <c r="AI56" s="26">
        <f ca="1">HLOOKUP($AG56-1,$H$2:$AE56,39,FALSE)</f>
        <v>25.916666666666668</v>
      </c>
      <c r="AJ56" s="28" t="str">
        <f t="shared" ca="1" si="21"/>
        <v>R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workbookViewId="0">
      <selection activeCell="A18" sqref="A18"/>
    </sheetView>
  </sheetViews>
  <sheetFormatPr baseColWidth="10" defaultRowHeight="15" x14ac:dyDescent="0.25"/>
  <cols>
    <col min="1" max="1" width="13.5703125" bestFit="1" customWidth="1"/>
  </cols>
  <sheetData>
    <row r="1" spans="1:1" x14ac:dyDescent="0.25">
      <c r="A1" t="s">
        <v>10</v>
      </c>
    </row>
    <row r="2" spans="1:1" x14ac:dyDescent="0.25">
      <c r="A2">
        <v>0</v>
      </c>
    </row>
    <row r="3" spans="1:1" x14ac:dyDescent="0.25">
      <c r="A3">
        <v>1</v>
      </c>
    </row>
    <row r="4" spans="1:1" x14ac:dyDescent="0.25">
      <c r="A4">
        <v>2</v>
      </c>
    </row>
    <row r="5" spans="1:1" x14ac:dyDescent="0.25">
      <c r="A5">
        <v>3</v>
      </c>
    </row>
    <row r="6" spans="1:1" x14ac:dyDescent="0.25">
      <c r="A6">
        <v>4</v>
      </c>
    </row>
    <row r="7" spans="1:1" x14ac:dyDescent="0.25">
      <c r="A7">
        <v>5</v>
      </c>
    </row>
    <row r="8" spans="1:1" x14ac:dyDescent="0.25">
      <c r="A8">
        <v>6</v>
      </c>
    </row>
    <row r="9" spans="1:1" x14ac:dyDescent="0.25">
      <c r="A9">
        <v>7</v>
      </c>
    </row>
    <row r="10" spans="1:1" x14ac:dyDescent="0.25">
      <c r="A10">
        <v>8</v>
      </c>
    </row>
    <row r="11" spans="1:1" x14ac:dyDescent="0.25">
      <c r="A11">
        <v>9</v>
      </c>
    </row>
    <row r="12" spans="1:1" x14ac:dyDescent="0.25">
      <c r="A12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liste</vt:lpstr>
      <vt:lpstr>Feuil3</vt:lpstr>
      <vt:lpstr>feries</vt:lpstr>
      <vt:lpstr>nom</vt:lpstr>
      <vt:lpstr>nom_prenom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gmb</cp:lastModifiedBy>
  <dcterms:created xsi:type="dcterms:W3CDTF">2016-06-30T03:01:22Z</dcterms:created>
  <dcterms:modified xsi:type="dcterms:W3CDTF">2016-07-03T06:53:20Z</dcterms:modified>
</cp:coreProperties>
</file>