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35" windowHeight="6795" activeTab="1"/>
  </bookViews>
  <sheets>
    <sheet name="Feuil1" sheetId="1" r:id="rId1"/>
    <sheet name="ARTICLE" sheetId="2" r:id="rId2"/>
    <sheet name="ORDER" sheetId="3" r:id="rId3"/>
    <sheet name="PO" sheetId="4" r:id="rId4"/>
    <sheet name="BOOKING" sheetId="5" r:id="rId5"/>
    <sheet name="FSS" sheetId="6" r:id="rId6"/>
    <sheet name="CLIENT" sheetId="7" r:id="rId7"/>
    <sheet name="CONFIG" sheetId="8" r:id="rId8"/>
    <sheet name="OPER" sheetId="9" r:id="rId9"/>
  </sheets>
  <definedNames>
    <definedName name="_xlnm._FilterDatabase" localSheetId="2" hidden="1">ORDER!$B$4:$J$33</definedName>
    <definedName name="art">Tableau3[Nr Article]</definedName>
    <definedName name="ARTICLE">Tableau2[Nr Article]</definedName>
    <definedName name="_xlnm.Criteria" localSheetId="2">ORDER!$S$4:$S$5</definedName>
    <definedName name="DECALER">OFFSET(ORDER!$U$4,0,0,COUNTA(ORDER!$U$4:'ORDER'!$U$19500),9)</definedName>
    <definedName name="_xlnm.Extract" localSheetId="2">ORDER!$U$3:$AC$3</definedName>
    <definedName name="Fss">Tableau4[Nom]</definedName>
    <definedName name="MO">Tableau3[Mois]</definedName>
    <definedName name="ord">Tableau3[Nr commande]</definedName>
    <definedName name="PROD">Tableau2[Nom]</definedName>
    <definedName name="pt">Tableau3[prix total]</definedName>
    <definedName name="TABL">Tableau3[#All]</definedName>
    <definedName name="TBL">Tableau1[#All]</definedName>
    <definedName name="_xlnm.Print_Area" localSheetId="3">PO!$B$7:$G$48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9" l="1"/>
  <c r="H13" i="9"/>
  <c r="J13" i="9"/>
  <c r="A12" i="9"/>
  <c r="H12" i="9"/>
  <c r="J12" i="9"/>
  <c r="A11" i="9"/>
  <c r="H11" i="9"/>
  <c r="J11" i="9"/>
  <c r="A10" i="9"/>
  <c r="H10" i="9"/>
  <c r="J10" i="9"/>
  <c r="A9" i="9" l="1"/>
  <c r="H9" i="9"/>
  <c r="J9" i="9"/>
  <c r="A8" i="9"/>
  <c r="H8" i="9"/>
  <c r="J8" i="9"/>
  <c r="J5" i="9"/>
  <c r="J6" i="9"/>
  <c r="J7" i="9"/>
  <c r="H5" i="9"/>
  <c r="H6" i="9"/>
  <c r="H7" i="9"/>
  <c r="A7" i="9"/>
  <c r="A6" i="9"/>
  <c r="A5" i="9"/>
  <c r="A6" i="3" l="1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5" i="3"/>
  <c r="A6" i="7"/>
  <c r="A5" i="7"/>
  <c r="A4" i="7" l="1"/>
  <c r="B27" i="4"/>
  <c r="B28" i="4"/>
  <c r="H33" i="3" l="1"/>
  <c r="J33" i="3"/>
  <c r="H32" i="3"/>
  <c r="J32" i="3"/>
  <c r="H31" i="3"/>
  <c r="J31" i="3"/>
  <c r="H30" i="3"/>
  <c r="J30" i="3"/>
  <c r="H29" i="3"/>
  <c r="J29" i="3"/>
  <c r="J5" i="3" l="1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E20" i="8" l="1"/>
  <c r="E19" i="8"/>
  <c r="B45" i="4"/>
  <c r="F44" i="4" a="1"/>
  <c r="F44" i="4" s="1"/>
  <c r="E44" i="4" a="1"/>
  <c r="E44" i="4" s="1"/>
  <c r="D44" i="4" a="1"/>
  <c r="D44" i="4" s="1"/>
  <c r="C44" i="4" a="1"/>
  <c r="C44" i="4" s="1"/>
  <c r="B44" i="4" s="1"/>
  <c r="F43" i="4" a="1"/>
  <c r="F43" i="4" s="1"/>
  <c r="E43" i="4" a="1"/>
  <c r="E43" i="4" s="1"/>
  <c r="D43" i="4" a="1"/>
  <c r="D43" i="4" s="1"/>
  <c r="C43" i="4" a="1"/>
  <c r="C43" i="4" s="1"/>
  <c r="B43" i="4" s="1"/>
  <c r="F42" i="4" a="1"/>
  <c r="F42" i="4" s="1"/>
  <c r="E42" i="4" a="1"/>
  <c r="E42" i="4" s="1"/>
  <c r="D42" i="4" a="1"/>
  <c r="D42" i="4" s="1"/>
  <c r="C42" i="4" a="1"/>
  <c r="C42" i="4" s="1"/>
  <c r="B42" i="4" s="1"/>
  <c r="F41" i="4" a="1"/>
  <c r="F41" i="4" s="1"/>
  <c r="E41" i="4" a="1"/>
  <c r="E41" i="4" s="1"/>
  <c r="D41" i="4" a="1"/>
  <c r="D41" i="4" s="1"/>
  <c r="C41" i="4" a="1"/>
  <c r="C41" i="4" s="1"/>
  <c r="B41" i="4" s="1"/>
  <c r="F40" i="4" a="1"/>
  <c r="F40" i="4" s="1"/>
  <c r="E40" i="4" a="1"/>
  <c r="E40" i="4" s="1"/>
  <c r="D40" i="4" a="1"/>
  <c r="D40" i="4" s="1"/>
  <c r="C40" i="4" a="1"/>
  <c r="C40" i="4" s="1"/>
  <c r="B40" i="4" s="1"/>
  <c r="F39" i="4" a="1"/>
  <c r="F39" i="4" s="1"/>
  <c r="E39" i="4" a="1"/>
  <c r="E39" i="4" s="1"/>
  <c r="D39" i="4" a="1"/>
  <c r="D39" i="4" s="1"/>
  <c r="C39" i="4" a="1"/>
  <c r="C39" i="4" s="1"/>
  <c r="B39" i="4" s="1"/>
  <c r="F38" i="4" a="1"/>
  <c r="F38" i="4" s="1"/>
  <c r="E38" i="4" a="1"/>
  <c r="E38" i="4" s="1"/>
  <c r="D38" i="4" a="1"/>
  <c r="D38" i="4" s="1"/>
  <c r="C38" i="4" a="1"/>
  <c r="C38" i="4" s="1"/>
  <c r="B38" i="4" s="1"/>
  <c r="F37" i="4" a="1"/>
  <c r="F37" i="4" s="1"/>
  <c r="E37" i="4" a="1"/>
  <c r="E37" i="4" s="1"/>
  <c r="D37" i="4" a="1"/>
  <c r="D37" i="4" s="1"/>
  <c r="C37" i="4" a="1"/>
  <c r="C37" i="4" s="1"/>
  <c r="B37" i="4" s="1"/>
  <c r="F36" i="4" a="1"/>
  <c r="F36" i="4" s="1"/>
  <c r="E36" i="4" a="1"/>
  <c r="E36" i="4" s="1"/>
  <c r="D36" i="4" a="1"/>
  <c r="D36" i="4" s="1"/>
  <c r="C36" i="4" a="1"/>
  <c r="C36" i="4" s="1"/>
  <c r="B36" i="4" s="1"/>
  <c r="F35" i="4" a="1"/>
  <c r="F35" i="4" s="1"/>
  <c r="E35" i="4" a="1"/>
  <c r="E35" i="4" s="1"/>
  <c r="D35" i="4" a="1"/>
  <c r="D35" i="4" s="1"/>
  <c r="C35" i="4" a="1"/>
  <c r="C35" i="4" s="1"/>
  <c r="B35" i="4" s="1"/>
  <c r="F34" i="4" a="1"/>
  <c r="F34" i="4" s="1"/>
  <c r="E34" i="4" a="1"/>
  <c r="E34" i="4" s="1"/>
  <c r="D34" i="4" a="1"/>
  <c r="D34" i="4" s="1"/>
  <c r="C34" i="4" a="1"/>
  <c r="C34" i="4" s="1"/>
  <c r="B34" i="4" s="1"/>
  <c r="F33" i="4" a="1"/>
  <c r="F33" i="4" s="1"/>
  <c r="E33" i="4" a="1"/>
  <c r="E33" i="4" s="1"/>
  <c r="D33" i="4" a="1"/>
  <c r="D33" i="4" s="1"/>
  <c r="C33" i="4" a="1"/>
  <c r="C33" i="4" s="1"/>
  <c r="B33" i="4" s="1"/>
  <c r="F32" i="4" a="1"/>
  <c r="F32" i="4" s="1"/>
  <c r="E32" i="4" a="1"/>
  <c r="E32" i="4" s="1"/>
  <c r="D32" i="4" a="1"/>
  <c r="D32" i="4" s="1"/>
  <c r="C32" i="4" a="1"/>
  <c r="C32" i="4" s="1"/>
  <c r="B32" i="4" s="1"/>
  <c r="F31" i="4" a="1"/>
  <c r="F31" i="4" s="1"/>
  <c r="E31" i="4" a="1"/>
  <c r="E31" i="4" s="1"/>
  <c r="D31" i="4" a="1"/>
  <c r="D31" i="4" s="1"/>
  <c r="C31" i="4" a="1"/>
  <c r="C31" i="4" s="1"/>
  <c r="B31" i="4" s="1"/>
  <c r="F30" i="4" a="1"/>
  <c r="F30" i="4" s="1"/>
  <c r="E30" i="4" a="1"/>
  <c r="E30" i="4" s="1"/>
  <c r="D30" i="4" a="1"/>
  <c r="D30" i="4" s="1"/>
  <c r="C30" i="4" a="1"/>
  <c r="C30" i="4" s="1"/>
  <c r="B30" i="4" s="1"/>
  <c r="F29" i="4" a="1"/>
  <c r="F29" i="4" s="1"/>
  <c r="E29" i="4" a="1"/>
  <c r="E29" i="4" s="1"/>
  <c r="D29" i="4" a="1"/>
  <c r="D29" i="4" s="1"/>
  <c r="C29" i="4" a="1"/>
  <c r="C29" i="4" s="1"/>
  <c r="B29" i="4" s="1"/>
  <c r="F28" i="4" a="1"/>
  <c r="F28" i="4" s="1"/>
  <c r="E28" i="4" a="1"/>
  <c r="E28" i="4" s="1"/>
  <c r="D28" i="4" a="1"/>
  <c r="D28" i="4" s="1"/>
  <c r="F27" i="4" a="1"/>
  <c r="F27" i="4" s="1"/>
  <c r="E27" i="4" a="1"/>
  <c r="E27" i="4" s="1"/>
  <c r="D27" i="4" a="1"/>
  <c r="D27" i="4" s="1"/>
  <c r="F26" i="4" a="1"/>
  <c r="F26" i="4" s="1"/>
  <c r="E26" i="4" a="1"/>
  <c r="E26" i="4" s="1"/>
  <c r="D26" i="4" a="1"/>
  <c r="D26" i="4" s="1"/>
  <c r="C26" i="4" a="1"/>
  <c r="C26" i="4" s="1"/>
  <c r="B26" i="4" s="1"/>
  <c r="F25" i="4" a="1"/>
  <c r="F25" i="4" s="1"/>
  <c r="E25" i="4" a="1"/>
  <c r="E25" i="4" s="1"/>
  <c r="D25" i="4" a="1"/>
  <c r="D25" i="4" s="1"/>
  <c r="C25" i="4" a="1"/>
  <c r="C25" i="4" s="1"/>
  <c r="B25" i="4" s="1"/>
  <c r="F24" i="4" a="1"/>
  <c r="F24" i="4" s="1"/>
  <c r="E24" i="4" a="1"/>
  <c r="E24" i="4" s="1"/>
  <c r="D24" i="4" a="1"/>
  <c r="D24" i="4" s="1"/>
  <c r="C24" i="4" a="1"/>
  <c r="C24" i="4" s="1"/>
  <c r="B24" i="4" s="1"/>
  <c r="F23" i="4" a="1"/>
  <c r="F23" i="4" s="1"/>
  <c r="E23" i="4" a="1"/>
  <c r="E23" i="4" s="1"/>
  <c r="D23" i="4" a="1"/>
  <c r="D23" i="4" s="1"/>
  <c r="C23" i="4" a="1"/>
  <c r="C23" i="4" s="1"/>
  <c r="B23" i="4" s="1"/>
  <c r="C18" i="4"/>
  <c r="C17" i="4"/>
  <c r="C16" i="4"/>
  <c r="C15" i="4"/>
  <c r="C14" i="4"/>
  <c r="C13" i="4"/>
  <c r="C12" i="4"/>
  <c r="F10" i="4"/>
  <c r="H28" i="3"/>
  <c r="H27" i="3"/>
  <c r="H26" i="3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I8" i="2"/>
  <c r="G8" i="2"/>
  <c r="I7" i="2"/>
  <c r="G7" i="2"/>
  <c r="I6" i="2"/>
  <c r="G6" i="2"/>
  <c r="N12" i="3" l="1"/>
  <c r="G39" i="4"/>
  <c r="G38" i="4"/>
  <c r="G35" i="4"/>
  <c r="G32" i="4"/>
  <c r="G36" i="4"/>
  <c r="G41" i="4"/>
  <c r="G37" i="4"/>
  <c r="G34" i="4"/>
  <c r="G40" i="4"/>
  <c r="G25" i="4"/>
  <c r="G28" i="4"/>
  <c r="G31" i="4"/>
  <c r="G24" i="4"/>
  <c r="G27" i="4"/>
  <c r="G30" i="4"/>
  <c r="G43" i="4"/>
  <c r="G23" i="4"/>
  <c r="G26" i="4"/>
  <c r="G29" i="4"/>
  <c r="G33" i="4"/>
  <c r="G42" i="4"/>
  <c r="G44" i="4"/>
  <c r="G46" i="4" l="1"/>
  <c r="G47" i="4" l="1"/>
  <c r="G48" i="4" s="1"/>
</calcChain>
</file>

<file path=xl/sharedStrings.xml><?xml version="1.0" encoding="utf-8"?>
<sst xmlns="http://schemas.openxmlformats.org/spreadsheetml/2006/main" count="352" uniqueCount="144">
  <si>
    <t>Nr ARTICLE</t>
  </si>
  <si>
    <t>NOM</t>
  </si>
  <si>
    <t>Description</t>
  </si>
  <si>
    <t>Prix</t>
  </si>
  <si>
    <t>ART-0001</t>
  </si>
  <si>
    <t>ART-0002</t>
  </si>
  <si>
    <t>ART-0003</t>
  </si>
  <si>
    <t>ART-0004</t>
  </si>
  <si>
    <t>ART-0005</t>
  </si>
  <si>
    <t>ART-0006</t>
  </si>
  <si>
    <t>ART-0007</t>
  </si>
  <si>
    <t>ART-0008</t>
  </si>
  <si>
    <t>ART-0009</t>
  </si>
  <si>
    <t>ART-0010</t>
  </si>
  <si>
    <t>ART-0011</t>
  </si>
  <si>
    <t>CEVITE</t>
  </si>
  <si>
    <t>RUMFIX</t>
  </si>
  <si>
    <t>PARA C</t>
  </si>
  <si>
    <t>TEMPERINE</t>
  </si>
  <si>
    <t>SEKROL</t>
  </si>
  <si>
    <t>RINATHIOL</t>
  </si>
  <si>
    <t>DOLIPRANE</t>
  </si>
  <si>
    <t>EFERALGAN</t>
  </si>
  <si>
    <t>ASPIRINE</t>
  </si>
  <si>
    <t>CLAMOXYL</t>
  </si>
  <si>
    <t>150 Mg</t>
  </si>
  <si>
    <t>100 Mg</t>
  </si>
  <si>
    <t>50 g</t>
  </si>
  <si>
    <t>200 g</t>
  </si>
  <si>
    <t>500 Ml</t>
  </si>
  <si>
    <t>100 Ml</t>
  </si>
  <si>
    <t>250 gr</t>
  </si>
  <si>
    <t>500 Mg</t>
  </si>
  <si>
    <t>2500 Mg</t>
  </si>
  <si>
    <t>ARGYROL</t>
  </si>
  <si>
    <t>50 MG</t>
  </si>
  <si>
    <t>CEVITEE</t>
  </si>
  <si>
    <t>10 Mg</t>
  </si>
  <si>
    <t>Nr Article</t>
  </si>
  <si>
    <t>Nom</t>
  </si>
  <si>
    <t>Stock</t>
  </si>
  <si>
    <t>Valeur Stock</t>
  </si>
  <si>
    <t>Stock Min</t>
  </si>
  <si>
    <t>flag</t>
  </si>
  <si>
    <t>Vide</t>
  </si>
  <si>
    <t>&gt;10</t>
  </si>
  <si>
    <t>Prix Unitaire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</si>
  <si>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</si>
  <si>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</si>
  <si>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</si>
  <si>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</si>
  <si>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</si>
  <si>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</si>
  <si>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</si>
  <si>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</si>
  <si>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</si>
  <si>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</si>
  <si>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Suffixe</t>
  </si>
  <si>
    <t>Article</t>
  </si>
  <si>
    <t>ART-</t>
  </si>
  <si>
    <t>Statut</t>
  </si>
  <si>
    <t>Active</t>
  </si>
  <si>
    <t>ART-00001</t>
  </si>
  <si>
    <t>JUS CERES</t>
  </si>
  <si>
    <t>2 LITRES</t>
  </si>
  <si>
    <t>ART-00002</t>
  </si>
  <si>
    <t>FERVEX</t>
  </si>
  <si>
    <t>100 mg</t>
  </si>
  <si>
    <t>ART-00003</t>
  </si>
  <si>
    <t>500 mg</t>
  </si>
  <si>
    <t>Nr commande</t>
  </si>
  <si>
    <t>Date</t>
  </si>
  <si>
    <t>nom</t>
  </si>
  <si>
    <t>nombre</t>
  </si>
  <si>
    <t>prix</t>
  </si>
  <si>
    <t>prix total</t>
  </si>
  <si>
    <t>fournisseur</t>
  </si>
  <si>
    <t>Adresse</t>
  </si>
  <si>
    <t>Cp</t>
  </si>
  <si>
    <t>ville</t>
  </si>
  <si>
    <t>pays</t>
  </si>
  <si>
    <t>Telephonne</t>
  </si>
  <si>
    <t>mail</t>
  </si>
  <si>
    <t>Group</t>
  </si>
  <si>
    <t>Georges KABONGO</t>
  </si>
  <si>
    <t>Phillipe Bungamuzi</t>
  </si>
  <si>
    <t>Job Fuani</t>
  </si>
  <si>
    <t>Patrick Babajiki</t>
  </si>
  <si>
    <t>Delvaux</t>
  </si>
  <si>
    <t>Mbudi</t>
  </si>
  <si>
    <t>Kingabwa</t>
  </si>
  <si>
    <t>Gramalic</t>
  </si>
  <si>
    <t>kinshasa</t>
  </si>
  <si>
    <t>RDC</t>
  </si>
  <si>
    <t>Pb@gmail.com</t>
  </si>
  <si>
    <t>Jb@gmail.com</t>
  </si>
  <si>
    <t>Ptb@gmail.com</t>
  </si>
  <si>
    <t>Order</t>
  </si>
  <si>
    <t>ORD-</t>
  </si>
  <si>
    <t>ORD-00001</t>
  </si>
  <si>
    <t>Nr</t>
  </si>
  <si>
    <t>Qté</t>
  </si>
  <si>
    <t>Prix unitaire</t>
  </si>
  <si>
    <t>Total</t>
  </si>
  <si>
    <r>
      <rPr>
        <sz val="18"/>
        <color theme="8" tint="-0.249977111117893"/>
        <rFont val="Bahnschrift"/>
        <family val="2"/>
      </rPr>
      <t>Good</t>
    </r>
    <r>
      <rPr>
        <sz val="18"/>
        <color theme="9"/>
        <rFont val="Bahnschrift"/>
        <family val="2"/>
      </rPr>
      <t xml:space="preserve"> </t>
    </r>
    <r>
      <rPr>
        <sz val="18"/>
        <color theme="7" tint="-0.249977111117893"/>
        <rFont val="Bahnschrift"/>
        <family val="2"/>
      </rPr>
      <t>Market</t>
    </r>
  </si>
  <si>
    <t>Fournisseur</t>
  </si>
  <si>
    <t>Total TTC</t>
  </si>
  <si>
    <t>Nr Commande</t>
  </si>
  <si>
    <r>
      <rPr>
        <b/>
        <sz val="14"/>
        <color theme="4"/>
        <rFont val="Calibri"/>
        <family val="2"/>
        <scheme val="minor"/>
      </rPr>
      <t>BON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14"/>
        <color theme="5"/>
        <rFont val="Calibri"/>
        <family val="2"/>
        <scheme val="minor"/>
      </rPr>
      <t>DE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14"/>
        <color theme="5" tint="-0.499984740745262"/>
        <rFont val="Calibri"/>
        <family val="2"/>
        <scheme val="minor"/>
      </rPr>
      <t>COMMANDE</t>
    </r>
  </si>
  <si>
    <t>Tva 16%</t>
  </si>
  <si>
    <t>Bon de Commande</t>
  </si>
  <si>
    <t>Entreprise</t>
  </si>
  <si>
    <t>Code Postale</t>
  </si>
  <si>
    <t>Ville</t>
  </si>
  <si>
    <t>Pays</t>
  </si>
  <si>
    <t>Tel</t>
  </si>
  <si>
    <t>Mail</t>
  </si>
  <si>
    <t>Condition</t>
  </si>
  <si>
    <t>De Rien</t>
  </si>
  <si>
    <t>Kin N°05</t>
  </si>
  <si>
    <t>Kinshasa</t>
  </si>
  <si>
    <t>gkab@gmail,com</t>
  </si>
  <si>
    <t>Merci d'etre passé chez Nous</t>
  </si>
  <si>
    <t>ORD-00002</t>
  </si>
  <si>
    <t>ORD-00003</t>
  </si>
  <si>
    <t>ORD-00004</t>
  </si>
  <si>
    <t>ORD-00005</t>
  </si>
  <si>
    <t>Mois</t>
  </si>
  <si>
    <t>N°</t>
  </si>
  <si>
    <t>NUM_VENTE</t>
  </si>
  <si>
    <t>CODE_ART</t>
  </si>
  <si>
    <t>MONTANT</t>
  </si>
  <si>
    <t>DATE</t>
  </si>
  <si>
    <t>L</t>
  </si>
  <si>
    <t>octobre-2020</t>
  </si>
  <si>
    <t>ORD-00006</t>
  </si>
  <si>
    <t>ORD-00007</t>
  </si>
  <si>
    <t>ORD-00008</t>
  </si>
  <si>
    <t>ORD-00009</t>
  </si>
  <si>
    <t>ID</t>
  </si>
  <si>
    <t>septembre-2020</t>
  </si>
  <si>
    <t>*ORD-00003*</t>
  </si>
  <si>
    <t>Quantité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</si>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</sst>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7" formatCode="#,##0.00\ &quot;€&quot;;\-#,##0.00\ &quot;€&quot;"/>
    <numFmt numFmtId="43" formatCode="_-* #,##0.00\ _€_-;\-* #,##0.00\ _€_-;_-* &quot;-&quot;??\ _€_-;_-@_-"/>
    <numFmt numFmtId="164" formatCode="_-* #,##0\ _€_-;\-* #,##0\ _€_-;_-* &quot;-&quot;??\ _€_-;_-@_-"/>
    <numFmt numFmtId="165" formatCode="&quot;Besoin&quot;"/>
    <numFmt numFmtId="166" formatCode="_-* #,##0.0\ _€_-;\-* #,##0.0\ _€_-;_-* &quot;-&quot;??\ _€_-;_-@_-"/>
    <numFmt numFmtId="167" formatCode="#,##0.0\ &quot;€&quot;;\-#,##0.0\ &quot;€&quot;"/>
    <numFmt numFmtId="168" formatCode="[$-40C]d\-mmm\-yy;@"/>
    <numFmt numFmtId="169" formatCode="_-* #,##0.0\ _€_-;\-* #,##0.0\ _€_-;_-* &quot;-&quot;?\ _€_-;_-@_-"/>
    <numFmt numFmtId="170" formatCode="[$-40C]d\-mmm\-yyyy;@"/>
    <numFmt numFmtId="171" formatCode="[$-40C]mmm\-yy;@"/>
    <numFmt numFmtId="172" formatCode="[$$-409]#,##0.0_ ;\-[$$-409]#,##0.0\ 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9"/>
      <name val="Bahnschrift"/>
      <family val="2"/>
    </font>
    <font>
      <sz val="18"/>
      <color theme="8" tint="-0.249977111117893"/>
      <name val="Bahnschrift"/>
      <family val="2"/>
    </font>
    <font>
      <sz val="18"/>
      <color theme="7" tint="-0.249977111117893"/>
      <name val="Bahnschrift"/>
      <family val="2"/>
    </font>
    <font>
      <b/>
      <sz val="11"/>
      <color theme="7" tint="-0.249977111117893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14"/>
      <color theme="4"/>
      <name val="Calibri"/>
      <family val="2"/>
      <scheme val="minor"/>
    </font>
    <font>
      <b/>
      <sz val="14"/>
      <color theme="5"/>
      <name val="Calibri"/>
      <family val="2"/>
      <scheme val="minor"/>
    </font>
    <font>
      <b/>
      <sz val="14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i/>
      <sz val="11"/>
      <color theme="3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1"/>
      </left>
      <right/>
      <top style="thin">
        <color theme="1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5" fontId="0" fillId="0" borderId="0" xfId="0" applyNumberFormat="1"/>
    <xf numFmtId="0" fontId="2" fillId="4" borderId="0" xfId="0" applyFont="1" applyFill="1" applyAlignment="1">
      <alignment horizontal="center" vertical="center"/>
    </xf>
    <xf numFmtId="0" fontId="5" fillId="0" borderId="2" xfId="0" applyFont="1" applyBorder="1"/>
    <xf numFmtId="0" fontId="3" fillId="4" borderId="0" xfId="0" applyFont="1" applyFill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Alignment="1"/>
    <xf numFmtId="164" fontId="0" fillId="0" borderId="0" xfId="1" applyNumberFormat="1" applyFont="1" applyAlignment="1">
      <alignment horizontal="right" vertical="center"/>
    </xf>
    <xf numFmtId="167" fontId="0" fillId="0" borderId="0" xfId="0" applyNumberFormat="1" applyAlignment="1">
      <alignment horizontal="right" vertical="center"/>
    </xf>
    <xf numFmtId="0" fontId="6" fillId="0" borderId="0" xfId="2" applyAlignment="1">
      <alignment horizontal="center" vertical="center"/>
    </xf>
    <xf numFmtId="0" fontId="0" fillId="0" borderId="1" xfId="0" applyBorder="1" applyAlignment="1">
      <alignment horizontal="center" vertical="center"/>
    </xf>
    <xf numFmtId="7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0" fillId="0" borderId="2" xfId="0" applyBorder="1"/>
    <xf numFmtId="0" fontId="12" fillId="0" borderId="0" xfId="0" applyFont="1" applyAlignment="1">
      <alignment horizontal="center" vertical="center"/>
    </xf>
    <xf numFmtId="0" fontId="16" fillId="0" borderId="0" xfId="0" applyFont="1"/>
    <xf numFmtId="0" fontId="12" fillId="0" borderId="0" xfId="0" applyFont="1"/>
    <xf numFmtId="0" fontId="1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9" fontId="0" fillId="0" borderId="1" xfId="0" applyNumberFormat="1" applyBorder="1"/>
    <xf numFmtId="166" fontId="0" fillId="0" borderId="1" xfId="1" applyNumberFormat="1" applyFont="1" applyBorder="1"/>
    <xf numFmtId="166" fontId="0" fillId="0" borderId="0" xfId="1" applyNumberFormat="1" applyFont="1" applyBorder="1" applyAlignment="1">
      <alignment horizontal="center" vertical="center"/>
    </xf>
    <xf numFmtId="169" fontId="0" fillId="0" borderId="0" xfId="0" applyNumberFormat="1" applyBorder="1"/>
    <xf numFmtId="166" fontId="0" fillId="0" borderId="1" xfId="1" applyNumberFormat="1" applyFont="1" applyBorder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14" fontId="0" fillId="0" borderId="0" xfId="0" applyNumberFormat="1"/>
    <xf numFmtId="0" fontId="4" fillId="0" borderId="1" xfId="0" applyFont="1" applyBorder="1" applyAlignment="1">
      <alignment horizontal="left" vertical="center"/>
    </xf>
    <xf numFmtId="0" fontId="6" fillId="0" borderId="0" xfId="2"/>
    <xf numFmtId="0" fontId="4" fillId="0" borderId="3" xfId="0" applyFont="1" applyBorder="1" applyAlignment="1">
      <alignment horizontal="left" vertical="center"/>
    </xf>
    <xf numFmtId="170" fontId="0" fillId="0" borderId="0" xfId="0" applyNumberFormat="1"/>
    <xf numFmtId="0" fontId="0" fillId="10" borderId="4" xfId="0" applyFont="1" applyFill="1" applyBorder="1" applyAlignment="1">
      <alignment horizontal="center" vertical="center"/>
    </xf>
    <xf numFmtId="164" fontId="0" fillId="0" borderId="0" xfId="1" applyNumberFormat="1" applyFont="1"/>
    <xf numFmtId="171" fontId="0" fillId="0" borderId="0" xfId="0" applyNumberForma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11" borderId="6" xfId="0" applyFont="1" applyFill="1" applyBorder="1" applyAlignment="1">
      <alignment horizontal="center"/>
    </xf>
    <xf numFmtId="22" fontId="0" fillId="0" borderId="0" xfId="0" applyNumberFormat="1" applyAlignment="1">
      <alignment horizontal="center" vertical="center"/>
    </xf>
    <xf numFmtId="172" fontId="0" fillId="0" borderId="0" xfId="0" applyNumberFormat="1" applyAlignment="1">
      <alignment horizontal="center" vertical="center"/>
    </xf>
    <xf numFmtId="43" fontId="0" fillId="0" borderId="0" xfId="1" applyFont="1"/>
    <xf numFmtId="0" fontId="7" fillId="7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7" fillId="8" borderId="1" xfId="0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68">
    <dxf>
      <font>
        <b/>
        <i val="0"/>
        <color theme="9" tint="-0.24994659260841701"/>
      </font>
      <fill>
        <patternFill>
          <bgColor theme="7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9" tint="-0.24994659260841701"/>
      </font>
      <fill>
        <patternFill>
          <bgColor theme="7" tint="0.39994506668294322"/>
        </patternFill>
      </fill>
    </dxf>
    <dxf>
      <fill>
        <patternFill>
          <bgColor theme="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4"/>
        </patternFill>
      </fill>
    </dxf>
    <dxf>
      <fill>
        <patternFill>
          <bgColor theme="5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7030A0"/>
      </font>
      <fill>
        <patternFill>
          <bgColor theme="6" tint="0.79998168889431442"/>
        </patternFill>
      </fill>
    </dxf>
    <dxf>
      <numFmt numFmtId="171" formatCode="[$-40C]mmm\-yy;@"/>
    </dxf>
    <dxf>
      <numFmt numFmtId="172" formatCode="[$$-409]#,##0.0_ ;\-[$$-409]#,##0.0\ 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71" formatCode="[$-40C]mmm\-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[$-40C]d\-mmm\-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&quot;Besoin&quot;"/>
    </dxf>
    <dxf>
      <numFmt numFmtId="165" formatCode="&quot;Besoin&quot;"/>
    </dxf>
    <dxf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\ _€_-;\-* #,##0\ _€_-;_-* &quot;-&quot;??\ _€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4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447675</xdr:colOff>
          <xdr:row>7</xdr:row>
          <xdr:rowOff>123825</xdr:rowOff>
        </xdr:from>
        <xdr:to>
          <xdr:col>11</xdr:col>
          <xdr:colOff>676275</xdr:colOff>
          <xdr:row>9</xdr:row>
          <xdr:rowOff>152400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266700</xdr:colOff>
          <xdr:row>12</xdr:row>
          <xdr:rowOff>142875</xdr:rowOff>
        </xdr:from>
        <xdr:to>
          <xdr:col>11</xdr:col>
          <xdr:colOff>742950</xdr:colOff>
          <xdr:row>14</xdr:row>
          <xdr:rowOff>47625</xdr:rowOff>
        </xdr:to>
        <xdr:sp macro="" textlink="">
          <xdr:nvSpPr>
            <xdr:cNvPr id="3074" name="CommandButton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1</xdr:row>
      <xdr:rowOff>0</xdr:rowOff>
    </xdr:from>
    <xdr:to>
      <xdr:col>6</xdr:col>
      <xdr:colOff>142875</xdr:colOff>
      <xdr:row>2</xdr:row>
      <xdr:rowOff>123825</xdr:rowOff>
    </xdr:to>
    <xdr:sp macro="[0]!Ajouter" textlink="">
      <xdr:nvSpPr>
        <xdr:cNvPr id="2" name="ZoneTexte 1"/>
        <xdr:cNvSpPr txBox="1"/>
      </xdr:nvSpPr>
      <xdr:spPr>
        <a:xfrm>
          <a:off x="4124325" y="190500"/>
          <a:ext cx="904875" cy="3143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Ajouter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762000</xdr:colOff>
          <xdr:row>0</xdr:row>
          <xdr:rowOff>104775</xdr:rowOff>
        </xdr:from>
        <xdr:to>
          <xdr:col>6</xdr:col>
          <xdr:colOff>104775</xdr:colOff>
          <xdr:row>2</xdr:row>
          <xdr:rowOff>9525</xdr:rowOff>
        </xdr:to>
        <xdr:sp macro="" textlink="">
          <xdr:nvSpPr>
            <xdr:cNvPr id="1025" name="AJOUT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57150</xdr:colOff>
          <xdr:row>2</xdr:row>
          <xdr:rowOff>95250</xdr:rowOff>
        </xdr:from>
        <xdr:to>
          <xdr:col>15</xdr:col>
          <xdr:colOff>504825</xdr:colOff>
          <xdr:row>3</xdr:row>
          <xdr:rowOff>133350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171450</xdr:colOff>
          <xdr:row>4</xdr:row>
          <xdr:rowOff>142875</xdr:rowOff>
        </xdr:from>
        <xdr:to>
          <xdr:col>15</xdr:col>
          <xdr:colOff>342900</xdr:colOff>
          <xdr:row>6</xdr:row>
          <xdr:rowOff>0</xdr:rowOff>
        </xdr:to>
        <xdr:sp macro="" textlink="">
          <xdr:nvSpPr>
            <xdr:cNvPr id="1027" name="Combo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18</xdr:col>
      <xdr:colOff>38100</xdr:colOff>
      <xdr:row>5</xdr:row>
      <xdr:rowOff>114301</xdr:rowOff>
    </xdr:from>
    <xdr:to>
      <xdr:col>18</xdr:col>
      <xdr:colOff>866775</xdr:colOff>
      <xdr:row>6</xdr:row>
      <xdr:rowOff>171451</xdr:rowOff>
    </xdr:to>
    <xdr:sp macro="[0]!YES" textlink="">
      <xdr:nvSpPr>
        <xdr:cNvPr id="2" name="ZoneTexte 1"/>
        <xdr:cNvSpPr txBox="1"/>
      </xdr:nvSpPr>
      <xdr:spPr>
        <a:xfrm>
          <a:off x="15154275" y="1085851"/>
          <a:ext cx="828675" cy="247650"/>
        </a:xfrm>
        <a:prstGeom prst="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 cap="none" spc="50">
              <a:ln w="9525" cmpd="sng">
                <a:solidFill>
                  <a:schemeClr val="accent1"/>
                </a:solidFill>
                <a:prstDash val="solid"/>
              </a:ln>
              <a:solidFill>
                <a:srgbClr val="70AD47">
                  <a:tint val="1000"/>
                </a:srgbClr>
              </a:solidFill>
              <a:effectLst>
                <a:glow rad="38100">
                  <a:schemeClr val="accent1">
                    <a:alpha val="40000"/>
                  </a:schemeClr>
                </a:glow>
              </a:effectLst>
              <a:latin typeface="Arial Narrow" panose="020B0606020202030204" pitchFamily="34" charset="0"/>
            </a:rPr>
            <a:t>VALIDER</a:t>
          </a:r>
          <a:endParaRPr lang="fr-FR" sz="1100" b="1">
            <a:latin typeface="Arial Narrow" panose="020B060602020203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D7:G19" totalsRowShown="0" headerRowDxfId="67">
  <autoFilter ref="D7:G19"/>
  <tableColumns count="4">
    <tableColumn id="1" name="Nr ARTICLE" dataDxfId="66"/>
    <tableColumn id="2" name="NOM" dataDxfId="65"/>
    <tableColumn id="3" name="Description" dataDxfId="64"/>
    <tableColumn id="4" name="Prix" dataDxfId="63" dataCellStyle="Milliers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5:V8" totalsRowShown="0" headerRowDxfId="62" dataDxfId="61">
  <autoFilter ref="B5:V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</autoFilter>
  <tableColumns count="21">
    <tableColumn id="1" name="Nr Article" dataDxfId="60"/>
    <tableColumn id="2" name="Nom" dataDxfId="59"/>
    <tableColumn id="3" name="Description" dataDxfId="58"/>
    <tableColumn id="4" name="Prix Unitaire" dataDxfId="57"/>
    <tableColumn id="5" name="Stock" dataDxfId="56"/>
    <tableColumn id="6" name="Valeur Stock" dataDxfId="55">
      <calculatedColumnFormula>E6*F6</calculatedColumnFormula>
    </tableColumn>
    <tableColumn id="7" name="Stock Min"/>
    <tableColumn id="8" name="flag" dataDxfId="54">
      <calculatedColumnFormula>IF(F6&lt;H6,1,"")</calculatedColumnFormula>
    </tableColumn>
    <tableColumn id="24" name="Statut" dataDxfId="53"/>
    <tableColumn id="9" name="Vide"/>
    <tableColumn id="10" name="1" dataDxfId="52"/>
    <tableColumn id="11" name="2" dataDxfId="51"/>
    <tableColumn id="12" name="3" dataDxfId="50"/>
    <tableColumn id="13" name="4" dataDxfId="49"/>
    <tableColumn id="14" name="5" dataDxfId="48"/>
    <tableColumn id="15" name="6" dataDxfId="47"/>
    <tableColumn id="16" name="7" dataDxfId="46"/>
    <tableColumn id="17" name="8" dataDxfId="45"/>
    <tableColumn id="18" name="9" dataDxfId="44"/>
    <tableColumn id="19" name="10" dataDxfId="43"/>
    <tableColumn id="20" name="&gt;10" dataDxfId="42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B4:J33" totalsRowShown="0" headerRowDxfId="41" dataDxfId="40">
  <tableColumns count="9">
    <tableColumn id="1" name="Nr commande" dataDxfId="39"/>
    <tableColumn id="2" name="Date" dataDxfId="38"/>
    <tableColumn id="3" name="Nr Article" dataDxfId="37"/>
    <tableColumn id="4" name="nom" dataDxfId="36"/>
    <tableColumn id="5" name="nombre" dataDxfId="35"/>
    <tableColumn id="6" name="prix" dataDxfId="34"/>
    <tableColumn id="7" name="prix total" dataDxfId="33" dataCellStyle="Milliers">
      <calculatedColumnFormula>Tableau3[[#This Row],[prix]]*Tableau3[[#This Row],[nombre]]</calculatedColumnFormula>
    </tableColumn>
    <tableColumn id="8" name="fournisseur" dataDxfId="32"/>
    <tableColumn id="9" name="Mois" dataDxfId="31">
      <calculatedColumnFormula>TEXT(C5,"MMMM") &amp; "-" &amp; TEXT(C5, "AAAA")</calculatedColumnFormula>
    </tableColumn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5:I9" totalsRowShown="0" headerRowDxfId="30" dataDxfId="29">
  <autoFilter ref="B5:I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name="Nom" dataDxfId="28"/>
    <tableColumn id="2" name="Adresse" dataDxfId="27"/>
    <tableColumn id="3" name="Cp" dataDxfId="26"/>
    <tableColumn id="4" name="ville" dataDxfId="25"/>
    <tableColumn id="5" name="pays" dataDxfId="24"/>
    <tableColumn id="6" name="Telephonne" dataDxfId="23"/>
    <tableColumn id="7" name="mail" dataDxfId="22"/>
    <tableColumn id="8" name="Group" dataDxfId="21"/>
  </tableColumns>
  <tableStyleInfo name="TableStyleMedium13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3:E6" insertRowShift="1" totalsRowShown="0" headerRowDxfId="20" dataDxfId="19">
  <autoFilter ref="A3:E6"/>
  <tableColumns count="5">
    <tableColumn id="1" name="N°" dataDxfId="18">
      <calculatedColumnFormula>IF(B4&lt;&gt;"",ROW()-3,"")</calculatedColumnFormula>
    </tableColumn>
    <tableColumn id="2" name="NUM_VENTE" dataDxfId="17"/>
    <tableColumn id="3" name="CODE_ART" dataDxfId="16"/>
    <tableColumn id="4" name="MONTANT" dataDxfId="15"/>
    <tableColumn id="5" name="DATE" dataDxfId="14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A4:J13" totalsRowShown="0" headerRowDxfId="13">
  <autoFilter ref="A4:J1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ID" dataDxfId="12">
      <calculatedColumnFormula>IF(B5&lt;&gt;"",ROW()-4,"")</calculatedColumnFormula>
    </tableColumn>
    <tableColumn id="2" name="Nr commande"/>
    <tableColumn id="3" name="Date"/>
    <tableColumn id="4" name="Nr Article"/>
    <tableColumn id="5" name="Article"/>
    <tableColumn id="6" name="Quantité"/>
    <tableColumn id="7" name="Prix"/>
    <tableColumn id="8" name="Prix total" dataDxfId="11">
      <calculatedColumnFormula>+Tableau6[[#This Row],[Quantité]]*G5</calculatedColumnFormula>
    </tableColumn>
    <tableColumn id="9" name="Fournisseur"/>
    <tableColumn id="10" name="Mois" dataDxfId="10">
      <calculatedColumnFormula>TEXT(C5,"MMMM") &amp; "-" &amp; TEXT(C5, "AAAA")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10" Type="http://schemas.openxmlformats.org/officeDocument/2006/relationships/table" Target="../tables/table3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Pb@gmail.com" TargetMode="External"/><Relationship Id="rId2" Type="http://schemas.openxmlformats.org/officeDocument/2006/relationships/hyperlink" Target="mailto:gka@gmail.com" TargetMode="External"/><Relationship Id="rId1" Type="http://schemas.openxmlformats.org/officeDocument/2006/relationships/hyperlink" Target="mailto:gka@gmail.com" TargetMode="External"/><Relationship Id="rId6" Type="http://schemas.openxmlformats.org/officeDocument/2006/relationships/table" Target="../tables/table4.xml"/><Relationship Id="rId5" Type="http://schemas.openxmlformats.org/officeDocument/2006/relationships/hyperlink" Target="mailto:Ptb@gmail.com" TargetMode="External"/><Relationship Id="rId4" Type="http://schemas.openxmlformats.org/officeDocument/2006/relationships/hyperlink" Target="mailto:Jb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gkab@gmail,com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4:G19"/>
  <sheetViews>
    <sheetView showGridLines="0" workbookViewId="0">
      <selection activeCell="D8" sqref="D8:G19"/>
    </sheetView>
  </sheetViews>
  <sheetFormatPr baseColWidth="10" defaultRowHeight="15" x14ac:dyDescent="0.25"/>
  <cols>
    <col min="4" max="4" width="15.140625" style="1" bestFit="1" customWidth="1"/>
    <col min="5" max="5" width="15.28515625" style="1" customWidth="1"/>
    <col min="6" max="6" width="15.7109375" style="4" bestFit="1" customWidth="1"/>
    <col min="7" max="7" width="11.42578125" style="4"/>
  </cols>
  <sheetData>
    <row r="4" spans="4:7" x14ac:dyDescent="0.25">
      <c r="D4" s="2" t="s">
        <v>4</v>
      </c>
      <c r="F4" s="5" t="s">
        <v>25</v>
      </c>
    </row>
    <row r="5" spans="4:7" x14ac:dyDescent="0.25">
      <c r="D5" s="3" t="s">
        <v>15</v>
      </c>
      <c r="F5" s="6">
        <v>1000</v>
      </c>
    </row>
    <row r="7" spans="4:7" x14ac:dyDescent="0.25">
      <c r="D7" s="1" t="s">
        <v>0</v>
      </c>
      <c r="E7" s="1" t="s">
        <v>1</v>
      </c>
      <c r="F7" s="4" t="s">
        <v>2</v>
      </c>
      <c r="G7" s="4" t="s">
        <v>3</v>
      </c>
    </row>
    <row r="8" spans="4:7" x14ac:dyDescent="0.25">
      <c r="D8" s="1" t="s">
        <v>4</v>
      </c>
      <c r="E8" s="1" t="s">
        <v>15</v>
      </c>
      <c r="F8" s="4" t="s">
        <v>25</v>
      </c>
      <c r="G8" s="7">
        <v>1000</v>
      </c>
    </row>
    <row r="9" spans="4:7" x14ac:dyDescent="0.25">
      <c r="D9" s="1" t="s">
        <v>5</v>
      </c>
      <c r="E9" s="1" t="s">
        <v>16</v>
      </c>
      <c r="F9" s="4" t="s">
        <v>26</v>
      </c>
      <c r="G9" s="7">
        <v>1500</v>
      </c>
    </row>
    <row r="10" spans="4:7" x14ac:dyDescent="0.25">
      <c r="D10" s="1" t="s">
        <v>6</v>
      </c>
      <c r="E10" s="1" t="s">
        <v>17</v>
      </c>
      <c r="F10" s="4" t="s">
        <v>27</v>
      </c>
      <c r="G10" s="7">
        <v>1200</v>
      </c>
    </row>
    <row r="11" spans="4:7" x14ac:dyDescent="0.25">
      <c r="D11" s="1" t="s">
        <v>7</v>
      </c>
      <c r="E11" s="1" t="s">
        <v>18</v>
      </c>
      <c r="F11" s="4" t="s">
        <v>28</v>
      </c>
      <c r="G11" s="7">
        <v>1000</v>
      </c>
    </row>
    <row r="12" spans="4:7" x14ac:dyDescent="0.25">
      <c r="D12" s="1" t="s">
        <v>8</v>
      </c>
      <c r="E12" s="1" t="s">
        <v>19</v>
      </c>
      <c r="F12" s="4" t="s">
        <v>29</v>
      </c>
      <c r="G12" s="7">
        <v>5500</v>
      </c>
    </row>
    <row r="13" spans="4:7" x14ac:dyDescent="0.25">
      <c r="D13" s="1" t="s">
        <v>9</v>
      </c>
      <c r="E13" s="1" t="s">
        <v>20</v>
      </c>
      <c r="F13" s="4" t="s">
        <v>29</v>
      </c>
      <c r="G13" s="7">
        <v>6000</v>
      </c>
    </row>
    <row r="14" spans="4:7" x14ac:dyDescent="0.25">
      <c r="D14" s="1" t="s">
        <v>10</v>
      </c>
      <c r="E14" s="1" t="s">
        <v>21</v>
      </c>
      <c r="F14" s="4" t="s">
        <v>30</v>
      </c>
      <c r="G14" s="7">
        <v>2500</v>
      </c>
    </row>
    <row r="15" spans="4:7" x14ac:dyDescent="0.25">
      <c r="D15" s="1" t="s">
        <v>11</v>
      </c>
      <c r="E15" s="1" t="s">
        <v>22</v>
      </c>
      <c r="F15" s="4" t="s">
        <v>31</v>
      </c>
      <c r="G15" s="7">
        <v>3000</v>
      </c>
    </row>
    <row r="16" spans="4:7" x14ac:dyDescent="0.25">
      <c r="D16" s="1" t="s">
        <v>12</v>
      </c>
      <c r="E16" s="1" t="s">
        <v>23</v>
      </c>
      <c r="F16" s="4" t="s">
        <v>32</v>
      </c>
      <c r="G16" s="7">
        <v>800</v>
      </c>
    </row>
    <row r="17" spans="4:7" x14ac:dyDescent="0.25">
      <c r="D17" s="1" t="s">
        <v>13</v>
      </c>
      <c r="E17" s="1" t="s">
        <v>24</v>
      </c>
      <c r="F17" s="4" t="s">
        <v>33</v>
      </c>
      <c r="G17" s="7">
        <v>5500</v>
      </c>
    </row>
    <row r="18" spans="4:7" x14ac:dyDescent="0.25">
      <c r="D18" s="1" t="s">
        <v>14</v>
      </c>
      <c r="E18" s="1" t="s">
        <v>34</v>
      </c>
      <c r="F18" s="4" t="s">
        <v>35</v>
      </c>
      <c r="G18" s="7">
        <v>500</v>
      </c>
    </row>
    <row r="19" spans="4:7" x14ac:dyDescent="0.25">
      <c r="D19" s="1" t="s">
        <v>4</v>
      </c>
      <c r="E19" s="1" t="s">
        <v>36</v>
      </c>
      <c r="F19" s="4" t="s">
        <v>37</v>
      </c>
      <c r="G19" s="7">
        <v>800</v>
      </c>
    </row>
  </sheetData>
  <conditionalFormatting sqref="D8:G19">
    <cfRule type="expression" dxfId="9" priority="1">
      <formula>$D8=$D$4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10</xdr:col>
                <xdr:colOff>447675</xdr:colOff>
                <xdr:row>7</xdr:row>
                <xdr:rowOff>123825</xdr:rowOff>
              </from>
              <to>
                <xdr:col>11</xdr:col>
                <xdr:colOff>676275</xdr:colOff>
                <xdr:row>9</xdr:row>
                <xdr:rowOff>152400</xdr:rowOff>
              </to>
            </anchor>
          </controlPr>
        </control>
      </mc:Choice>
      <mc:Fallback>
        <control shapeId="3073" r:id="rId4" name="CommandButton1"/>
      </mc:Fallback>
    </mc:AlternateContent>
    <mc:AlternateContent xmlns:mc="http://schemas.openxmlformats.org/markup-compatibility/2006">
      <mc:Choice Requires="x14">
        <control shapeId="3074" r:id="rId6" name="CommandButton2">
          <controlPr defaultSize="0" autoLine="0" autoPict="0" r:id="rId7">
            <anchor moveWithCells="1">
              <from>
                <xdr:col>10</xdr:col>
                <xdr:colOff>266700</xdr:colOff>
                <xdr:row>12</xdr:row>
                <xdr:rowOff>142875</xdr:rowOff>
              </from>
              <to>
                <xdr:col>11</xdr:col>
                <xdr:colOff>742950</xdr:colOff>
                <xdr:row>14</xdr:row>
                <xdr:rowOff>47625</xdr:rowOff>
              </to>
            </anchor>
          </controlPr>
        </control>
      </mc:Choice>
      <mc:Fallback>
        <control shapeId="3074" r:id="rId6" name="CommandButton2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B4:V8"/>
  <sheetViews>
    <sheetView showGridLines="0" tabSelected="1" workbookViewId="0">
      <selection activeCell="D13" sqref="D13"/>
    </sheetView>
  </sheetViews>
  <sheetFormatPr baseColWidth="10" defaultRowHeight="15" x14ac:dyDescent="0.25"/>
  <cols>
    <col min="2" max="2" width="11.5703125" style="4" customWidth="1"/>
    <col min="3" max="3" width="11.42578125" style="4"/>
    <col min="4" max="4" width="13.28515625" style="4" customWidth="1"/>
    <col min="5" max="5" width="14.140625" customWidth="1"/>
    <col min="6" max="6" width="11.42578125" style="4"/>
    <col min="7" max="7" width="14.140625" style="14" customWidth="1"/>
    <col min="8" max="8" width="11.7109375" customWidth="1"/>
    <col min="9" max="10" width="11.42578125" customWidth="1"/>
    <col min="11" max="11" width="0.85546875" customWidth="1"/>
    <col min="12" max="20" width="4.28515625" style="4" customWidth="1"/>
    <col min="21" max="21" width="5.140625" style="4" customWidth="1"/>
    <col min="22" max="22" width="6.140625" style="4" customWidth="1"/>
    <col min="23" max="23" width="5.42578125" customWidth="1"/>
    <col min="24" max="24" width="5.85546875" customWidth="1"/>
    <col min="25" max="25" width="5.28515625" customWidth="1"/>
  </cols>
  <sheetData>
    <row r="4" spans="2:22" x14ac:dyDescent="0.25">
      <c r="L4" s="4">
        <v>1</v>
      </c>
      <c r="M4" s="4">
        <v>2</v>
      </c>
      <c r="N4" s="4">
        <v>3</v>
      </c>
      <c r="O4" s="4">
        <v>4</v>
      </c>
      <c r="P4" s="4">
        <v>5</v>
      </c>
      <c r="Q4" s="4">
        <v>6</v>
      </c>
      <c r="R4" s="4">
        <v>7</v>
      </c>
      <c r="S4" s="4">
        <v>8</v>
      </c>
      <c r="T4" s="4">
        <v>9</v>
      </c>
      <c r="U4" s="4">
        <v>10</v>
      </c>
    </row>
    <row r="5" spans="2:22" s="4" customFormat="1" x14ac:dyDescent="0.25">
      <c r="B5" s="4" t="s">
        <v>38</v>
      </c>
      <c r="C5" s="4" t="s">
        <v>39</v>
      </c>
      <c r="D5" s="4" t="s">
        <v>2</v>
      </c>
      <c r="E5" s="4" t="s">
        <v>46</v>
      </c>
      <c r="F5" s="4" t="s">
        <v>40</v>
      </c>
      <c r="G5" s="4" t="s">
        <v>41</v>
      </c>
      <c r="H5" s="4" t="s">
        <v>42</v>
      </c>
      <c r="I5" s="4" t="s">
        <v>43</v>
      </c>
      <c r="J5" s="4" t="s">
        <v>60</v>
      </c>
      <c r="K5" s="9" t="s">
        <v>44</v>
      </c>
      <c r="L5" s="4" t="s">
        <v>47</v>
      </c>
      <c r="M5" s="4" t="s">
        <v>48</v>
      </c>
      <c r="N5" s="4" t="s">
        <v>49</v>
      </c>
      <c r="O5" s="4" t="s">
        <v>50</v>
      </c>
      <c r="P5" s="4" t="s">
        <v>51</v>
      </c>
      <c r="Q5" s="4" t="s">
        <v>52</v>
      </c>
      <c r="R5" s="4" t="s">
        <v>53</v>
      </c>
      <c r="S5" s="4" t="s">
        <v>54</v>
      </c>
      <c r="T5" s="4" t="s">
        <v>55</v>
      </c>
      <c r="U5" s="4" t="s">
        <v>56</v>
      </c>
      <c r="V5" s="4" t="s">
        <v>45</v>
      </c>
    </row>
    <row r="6" spans="2:22" x14ac:dyDescent="0.25">
      <c r="B6" s="4" t="s">
        <v>62</v>
      </c>
      <c r="C6" s="4" t="s">
        <v>63</v>
      </c>
      <c r="D6" s="4" t="s">
        <v>64</v>
      </c>
      <c r="E6" s="16">
        <v>2500</v>
      </c>
      <c r="F6" s="4">
        <v>35</v>
      </c>
      <c r="G6" s="15">
        <f>E6*F6</f>
        <v>87500</v>
      </c>
      <c r="H6">
        <v>10</v>
      </c>
      <c r="I6" s="8" t="str">
        <f>IF(F6&lt;H6,1,"")</f>
        <v/>
      </c>
      <c r="J6" s="8" t="s">
        <v>61</v>
      </c>
    </row>
    <row r="7" spans="2:22" x14ac:dyDescent="0.25">
      <c r="B7" s="4" t="s">
        <v>65</v>
      </c>
      <c r="C7" s="4" t="s">
        <v>66</v>
      </c>
      <c r="D7" s="4" t="s">
        <v>67</v>
      </c>
      <c r="E7" s="16">
        <v>850</v>
      </c>
      <c r="F7" s="4">
        <v>45</v>
      </c>
      <c r="G7" s="15">
        <f>E7*F7</f>
        <v>38250</v>
      </c>
      <c r="H7">
        <v>20</v>
      </c>
      <c r="I7" s="8" t="str">
        <f>IF(F7&lt;H7,1,"")</f>
        <v/>
      </c>
      <c r="J7" s="8" t="s">
        <v>61</v>
      </c>
    </row>
    <row r="8" spans="2:22" x14ac:dyDescent="0.25">
      <c r="B8" s="4" t="s">
        <v>68</v>
      </c>
      <c r="C8" s="4" t="s">
        <v>24</v>
      </c>
      <c r="D8" s="4" t="s">
        <v>69</v>
      </c>
      <c r="E8" s="16">
        <v>2750</v>
      </c>
      <c r="F8" s="4">
        <v>25</v>
      </c>
      <c r="G8" s="15">
        <f>E8*F8</f>
        <v>68750</v>
      </c>
      <c r="H8">
        <v>13</v>
      </c>
      <c r="I8" s="8" t="str">
        <f>IF(F8&lt;H8,1,"")</f>
        <v/>
      </c>
      <c r="J8" s="8" t="s">
        <v>61</v>
      </c>
    </row>
  </sheetData>
  <conditionalFormatting sqref="L6:V8">
    <cfRule type="expression" dxfId="8" priority="6">
      <formula>$B6&lt;&gt;""</formula>
    </cfRule>
  </conditionalFormatting>
  <conditionalFormatting sqref="L6:U8">
    <cfRule type="expression" dxfId="7" priority="4">
      <formula>AND($B6&lt;&gt;"",$F6&lt;$H6,$F6&gt;=L$4)</formula>
    </cfRule>
    <cfRule type="expression" dxfId="6" priority="5">
      <formula>AND($B6&lt;&gt;"",$F6&gt;=$H6,$F6&gt;=L$4)</formula>
    </cfRule>
  </conditionalFormatting>
  <conditionalFormatting sqref="V6:V8">
    <cfRule type="expression" dxfId="5" priority="2">
      <formula>AND($B6&lt;&gt;"",$F6&lt;=$H6,$F6&gt;$U$4)</formula>
    </cfRule>
    <cfRule type="expression" dxfId="4" priority="3">
      <formula>AND($B6&lt;&gt;"",$F6&gt;=$H6,$F6&gt;$U$4)</formula>
    </cfRule>
  </conditionalFormatting>
  <conditionalFormatting sqref="K6:K8">
    <cfRule type="expression" dxfId="3" priority="1">
      <formula>$B6&lt;&gt;""</formula>
    </cfRule>
  </conditionalFormatting>
  <dataValidations count="1">
    <dataValidation type="list" allowBlank="1" showInputMessage="1" showErrorMessage="1" sqref="J6:J8">
      <formula1>"Active, Inactive"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5" id="{7A6A80A6-E1FF-4B64-9509-599AAC93C2C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NoIcons" iconId="0"/>
              <x14:cfIcon iconSet="NoIcons" iconId="0"/>
              <x14:cfIcon iconSet="3Flags" iconId="0"/>
            </x14:iconSet>
          </x14:cfRule>
          <xm:sqref>I6:J8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3:AC33"/>
  <sheetViews>
    <sheetView showGridLines="0" topLeftCell="A5" workbookViewId="0">
      <selection activeCell="C16" sqref="C16"/>
    </sheetView>
  </sheetViews>
  <sheetFormatPr baseColWidth="10" defaultRowHeight="15" x14ac:dyDescent="0.25"/>
  <cols>
    <col min="1" max="1" width="3.28515625" customWidth="1"/>
    <col min="2" max="2" width="15.5703125" customWidth="1"/>
    <col min="3" max="3" width="15.7109375" bestFit="1" customWidth="1"/>
    <col min="4" max="4" width="11.5703125" customWidth="1"/>
    <col min="8" max="8" width="11.85546875" bestFit="1" customWidth="1"/>
    <col min="9" max="9" width="18" bestFit="1" customWidth="1"/>
    <col min="10" max="10" width="15.42578125" bestFit="1" customWidth="1"/>
    <col min="14" max="14" width="12.85546875" bestFit="1" customWidth="1"/>
    <col min="19" max="19" width="17" customWidth="1"/>
    <col min="20" max="20" width="5.85546875" customWidth="1"/>
    <col min="21" max="21" width="13.42578125" bestFit="1" customWidth="1"/>
    <col min="28" max="28" width="18.140625" bestFit="1" customWidth="1"/>
    <col min="29" max="29" width="12.5703125" bestFit="1" customWidth="1"/>
  </cols>
  <sheetData>
    <row r="3" spans="1:29" ht="15.75" thickBot="1" x14ac:dyDescent="0.3">
      <c r="M3" t="s">
        <v>140</v>
      </c>
      <c r="T3" s="4" t="s">
        <v>139</v>
      </c>
      <c r="U3" s="42" t="s">
        <v>70</v>
      </c>
      <c r="V3" s="42" t="s">
        <v>71</v>
      </c>
      <c r="W3" s="42" t="s">
        <v>38</v>
      </c>
      <c r="X3" s="42" t="s">
        <v>72</v>
      </c>
      <c r="Y3" s="42" t="s">
        <v>73</v>
      </c>
      <c r="Z3" s="42" t="s">
        <v>74</v>
      </c>
      <c r="AA3" s="42" t="s">
        <v>75</v>
      </c>
      <c r="AB3" s="42" t="s">
        <v>76</v>
      </c>
      <c r="AC3" s="42" t="s">
        <v>127</v>
      </c>
    </row>
    <row r="4" spans="1:29" ht="15.75" thickBot="1" x14ac:dyDescent="0.3">
      <c r="A4" s="4" t="s">
        <v>139</v>
      </c>
      <c r="B4" s="4" t="s">
        <v>70</v>
      </c>
      <c r="C4" s="4" t="s">
        <v>71</v>
      </c>
      <c r="D4" s="4" t="s">
        <v>38</v>
      </c>
      <c r="E4" s="4" t="s">
        <v>72</v>
      </c>
      <c r="F4" s="4" t="s">
        <v>73</v>
      </c>
      <c r="G4" s="4" t="s">
        <v>74</v>
      </c>
      <c r="H4" s="4" t="s">
        <v>75</v>
      </c>
      <c r="I4" s="4" t="s">
        <v>76</v>
      </c>
      <c r="J4" s="4" t="s">
        <v>127</v>
      </c>
      <c r="S4" s="42" t="s">
        <v>70</v>
      </c>
      <c r="U4" s="4" t="s">
        <v>124</v>
      </c>
      <c r="V4" s="20">
        <v>44112.568912037037</v>
      </c>
      <c r="W4" s="4" t="s">
        <v>65</v>
      </c>
      <c r="X4" s="4" t="s">
        <v>66</v>
      </c>
      <c r="Y4" s="4">
        <v>14</v>
      </c>
      <c r="Z4" s="19">
        <v>850</v>
      </c>
      <c r="AA4" s="7">
        <v>11900</v>
      </c>
      <c r="AB4" s="4" t="s">
        <v>85</v>
      </c>
      <c r="AC4" s="41" t="s">
        <v>134</v>
      </c>
    </row>
    <row r="5" spans="1:29" x14ac:dyDescent="0.25">
      <c r="A5" s="43">
        <f>IF(B5&lt;&gt;"",ROW()-4,"")</f>
        <v>1</v>
      </c>
      <c r="B5" s="4" t="s">
        <v>99</v>
      </c>
      <c r="C5" s="20">
        <v>44106.628946759258</v>
      </c>
      <c r="D5" s="4" t="s">
        <v>62</v>
      </c>
      <c r="E5" s="4" t="s">
        <v>63</v>
      </c>
      <c r="F5" s="4">
        <v>25</v>
      </c>
      <c r="G5" s="19">
        <v>2500</v>
      </c>
      <c r="H5" s="7">
        <f>Tableau3[[#This Row],[prix]]*Tableau3[[#This Row],[nombre]]</f>
        <v>62500</v>
      </c>
      <c r="I5" s="4" t="s">
        <v>84</v>
      </c>
      <c r="J5" s="41" t="str">
        <f t="shared" ref="J5:J28" si="0">TEXT(C5,"MMMM") &amp; "-" &amp; TEXT(C5, "AAAA")</f>
        <v>octobre-2020</v>
      </c>
      <c r="S5" s="4" t="s">
        <v>141</v>
      </c>
      <c r="U5" s="4" t="s">
        <v>124</v>
      </c>
      <c r="V5" s="20">
        <v>44112.568923611114</v>
      </c>
      <c r="W5" s="4" t="s">
        <v>65</v>
      </c>
      <c r="X5" s="4" t="s">
        <v>66</v>
      </c>
      <c r="Y5" s="4">
        <v>28</v>
      </c>
      <c r="Z5" s="19">
        <v>850</v>
      </c>
      <c r="AA5" s="7">
        <v>23800</v>
      </c>
      <c r="AB5" s="4" t="s">
        <v>85</v>
      </c>
      <c r="AC5" s="41" t="s">
        <v>134</v>
      </c>
    </row>
    <row r="6" spans="1:29" x14ac:dyDescent="0.25">
      <c r="A6" s="43">
        <f t="shared" ref="A6:A33" si="1">IF(B6&lt;&gt;"",ROW()-4,"")</f>
        <v>2</v>
      </c>
      <c r="B6" s="4" t="s">
        <v>99</v>
      </c>
      <c r="C6" s="20">
        <v>44106.628946759258</v>
      </c>
      <c r="D6" s="4" t="s">
        <v>65</v>
      </c>
      <c r="E6" s="4" t="s">
        <v>66</v>
      </c>
      <c r="F6" s="4">
        <v>30</v>
      </c>
      <c r="G6" s="19">
        <v>850</v>
      </c>
      <c r="H6" s="7">
        <f>Tableau3[[#This Row],[prix]]*Tableau3[[#This Row],[nombre]]</f>
        <v>25500</v>
      </c>
      <c r="I6" s="4" t="s">
        <v>84</v>
      </c>
      <c r="J6" s="41" t="str">
        <f t="shared" si="0"/>
        <v>octobre-2020</v>
      </c>
      <c r="U6" s="4" t="s">
        <v>124</v>
      </c>
      <c r="V6" s="20">
        <v>44112.568923611114</v>
      </c>
      <c r="W6" s="4" t="s">
        <v>68</v>
      </c>
      <c r="X6" s="4" t="s">
        <v>24</v>
      </c>
      <c r="Y6" s="4">
        <v>41</v>
      </c>
      <c r="Z6" s="19">
        <v>2750</v>
      </c>
      <c r="AA6" s="7">
        <v>112750</v>
      </c>
      <c r="AB6" s="4" t="s">
        <v>85</v>
      </c>
      <c r="AC6" s="41" t="s">
        <v>134</v>
      </c>
    </row>
    <row r="7" spans="1:29" x14ac:dyDescent="0.25">
      <c r="A7" s="43">
        <f t="shared" si="1"/>
        <v>3</v>
      </c>
      <c r="B7" s="4" t="s">
        <v>99</v>
      </c>
      <c r="C7" s="20">
        <v>44106.628946759258</v>
      </c>
      <c r="D7" s="4" t="s">
        <v>68</v>
      </c>
      <c r="E7" s="4" t="s">
        <v>24</v>
      </c>
      <c r="F7" s="4">
        <v>11</v>
      </c>
      <c r="G7" s="19">
        <v>2750</v>
      </c>
      <c r="H7" s="7">
        <f>Tableau3[[#This Row],[prix]]*Tableau3[[#This Row],[nombre]]</f>
        <v>30250</v>
      </c>
      <c r="I7" s="4" t="s">
        <v>84</v>
      </c>
      <c r="J7" s="41" t="str">
        <f t="shared" si="0"/>
        <v>octobre-2020</v>
      </c>
      <c r="U7" s="4" t="s">
        <v>124</v>
      </c>
      <c r="V7" s="20">
        <v>44112.568923611114</v>
      </c>
      <c r="W7" s="4" t="s">
        <v>65</v>
      </c>
      <c r="X7" s="4" t="s">
        <v>66</v>
      </c>
      <c r="Y7" s="4">
        <v>29</v>
      </c>
      <c r="Z7" s="19">
        <v>850</v>
      </c>
      <c r="AA7" s="7">
        <v>24650</v>
      </c>
      <c r="AB7" s="4" t="s">
        <v>85</v>
      </c>
      <c r="AC7" s="41" t="s">
        <v>134</v>
      </c>
    </row>
    <row r="8" spans="1:29" x14ac:dyDescent="0.25">
      <c r="A8" s="43">
        <f t="shared" si="1"/>
        <v>4</v>
      </c>
      <c r="B8" s="4" t="s">
        <v>123</v>
      </c>
      <c r="C8" s="20">
        <v>44109.480694444443</v>
      </c>
      <c r="D8" s="4" t="s">
        <v>65</v>
      </c>
      <c r="E8" s="4" t="s">
        <v>66</v>
      </c>
      <c r="F8" s="4">
        <v>12</v>
      </c>
      <c r="G8" s="19">
        <v>850</v>
      </c>
      <c r="H8" s="7">
        <f>Tableau3[[#This Row],[prix]]*Tableau3[[#This Row],[nombre]]</f>
        <v>10200</v>
      </c>
      <c r="I8" s="4" t="s">
        <v>84</v>
      </c>
      <c r="J8" s="41" t="str">
        <f t="shared" si="0"/>
        <v>octobre-2020</v>
      </c>
      <c r="L8" s="39" t="s">
        <v>65</v>
      </c>
      <c r="U8" s="4"/>
      <c r="V8" s="20"/>
      <c r="W8" s="4"/>
      <c r="X8" s="4"/>
      <c r="Y8" s="4"/>
      <c r="Z8" s="19"/>
      <c r="AA8" s="7"/>
      <c r="AB8" s="4"/>
      <c r="AC8" s="41"/>
    </row>
    <row r="9" spans="1:29" x14ac:dyDescent="0.25">
      <c r="A9" s="43">
        <f t="shared" si="1"/>
        <v>5</v>
      </c>
      <c r="B9" s="4" t="s">
        <v>123</v>
      </c>
      <c r="C9" s="20">
        <v>44109.480694444443</v>
      </c>
      <c r="D9" s="4" t="s">
        <v>68</v>
      </c>
      <c r="E9" s="4" t="s">
        <v>24</v>
      </c>
      <c r="F9" s="4">
        <v>40</v>
      </c>
      <c r="G9" s="19">
        <v>2750</v>
      </c>
      <c r="H9" s="7">
        <f>Tableau3[[#This Row],[prix]]*Tableau3[[#This Row],[nombre]]</f>
        <v>110000</v>
      </c>
      <c r="I9" s="4" t="s">
        <v>84</v>
      </c>
      <c r="J9" s="41" t="str">
        <f t="shared" si="0"/>
        <v>octobre-2020</v>
      </c>
      <c r="L9" t="s">
        <v>99</v>
      </c>
      <c r="U9" s="4"/>
      <c r="V9" s="20"/>
      <c r="W9" s="4"/>
      <c r="X9" s="4"/>
      <c r="Y9" s="4"/>
      <c r="Z9" s="19"/>
      <c r="AA9" s="7"/>
      <c r="AB9" s="4"/>
      <c r="AC9" s="41"/>
    </row>
    <row r="10" spans="1:29" x14ac:dyDescent="0.25">
      <c r="A10" s="43">
        <f t="shared" si="1"/>
        <v>6</v>
      </c>
      <c r="B10" s="4" t="s">
        <v>123</v>
      </c>
      <c r="C10" s="20">
        <v>44109.480694444443</v>
      </c>
      <c r="D10" s="4" t="s">
        <v>62</v>
      </c>
      <c r="E10" s="4" t="s">
        <v>63</v>
      </c>
      <c r="F10" s="4">
        <v>25</v>
      </c>
      <c r="G10" s="19">
        <v>2500</v>
      </c>
      <c r="H10" s="7">
        <f>Tableau3[[#This Row],[prix]]*Tableau3[[#This Row],[nombre]]</f>
        <v>62500</v>
      </c>
      <c r="I10" s="4" t="s">
        <v>84</v>
      </c>
      <c r="J10" s="41" t="str">
        <f t="shared" si="0"/>
        <v>octobre-2020</v>
      </c>
      <c r="U10" s="4"/>
      <c r="V10" s="20"/>
      <c r="W10" s="4"/>
      <c r="X10" s="4"/>
      <c r="Y10" s="4"/>
      <c r="Z10" s="19"/>
      <c r="AA10" s="7"/>
      <c r="AB10" s="4"/>
      <c r="AC10" s="41"/>
    </row>
    <row r="11" spans="1:29" x14ac:dyDescent="0.25">
      <c r="A11" s="43">
        <f t="shared" si="1"/>
        <v>7</v>
      </c>
      <c r="B11" s="4" t="s">
        <v>123</v>
      </c>
      <c r="C11" s="20">
        <v>44109.481736111113</v>
      </c>
      <c r="D11" s="4" t="s">
        <v>65</v>
      </c>
      <c r="E11" s="4" t="s">
        <v>66</v>
      </c>
      <c r="F11" s="4">
        <v>25</v>
      </c>
      <c r="G11" s="19">
        <v>850</v>
      </c>
      <c r="H11" s="7">
        <f>Tableau3[[#This Row],[prix]]*Tableau3[[#This Row],[nombre]]</f>
        <v>21250</v>
      </c>
      <c r="I11" s="4" t="s">
        <v>84</v>
      </c>
      <c r="J11" s="41" t="str">
        <f t="shared" si="0"/>
        <v>octobre-2020</v>
      </c>
      <c r="U11" s="4"/>
      <c r="V11" s="20"/>
      <c r="W11" s="4"/>
      <c r="X11" s="4"/>
      <c r="Y11" s="4"/>
      <c r="Z11" s="19"/>
      <c r="AA11" s="7"/>
      <c r="AB11" s="4"/>
      <c r="AC11" s="41"/>
    </row>
    <row r="12" spans="1:29" x14ac:dyDescent="0.25">
      <c r="A12" s="43">
        <f t="shared" si="1"/>
        <v>8</v>
      </c>
      <c r="B12" s="4" t="s">
        <v>123</v>
      </c>
      <c r="C12" s="20">
        <v>44109.481736111113</v>
      </c>
      <c r="D12" s="4" t="s">
        <v>68</v>
      </c>
      <c r="E12" s="4" t="s">
        <v>24</v>
      </c>
      <c r="F12" s="4">
        <v>18</v>
      </c>
      <c r="G12" s="19">
        <v>2750</v>
      </c>
      <c r="H12" s="7">
        <f>Tableau3[[#This Row],[prix]]*Tableau3[[#This Row],[nombre]]</f>
        <v>49500</v>
      </c>
      <c r="I12" s="4" t="s">
        <v>84</v>
      </c>
      <c r="J12" s="41" t="str">
        <f t="shared" si="0"/>
        <v>octobre-2020</v>
      </c>
      <c r="N12" s="40">
        <f>SUMIFS(pt,MO,M3,art,L8)</f>
        <v>28050</v>
      </c>
      <c r="U12" s="4"/>
      <c r="V12" s="20"/>
      <c r="W12" s="4"/>
      <c r="X12" s="4"/>
      <c r="Y12" s="4"/>
      <c r="Z12" s="19"/>
      <c r="AA12" s="7"/>
      <c r="AB12" s="4"/>
      <c r="AC12" s="41"/>
    </row>
    <row r="13" spans="1:29" x14ac:dyDescent="0.25">
      <c r="A13" s="43">
        <f t="shared" si="1"/>
        <v>9</v>
      </c>
      <c r="B13" s="4" t="s">
        <v>123</v>
      </c>
      <c r="C13" s="20">
        <v>44109.481736111113</v>
      </c>
      <c r="D13" s="4" t="s">
        <v>62</v>
      </c>
      <c r="E13" s="4" t="s">
        <v>63</v>
      </c>
      <c r="F13" s="4">
        <v>45</v>
      </c>
      <c r="G13" s="19">
        <v>2500</v>
      </c>
      <c r="H13" s="7">
        <f>Tableau3[[#This Row],[prix]]*Tableau3[[#This Row],[nombre]]</f>
        <v>112500</v>
      </c>
      <c r="I13" s="4" t="s">
        <v>84</v>
      </c>
      <c r="J13" s="41" t="str">
        <f t="shared" si="0"/>
        <v>octobre-2020</v>
      </c>
      <c r="U13" s="4"/>
      <c r="V13" s="20"/>
      <c r="W13" s="4"/>
      <c r="X13" s="4"/>
      <c r="Y13" s="4"/>
      <c r="Z13" s="19"/>
      <c r="AA13" s="7"/>
      <c r="AB13" s="4"/>
      <c r="AC13" s="41"/>
    </row>
    <row r="14" spans="1:29" x14ac:dyDescent="0.25">
      <c r="A14" s="43">
        <f t="shared" si="1"/>
        <v>10</v>
      </c>
      <c r="B14" s="4" t="s">
        <v>123</v>
      </c>
      <c r="C14" s="20">
        <v>44109.519953703704</v>
      </c>
      <c r="D14" s="4" t="s">
        <v>62</v>
      </c>
      <c r="E14" s="4" t="s">
        <v>63</v>
      </c>
      <c r="F14" s="4">
        <v>5</v>
      </c>
      <c r="G14" s="19">
        <v>2500</v>
      </c>
      <c r="H14" s="7">
        <f>Tableau3[[#This Row],[prix]]*Tableau3[[#This Row],[nombre]]</f>
        <v>12500</v>
      </c>
      <c r="I14" s="4" t="s">
        <v>84</v>
      </c>
      <c r="J14" s="41" t="str">
        <f t="shared" si="0"/>
        <v>octobre-2020</v>
      </c>
      <c r="U14" s="4"/>
      <c r="V14" s="20"/>
      <c r="W14" s="4"/>
      <c r="X14" s="4"/>
      <c r="Y14" s="4"/>
      <c r="Z14" s="19"/>
      <c r="AA14" s="7"/>
      <c r="AB14" s="4"/>
      <c r="AC14" s="41"/>
    </row>
    <row r="15" spans="1:29" x14ac:dyDescent="0.25">
      <c r="A15" s="43">
        <f t="shared" si="1"/>
        <v>11</v>
      </c>
      <c r="B15" s="4" t="s">
        <v>123</v>
      </c>
      <c r="C15" s="20">
        <v>44109.519953703704</v>
      </c>
      <c r="D15" s="4" t="s">
        <v>65</v>
      </c>
      <c r="E15" s="4" t="s">
        <v>66</v>
      </c>
      <c r="F15" s="4">
        <v>15</v>
      </c>
      <c r="G15" s="19">
        <v>850</v>
      </c>
      <c r="H15" s="7">
        <f>Tableau3[[#This Row],[prix]]*Tableau3[[#This Row],[nombre]]</f>
        <v>12750</v>
      </c>
      <c r="I15" s="4" t="s">
        <v>84</v>
      </c>
      <c r="J15" s="41" t="str">
        <f t="shared" si="0"/>
        <v>octobre-2020</v>
      </c>
      <c r="U15" s="4"/>
      <c r="V15" s="20"/>
      <c r="W15" s="4"/>
      <c r="X15" s="4"/>
      <c r="Y15" s="4"/>
      <c r="Z15" s="19"/>
      <c r="AA15" s="7"/>
      <c r="AB15" s="4"/>
      <c r="AC15" s="41"/>
    </row>
    <row r="16" spans="1:29" x14ac:dyDescent="0.25">
      <c r="A16" s="43">
        <f t="shared" si="1"/>
        <v>12</v>
      </c>
      <c r="B16" s="4" t="s">
        <v>123</v>
      </c>
      <c r="C16" s="20">
        <v>44109.519953703704</v>
      </c>
      <c r="D16" s="4" t="s">
        <v>68</v>
      </c>
      <c r="E16" s="4" t="s">
        <v>24</v>
      </c>
      <c r="F16" s="4">
        <v>26</v>
      </c>
      <c r="G16" s="19">
        <v>2750</v>
      </c>
      <c r="H16" s="7">
        <f>Tableau3[[#This Row],[prix]]*Tableau3[[#This Row],[nombre]]</f>
        <v>71500</v>
      </c>
      <c r="I16" s="4" t="s">
        <v>84</v>
      </c>
      <c r="J16" s="41" t="str">
        <f t="shared" si="0"/>
        <v>octobre-2020</v>
      </c>
      <c r="U16" s="4"/>
      <c r="V16" s="20"/>
      <c r="W16" s="4"/>
      <c r="X16" s="4"/>
      <c r="Y16" s="4"/>
      <c r="Z16" s="19"/>
      <c r="AA16" s="7"/>
      <c r="AB16" s="4"/>
      <c r="AC16" s="41"/>
    </row>
    <row r="17" spans="1:29" x14ac:dyDescent="0.25">
      <c r="A17" s="43">
        <f t="shared" si="1"/>
        <v>13</v>
      </c>
      <c r="B17" s="4" t="s">
        <v>123</v>
      </c>
      <c r="C17" s="20">
        <v>44109.527175925927</v>
      </c>
      <c r="D17" s="4" t="s">
        <v>68</v>
      </c>
      <c r="E17" s="4" t="s">
        <v>24</v>
      </c>
      <c r="F17" s="4">
        <v>55</v>
      </c>
      <c r="G17" s="19">
        <v>2750</v>
      </c>
      <c r="H17" s="7">
        <f>Tableau3[[#This Row],[prix]]*Tableau3[[#This Row],[nombre]]</f>
        <v>151250</v>
      </c>
      <c r="I17" s="4" t="s">
        <v>84</v>
      </c>
      <c r="J17" s="41" t="str">
        <f t="shared" si="0"/>
        <v>octobre-2020</v>
      </c>
      <c r="U17" s="4"/>
      <c r="V17" s="20"/>
      <c r="W17" s="4"/>
      <c r="X17" s="4"/>
      <c r="Y17" s="4"/>
      <c r="Z17" s="19"/>
      <c r="AA17" s="7"/>
      <c r="AB17" s="4"/>
      <c r="AC17" s="41"/>
    </row>
    <row r="18" spans="1:29" x14ac:dyDescent="0.25">
      <c r="A18" s="43">
        <f t="shared" si="1"/>
        <v>14</v>
      </c>
      <c r="B18" s="4" t="s">
        <v>124</v>
      </c>
      <c r="C18" s="20">
        <v>44112.568912037037</v>
      </c>
      <c r="D18" s="4" t="s">
        <v>65</v>
      </c>
      <c r="E18" s="4" t="s">
        <v>66</v>
      </c>
      <c r="F18" s="4">
        <v>14</v>
      </c>
      <c r="G18" s="19">
        <v>850</v>
      </c>
      <c r="H18" s="7">
        <f>Tableau3[[#This Row],[prix]]*Tableau3[[#This Row],[nombre]]</f>
        <v>11900</v>
      </c>
      <c r="I18" s="4" t="s">
        <v>85</v>
      </c>
      <c r="J18" s="41" t="str">
        <f t="shared" si="0"/>
        <v>octobre-2020</v>
      </c>
      <c r="U18" s="4"/>
      <c r="V18" s="20"/>
      <c r="W18" s="4"/>
      <c r="X18" s="4"/>
      <c r="Y18" s="4"/>
      <c r="Z18" s="19"/>
      <c r="AA18" s="7"/>
      <c r="AB18" s="4"/>
      <c r="AC18" s="41"/>
    </row>
    <row r="19" spans="1:29" x14ac:dyDescent="0.25">
      <c r="A19" s="43">
        <f t="shared" si="1"/>
        <v>15</v>
      </c>
      <c r="B19" s="4" t="s">
        <v>124</v>
      </c>
      <c r="C19" s="20">
        <v>44112.568923611114</v>
      </c>
      <c r="D19" s="4" t="s">
        <v>65</v>
      </c>
      <c r="E19" s="4" t="s">
        <v>66</v>
      </c>
      <c r="F19" s="4">
        <v>28</v>
      </c>
      <c r="G19" s="19">
        <v>850</v>
      </c>
      <c r="H19" s="7">
        <f>Tableau3[[#This Row],[prix]]*Tableau3[[#This Row],[nombre]]</f>
        <v>23800</v>
      </c>
      <c r="I19" s="4" t="s">
        <v>85</v>
      </c>
      <c r="J19" s="41" t="str">
        <f t="shared" si="0"/>
        <v>octobre-2020</v>
      </c>
      <c r="U19" s="4"/>
      <c r="V19" s="20"/>
      <c r="W19" s="4"/>
      <c r="X19" s="4"/>
      <c r="Y19" s="4"/>
      <c r="Z19" s="19"/>
      <c r="AA19" s="7"/>
      <c r="AB19" s="4"/>
      <c r="AC19" s="41"/>
    </row>
    <row r="20" spans="1:29" x14ac:dyDescent="0.25">
      <c r="A20" s="43">
        <f t="shared" si="1"/>
        <v>16</v>
      </c>
      <c r="B20" s="4" t="s">
        <v>124</v>
      </c>
      <c r="C20" s="20">
        <v>44112.568923611114</v>
      </c>
      <c r="D20" s="4" t="s">
        <v>68</v>
      </c>
      <c r="E20" s="4" t="s">
        <v>24</v>
      </c>
      <c r="F20" s="4">
        <v>41</v>
      </c>
      <c r="G20" s="19">
        <v>2750</v>
      </c>
      <c r="H20" s="7">
        <f>Tableau3[[#This Row],[prix]]*Tableau3[[#This Row],[nombre]]</f>
        <v>112750</v>
      </c>
      <c r="I20" s="4" t="s">
        <v>85</v>
      </c>
      <c r="J20" s="41" t="str">
        <f t="shared" si="0"/>
        <v>octobre-2020</v>
      </c>
      <c r="U20" s="4"/>
      <c r="V20" s="20"/>
      <c r="W20" s="4"/>
      <c r="X20" s="4"/>
      <c r="Y20" s="4"/>
      <c r="Z20" s="19"/>
      <c r="AA20" s="7"/>
      <c r="AB20" s="4"/>
      <c r="AC20" s="41"/>
    </row>
    <row r="21" spans="1:29" x14ac:dyDescent="0.25">
      <c r="A21" s="43">
        <f t="shared" si="1"/>
        <v>17</v>
      </c>
      <c r="B21" s="4" t="s">
        <v>124</v>
      </c>
      <c r="C21" s="20">
        <v>44112.568923611114</v>
      </c>
      <c r="D21" s="4" t="s">
        <v>65</v>
      </c>
      <c r="E21" s="4" t="s">
        <v>66</v>
      </c>
      <c r="F21" s="4">
        <v>29</v>
      </c>
      <c r="G21" s="19">
        <v>850</v>
      </c>
      <c r="H21" s="7">
        <f>Tableau3[[#This Row],[prix]]*Tableau3[[#This Row],[nombre]]</f>
        <v>24650</v>
      </c>
      <c r="I21" s="4" t="s">
        <v>85</v>
      </c>
      <c r="J21" s="41" t="str">
        <f t="shared" si="0"/>
        <v>octobre-2020</v>
      </c>
      <c r="U21" s="4"/>
      <c r="V21" s="20"/>
      <c r="W21" s="4"/>
      <c r="X21" s="4"/>
      <c r="Y21" s="4"/>
      <c r="Z21" s="19"/>
      <c r="AA21" s="7"/>
      <c r="AB21" s="4"/>
      <c r="AC21" s="41"/>
    </row>
    <row r="22" spans="1:29" x14ac:dyDescent="0.25">
      <c r="A22" s="43">
        <f t="shared" si="1"/>
        <v>18</v>
      </c>
      <c r="B22" s="4" t="s">
        <v>125</v>
      </c>
      <c r="C22" s="20">
        <v>44112.654236111113</v>
      </c>
      <c r="D22" s="4" t="s">
        <v>62</v>
      </c>
      <c r="E22" s="4" t="s">
        <v>63</v>
      </c>
      <c r="F22" s="4">
        <v>22</v>
      </c>
      <c r="G22" s="19">
        <v>2500</v>
      </c>
      <c r="H22" s="7">
        <f>Tableau3[[#This Row],[prix]]*Tableau3[[#This Row],[nombre]]</f>
        <v>55000</v>
      </c>
      <c r="I22" s="4" t="s">
        <v>86</v>
      </c>
      <c r="J22" s="41" t="str">
        <f t="shared" si="0"/>
        <v>octobre-2020</v>
      </c>
      <c r="U22" s="4"/>
      <c r="V22" s="20"/>
      <c r="W22" s="4"/>
      <c r="X22" s="4"/>
      <c r="Y22" s="4"/>
      <c r="Z22" s="19"/>
      <c r="AA22" s="7"/>
      <c r="AB22" s="4"/>
      <c r="AC22" s="41"/>
    </row>
    <row r="23" spans="1:29" x14ac:dyDescent="0.25">
      <c r="A23" s="43">
        <f t="shared" si="1"/>
        <v>19</v>
      </c>
      <c r="B23" s="4" t="s">
        <v>125</v>
      </c>
      <c r="C23" s="20">
        <v>44112.654236111113</v>
      </c>
      <c r="D23" s="4" t="s">
        <v>65</v>
      </c>
      <c r="E23" s="4" t="s">
        <v>66</v>
      </c>
      <c r="F23" s="4">
        <v>11</v>
      </c>
      <c r="G23" s="19">
        <v>850</v>
      </c>
      <c r="H23" s="7">
        <f>Tableau3[[#This Row],[prix]]*Tableau3[[#This Row],[nombre]]</f>
        <v>9350</v>
      </c>
      <c r="I23" s="4" t="s">
        <v>86</v>
      </c>
      <c r="J23" s="41" t="str">
        <f t="shared" si="0"/>
        <v>octobre-2020</v>
      </c>
      <c r="U23" s="4"/>
      <c r="V23" s="20"/>
      <c r="W23" s="4"/>
      <c r="X23" s="4"/>
      <c r="Y23" s="4"/>
      <c r="Z23" s="19"/>
      <c r="AA23" s="7"/>
      <c r="AB23" s="4"/>
      <c r="AC23" s="41"/>
    </row>
    <row r="24" spans="1:29" x14ac:dyDescent="0.25">
      <c r="A24" s="43">
        <f t="shared" si="1"/>
        <v>20</v>
      </c>
      <c r="B24" s="4" t="s">
        <v>125</v>
      </c>
      <c r="C24" s="20">
        <v>44112.654236111113</v>
      </c>
      <c r="D24" s="4" t="s">
        <v>68</v>
      </c>
      <c r="E24" s="4" t="s">
        <v>24</v>
      </c>
      <c r="F24" s="4">
        <v>45</v>
      </c>
      <c r="G24" s="19">
        <v>2750</v>
      </c>
      <c r="H24" s="7">
        <f>Tableau3[[#This Row],[prix]]*Tableau3[[#This Row],[nombre]]</f>
        <v>123750</v>
      </c>
      <c r="I24" s="4" t="s">
        <v>86</v>
      </c>
      <c r="J24" s="41" t="str">
        <f t="shared" si="0"/>
        <v>octobre-2020</v>
      </c>
      <c r="U24" s="4"/>
      <c r="V24" s="20"/>
      <c r="W24" s="4"/>
      <c r="X24" s="4"/>
      <c r="Y24" s="4"/>
      <c r="Z24" s="19"/>
      <c r="AA24" s="7"/>
      <c r="AB24" s="4"/>
      <c r="AC24" s="41"/>
    </row>
    <row r="25" spans="1:29" x14ac:dyDescent="0.25">
      <c r="A25" s="43">
        <f t="shared" si="1"/>
        <v>21</v>
      </c>
      <c r="B25" s="4" t="s">
        <v>126</v>
      </c>
      <c r="C25" s="20">
        <v>44075</v>
      </c>
      <c r="D25" s="4" t="s">
        <v>62</v>
      </c>
      <c r="E25" s="4" t="s">
        <v>63</v>
      </c>
      <c r="F25" s="4">
        <v>25</v>
      </c>
      <c r="G25" s="19">
        <v>2500</v>
      </c>
      <c r="H25" s="7">
        <f>Tableau3[[#This Row],[prix]]*Tableau3[[#This Row],[nombre]]</f>
        <v>62500</v>
      </c>
      <c r="I25" s="4" t="s">
        <v>87</v>
      </c>
      <c r="J25" s="41" t="str">
        <f t="shared" si="0"/>
        <v>septembre-2020</v>
      </c>
      <c r="U25" s="4"/>
      <c r="V25" s="20"/>
      <c r="W25" s="4"/>
      <c r="X25" s="4"/>
      <c r="Y25" s="4"/>
      <c r="Z25" s="19"/>
      <c r="AA25" s="7"/>
      <c r="AB25" s="4"/>
      <c r="AC25" s="41"/>
    </row>
    <row r="26" spans="1:29" x14ac:dyDescent="0.25">
      <c r="A26" s="43">
        <f t="shared" si="1"/>
        <v>22</v>
      </c>
      <c r="B26" s="4" t="s">
        <v>126</v>
      </c>
      <c r="C26" s="20">
        <v>44076</v>
      </c>
      <c r="D26" s="4" t="s">
        <v>65</v>
      </c>
      <c r="E26" s="4" t="s">
        <v>66</v>
      </c>
      <c r="F26" s="4">
        <v>33</v>
      </c>
      <c r="G26" s="19">
        <v>850</v>
      </c>
      <c r="H26" s="7">
        <f>Tableau3[[#This Row],[prix]]*Tableau3[[#This Row],[nombre]]</f>
        <v>28050</v>
      </c>
      <c r="I26" s="4" t="s">
        <v>87</v>
      </c>
      <c r="J26" s="41" t="str">
        <f t="shared" si="0"/>
        <v>septembre-2020</v>
      </c>
      <c r="U26" s="4"/>
      <c r="V26" s="20"/>
      <c r="W26" s="4"/>
      <c r="X26" s="4"/>
      <c r="Y26" s="4"/>
      <c r="Z26" s="19"/>
      <c r="AA26" s="7"/>
      <c r="AB26" s="4"/>
      <c r="AC26" s="41"/>
    </row>
    <row r="27" spans="1:29" x14ac:dyDescent="0.25">
      <c r="A27" s="43">
        <f t="shared" si="1"/>
        <v>23</v>
      </c>
      <c r="B27" s="4" t="s">
        <v>126</v>
      </c>
      <c r="C27" s="20">
        <v>44084</v>
      </c>
      <c r="D27" s="4" t="s">
        <v>68</v>
      </c>
      <c r="E27" s="4" t="s">
        <v>24</v>
      </c>
      <c r="F27" s="4">
        <v>61</v>
      </c>
      <c r="G27" s="19">
        <v>2750</v>
      </c>
      <c r="H27" s="7">
        <f>Tableau3[[#This Row],[prix]]*Tableau3[[#This Row],[nombre]]</f>
        <v>167750</v>
      </c>
      <c r="I27" s="4" t="s">
        <v>87</v>
      </c>
      <c r="J27" s="41" t="str">
        <f t="shared" si="0"/>
        <v>septembre-2020</v>
      </c>
      <c r="U27" s="4"/>
      <c r="V27" s="20"/>
      <c r="W27" s="4"/>
      <c r="X27" s="4"/>
      <c r="Y27" s="4"/>
      <c r="Z27" s="19"/>
      <c r="AA27" s="7"/>
      <c r="AB27" s="4"/>
      <c r="AC27" s="41"/>
    </row>
    <row r="28" spans="1:29" x14ac:dyDescent="0.25">
      <c r="A28" s="43">
        <f t="shared" si="1"/>
        <v>24</v>
      </c>
      <c r="B28" s="4" t="s">
        <v>126</v>
      </c>
      <c r="C28" s="20">
        <v>44081</v>
      </c>
      <c r="D28" s="4" t="s">
        <v>62</v>
      </c>
      <c r="E28" s="4" t="s">
        <v>63</v>
      </c>
      <c r="F28" s="4">
        <v>29</v>
      </c>
      <c r="G28" s="19">
        <v>2500</v>
      </c>
      <c r="H28" s="7">
        <f>Tableau3[[#This Row],[prix]]*Tableau3[[#This Row],[nombre]]</f>
        <v>72500</v>
      </c>
      <c r="I28" s="4" t="s">
        <v>87</v>
      </c>
      <c r="J28" s="41" t="str">
        <f t="shared" si="0"/>
        <v>septembre-2020</v>
      </c>
      <c r="U28" s="4"/>
      <c r="V28" s="20"/>
      <c r="W28" s="4"/>
      <c r="X28" s="4"/>
      <c r="Y28" s="4"/>
      <c r="Z28" s="19"/>
      <c r="AA28" s="7"/>
      <c r="AB28" s="4"/>
      <c r="AC28" s="41"/>
    </row>
    <row r="29" spans="1:29" x14ac:dyDescent="0.25">
      <c r="A29" s="43">
        <f t="shared" si="1"/>
        <v>25</v>
      </c>
      <c r="B29" s="4" t="s">
        <v>126</v>
      </c>
      <c r="C29" s="20">
        <v>44131.34097222222</v>
      </c>
      <c r="D29" s="4" t="s">
        <v>65</v>
      </c>
      <c r="E29" s="4" t="s">
        <v>66</v>
      </c>
      <c r="F29" s="4">
        <v>11</v>
      </c>
      <c r="G29" s="19">
        <v>850</v>
      </c>
      <c r="H29" s="7">
        <f>Tableau3[[#This Row],[prix]]*Tableau3[[#This Row],[nombre]]</f>
        <v>9350</v>
      </c>
      <c r="I29" s="4" t="s">
        <v>85</v>
      </c>
      <c r="J29" s="41" t="str">
        <f>TEXT(C29,"MMMM") &amp; "-" &amp; TEXT(C29, "AAAA")</f>
        <v>octobre-2020</v>
      </c>
      <c r="U29" s="4"/>
      <c r="V29" s="20"/>
      <c r="W29" s="4"/>
      <c r="X29" s="4"/>
      <c r="Y29" s="4"/>
      <c r="Z29" s="19"/>
      <c r="AA29" s="7"/>
      <c r="AB29" s="4"/>
      <c r="AC29" s="41"/>
    </row>
    <row r="30" spans="1:29" x14ac:dyDescent="0.25">
      <c r="A30" s="43">
        <f t="shared" si="1"/>
        <v>26</v>
      </c>
      <c r="B30" s="4" t="s">
        <v>135</v>
      </c>
      <c r="C30" s="20">
        <v>44131.34097222222</v>
      </c>
      <c r="D30" s="4" t="s">
        <v>68</v>
      </c>
      <c r="E30" s="4" t="s">
        <v>24</v>
      </c>
      <c r="F30" s="4">
        <v>23</v>
      </c>
      <c r="G30" s="19">
        <v>2750</v>
      </c>
      <c r="H30" s="7">
        <f>Tableau3[[#This Row],[prix]]*Tableau3[[#This Row],[nombre]]</f>
        <v>63250</v>
      </c>
      <c r="I30" s="4" t="s">
        <v>85</v>
      </c>
      <c r="J30" s="41" t="str">
        <f>TEXT(C30,"MMMM") &amp; "-" &amp; TEXT(C30, "AAAA")</f>
        <v>octobre-2020</v>
      </c>
      <c r="U30" s="4"/>
      <c r="V30" s="20"/>
      <c r="W30" s="4"/>
      <c r="X30" s="4"/>
      <c r="Y30" s="4"/>
      <c r="Z30" s="19"/>
      <c r="AA30" s="7"/>
      <c r="AB30" s="4"/>
      <c r="AC30" s="41"/>
    </row>
    <row r="31" spans="1:29" x14ac:dyDescent="0.25">
      <c r="A31" s="43">
        <f t="shared" si="1"/>
        <v>27</v>
      </c>
      <c r="B31" s="4" t="s">
        <v>136</v>
      </c>
      <c r="C31" s="20">
        <v>44131.34097222222</v>
      </c>
      <c r="D31" s="4" t="s">
        <v>65</v>
      </c>
      <c r="E31" s="4" t="s">
        <v>66</v>
      </c>
      <c r="F31" s="4">
        <v>35</v>
      </c>
      <c r="G31" s="19">
        <v>850</v>
      </c>
      <c r="H31" s="7">
        <f>Tableau3[[#This Row],[prix]]*Tableau3[[#This Row],[nombre]]</f>
        <v>29750</v>
      </c>
      <c r="I31" s="4" t="s">
        <v>85</v>
      </c>
      <c r="J31" s="41" t="str">
        <f>TEXT(C31,"MMMM") &amp; "-" &amp; TEXT(C31, "AAAA")</f>
        <v>octobre-2020</v>
      </c>
      <c r="U31" s="4"/>
      <c r="V31" s="20"/>
      <c r="W31" s="4"/>
      <c r="X31" s="4"/>
      <c r="Y31" s="4"/>
      <c r="Z31" s="19"/>
      <c r="AA31" s="7"/>
      <c r="AB31" s="4"/>
      <c r="AC31" s="41"/>
    </row>
    <row r="32" spans="1:29" x14ac:dyDescent="0.25">
      <c r="A32" s="43">
        <f t="shared" si="1"/>
        <v>28</v>
      </c>
      <c r="B32" s="4" t="s">
        <v>137</v>
      </c>
      <c r="C32" s="20">
        <v>44131.34097222222</v>
      </c>
      <c r="D32" s="4" t="s">
        <v>62</v>
      </c>
      <c r="E32" s="4" t="s">
        <v>63</v>
      </c>
      <c r="F32" s="4">
        <v>45</v>
      </c>
      <c r="G32" s="19">
        <v>2500</v>
      </c>
      <c r="H32" s="7">
        <f>Tableau3[[#This Row],[prix]]*Tableau3[[#This Row],[nombre]]</f>
        <v>112500</v>
      </c>
      <c r="I32" s="4" t="s">
        <v>85</v>
      </c>
      <c r="J32" s="41" t="str">
        <f>TEXT(C32,"MMMM") &amp; "-" &amp; TEXT(C32, "AAAA")</f>
        <v>octobre-2020</v>
      </c>
      <c r="U32" s="4"/>
      <c r="V32" s="20"/>
      <c r="W32" s="4"/>
      <c r="X32" s="4"/>
      <c r="Y32" s="4"/>
      <c r="Z32" s="19"/>
      <c r="AA32" s="7"/>
      <c r="AB32" s="4"/>
      <c r="AC32" s="41"/>
    </row>
    <row r="33" spans="1:10" x14ac:dyDescent="0.25">
      <c r="A33" s="43">
        <f t="shared" si="1"/>
        <v>29</v>
      </c>
      <c r="B33" s="4" t="s">
        <v>138</v>
      </c>
      <c r="C33" s="20">
        <v>44131.34097222222</v>
      </c>
      <c r="D33" s="4" t="s">
        <v>65</v>
      </c>
      <c r="E33" s="4" t="s">
        <v>66</v>
      </c>
      <c r="F33" s="4">
        <v>37</v>
      </c>
      <c r="G33" s="19">
        <v>850</v>
      </c>
      <c r="H33" s="7">
        <f>Tableau3[[#This Row],[prix]]*Tableau3[[#This Row],[nombre]]</f>
        <v>31450</v>
      </c>
      <c r="I33" s="4" t="s">
        <v>85</v>
      </c>
      <c r="J33" s="41" t="str">
        <f>TEXT(C33,"MMMM") &amp; "-" &amp; TEXT(C33, "AAAA")</f>
        <v>octobre-2020</v>
      </c>
    </row>
  </sheetData>
  <conditionalFormatting sqref="B5:J33">
    <cfRule type="expression" dxfId="2" priority="2">
      <formula>SUMIFS(pt,MO,M3,art,L8)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boBox2">
          <controlPr defaultSize="0" autoLine="0" autoPict="0" linkedCell="M3" r:id="rId5">
            <anchor moveWithCells="1">
              <from>
                <xdr:col>13</xdr:col>
                <xdr:colOff>171450</xdr:colOff>
                <xdr:row>4</xdr:row>
                <xdr:rowOff>142875</xdr:rowOff>
              </from>
              <to>
                <xdr:col>15</xdr:col>
                <xdr:colOff>342900</xdr:colOff>
                <xdr:row>6</xdr:row>
                <xdr:rowOff>0</xdr:rowOff>
              </to>
            </anchor>
          </controlPr>
        </control>
      </mc:Choice>
      <mc:Fallback>
        <control shapeId="1027" r:id="rId4" name="ComboBox2"/>
      </mc:Fallback>
    </mc:AlternateContent>
    <mc:AlternateContent xmlns:mc="http://schemas.openxmlformats.org/markup-compatibility/2006">
      <mc:Choice Requires="x14">
        <control shapeId="1026" r:id="rId6" name="ComboBox1">
          <controlPr defaultSize="0" autoLine="0" autoPict="0" linkedCell="L9" r:id="rId7">
            <anchor moveWithCells="1">
              <from>
                <xdr:col>13</xdr:col>
                <xdr:colOff>57150</xdr:colOff>
                <xdr:row>2</xdr:row>
                <xdr:rowOff>95250</xdr:rowOff>
              </from>
              <to>
                <xdr:col>15</xdr:col>
                <xdr:colOff>504825</xdr:colOff>
                <xdr:row>3</xdr:row>
                <xdr:rowOff>133350</xdr:rowOff>
              </to>
            </anchor>
          </controlPr>
        </control>
      </mc:Choice>
      <mc:Fallback>
        <control shapeId="1026" r:id="rId6" name="ComboBox1"/>
      </mc:Fallback>
    </mc:AlternateContent>
    <mc:AlternateContent xmlns:mc="http://schemas.openxmlformats.org/markup-compatibility/2006">
      <mc:Choice Requires="x14">
        <control shapeId="1025" r:id="rId8" name="AJOUTER">
          <controlPr defaultSize="0" autoLine="0" autoPict="0" r:id="rId9">
            <anchor moveWithCells="1">
              <from>
                <xdr:col>4</xdr:col>
                <xdr:colOff>762000</xdr:colOff>
                <xdr:row>0</xdr:row>
                <xdr:rowOff>104775</xdr:rowOff>
              </from>
              <to>
                <xdr:col>6</xdr:col>
                <xdr:colOff>104775</xdr:colOff>
                <xdr:row>2</xdr:row>
                <xdr:rowOff>9525</xdr:rowOff>
              </to>
            </anchor>
          </controlPr>
        </control>
      </mc:Choice>
      <mc:Fallback>
        <control shapeId="1025" r:id="rId8" name="AJOUTER"/>
      </mc:Fallback>
    </mc:AlternateContent>
  </controls>
  <tableParts count="1"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  <pageSetUpPr fitToPage="1"/>
  </sheetPr>
  <dimension ref="B7:G48"/>
  <sheetViews>
    <sheetView topLeftCell="A4" workbookViewId="0">
      <selection activeCell="B23" sqref="B23"/>
    </sheetView>
  </sheetViews>
  <sheetFormatPr baseColWidth="10" defaultRowHeight="15" x14ac:dyDescent="0.25"/>
  <cols>
    <col min="2" max="2" width="13.140625" style="4" customWidth="1"/>
    <col min="3" max="3" width="20.85546875" customWidth="1"/>
    <col min="4" max="4" width="22.5703125" customWidth="1"/>
    <col min="6" max="7" width="11.85546875" bestFit="1" customWidth="1"/>
  </cols>
  <sheetData>
    <row r="7" spans="2:7" x14ac:dyDescent="0.25">
      <c r="B7" s="48" t="s">
        <v>104</v>
      </c>
      <c r="C7" s="48"/>
      <c r="E7" s="47" t="s">
        <v>108</v>
      </c>
      <c r="F7" s="47"/>
      <c r="G7" s="47"/>
    </row>
    <row r="8" spans="2:7" x14ac:dyDescent="0.25">
      <c r="B8" s="48"/>
      <c r="C8" s="48"/>
      <c r="E8" s="47"/>
      <c r="F8" s="47"/>
      <c r="G8" s="47"/>
    </row>
    <row r="10" spans="2:7" x14ac:dyDescent="0.25">
      <c r="B10" s="25" t="s">
        <v>107</v>
      </c>
      <c r="C10" s="22" t="s">
        <v>137</v>
      </c>
      <c r="E10" s="23" t="s">
        <v>71</v>
      </c>
      <c r="F10" s="38">
        <f>IFERROR(INDEX(Tableau3[Date],MATCH(PO!C10,Tableau3[Nr commande],0)),"")</f>
        <v>44131.34097222222</v>
      </c>
    </row>
    <row r="12" spans="2:7" x14ac:dyDescent="0.25">
      <c r="C12" s="1" t="str">
        <f>+CONFIG!C26</f>
        <v>De Rien</v>
      </c>
    </row>
    <row r="13" spans="2:7" x14ac:dyDescent="0.25">
      <c r="C13" s="1" t="str">
        <f>+CONFIG!C27</f>
        <v>Kin N°05</v>
      </c>
    </row>
    <row r="14" spans="2:7" x14ac:dyDescent="0.25">
      <c r="C14" s="1">
        <f>+CONFIG!C28</f>
        <v>1000</v>
      </c>
    </row>
    <row r="15" spans="2:7" x14ac:dyDescent="0.25">
      <c r="C15" s="1" t="str">
        <f>+CONFIG!C29</f>
        <v>Kinshasa</v>
      </c>
      <c r="E15" s="24" t="s">
        <v>105</v>
      </c>
    </row>
    <row r="16" spans="2:7" x14ac:dyDescent="0.25">
      <c r="C16" s="1" t="str">
        <f>+CONFIG!C30</f>
        <v>RDC</v>
      </c>
    </row>
    <row r="17" spans="2:7" x14ac:dyDescent="0.25">
      <c r="C17" s="1">
        <f>+CONFIG!C31</f>
        <v>812781946</v>
      </c>
    </row>
    <row r="18" spans="2:7" x14ac:dyDescent="0.25">
      <c r="C18" s="1" t="str">
        <f>+CONFIG!C32</f>
        <v>gkab@gmail,com</v>
      </c>
    </row>
    <row r="22" spans="2:7" s="4" customFormat="1" x14ac:dyDescent="0.25">
      <c r="B22" s="18" t="s">
        <v>100</v>
      </c>
      <c r="C22" s="18" t="s">
        <v>38</v>
      </c>
      <c r="D22" s="18" t="s">
        <v>39</v>
      </c>
      <c r="E22" s="18" t="s">
        <v>101</v>
      </c>
      <c r="F22" s="18" t="s">
        <v>102</v>
      </c>
      <c r="G22" s="18" t="s">
        <v>103</v>
      </c>
    </row>
    <row r="23" spans="2:7" x14ac:dyDescent="0.25">
      <c r="B23" s="18">
        <f>IF(C23&lt;&gt;"",ROW()-22,"")</f>
        <v>1</v>
      </c>
      <c r="C23" s="18" t="str">
        <f t="array" ref="C23">IFERROR(INDEX(Tableau3[Nr Article],SMALL(IF(Tableau3[Nr commande]=PO!$C$10,ROW(Tableau3[Nr Article])-4),ROW()-22)),"")</f>
        <v>ART-00001</v>
      </c>
      <c r="D23" s="18" t="str">
        <f t="array" ref="D23">IFERROR(INDEX(Tableau3[nom],SMALL(IF(Tableau3[Nr commande]=PO!$C$10,ROW(Tableau3[Nr Article])-4),ROW()-22)),"")</f>
        <v>JUS CERES</v>
      </c>
      <c r="E23" s="18">
        <f t="array" ref="E23">IFERROR(INDEX(Tableau3[nombre],SMALL(IF(Tableau3[Nr commande]=PO!$C$10,ROW(Tableau3[Nr Article])-4),ROW()-22)),"")</f>
        <v>45</v>
      </c>
      <c r="F23" s="32">
        <f t="array" ref="F23">IFERROR(INDEX(Tableau3[prix],SMALL(IF(Tableau3[Nr commande]=PO!$C$10,ROW(Tableau3[Nr Article])-4),ROW()-22)),"")</f>
        <v>2500</v>
      </c>
      <c r="G23" s="28">
        <f>IFERROR(E23*F23,"")</f>
        <v>112500</v>
      </c>
    </row>
    <row r="24" spans="2:7" x14ac:dyDescent="0.25">
      <c r="B24" s="26" t="str">
        <f t="shared" ref="B24:B45" si="0">IF(C24&lt;&gt;"",ROW()-22,"")</f>
        <v/>
      </c>
      <c r="C24" s="26" t="str">
        <f t="array" ref="C24">IFERROR(INDEX(Tableau3[Nr Article],SMALL(IF(Tableau3[Nr commande]=PO!$C$10,ROW(Tableau3[Nr Article])-4),ROW()-22)),"")</f>
        <v/>
      </c>
      <c r="D24" s="26" t="str">
        <f t="array" ref="D24">IFERROR(INDEX(Tableau3[nom],SMALL(IF(Tableau3[Nr commande]=PO!$C$10,ROW(Tableau3[Nr Article])-4),ROW()-22)),"")</f>
        <v/>
      </c>
      <c r="E24" s="26" t="str">
        <f t="array" ref="E24">IFERROR(INDEX(Tableau3[nombre],SMALL(IF(Tableau3[Nr commande]=PO!$C$10,ROW(Tableau3[Nr Article])-4),ROW()-22)),"")</f>
        <v/>
      </c>
      <c r="F24" s="30" t="str">
        <f t="array" ref="F24">IFERROR(INDEX(Tableau3[prix],SMALL(IF(Tableau3[Nr commande]=PO!$C$10,ROW(Tableau3[Nr Article])-4),ROW()-22)),"")</f>
        <v/>
      </c>
      <c r="G24" s="31" t="str">
        <f t="shared" ref="G24:G44" si="1">IFERROR(E24*F24,"")</f>
        <v/>
      </c>
    </row>
    <row r="25" spans="2:7" x14ac:dyDescent="0.25">
      <c r="B25" s="26" t="str">
        <f t="shared" si="0"/>
        <v/>
      </c>
      <c r="C25" s="26" t="str">
        <f t="array" ref="C25">IFERROR(INDEX(Tableau3[Nr Article],SMALL(IF(Tableau3[Nr commande]=PO!$C$10,ROW(Tableau3[Nr Article])-4),ROW()-22)),"")</f>
        <v/>
      </c>
      <c r="D25" s="26" t="str">
        <f t="array" ref="D25">IFERROR(INDEX(Tableau3[nom],SMALL(IF(Tableau3[Nr commande]=PO!$C$10,ROW(Tableau3[Nr Article])-4),ROW()-22)),"")</f>
        <v/>
      </c>
      <c r="E25" s="26" t="str">
        <f t="array" ref="E25">IFERROR(INDEX(Tableau3[nombre],SMALL(IF(Tableau3[Nr commande]=PO!$C$10,ROW(Tableau3[Nr Article])-4),ROW()-22)),"")</f>
        <v/>
      </c>
      <c r="F25" s="30" t="str">
        <f t="array" ref="F25">IFERROR(INDEX(Tableau3[prix],SMALL(IF(Tableau3[Nr commande]=PO!$C$10,ROW(Tableau3[Nr Article])-4),ROW()-22)),"")</f>
        <v/>
      </c>
      <c r="G25" s="31" t="str">
        <f t="shared" si="1"/>
        <v/>
      </c>
    </row>
    <row r="26" spans="2:7" x14ac:dyDescent="0.25">
      <c r="B26" s="26" t="str">
        <f t="shared" si="0"/>
        <v/>
      </c>
      <c r="C26" s="26" t="str">
        <f t="array" ref="C26">IFERROR(INDEX(Tableau3[Nr Article],SMALL(IF(Tableau3[Nr commande]=PO!$C$10,ROW(Tableau3[Nr Article])-4),ROW()-22)),"")</f>
        <v/>
      </c>
      <c r="D26" s="26" t="str">
        <f t="array" ref="D26">IFERROR(INDEX(Tableau3[nom],SMALL(IF(Tableau3[Nr commande]=PO!$C$10,ROW(Tableau3[Nr Article])-4),ROW()-22)),"")</f>
        <v/>
      </c>
      <c r="E26" s="26" t="str">
        <f t="array" ref="E26">IFERROR(INDEX(Tableau3[nombre],SMALL(IF(Tableau3[Nr commande]=PO!$C$10,ROW(Tableau3[Nr Article])-4),ROW()-22)),"")</f>
        <v/>
      </c>
      <c r="F26" s="30" t="str">
        <f t="array" ref="F26">IFERROR(INDEX(Tableau3[prix],SMALL(IF(Tableau3[Nr commande]=PO!$C$10,ROW(Tableau3[Nr Article])-4),ROW()-22)),"")</f>
        <v/>
      </c>
      <c r="G26" s="31" t="str">
        <f t="shared" si="1"/>
        <v/>
      </c>
    </row>
    <row r="27" spans="2:7" x14ac:dyDescent="0.25">
      <c r="B27" s="26" t="str">
        <f t="shared" si="0"/>
        <v/>
      </c>
      <c r="C27" s="26"/>
      <c r="D27" s="26" t="str">
        <f t="array" ref="D27">IFERROR(INDEX(Tableau3[nom],SMALL(IF(Tableau3[Nr commande]=PO!$C$10,ROW(Tableau3[Nr Article])-4),ROW()-22)),"")</f>
        <v/>
      </c>
      <c r="E27" s="26" t="str">
        <f t="array" ref="E27">IFERROR(INDEX(Tableau3[nombre],SMALL(IF(Tableau3[Nr commande]=PO!$C$10,ROW(Tableau3[Nr Article])-4),ROW()-22)),"")</f>
        <v/>
      </c>
      <c r="F27" s="30" t="str">
        <f t="array" ref="F27">IFERROR(INDEX(Tableau3[prix],SMALL(IF(Tableau3[Nr commande]=PO!$C$10,ROW(Tableau3[Nr Article])-4),ROW()-22)),"")</f>
        <v/>
      </c>
      <c r="G27" s="31" t="str">
        <f t="shared" si="1"/>
        <v/>
      </c>
    </row>
    <row r="28" spans="2:7" x14ac:dyDescent="0.25">
      <c r="B28" s="26" t="str">
        <f t="shared" si="0"/>
        <v/>
      </c>
      <c r="C28" s="26"/>
      <c r="D28" s="26" t="str">
        <f t="array" ref="D28">IFERROR(INDEX(Tableau3[nom],SMALL(IF(Tableau3[Nr commande]=PO!$C$10,ROW(Tableau3[Nr Article])-4),ROW()-22)),"")</f>
        <v/>
      </c>
      <c r="E28" s="26" t="str">
        <f t="array" ref="E28">IFERROR(INDEX(Tableau3[nombre],SMALL(IF(Tableau3[Nr commande]=PO!$C$10,ROW(Tableau3[Nr Article])-4),ROW()-22)),"")</f>
        <v/>
      </c>
      <c r="F28" s="30" t="str">
        <f t="array" ref="F28">IFERROR(INDEX(Tableau3[prix],SMALL(IF(Tableau3[Nr commande]=PO!$C$10,ROW(Tableau3[Nr Article])-4),ROW()-22)),"")</f>
        <v/>
      </c>
      <c r="G28" s="31" t="str">
        <f t="shared" si="1"/>
        <v/>
      </c>
    </row>
    <row r="29" spans="2:7" x14ac:dyDescent="0.25">
      <c r="B29" s="26" t="str">
        <f t="shared" si="0"/>
        <v/>
      </c>
      <c r="C29" s="26" t="str">
        <f t="array" ref="C29">IFERROR(INDEX(Tableau3[Nr Article],SMALL(IF(Tableau3[Nr commande]=PO!$C$10,ROW(Tableau3[Nr Article])-4),ROW()-22)),"")</f>
        <v/>
      </c>
      <c r="D29" s="26" t="str">
        <f t="array" ref="D29">IFERROR(INDEX(Tableau3[nom],SMALL(IF(Tableau3[Nr commande]=PO!$C$10,ROW(Tableau3[Nr Article])-4),ROW()-22)),"")</f>
        <v/>
      </c>
      <c r="E29" s="26" t="str">
        <f t="array" ref="E29">IFERROR(INDEX(Tableau3[nombre],SMALL(IF(Tableau3[Nr commande]=PO!$C$10,ROW(Tableau3[Nr Article])-4),ROW()-22)),"")</f>
        <v/>
      </c>
      <c r="F29" s="30" t="str">
        <f t="array" ref="F29">IFERROR(INDEX(Tableau3[prix],SMALL(IF(Tableau3[Nr commande]=PO!$C$10,ROW(Tableau3[Nr Article])-4),ROW()-22)),"")</f>
        <v/>
      </c>
      <c r="G29" s="31" t="str">
        <f t="shared" si="1"/>
        <v/>
      </c>
    </row>
    <row r="30" spans="2:7" x14ac:dyDescent="0.25">
      <c r="B30" s="26" t="str">
        <f t="shared" si="0"/>
        <v/>
      </c>
      <c r="C30" s="26" t="str">
        <f t="array" ref="C30">IFERROR(INDEX(Tableau3[Nr Article],SMALL(IF(Tableau3[Nr commande]=PO!$C$10,ROW(Tableau3[Nr Article])-4),ROW()-22)),"")</f>
        <v/>
      </c>
      <c r="D30" s="26" t="str">
        <f t="array" ref="D30">IFERROR(INDEX(Tableau3[nom],SMALL(IF(Tableau3[Nr commande]=PO!$C$10,ROW(Tableau3[Nr Article])-4),ROW()-22)),"")</f>
        <v/>
      </c>
      <c r="E30" s="26" t="str">
        <f t="array" ref="E30">IFERROR(INDEX(Tableau3[nombre],SMALL(IF(Tableau3[Nr commande]=PO!$C$10,ROW(Tableau3[Nr Article])-4),ROW()-22)),"")</f>
        <v/>
      </c>
      <c r="F30" s="30" t="str">
        <f t="array" ref="F30">IFERROR(INDEX(Tableau3[prix],SMALL(IF(Tableau3[Nr commande]=PO!$C$10,ROW(Tableau3[Nr Article])-4),ROW()-22)),"")</f>
        <v/>
      </c>
      <c r="G30" s="31" t="str">
        <f t="shared" si="1"/>
        <v/>
      </c>
    </row>
    <row r="31" spans="2:7" x14ac:dyDescent="0.25">
      <c r="B31" s="26" t="str">
        <f t="shared" si="0"/>
        <v/>
      </c>
      <c r="C31" s="26" t="str">
        <f t="array" ref="C31">IFERROR(INDEX(Tableau3[Nr Article],SMALL(IF(Tableau3[Nr commande]=PO!$C$10,ROW(Tableau3[Nr Article])-4),ROW()-22)),"")</f>
        <v/>
      </c>
      <c r="D31" s="26" t="str">
        <f t="array" ref="D31">IFERROR(INDEX(Tableau3[nom],SMALL(IF(Tableau3[Nr commande]=PO!$C$10,ROW(Tableau3[Nr Article])-4),ROW()-22)),"")</f>
        <v/>
      </c>
      <c r="E31" s="26" t="str">
        <f t="array" ref="E31">IFERROR(INDEX(Tableau3[nombre],SMALL(IF(Tableau3[Nr commande]=PO!$C$10,ROW(Tableau3[Nr Article])-4),ROW()-22)),"")</f>
        <v/>
      </c>
      <c r="F31" s="30" t="str">
        <f t="array" ref="F31">IFERROR(INDEX(Tableau3[prix],SMALL(IF(Tableau3[Nr commande]=PO!$C$10,ROW(Tableau3[Nr Article])-4),ROW()-22)),"")</f>
        <v/>
      </c>
      <c r="G31" s="31" t="str">
        <f t="shared" si="1"/>
        <v/>
      </c>
    </row>
    <row r="32" spans="2:7" x14ac:dyDescent="0.25">
      <c r="B32" s="26" t="str">
        <f t="shared" si="0"/>
        <v/>
      </c>
      <c r="C32" s="26" t="str">
        <f t="array" ref="C32">IFERROR(INDEX(Tableau3[Nr Article],SMALL(IF(Tableau3[Nr commande]=PO!$C$10,ROW(Tableau3[Nr Article])-4),ROW()-22)),"")</f>
        <v/>
      </c>
      <c r="D32" s="26" t="str">
        <f t="array" ref="D32">IFERROR(INDEX(Tableau3[nom],SMALL(IF(Tableau3[Nr commande]=PO!$C$10,ROW(Tableau3[Nr Article])-4),ROW()-22)),"")</f>
        <v/>
      </c>
      <c r="E32" s="26" t="str">
        <f t="array" ref="E32">IFERROR(INDEX(Tableau3[nombre],SMALL(IF(Tableau3[Nr commande]=PO!$C$10,ROW(Tableau3[Nr Article])-4),ROW()-22)),"")</f>
        <v/>
      </c>
      <c r="F32" s="30" t="str">
        <f t="array" ref="F32">IFERROR(INDEX(Tableau3[prix],SMALL(IF(Tableau3[Nr commande]=PO!$C$10,ROW(Tableau3[Nr Article])-4),ROW()-22)),"")</f>
        <v/>
      </c>
      <c r="G32" s="31" t="str">
        <f t="shared" si="1"/>
        <v/>
      </c>
    </row>
    <row r="33" spans="2:7" x14ac:dyDescent="0.25">
      <c r="B33" s="26" t="str">
        <f t="shared" si="0"/>
        <v/>
      </c>
      <c r="C33" s="26" t="str">
        <f t="array" ref="C33">IFERROR(INDEX(Tableau3[Nr Article],SMALL(IF(Tableau3[Nr commande]=PO!$C$10,ROW(Tableau3[Nr Article])-4),ROW()-22)),"")</f>
        <v/>
      </c>
      <c r="D33" s="26" t="str">
        <f t="array" ref="D33">IFERROR(INDEX(Tableau3[nom],SMALL(IF(Tableau3[Nr commande]=PO!$C$10,ROW(Tableau3[Nr Article])-4),ROW()-22)),"")</f>
        <v/>
      </c>
      <c r="E33" s="26" t="str">
        <f t="array" ref="E33">IFERROR(INDEX(Tableau3[nombre],SMALL(IF(Tableau3[Nr commande]=PO!$C$10,ROW(Tableau3[Nr Article])-4),ROW()-22)),"")</f>
        <v/>
      </c>
      <c r="F33" s="30" t="str">
        <f t="array" ref="F33">IFERROR(INDEX(Tableau3[prix],SMALL(IF(Tableau3[Nr commande]=PO!$C$10,ROW(Tableau3[Nr Article])-4),ROW()-22)),"")</f>
        <v/>
      </c>
      <c r="G33" s="31" t="str">
        <f t="shared" si="1"/>
        <v/>
      </c>
    </row>
    <row r="34" spans="2:7" x14ac:dyDescent="0.25">
      <c r="B34" s="26" t="str">
        <f t="shared" si="0"/>
        <v/>
      </c>
      <c r="C34" s="26" t="str">
        <f t="array" ref="C34">IFERROR(INDEX(Tableau3[Nr Article],SMALL(IF(Tableau3[Nr commande]=PO!$C$10,ROW(Tableau3[Nr Article])-4),ROW()-22)),"")</f>
        <v/>
      </c>
      <c r="D34" s="26" t="str">
        <f t="array" ref="D34">IFERROR(INDEX(Tableau3[nom],SMALL(IF(Tableau3[Nr commande]=PO!$C$10,ROW(Tableau3[Nr Article])-4),ROW()-22)),"")</f>
        <v/>
      </c>
      <c r="E34" s="26" t="str">
        <f t="array" ref="E34">IFERROR(INDEX(Tableau3[nombre],SMALL(IF(Tableau3[Nr commande]=PO!$C$10,ROW(Tableau3[Nr Article])-4),ROW()-22)),"")</f>
        <v/>
      </c>
      <c r="F34" s="30" t="str">
        <f t="array" ref="F34">IFERROR(INDEX(Tableau3[prix],SMALL(IF(Tableau3[Nr commande]=PO!$C$10,ROW(Tableau3[Nr Article])-4),ROW()-22)),"")</f>
        <v/>
      </c>
      <c r="G34" s="31" t="str">
        <f t="shared" si="1"/>
        <v/>
      </c>
    </row>
    <row r="35" spans="2:7" x14ac:dyDescent="0.25">
      <c r="B35" s="26" t="str">
        <f t="shared" si="0"/>
        <v/>
      </c>
      <c r="C35" s="26" t="str">
        <f t="array" ref="C35">IFERROR(INDEX(Tableau3[Nr Article],SMALL(IF(Tableau3[Nr commande]=PO!$C$10,ROW(Tableau3[Nr Article])-4),ROW()-22)),"")</f>
        <v/>
      </c>
      <c r="D35" s="26" t="str">
        <f t="array" ref="D35">IFERROR(INDEX(Tableau3[nom],SMALL(IF(Tableau3[Nr commande]=PO!$C$10,ROW(Tableau3[Nr Article])-4),ROW()-22)),"")</f>
        <v/>
      </c>
      <c r="E35" s="26" t="str">
        <f t="array" ref="E35">IFERROR(INDEX(Tableau3[nombre],SMALL(IF(Tableau3[Nr commande]=PO!$C$10,ROW(Tableau3[Nr Article])-4),ROW()-22)),"")</f>
        <v/>
      </c>
      <c r="F35" s="30" t="str">
        <f t="array" ref="F35">IFERROR(INDEX(Tableau3[prix],SMALL(IF(Tableau3[Nr commande]=PO!$C$10,ROW(Tableau3[Nr Article])-4),ROW()-22)),"")</f>
        <v/>
      </c>
      <c r="G35" s="31" t="str">
        <f t="shared" si="1"/>
        <v/>
      </c>
    </row>
    <row r="36" spans="2:7" x14ac:dyDescent="0.25">
      <c r="B36" s="26" t="str">
        <f t="shared" si="0"/>
        <v/>
      </c>
      <c r="C36" s="26" t="str">
        <f t="array" ref="C36">IFERROR(INDEX(Tableau3[Nr Article],SMALL(IF(Tableau3[Nr commande]=PO!$C$10,ROW(Tableau3[Nr Article])-4),ROW()-22)),"")</f>
        <v/>
      </c>
      <c r="D36" s="26" t="str">
        <f t="array" ref="D36">IFERROR(INDEX(Tableau3[nom],SMALL(IF(Tableau3[Nr commande]=PO!$C$10,ROW(Tableau3[Nr Article])-4),ROW()-22)),"")</f>
        <v/>
      </c>
      <c r="E36" s="26" t="str">
        <f t="array" ref="E36">IFERROR(INDEX(Tableau3[nombre],SMALL(IF(Tableau3[Nr commande]=PO!$C$10,ROW(Tableau3[Nr Article])-4),ROW()-22)),"")</f>
        <v/>
      </c>
      <c r="F36" s="30" t="str">
        <f t="array" ref="F36">IFERROR(INDEX(Tableau3[prix],SMALL(IF(Tableau3[Nr commande]=PO!$C$10,ROW(Tableau3[Nr Article])-4),ROW()-22)),"")</f>
        <v/>
      </c>
      <c r="G36" s="31" t="str">
        <f t="shared" si="1"/>
        <v/>
      </c>
    </row>
    <row r="37" spans="2:7" x14ac:dyDescent="0.25">
      <c r="B37" s="26" t="str">
        <f t="shared" si="0"/>
        <v/>
      </c>
      <c r="C37" s="26" t="str">
        <f t="array" ref="C37">IFERROR(INDEX(Tableau3[Nr Article],SMALL(IF(Tableau3[Nr commande]=PO!$C$10,ROW(Tableau3[Nr Article])-4),ROW()-22)),"")</f>
        <v/>
      </c>
      <c r="D37" s="26" t="str">
        <f t="array" ref="D37">IFERROR(INDEX(Tableau3[nom],SMALL(IF(Tableau3[Nr commande]=PO!$C$10,ROW(Tableau3[Nr Article])-4),ROW()-22)),"")</f>
        <v/>
      </c>
      <c r="E37" s="26" t="str">
        <f t="array" ref="E37">IFERROR(INDEX(Tableau3[nombre],SMALL(IF(Tableau3[Nr commande]=PO!$C$10,ROW(Tableau3[Nr Article])-4),ROW()-22)),"")</f>
        <v/>
      </c>
      <c r="F37" s="30" t="str">
        <f t="array" ref="F37">IFERROR(INDEX(Tableau3[prix],SMALL(IF(Tableau3[Nr commande]=PO!$C$10,ROW(Tableau3[Nr Article])-4),ROW()-22)),"")</f>
        <v/>
      </c>
      <c r="G37" s="31" t="str">
        <f t="shared" si="1"/>
        <v/>
      </c>
    </row>
    <row r="38" spans="2:7" x14ac:dyDescent="0.25">
      <c r="B38" s="26" t="str">
        <f t="shared" si="0"/>
        <v/>
      </c>
      <c r="C38" s="26" t="str">
        <f t="array" ref="C38">IFERROR(INDEX(Tableau3[Nr Article],SMALL(IF(Tableau3[Nr commande]=PO!$C$10,ROW(Tableau3[Nr Article])-4),ROW()-22)),"")</f>
        <v/>
      </c>
      <c r="D38" s="26" t="str">
        <f t="array" ref="D38">IFERROR(INDEX(Tableau3[nom],SMALL(IF(Tableau3[Nr commande]=PO!$C$10,ROW(Tableau3[Nr Article])-4),ROW()-22)),"")</f>
        <v/>
      </c>
      <c r="E38" s="26" t="str">
        <f t="array" ref="E38">IFERROR(INDEX(Tableau3[nombre],SMALL(IF(Tableau3[Nr commande]=PO!$C$10,ROW(Tableau3[Nr Article])-4),ROW()-22)),"")</f>
        <v/>
      </c>
      <c r="F38" s="30" t="str">
        <f t="array" ref="F38">IFERROR(INDEX(Tableau3[prix],SMALL(IF(Tableau3[Nr commande]=PO!$C$10,ROW(Tableau3[Nr Article])-4),ROW()-22)),"")</f>
        <v/>
      </c>
      <c r="G38" s="31" t="str">
        <f t="shared" si="1"/>
        <v/>
      </c>
    </row>
    <row r="39" spans="2:7" x14ac:dyDescent="0.25">
      <c r="B39" s="26" t="str">
        <f t="shared" si="0"/>
        <v/>
      </c>
      <c r="C39" s="26" t="str">
        <f t="array" ref="C39">IFERROR(INDEX(Tableau3[Nr Article],SMALL(IF(Tableau3[Nr commande]=PO!$C$10,ROW(Tableau3[Nr Article])-4),ROW()-22)),"")</f>
        <v/>
      </c>
      <c r="D39" s="26" t="str">
        <f t="array" ref="D39">IFERROR(INDEX(Tableau3[nom],SMALL(IF(Tableau3[Nr commande]=PO!$C$10,ROW(Tableau3[Nr Article])-4),ROW()-22)),"")</f>
        <v/>
      </c>
      <c r="E39" s="26" t="str">
        <f t="array" ref="E39">IFERROR(INDEX(Tableau3[nombre],SMALL(IF(Tableau3[Nr commande]=PO!$C$10,ROW(Tableau3[Nr Article])-4),ROW()-22)),"")</f>
        <v/>
      </c>
      <c r="F39" s="30" t="str">
        <f t="array" ref="F39">IFERROR(INDEX(Tableau3[prix],SMALL(IF(Tableau3[Nr commande]=PO!$C$10,ROW(Tableau3[Nr Article])-4),ROW()-22)),"")</f>
        <v/>
      </c>
      <c r="G39" s="31" t="str">
        <f t="shared" si="1"/>
        <v/>
      </c>
    </row>
    <row r="40" spans="2:7" x14ac:dyDescent="0.25">
      <c r="B40" s="26" t="str">
        <f t="shared" si="0"/>
        <v/>
      </c>
      <c r="C40" s="26" t="str">
        <f t="array" ref="C40">IFERROR(INDEX(Tableau3[Nr Article],SMALL(IF(Tableau3[Nr commande]=PO!$C$10,ROW(Tableau3[Nr Article])-4),ROW()-22)),"")</f>
        <v/>
      </c>
      <c r="D40" s="26" t="str">
        <f t="array" ref="D40">IFERROR(INDEX(Tableau3[nom],SMALL(IF(Tableau3[Nr commande]=PO!$C$10,ROW(Tableau3[Nr Article])-4),ROW()-22)),"")</f>
        <v/>
      </c>
      <c r="E40" s="26" t="str">
        <f t="array" ref="E40">IFERROR(INDEX(Tableau3[nombre],SMALL(IF(Tableau3[Nr commande]=PO!$C$10,ROW(Tableau3[Nr Article])-4),ROW()-22)),"")</f>
        <v/>
      </c>
      <c r="F40" s="30" t="str">
        <f t="array" ref="F40">IFERROR(INDEX(Tableau3[prix],SMALL(IF(Tableau3[Nr commande]=PO!$C$10,ROW(Tableau3[Nr Article])-4),ROW()-22)),"")</f>
        <v/>
      </c>
      <c r="G40" s="31" t="str">
        <f t="shared" si="1"/>
        <v/>
      </c>
    </row>
    <row r="41" spans="2:7" x14ac:dyDescent="0.25">
      <c r="B41" s="26" t="str">
        <f t="shared" si="0"/>
        <v/>
      </c>
      <c r="C41" s="26" t="str">
        <f t="array" ref="C41">IFERROR(INDEX(Tableau3[Nr Article],SMALL(IF(Tableau3[Nr commande]=PO!$C$10,ROW(Tableau3[Nr Article])-4),ROW()-22)),"")</f>
        <v/>
      </c>
      <c r="D41" s="26" t="str">
        <f t="array" ref="D41">IFERROR(INDEX(Tableau3[nom],SMALL(IF(Tableau3[Nr commande]=PO!$C$10,ROW(Tableau3[Nr Article])-4),ROW()-22)),"")</f>
        <v/>
      </c>
      <c r="E41" s="26" t="str">
        <f t="array" ref="E41">IFERROR(INDEX(Tableau3[nombre],SMALL(IF(Tableau3[Nr commande]=PO!$C$10,ROW(Tableau3[Nr Article])-4),ROW()-22)),"")</f>
        <v/>
      </c>
      <c r="F41" s="30" t="str">
        <f t="array" ref="F41">IFERROR(INDEX(Tableau3[prix],SMALL(IF(Tableau3[Nr commande]=PO!$C$10,ROW(Tableau3[Nr Article])-4),ROW()-22)),"")</f>
        <v/>
      </c>
      <c r="G41" s="31" t="str">
        <f t="shared" si="1"/>
        <v/>
      </c>
    </row>
    <row r="42" spans="2:7" x14ac:dyDescent="0.25">
      <c r="B42" s="26" t="str">
        <f t="shared" si="0"/>
        <v/>
      </c>
      <c r="C42" s="26" t="str">
        <f t="array" ref="C42">IFERROR(INDEX(Tableau3[Nr Article],SMALL(IF(Tableau3[Nr commande]=PO!$C$10,ROW(Tableau3[Nr Article])-4),ROW()-22)),"")</f>
        <v/>
      </c>
      <c r="D42" s="26" t="str">
        <f t="array" ref="D42">IFERROR(INDEX(Tableau3[nom],SMALL(IF(Tableau3[Nr commande]=PO!$C$10,ROW(Tableau3[Nr Article])-4),ROW()-22)),"")</f>
        <v/>
      </c>
      <c r="E42" s="26" t="str">
        <f t="array" ref="E42">IFERROR(INDEX(Tableau3[nombre],SMALL(IF(Tableau3[Nr commande]=PO!$C$10,ROW(Tableau3[Nr Article])-4),ROW()-22)),"")</f>
        <v/>
      </c>
      <c r="F42" s="30" t="str">
        <f t="array" ref="F42">IFERROR(INDEX(Tableau3[prix],SMALL(IF(Tableau3[Nr commande]=PO!$C$10,ROW(Tableau3[Nr Article])-4),ROW()-22)),"")</f>
        <v/>
      </c>
      <c r="G42" s="31" t="str">
        <f t="shared" si="1"/>
        <v/>
      </c>
    </row>
    <row r="43" spans="2:7" x14ac:dyDescent="0.25">
      <c r="B43" s="26" t="str">
        <f t="shared" si="0"/>
        <v/>
      </c>
      <c r="C43" s="26" t="str">
        <f t="array" ref="C43">IFERROR(INDEX(Tableau3[Nr Article],SMALL(IF(Tableau3[Nr commande]=PO!$C$10,ROW(Tableau3[Nr Article])-4),ROW()-22)),"")</f>
        <v/>
      </c>
      <c r="D43" s="26" t="str">
        <f t="array" ref="D43">IFERROR(INDEX(Tableau3[nom],SMALL(IF(Tableau3[Nr commande]=PO!$C$10,ROW(Tableau3[Nr Article])-4),ROW()-22)),"")</f>
        <v/>
      </c>
      <c r="E43" s="26" t="str">
        <f t="array" ref="E43">IFERROR(INDEX(Tableau3[nombre],SMALL(IF(Tableau3[Nr commande]=PO!$C$10,ROW(Tableau3[Nr Article])-4),ROW()-22)),"")</f>
        <v/>
      </c>
      <c r="F43" s="30" t="str">
        <f t="array" ref="F43">IFERROR(INDEX(Tableau3[prix],SMALL(IF(Tableau3[Nr commande]=PO!$C$10,ROW(Tableau3[Nr Article])-4),ROW()-22)),"")</f>
        <v/>
      </c>
      <c r="G43" s="31" t="str">
        <f t="shared" si="1"/>
        <v/>
      </c>
    </row>
    <row r="44" spans="2:7" x14ac:dyDescent="0.25">
      <c r="B44" s="26" t="str">
        <f t="shared" si="0"/>
        <v/>
      </c>
      <c r="C44" s="26" t="str">
        <f t="array" ref="C44">IFERROR(INDEX(Tableau3[Nr Article],SMALL(IF(Tableau3[Nr commande]=PO!$C$10,ROW(Tableau3[Nr Article])-4),ROW()-22)),"")</f>
        <v/>
      </c>
      <c r="D44" s="26" t="str">
        <f t="array" ref="D44">IFERROR(INDEX(Tableau3[nom],SMALL(IF(Tableau3[Nr commande]=PO!$C$10,ROW(Tableau3[Nr Article])-4),ROW()-22)),"")</f>
        <v/>
      </c>
      <c r="E44" s="26" t="str">
        <f t="array" ref="E44">IFERROR(INDEX(Tableau3[nombre],SMALL(IF(Tableau3[Nr commande]=PO!$C$10,ROW(Tableau3[Nr Article])-4),ROW()-22)),"")</f>
        <v/>
      </c>
      <c r="F44" s="30" t="str">
        <f t="array" ref="F44">IFERROR(INDEX(Tableau3[prix],SMALL(IF(Tableau3[Nr commande]=PO!$C$10,ROW(Tableau3[Nr Article])-4),ROW()-22)),"")</f>
        <v/>
      </c>
      <c r="G44" s="31" t="str">
        <f t="shared" si="1"/>
        <v/>
      </c>
    </row>
    <row r="45" spans="2:7" x14ac:dyDescent="0.25">
      <c r="B45" s="27" t="str">
        <f t="shared" si="0"/>
        <v/>
      </c>
      <c r="C45" s="21"/>
      <c r="D45" s="21"/>
      <c r="E45" s="21"/>
      <c r="F45" s="21"/>
      <c r="G45" s="21"/>
    </row>
    <row r="46" spans="2:7" x14ac:dyDescent="0.25">
      <c r="F46" t="s">
        <v>103</v>
      </c>
      <c r="G46" s="29">
        <f>SUM(G23:G45)</f>
        <v>112500</v>
      </c>
    </row>
    <row r="47" spans="2:7" x14ac:dyDescent="0.25">
      <c r="F47" t="s">
        <v>109</v>
      </c>
      <c r="G47" s="29">
        <f>+G46*0.16</f>
        <v>18000</v>
      </c>
    </row>
    <row r="48" spans="2:7" x14ac:dyDescent="0.25">
      <c r="F48" t="s">
        <v>106</v>
      </c>
      <c r="G48" s="29">
        <f>+G46+G47</f>
        <v>130500</v>
      </c>
    </row>
  </sheetData>
  <mergeCells count="2">
    <mergeCell ref="E7:G8"/>
    <mergeCell ref="B7:C8"/>
  </mergeCells>
  <conditionalFormatting sqref="B24:G44">
    <cfRule type="expression" dxfId="1" priority="1">
      <formula>$B24 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95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0.59999389629810485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/>
  </sheetPr>
  <dimension ref="B5:I9"/>
  <sheetViews>
    <sheetView workbookViewId="0">
      <selection activeCell="B6" sqref="B6:I9"/>
    </sheetView>
  </sheetViews>
  <sheetFormatPr baseColWidth="10" defaultRowHeight="15" x14ac:dyDescent="0.25"/>
  <cols>
    <col min="2" max="2" width="18" bestFit="1" customWidth="1"/>
    <col min="3" max="3" width="18.140625" customWidth="1"/>
    <col min="7" max="7" width="13.85546875" customWidth="1"/>
    <col min="8" max="8" width="15.7109375" customWidth="1"/>
    <col min="9" max="9" width="16.85546875" customWidth="1"/>
  </cols>
  <sheetData>
    <row r="5" spans="2:9" x14ac:dyDescent="0.25">
      <c r="B5" s="4" t="s">
        <v>39</v>
      </c>
      <c r="C5" s="4" t="s">
        <v>77</v>
      </c>
      <c r="D5" s="4" t="s">
        <v>78</v>
      </c>
      <c r="E5" s="4" t="s">
        <v>79</v>
      </c>
      <c r="F5" s="4" t="s">
        <v>80</v>
      </c>
      <c r="G5" s="4" t="s">
        <v>81</v>
      </c>
      <c r="H5" s="4" t="s">
        <v>82</v>
      </c>
      <c r="I5" s="4" t="s">
        <v>83</v>
      </c>
    </row>
    <row r="6" spans="2:9" x14ac:dyDescent="0.25">
      <c r="B6" s="4" t="s">
        <v>84</v>
      </c>
      <c r="C6" s="4" t="s">
        <v>88</v>
      </c>
      <c r="D6" s="4">
        <v>1000</v>
      </c>
      <c r="E6" s="4" t="s">
        <v>92</v>
      </c>
      <c r="F6" s="4" t="s">
        <v>93</v>
      </c>
      <c r="G6" s="4">
        <v>812781946</v>
      </c>
      <c r="H6" s="17" t="s">
        <v>94</v>
      </c>
      <c r="I6" s="4"/>
    </row>
    <row r="7" spans="2:9" x14ac:dyDescent="0.25">
      <c r="B7" s="4" t="s">
        <v>85</v>
      </c>
      <c r="C7" s="4" t="s">
        <v>89</v>
      </c>
      <c r="D7" s="4">
        <v>1002</v>
      </c>
      <c r="E7" s="4" t="s">
        <v>92</v>
      </c>
      <c r="F7" s="4" t="s">
        <v>93</v>
      </c>
      <c r="G7" s="4">
        <v>846000447</v>
      </c>
      <c r="H7" s="17" t="s">
        <v>94</v>
      </c>
      <c r="I7" s="4"/>
    </row>
    <row r="8" spans="2:9" x14ac:dyDescent="0.25">
      <c r="B8" s="4" t="s">
        <v>86</v>
      </c>
      <c r="C8" s="4" t="s">
        <v>90</v>
      </c>
      <c r="D8" s="4">
        <v>1005</v>
      </c>
      <c r="E8" s="4" t="s">
        <v>92</v>
      </c>
      <c r="F8" s="4" t="s">
        <v>93</v>
      </c>
      <c r="G8" s="4">
        <v>84600519</v>
      </c>
      <c r="H8" s="17" t="s">
        <v>95</v>
      </c>
      <c r="I8" s="4"/>
    </row>
    <row r="9" spans="2:9" x14ac:dyDescent="0.25">
      <c r="B9" s="4" t="s">
        <v>87</v>
      </c>
      <c r="C9" s="4" t="s">
        <v>91</v>
      </c>
      <c r="D9" s="4">
        <v>1006</v>
      </c>
      <c r="E9" s="4" t="s">
        <v>92</v>
      </c>
      <c r="F9" s="4" t="s">
        <v>93</v>
      </c>
      <c r="G9" s="4">
        <v>846000523</v>
      </c>
      <c r="H9" s="17" t="s">
        <v>96</v>
      </c>
      <c r="I9" s="4"/>
    </row>
  </sheetData>
  <hyperlinks>
    <hyperlink ref="H7:H9" r:id="rId1" display="gka@gmail.com"/>
    <hyperlink ref="H6" r:id="rId2" display="gka@gmail.com"/>
    <hyperlink ref="H7" r:id="rId3"/>
    <hyperlink ref="H8" r:id="rId4"/>
    <hyperlink ref="H9" r:id="rId5"/>
  </hyperlinks>
  <pageMargins left="0.7" right="0.7" top="0.75" bottom="0.75" header="0.3" footer="0.3"/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0.499984740745262"/>
  </sheetPr>
  <dimension ref="A3:E21"/>
  <sheetViews>
    <sheetView workbookViewId="0">
      <selection activeCell="A4" sqref="A4:E6"/>
    </sheetView>
  </sheetViews>
  <sheetFormatPr baseColWidth="10" defaultRowHeight="15" x14ac:dyDescent="0.25"/>
  <cols>
    <col min="1" max="1" width="7.140625" customWidth="1"/>
    <col min="2" max="2" width="18.85546875" customWidth="1"/>
    <col min="3" max="3" width="16.5703125" customWidth="1"/>
    <col min="4" max="4" width="16" customWidth="1"/>
    <col min="5" max="5" width="12" customWidth="1"/>
  </cols>
  <sheetData>
    <row r="3" spans="1:5" s="4" customFormat="1" x14ac:dyDescent="0.25">
      <c r="A3" s="4" t="s">
        <v>128</v>
      </c>
      <c r="B3" s="4" t="s">
        <v>129</v>
      </c>
      <c r="C3" s="4" t="s">
        <v>130</v>
      </c>
      <c r="D3" s="4" t="s">
        <v>131</v>
      </c>
      <c r="E3" s="4" t="s">
        <v>132</v>
      </c>
    </row>
    <row r="4" spans="1:5" x14ac:dyDescent="0.25">
      <c r="A4">
        <f>IF(B4&lt;&gt;"",ROW()-3,"")</f>
        <v>1</v>
      </c>
      <c r="B4" s="4" t="s">
        <v>133</v>
      </c>
      <c r="C4" s="4"/>
      <c r="D4" s="4"/>
      <c r="E4" s="4"/>
    </row>
    <row r="5" spans="1:5" x14ac:dyDescent="0.25">
      <c r="A5">
        <f>IF(B5&lt;&gt;"",ROW()-3,"")</f>
        <v>2</v>
      </c>
      <c r="B5" s="4">
        <v>6</v>
      </c>
      <c r="C5" s="4"/>
      <c r="D5" s="4"/>
      <c r="E5" s="4"/>
    </row>
    <row r="6" spans="1:5" x14ac:dyDescent="0.25">
      <c r="A6">
        <f>IF(B6&lt;&gt;"",ROW()-3,"")</f>
        <v>3</v>
      </c>
      <c r="B6" s="4">
        <v>4</v>
      </c>
      <c r="C6" s="4"/>
      <c r="D6" s="4"/>
      <c r="E6" s="4"/>
    </row>
    <row r="21" spans="4:4" x14ac:dyDescent="0.25">
      <c r="D21">
        <v>1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B14:G38"/>
  <sheetViews>
    <sheetView topLeftCell="A13" workbookViewId="0">
      <selection activeCell="I21" sqref="I21"/>
    </sheetView>
  </sheetViews>
  <sheetFormatPr baseColWidth="10" defaultRowHeight="15" x14ac:dyDescent="0.25"/>
  <cols>
    <col min="2" max="2" width="17.85546875" style="4" bestFit="1" customWidth="1"/>
  </cols>
  <sheetData>
    <row r="14" spans="6:7" x14ac:dyDescent="0.25">
      <c r="F14" s="34"/>
      <c r="G14" s="34"/>
    </row>
    <row r="17" spans="2:5" x14ac:dyDescent="0.25">
      <c r="B17" s="11" t="s">
        <v>57</v>
      </c>
      <c r="C17" s="10"/>
      <c r="D17" s="10"/>
    </row>
    <row r="19" spans="2:5" x14ac:dyDescent="0.25">
      <c r="B19" s="12" t="s">
        <v>58</v>
      </c>
      <c r="C19" s="13" t="s">
        <v>59</v>
      </c>
      <c r="D19" s="13">
        <v>6</v>
      </c>
      <c r="E19" s="12" t="str">
        <f>C19&amp;TEXT(D19,"00000")</f>
        <v>ART-00006</v>
      </c>
    </row>
    <row r="20" spans="2:5" x14ac:dyDescent="0.25">
      <c r="B20" s="18" t="s">
        <v>97</v>
      </c>
      <c r="C20" s="18" t="s">
        <v>98</v>
      </c>
      <c r="D20" s="18">
        <v>9</v>
      </c>
      <c r="E20" s="12" t="str">
        <f>C20&amp;TEXT(D20,"00000")</f>
        <v>ORD-00009</v>
      </c>
    </row>
    <row r="21" spans="2:5" x14ac:dyDescent="0.25">
      <c r="C21" s="4"/>
      <c r="D21" s="4"/>
      <c r="E21" s="4"/>
    </row>
    <row r="22" spans="2:5" x14ac:dyDescent="0.25">
      <c r="C22" s="4"/>
      <c r="D22" s="4"/>
      <c r="E22" s="4"/>
    </row>
    <row r="24" spans="2:5" x14ac:dyDescent="0.25">
      <c r="B24" s="33" t="s">
        <v>110</v>
      </c>
    </row>
    <row r="26" spans="2:5" x14ac:dyDescent="0.25">
      <c r="B26" s="35" t="s">
        <v>111</v>
      </c>
      <c r="C26" t="s">
        <v>118</v>
      </c>
    </row>
    <row r="27" spans="2:5" x14ac:dyDescent="0.25">
      <c r="B27" s="35" t="s">
        <v>77</v>
      </c>
      <c r="C27" t="s">
        <v>119</v>
      </c>
    </row>
    <row r="28" spans="2:5" x14ac:dyDescent="0.25">
      <c r="B28" s="35" t="s">
        <v>112</v>
      </c>
      <c r="C28">
        <v>1000</v>
      </c>
    </row>
    <row r="29" spans="2:5" x14ac:dyDescent="0.25">
      <c r="B29" s="35" t="s">
        <v>113</v>
      </c>
      <c r="C29" t="s">
        <v>120</v>
      </c>
    </row>
    <row r="30" spans="2:5" x14ac:dyDescent="0.25">
      <c r="B30" s="35" t="s">
        <v>114</v>
      </c>
      <c r="C30" t="s">
        <v>93</v>
      </c>
    </row>
    <row r="31" spans="2:5" x14ac:dyDescent="0.25">
      <c r="B31" s="35" t="s">
        <v>115</v>
      </c>
      <c r="C31">
        <v>812781946</v>
      </c>
    </row>
    <row r="32" spans="2:5" x14ac:dyDescent="0.25">
      <c r="B32" s="35" t="s">
        <v>116</v>
      </c>
      <c r="C32" s="36" t="s">
        <v>121</v>
      </c>
    </row>
    <row r="33" spans="2:5" x14ac:dyDescent="0.25">
      <c r="B33" s="35"/>
    </row>
    <row r="34" spans="2:5" x14ac:dyDescent="0.25">
      <c r="B34" s="37" t="s">
        <v>117</v>
      </c>
      <c r="C34" s="49" t="s">
        <v>122</v>
      </c>
      <c r="D34" s="49"/>
      <c r="E34" s="49"/>
    </row>
    <row r="35" spans="2:5" x14ac:dyDescent="0.25">
      <c r="C35" s="49"/>
      <c r="D35" s="49"/>
      <c r="E35" s="49"/>
    </row>
    <row r="36" spans="2:5" x14ac:dyDescent="0.25">
      <c r="C36" s="49"/>
      <c r="D36" s="49"/>
      <c r="E36" s="49"/>
    </row>
    <row r="37" spans="2:5" x14ac:dyDescent="0.25">
      <c r="C37" s="49"/>
      <c r="D37" s="49"/>
      <c r="E37" s="49"/>
    </row>
    <row r="38" spans="2:5" x14ac:dyDescent="0.25">
      <c r="C38" s="49"/>
      <c r="D38" s="49"/>
      <c r="E38" s="49"/>
    </row>
  </sheetData>
  <mergeCells count="1">
    <mergeCell ref="C34:E38"/>
  </mergeCells>
  <hyperlinks>
    <hyperlink ref="C32" r:id="rId1"/>
  </hyperlinks>
  <pageMargins left="0.7" right="0.7" top="0.75" bottom="0.75" header="0.3" footer="0.3"/>
  <pageSetup paperSize="9" orientation="portrait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4" tint="-0.499984740745262"/>
  </sheetPr>
  <dimension ref="A4:O23"/>
  <sheetViews>
    <sheetView workbookViewId="0">
      <selection activeCell="A5" sqref="A5:J13"/>
    </sheetView>
  </sheetViews>
  <sheetFormatPr baseColWidth="10" defaultRowHeight="15" x14ac:dyDescent="0.25"/>
  <cols>
    <col min="1" max="1" width="5" customWidth="1"/>
    <col min="2" max="2" width="15.5703125" customWidth="1"/>
    <col min="3" max="3" width="15.7109375" customWidth="1"/>
    <col min="4" max="4" width="12.7109375" customWidth="1"/>
    <col min="5" max="5" width="16.28515625" customWidth="1"/>
    <col min="9" max="9" width="20.28515625" customWidth="1"/>
    <col min="10" max="10" width="18.5703125" customWidth="1"/>
    <col min="15" max="15" width="14.28515625" bestFit="1" customWidth="1"/>
  </cols>
  <sheetData>
    <row r="4" spans="1:10" x14ac:dyDescent="0.25">
      <c r="A4" s="4" t="s">
        <v>139</v>
      </c>
      <c r="B4" s="4" t="s">
        <v>70</v>
      </c>
      <c r="C4" s="4" t="s">
        <v>71</v>
      </c>
      <c r="D4" s="4" t="s">
        <v>38</v>
      </c>
      <c r="E4" s="4" t="s">
        <v>58</v>
      </c>
      <c r="F4" s="4" t="s">
        <v>142</v>
      </c>
      <c r="G4" s="4" t="s">
        <v>3</v>
      </c>
      <c r="H4" s="4" t="s">
        <v>143</v>
      </c>
      <c r="I4" s="4" t="s">
        <v>105</v>
      </c>
      <c r="J4" s="4" t="s">
        <v>127</v>
      </c>
    </row>
    <row r="5" spans="1:10" x14ac:dyDescent="0.25">
      <c r="A5" s="4">
        <f t="shared" ref="A5:A13" si="0">IF(B5&lt;&gt;"",ROW()-4,"")</f>
        <v>1</v>
      </c>
      <c r="B5" s="4" t="s">
        <v>135</v>
      </c>
      <c r="C5" s="44">
        <v>44146.460717592592</v>
      </c>
      <c r="D5" s="4" t="s">
        <v>62</v>
      </c>
      <c r="E5" s="4" t="s">
        <v>63</v>
      </c>
      <c r="F5" s="4">
        <v>25</v>
      </c>
      <c r="G5" s="45">
        <v>2500</v>
      </c>
      <c r="H5" s="45">
        <f>+Tableau6[[#This Row],[Quantité]]*G5</f>
        <v>62500</v>
      </c>
      <c r="I5" s="4" t="s">
        <v>84</v>
      </c>
      <c r="J5" s="41" t="str">
        <f t="shared" ref="J5:J7" si="1">TEXT(C5,"MMMM") &amp; "-" &amp; TEXT(C5, "AAAA")</f>
        <v>novembre-2020</v>
      </c>
    </row>
    <row r="6" spans="1:10" x14ac:dyDescent="0.25">
      <c r="A6" s="4">
        <f t="shared" si="0"/>
        <v>2</v>
      </c>
      <c r="B6" s="4" t="s">
        <v>135</v>
      </c>
      <c r="C6" s="44">
        <v>44146.460717592592</v>
      </c>
      <c r="D6" s="4" t="s">
        <v>65</v>
      </c>
      <c r="E6" s="4" t="s">
        <v>66</v>
      </c>
      <c r="F6" s="4">
        <v>20</v>
      </c>
      <c r="G6" s="45">
        <v>2500</v>
      </c>
      <c r="H6" s="45">
        <f>+Tableau6[[#This Row],[Quantité]]*G6</f>
        <v>50000</v>
      </c>
      <c r="I6" s="4" t="s">
        <v>84</v>
      </c>
      <c r="J6" s="41" t="str">
        <f t="shared" si="1"/>
        <v>novembre-2020</v>
      </c>
    </row>
    <row r="7" spans="1:10" x14ac:dyDescent="0.25">
      <c r="A7" s="4">
        <f t="shared" si="0"/>
        <v>3</v>
      </c>
      <c r="B7" s="4" t="s">
        <v>135</v>
      </c>
      <c r="C7" s="44">
        <v>44146.460717592592</v>
      </c>
      <c r="D7" s="4" t="s">
        <v>68</v>
      </c>
      <c r="E7" s="4" t="s">
        <v>24</v>
      </c>
      <c r="F7" s="4">
        <v>30</v>
      </c>
      <c r="G7" s="45">
        <v>2500</v>
      </c>
      <c r="H7" s="45">
        <f>+Tableau6[[#This Row],[Quantité]]*G7</f>
        <v>75000</v>
      </c>
      <c r="I7" s="4" t="s">
        <v>84</v>
      </c>
      <c r="J7" s="41" t="str">
        <f t="shared" si="1"/>
        <v>novembre-2020</v>
      </c>
    </row>
    <row r="8" spans="1:10" x14ac:dyDescent="0.25">
      <c r="A8" s="4">
        <f t="shared" si="0"/>
        <v>4</v>
      </c>
      <c r="B8" s="4" t="s">
        <v>136</v>
      </c>
      <c r="C8" s="44">
        <v>44146.486990740741</v>
      </c>
      <c r="D8" s="4" t="s">
        <v>62</v>
      </c>
      <c r="E8" s="4" t="s">
        <v>63</v>
      </c>
      <c r="F8" s="4">
        <v>26</v>
      </c>
      <c r="G8" s="45">
        <v>2500</v>
      </c>
      <c r="H8" s="45">
        <f>+Tableau6[[#This Row],[Quantité]]*G8</f>
        <v>65000</v>
      </c>
      <c r="I8" s="4" t="s">
        <v>85</v>
      </c>
      <c r="J8" s="41" t="str">
        <f t="shared" ref="J8:J13" si="2">TEXT(C8,"MMMM") &amp; "-" &amp; TEXT(C8, "AAAA")</f>
        <v>novembre-2020</v>
      </c>
    </row>
    <row r="9" spans="1:10" x14ac:dyDescent="0.25">
      <c r="A9" s="4">
        <f t="shared" si="0"/>
        <v>5</v>
      </c>
      <c r="B9" s="4" t="s">
        <v>136</v>
      </c>
      <c r="C9" s="44">
        <v>44146.486990740741</v>
      </c>
      <c r="D9" s="4" t="s">
        <v>68</v>
      </c>
      <c r="E9" s="4" t="s">
        <v>24</v>
      </c>
      <c r="F9" s="4">
        <v>25</v>
      </c>
      <c r="G9" s="45">
        <v>2750</v>
      </c>
      <c r="H9" s="45">
        <f>+Tableau6[[#This Row],[Quantité]]*G9</f>
        <v>68750</v>
      </c>
      <c r="I9" s="4" t="s">
        <v>85</v>
      </c>
      <c r="J9" s="41" t="str">
        <f t="shared" si="2"/>
        <v>novembre-2020</v>
      </c>
    </row>
    <row r="10" spans="1:10" x14ac:dyDescent="0.25">
      <c r="A10" s="4">
        <f t="shared" si="0"/>
        <v>6</v>
      </c>
      <c r="B10" s="4" t="s">
        <v>137</v>
      </c>
      <c r="C10" s="44">
        <v>44147.323541666665</v>
      </c>
      <c r="D10" s="4" t="s">
        <v>62</v>
      </c>
      <c r="E10" s="4" t="s">
        <v>63</v>
      </c>
      <c r="F10" s="4">
        <v>60</v>
      </c>
      <c r="G10" s="45">
        <v>2500</v>
      </c>
      <c r="H10" s="45">
        <f>+Tableau6[[#This Row],[Quantité]]*G10</f>
        <v>150000</v>
      </c>
      <c r="I10" s="4" t="s">
        <v>86</v>
      </c>
      <c r="J10" s="41" t="str">
        <f t="shared" si="2"/>
        <v>novembre-2020</v>
      </c>
    </row>
    <row r="11" spans="1:10" x14ac:dyDescent="0.25">
      <c r="A11" s="4">
        <f t="shared" si="0"/>
        <v>7</v>
      </c>
      <c r="B11" s="4" t="s">
        <v>137</v>
      </c>
      <c r="C11" s="44">
        <v>44147.323541666665</v>
      </c>
      <c r="D11" s="4" t="s">
        <v>65</v>
      </c>
      <c r="E11" s="4" t="s">
        <v>66</v>
      </c>
      <c r="F11" s="4">
        <v>33</v>
      </c>
      <c r="G11" s="45">
        <v>850</v>
      </c>
      <c r="H11" s="45">
        <f>+Tableau6[[#This Row],[Quantité]]*G11</f>
        <v>28050</v>
      </c>
      <c r="I11" s="4" t="s">
        <v>86</v>
      </c>
      <c r="J11" s="41" t="str">
        <f t="shared" si="2"/>
        <v>novembre-2020</v>
      </c>
    </row>
    <row r="12" spans="1:10" x14ac:dyDescent="0.25">
      <c r="A12" s="4">
        <f t="shared" si="0"/>
        <v>8</v>
      </c>
      <c r="B12" s="4" t="s">
        <v>137</v>
      </c>
      <c r="C12" s="44">
        <v>44147.323541666665</v>
      </c>
      <c r="D12" s="4" t="s">
        <v>68</v>
      </c>
      <c r="E12" s="4" t="s">
        <v>24</v>
      </c>
      <c r="F12" s="4">
        <v>15</v>
      </c>
      <c r="G12" s="45">
        <v>2750</v>
      </c>
      <c r="H12" s="45">
        <f>+Tableau6[[#This Row],[Quantité]]*G12</f>
        <v>41250</v>
      </c>
      <c r="I12" s="4" t="s">
        <v>86</v>
      </c>
      <c r="J12" s="41" t="str">
        <f t="shared" si="2"/>
        <v>novembre-2020</v>
      </c>
    </row>
    <row r="13" spans="1:10" x14ac:dyDescent="0.25">
      <c r="A13" s="4">
        <f t="shared" si="0"/>
        <v>9</v>
      </c>
      <c r="B13" s="4" t="s">
        <v>137</v>
      </c>
      <c r="C13" s="44">
        <v>44147.323541666665</v>
      </c>
      <c r="D13" s="4" t="s">
        <v>62</v>
      </c>
      <c r="E13" s="4" t="s">
        <v>63</v>
      </c>
      <c r="F13" s="4">
        <v>20</v>
      </c>
      <c r="G13" s="45">
        <v>2500</v>
      </c>
      <c r="H13" s="45">
        <f>+Tableau6[[#This Row],[Quantité]]*G13</f>
        <v>50000</v>
      </c>
      <c r="I13" s="4" t="s">
        <v>86</v>
      </c>
      <c r="J13" s="41" t="str">
        <f t="shared" si="2"/>
        <v>novembre-2020</v>
      </c>
    </row>
    <row r="23" spans="13:15" x14ac:dyDescent="0.25">
      <c r="M23" s="34"/>
      <c r="O23" s="46"/>
    </row>
  </sheetData>
  <conditionalFormatting sqref="J5">
    <cfRule type="expression" dxfId="0" priority="1">
      <formula>SUMIFS(pt,MO,U3,art,T8)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12</vt:i4>
      </vt:variant>
    </vt:vector>
  </HeadingPairs>
  <TitlesOfParts>
    <vt:vector size="21" baseType="lpstr">
      <vt:lpstr>Feuil1</vt:lpstr>
      <vt:lpstr>ARTICLE</vt:lpstr>
      <vt:lpstr>ORDER</vt:lpstr>
      <vt:lpstr>PO</vt:lpstr>
      <vt:lpstr>BOOKING</vt:lpstr>
      <vt:lpstr>FSS</vt:lpstr>
      <vt:lpstr>CLIENT</vt:lpstr>
      <vt:lpstr>CONFIG</vt:lpstr>
      <vt:lpstr>OPER</vt:lpstr>
      <vt:lpstr>art</vt:lpstr>
      <vt:lpstr>ARTICLE</vt:lpstr>
      <vt:lpstr>ORDER!Criteres</vt:lpstr>
      <vt:lpstr>ORDER!Extraire</vt:lpstr>
      <vt:lpstr>Fss</vt:lpstr>
      <vt:lpstr>MO</vt:lpstr>
      <vt:lpstr>ord</vt:lpstr>
      <vt:lpstr>PROD</vt:lpstr>
      <vt:lpstr>pt</vt:lpstr>
      <vt:lpstr>TABL</vt:lpstr>
      <vt:lpstr>TBL</vt:lpstr>
      <vt:lpstr>PO!Zone_d_impression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KABONGO</dc:creator>
  <cp:lastModifiedBy>Guy Blancher</cp:lastModifiedBy>
  <cp:lastPrinted>2020-11-12T06:45:54Z</cp:lastPrinted>
  <dcterms:created xsi:type="dcterms:W3CDTF">2020-09-28T06:58:38Z</dcterms:created>
  <dcterms:modified xsi:type="dcterms:W3CDTF">2020-11-24T08:48:11Z</dcterms:modified>
</cp:coreProperties>
</file>