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60" windowWidth="25140" windowHeight="12495" tabRatio="316"/>
  </bookViews>
  <sheets>
    <sheet name="CALCULATEUR" sheetId="1" r:id="rId1"/>
    <sheet name="SPEED CURVES" sheetId="2" r:id="rId2"/>
    <sheet name="Feuil3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16" i="1" l="1"/>
  <c r="AI21" i="1"/>
  <c r="AI20" i="1"/>
  <c r="AI19" i="1"/>
  <c r="AI18" i="1"/>
  <c r="AI17" i="1"/>
  <c r="Z16" i="1"/>
  <c r="AI16" i="1"/>
  <c r="AI15" i="1"/>
  <c r="AI14" i="1"/>
  <c r="AI13" i="1"/>
  <c r="AI12" i="1"/>
  <c r="AI11" i="1"/>
  <c r="AH21" i="1"/>
  <c r="AH20" i="1"/>
  <c r="AH19" i="1"/>
  <c r="AH18" i="1"/>
  <c r="AH17" i="1"/>
  <c r="AH16" i="1"/>
  <c r="AH15" i="1"/>
  <c r="AH14" i="1"/>
  <c r="AH13" i="1"/>
  <c r="AH12" i="1"/>
  <c r="AH11" i="1"/>
  <c r="AE21" i="1"/>
  <c r="AE20" i="1"/>
  <c r="AE19" i="1"/>
  <c r="AE18" i="1"/>
  <c r="AE17" i="1"/>
  <c r="AE16" i="1"/>
  <c r="AE15" i="1"/>
  <c r="AE14" i="1"/>
  <c r="AE13" i="1"/>
  <c r="AE12" i="1"/>
  <c r="AE11" i="1"/>
  <c r="AD21" i="1"/>
  <c r="AD20" i="1"/>
  <c r="AD19" i="1"/>
  <c r="AD18" i="1"/>
  <c r="AD17" i="1"/>
  <c r="AD16" i="1"/>
  <c r="AD15" i="1"/>
  <c r="AD14" i="1"/>
  <c r="AD13" i="1"/>
  <c r="AD12" i="1"/>
  <c r="AD11" i="1"/>
  <c r="Z21" i="1"/>
  <c r="Z20" i="1"/>
  <c r="Z19" i="1"/>
  <c r="Z18" i="1"/>
  <c r="Z17" i="1"/>
  <c r="Z15" i="1"/>
  <c r="Z14" i="1"/>
  <c r="Z13" i="1"/>
  <c r="Z12" i="1"/>
  <c r="Z11" i="1"/>
  <c r="X21" i="1"/>
  <c r="X20" i="1"/>
  <c r="X19" i="1"/>
  <c r="X18" i="1"/>
  <c r="X17" i="1"/>
  <c r="V16" i="1"/>
  <c r="W16" i="1"/>
  <c r="X16" i="1"/>
  <c r="X15" i="1"/>
  <c r="X14" i="1"/>
  <c r="X13" i="1"/>
  <c r="X12" i="1"/>
  <c r="X11" i="1"/>
  <c r="W21" i="1"/>
  <c r="W20" i="1"/>
  <c r="W19" i="1"/>
  <c r="W18" i="1"/>
  <c r="W17" i="1"/>
  <c r="W15" i="1"/>
  <c r="W14" i="1"/>
  <c r="W13" i="1"/>
  <c r="W12" i="1"/>
  <c r="W11" i="1"/>
  <c r="V21" i="1"/>
  <c r="V20" i="1"/>
  <c r="V19" i="1"/>
  <c r="V18" i="1"/>
  <c r="V17" i="1"/>
  <c r="V15" i="1"/>
  <c r="V14" i="1"/>
  <c r="V13" i="1"/>
  <c r="V12" i="1"/>
  <c r="V11" i="1"/>
  <c r="U21" i="1"/>
  <c r="U20" i="1"/>
  <c r="U19" i="1"/>
  <c r="U18" i="1"/>
  <c r="U17" i="1"/>
  <c r="U16" i="1"/>
  <c r="U15" i="1"/>
  <c r="U14" i="1"/>
  <c r="U13" i="1"/>
  <c r="U12" i="1"/>
  <c r="U11" i="1"/>
  <c r="T21" i="1"/>
  <c r="T20" i="1"/>
  <c r="T19" i="1"/>
  <c r="T18" i="1"/>
  <c r="T17" i="1"/>
  <c r="T16" i="1"/>
  <c r="T15" i="1"/>
  <c r="T14" i="1"/>
  <c r="T13" i="1"/>
  <c r="T12" i="1"/>
  <c r="T11" i="1"/>
  <c r="S21" i="1"/>
  <c r="S20" i="1"/>
  <c r="S19" i="1"/>
  <c r="S18" i="1"/>
  <c r="S17" i="1"/>
  <c r="M16" i="1"/>
  <c r="N16" i="1"/>
  <c r="S16" i="1"/>
  <c r="S15" i="1"/>
  <c r="S14" i="1"/>
  <c r="S13" i="1"/>
  <c r="S12" i="1"/>
  <c r="S11" i="1"/>
  <c r="R21" i="1"/>
  <c r="R20" i="1"/>
  <c r="R19" i="1"/>
  <c r="R18" i="1"/>
  <c r="R17" i="1"/>
  <c r="R16" i="1"/>
  <c r="R15" i="1"/>
  <c r="R14" i="1"/>
  <c r="R13" i="1"/>
  <c r="R12" i="1"/>
  <c r="R11" i="1"/>
  <c r="Q21" i="1"/>
  <c r="Q20" i="1"/>
  <c r="Q19" i="1"/>
  <c r="Q18" i="1"/>
  <c r="Q17" i="1"/>
  <c r="Q16" i="1"/>
  <c r="Q15" i="1"/>
  <c r="Q14" i="1"/>
  <c r="Q13" i="1"/>
  <c r="Q12" i="1"/>
  <c r="Q11" i="1"/>
  <c r="P21" i="1"/>
  <c r="P20" i="1"/>
  <c r="P19" i="1"/>
  <c r="P18" i="1"/>
  <c r="P17" i="1"/>
  <c r="P16" i="1"/>
  <c r="P15" i="1"/>
  <c r="P14" i="1"/>
  <c r="P13" i="1"/>
  <c r="P12" i="1"/>
  <c r="P11" i="1"/>
  <c r="O21" i="1"/>
  <c r="O20" i="1"/>
  <c r="O19" i="1"/>
  <c r="O18" i="1"/>
  <c r="O17" i="1"/>
  <c r="O16" i="1"/>
  <c r="O15" i="1"/>
  <c r="O14" i="1"/>
  <c r="O13" i="1"/>
  <c r="O12" i="1"/>
  <c r="O11" i="1"/>
  <c r="N21" i="1"/>
  <c r="N20" i="1"/>
  <c r="N19" i="1"/>
  <c r="N18" i="1"/>
  <c r="N17" i="1"/>
  <c r="N15" i="1"/>
  <c r="N14" i="1"/>
  <c r="N13" i="1"/>
  <c r="N12" i="1"/>
  <c r="N11" i="1"/>
  <c r="M21" i="1"/>
  <c r="M20" i="1"/>
  <c r="M19" i="1"/>
  <c r="M18" i="1"/>
  <c r="M17" i="1"/>
  <c r="M15" i="1"/>
  <c r="M14" i="1"/>
  <c r="M13" i="1"/>
  <c r="M12" i="1"/>
  <c r="M11" i="1"/>
  <c r="L21" i="1"/>
  <c r="L20" i="1"/>
  <c r="L19" i="1"/>
  <c r="L18" i="1"/>
  <c r="L17" i="1"/>
  <c r="L15" i="1"/>
  <c r="L14" i="1"/>
  <c r="L13" i="1"/>
  <c r="L12" i="1"/>
  <c r="L11" i="1"/>
  <c r="K21" i="1"/>
  <c r="K20" i="1"/>
  <c r="K19" i="1"/>
  <c r="K18" i="1"/>
  <c r="K17" i="1"/>
  <c r="K16" i="1"/>
  <c r="K15" i="1"/>
  <c r="K14" i="1"/>
  <c r="K13" i="1"/>
  <c r="K12" i="1"/>
  <c r="K11" i="1"/>
  <c r="J20" i="1"/>
  <c r="J21" i="1"/>
  <c r="J19" i="1"/>
  <c r="J18" i="1"/>
  <c r="J17" i="1"/>
  <c r="J16" i="1"/>
  <c r="J15" i="1"/>
  <c r="J14" i="1"/>
  <c r="J13" i="1"/>
  <c r="J12" i="1"/>
  <c r="J11" i="1"/>
  <c r="J10" i="1"/>
  <c r="R10" i="1"/>
  <c r="Z10" i="1"/>
  <c r="AD10" i="1"/>
  <c r="AE10" i="1"/>
  <c r="AH10" i="1"/>
  <c r="AI10" i="1"/>
  <c r="O10" i="1"/>
  <c r="V10" i="1"/>
  <c r="W10" i="1"/>
  <c r="L10" i="1"/>
  <c r="X10" i="1"/>
  <c r="P10" i="1"/>
  <c r="Q10" i="1"/>
  <c r="K10" i="1"/>
  <c r="U10" i="1"/>
  <c r="T10" i="1"/>
  <c r="M10" i="1"/>
  <c r="N10" i="1"/>
  <c r="S10" i="1"/>
  <c r="D28" i="2"/>
  <c r="M16" i="3"/>
  <c r="F35" i="3"/>
  <c r="M35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6" i="3"/>
  <c r="M37" i="3"/>
  <c r="M38" i="3"/>
  <c r="M39" i="3"/>
  <c r="M15" i="3"/>
  <c r="E27" i="3"/>
  <c r="G15" i="3"/>
  <c r="G16" i="3"/>
  <c r="G17" i="3"/>
  <c r="G18" i="3"/>
  <c r="G19" i="3"/>
  <c r="G20" i="3"/>
  <c r="G21" i="3"/>
  <c r="G22" i="3"/>
  <c r="F23" i="3"/>
  <c r="D38" i="2"/>
  <c r="D31" i="2"/>
  <c r="D37" i="2"/>
  <c r="D36" i="2"/>
  <c r="D35" i="2"/>
  <c r="D34" i="2"/>
  <c r="D33" i="2"/>
  <c r="D32" i="2"/>
  <c r="D30" i="2"/>
  <c r="D29" i="2"/>
  <c r="D27" i="2"/>
  <c r="D26" i="2"/>
</calcChain>
</file>

<file path=xl/comments1.xml><?xml version="1.0" encoding="utf-8"?>
<comments xmlns="http://schemas.openxmlformats.org/spreadsheetml/2006/main">
  <authors>
    <author>T500</author>
  </authors>
  <commentList>
    <comment ref="AA7" authorId="0" shapeId="0">
      <text>
        <r>
          <rPr>
            <b/>
            <sz val="9"/>
            <color indexed="81"/>
            <rFont val="Tahoma"/>
            <family val="2"/>
          </rPr>
          <t xml:space="preserve">KNOTS
</t>
        </r>
      </text>
    </comment>
    <comment ref="AC7" authorId="0" shapeId="0">
      <text>
        <r>
          <rPr>
            <b/>
            <sz val="9"/>
            <color indexed="81"/>
            <rFont val="Tahoma"/>
            <family val="2"/>
          </rPr>
          <t>BEAUFORT SCALE</t>
        </r>
      </text>
    </comment>
    <comment ref="AE7" authorId="0" shapeId="0">
      <text>
        <r>
          <rPr>
            <b/>
            <sz val="9"/>
            <color indexed="81"/>
            <rFont val="Tahoma"/>
            <family val="2"/>
          </rPr>
          <t>Vitesse après correction pour le vent.</t>
        </r>
      </text>
    </comment>
    <comment ref="AG7" authorId="0" shapeId="0">
      <text>
        <r>
          <rPr>
            <b/>
            <sz val="9"/>
            <color indexed="81"/>
            <rFont val="Tahoma"/>
            <family val="2"/>
          </rPr>
          <t>KNOTS</t>
        </r>
      </text>
    </comment>
    <comment ref="AH7" authorId="0" shapeId="0">
      <text>
        <r>
          <rPr>
            <b/>
            <sz val="9"/>
            <color indexed="81"/>
            <rFont val="Tahoma"/>
            <family val="2"/>
          </rPr>
          <t>KNOTS</t>
        </r>
      </text>
    </comment>
    <comment ref="B8" authorId="0" shapeId="0">
      <text>
        <r>
          <rPr>
            <b/>
            <sz val="9"/>
            <color indexed="81"/>
            <rFont val="Tahoma"/>
            <family val="2"/>
          </rPr>
          <t>Latitude (Degrés:Minutes:Secondes)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>Longitude: (Degrés:Minutes:Secondes)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9" authorId="0" shapeId="0">
      <text>
        <r>
          <rPr>
            <b/>
            <sz val="9"/>
            <color indexed="81"/>
            <rFont val="Tahoma"/>
            <family val="2"/>
          </rPr>
          <t>MILLES NAUTIQUES</t>
        </r>
      </text>
    </comment>
  </commentList>
</comments>
</file>

<file path=xl/sharedStrings.xml><?xml version="1.0" encoding="utf-8"?>
<sst xmlns="http://schemas.openxmlformats.org/spreadsheetml/2006/main" count="142" uniqueCount="80">
  <si>
    <t>Distance</t>
  </si>
  <si>
    <t>Ortho</t>
  </si>
  <si>
    <t>Loxo</t>
  </si>
  <si>
    <t>Mercator</t>
  </si>
  <si>
    <t>Plane</t>
  </si>
  <si>
    <t>Latitude</t>
  </si>
  <si>
    <t>Longitude</t>
  </si>
  <si>
    <t>Meridional Parts</t>
  </si>
  <si>
    <t>⁰</t>
  </si>
  <si>
    <t>'</t>
  </si>
  <si>
    <t>''</t>
  </si>
  <si>
    <t>N</t>
  </si>
  <si>
    <t>N/S</t>
  </si>
  <si>
    <t>E/W</t>
  </si>
  <si>
    <t>Waypoints</t>
  </si>
  <si>
    <t>DMP</t>
  </si>
  <si>
    <t>Radians</t>
  </si>
  <si>
    <t>Degrés</t>
  </si>
  <si>
    <t>NM</t>
  </si>
  <si>
    <t>ANGLE C</t>
  </si>
  <si>
    <t>W</t>
  </si>
  <si>
    <t>Lat Moy.</t>
  </si>
  <si>
    <t>Dep.</t>
  </si>
  <si>
    <t>ANGLE.C</t>
  </si>
  <si>
    <t>Force</t>
  </si>
  <si>
    <t>Beam Seas</t>
  </si>
  <si>
    <t>Following Seas</t>
  </si>
  <si>
    <t>Head Seas</t>
  </si>
  <si>
    <t>Wave height (ft.)</t>
  </si>
  <si>
    <t>Ship speed (Knots)</t>
  </si>
  <si>
    <t>Beaufort Wind Force</t>
  </si>
  <si>
    <t>Mean wind Speed in knots</t>
  </si>
  <si>
    <t>Probable height of waves (m)</t>
  </si>
  <si>
    <t>Probable height of waves (ft)</t>
  </si>
  <si>
    <t>ETA</t>
  </si>
  <si>
    <t>Current</t>
  </si>
  <si>
    <t>Wind</t>
  </si>
  <si>
    <t>Speed</t>
  </si>
  <si>
    <t>Criteria</t>
  </si>
  <si>
    <t>Probable Height of waves</t>
  </si>
  <si>
    <t>HEAD</t>
  </si>
  <si>
    <t>DLAT</t>
  </si>
  <si>
    <t>DLONG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</si>
  <si>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</si>
  <si>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</si>
  <si>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</si>
  <si>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</si>
  <si>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</si>
  <si>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</si>
  <si>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</si>
  <si>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</si>
  <si>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</si>
  <si>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</si>
  <si>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</si>
  <si>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</si>
  <si>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</si>
  <si>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</si>
  <si>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</si>
  <si>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</si>
  <si>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</si>
  <si>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</si>
  <si>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</si>
  <si>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</si>
  <si>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</si>
  <si>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</si>
  <si>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</si>
  <si>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</si>
  <si>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</si>
  <si>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</si>
  <si>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</si>
  <si>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</si>
  <si>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</si>
  <si>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</si>
  <si>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</si>
  <si>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Column32</t>
  </si>
  <si>
    <t>Column33</t>
  </si>
  <si>
    <t>Column34</t>
  </si>
  <si>
    <t>Column35</t>
  </si>
  <si>
    <t>E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</si>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</sst>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"/>
    <numFmt numFmtId="165" formatCode="0.00000"/>
    <numFmt numFmtId="166" formatCode="dd\ &quot;days&quot;\ hh&quot;h&quot;:mm&quot;m&quot;:ss&quot;s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77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3" fillId="0" borderId="4" xfId="0" quotePrefix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5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5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0" fillId="0" borderId="0" xfId="0" applyBorder="1" applyAlignment="1"/>
    <xf numFmtId="0" fontId="6" fillId="0" borderId="6" xfId="0" applyFont="1" applyBorder="1" applyAlignment="1">
      <alignment horizontal="center"/>
    </xf>
    <xf numFmtId="0" fontId="0" fillId="0" borderId="22" xfId="0" applyBorder="1"/>
    <xf numFmtId="0" fontId="0" fillId="0" borderId="22" xfId="0" applyFill="1" applyBorder="1"/>
    <xf numFmtId="164" fontId="5" fillId="0" borderId="6" xfId="0" applyNumberFormat="1" applyFont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5" xfId="0" applyBorder="1"/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/>
    <xf numFmtId="0" fontId="0" fillId="0" borderId="24" xfId="0" applyBorder="1"/>
    <xf numFmtId="0" fontId="0" fillId="0" borderId="16" xfId="0" applyBorder="1"/>
    <xf numFmtId="0" fontId="0" fillId="0" borderId="26" xfId="0" applyBorder="1"/>
    <xf numFmtId="0" fontId="7" fillId="3" borderId="18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Border="1" applyAlignment="1">
      <alignment horizontal="center"/>
    </xf>
    <xf numFmtId="164" fontId="5" fillId="0" borderId="2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1" fillId="0" borderId="33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0" fillId="0" borderId="18" xfId="0" applyBorder="1"/>
    <xf numFmtId="0" fontId="1" fillId="0" borderId="3" xfId="0" applyFont="1" applyBorder="1" applyAlignment="1">
      <alignment horizontal="center"/>
    </xf>
    <xf numFmtId="0" fontId="0" fillId="0" borderId="15" xfId="0" applyFont="1" applyBorder="1"/>
    <xf numFmtId="0" fontId="0" fillId="0" borderId="15" xfId="0" applyFont="1" applyFill="1" applyBorder="1"/>
    <xf numFmtId="0" fontId="0" fillId="0" borderId="9" xfId="0" applyFont="1" applyBorder="1"/>
    <xf numFmtId="0" fontId="1" fillId="0" borderId="0" xfId="0" applyFont="1" applyBorder="1" applyAlignment="1"/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166" fontId="0" fillId="0" borderId="38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3" borderId="40" xfId="0" applyFill="1" applyBorder="1" applyAlignment="1">
      <alignment horizontal="center"/>
    </xf>
    <xf numFmtId="0" fontId="0" fillId="3" borderId="41" xfId="0" applyFill="1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3" borderId="44" xfId="0" applyFill="1" applyBorder="1" applyAlignment="1">
      <alignment horizontal="center"/>
    </xf>
    <xf numFmtId="0" fontId="0" fillId="3" borderId="45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3" borderId="46" xfId="0" applyFill="1" applyBorder="1" applyAlignment="1">
      <alignment horizontal="center"/>
    </xf>
    <xf numFmtId="0" fontId="7" fillId="3" borderId="46" xfId="0" applyFont="1" applyFill="1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Fill="1" applyBorder="1" applyAlignment="1">
      <alignment horizontal="center"/>
    </xf>
    <xf numFmtId="0" fontId="0" fillId="0" borderId="52" xfId="0" applyBorder="1" applyAlignment="1">
      <alignment horizontal="center"/>
    </xf>
    <xf numFmtId="49" fontId="0" fillId="0" borderId="35" xfId="0" applyNumberForma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0" fillId="0" borderId="54" xfId="0" applyBorder="1" applyAlignment="1">
      <alignment horizontal="center"/>
    </xf>
    <xf numFmtId="164" fontId="5" fillId="0" borderId="56" xfId="0" applyNumberFormat="1" applyFont="1" applyFill="1" applyBorder="1" applyAlignment="1">
      <alignment horizontal="center"/>
    </xf>
    <xf numFmtId="164" fontId="10" fillId="0" borderId="49" xfId="0" applyNumberFormat="1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10" fillId="2" borderId="50" xfId="0" applyFont="1" applyFill="1" applyBorder="1" applyAlignment="1">
      <alignment horizontal="center"/>
    </xf>
    <xf numFmtId="0" fontId="10" fillId="0" borderId="51" xfId="0" applyFont="1" applyBorder="1" applyAlignment="1">
      <alignment horizontal="center"/>
    </xf>
    <xf numFmtId="0" fontId="11" fillId="0" borderId="51" xfId="0" applyFont="1" applyBorder="1" applyAlignment="1">
      <alignment horizontal="center"/>
    </xf>
    <xf numFmtId="0" fontId="11" fillId="0" borderId="51" xfId="0" applyFont="1" applyFill="1" applyBorder="1" applyAlignment="1">
      <alignment horizontal="center"/>
    </xf>
    <xf numFmtId="0" fontId="11" fillId="0" borderId="52" xfId="0" applyFont="1" applyBorder="1" applyAlignment="1">
      <alignment horizontal="center"/>
    </xf>
    <xf numFmtId="0" fontId="10" fillId="0" borderId="53" xfId="0" applyNumberFormat="1" applyFont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3" fillId="4" borderId="55" xfId="0" applyFont="1" applyFill="1" applyBorder="1" applyAlignment="1">
      <alignment horizontal="center"/>
    </xf>
    <xf numFmtId="0" fontId="3" fillId="4" borderId="55" xfId="0" quotePrefix="1" applyFont="1" applyFill="1" applyBorder="1" applyAlignment="1">
      <alignment horizontal="center"/>
    </xf>
    <xf numFmtId="0" fontId="0" fillId="4" borderId="55" xfId="0" quotePrefix="1" applyFill="1" applyBorder="1" applyAlignment="1">
      <alignment horizontal="center"/>
    </xf>
    <xf numFmtId="0" fontId="3" fillId="4" borderId="35" xfId="0" quotePrefix="1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6" fillId="5" borderId="46" xfId="0" applyFont="1" applyFill="1" applyBorder="1" applyAlignment="1">
      <alignment horizontal="center"/>
    </xf>
    <xf numFmtId="0" fontId="1" fillId="5" borderId="46" xfId="0" applyFont="1" applyFill="1" applyBorder="1" applyAlignment="1">
      <alignment horizontal="center"/>
    </xf>
    <xf numFmtId="164" fontId="5" fillId="5" borderId="18" xfId="0" applyNumberFormat="1" applyFont="1" applyFill="1" applyBorder="1" applyAlignment="1">
      <alignment horizontal="center"/>
    </xf>
    <xf numFmtId="164" fontId="5" fillId="5" borderId="0" xfId="0" applyNumberFormat="1" applyFont="1" applyFill="1" applyBorder="1" applyAlignment="1">
      <alignment horizontal="center"/>
    </xf>
    <xf numFmtId="0" fontId="0" fillId="5" borderId="4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54" xfId="0" applyFill="1" applyBorder="1" applyAlignment="1">
      <alignment horizontal="center"/>
    </xf>
    <xf numFmtId="0" fontId="6" fillId="5" borderId="56" xfId="0" applyFont="1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164" fontId="5" fillId="5" borderId="56" xfId="0" applyNumberFormat="1" applyFont="1" applyFill="1" applyBorder="1" applyAlignment="1">
      <alignment horizontal="center"/>
    </xf>
    <xf numFmtId="0" fontId="5" fillId="5" borderId="57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6" fillId="0" borderId="46" xfId="0" applyFont="1" applyFill="1" applyBorder="1" applyAlignment="1">
      <alignment horizontal="center"/>
    </xf>
    <xf numFmtId="0" fontId="1" fillId="0" borderId="46" xfId="0" applyFont="1" applyFill="1" applyBorder="1" applyAlignment="1">
      <alignment horizontal="center"/>
    </xf>
    <xf numFmtId="164" fontId="5" fillId="0" borderId="18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0" fontId="0" fillId="0" borderId="4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6" fillId="0" borderId="56" xfId="0" applyFont="1" applyFill="1" applyBorder="1" applyAlignment="1">
      <alignment horizontal="center"/>
    </xf>
    <xf numFmtId="0" fontId="0" fillId="0" borderId="56" xfId="0" applyFill="1" applyBorder="1" applyAlignment="1">
      <alignment horizontal="center"/>
    </xf>
    <xf numFmtId="0" fontId="5" fillId="0" borderId="57" xfId="0" applyFont="1" applyFill="1" applyBorder="1" applyAlignment="1">
      <alignment horizontal="center"/>
    </xf>
    <xf numFmtId="164" fontId="1" fillId="0" borderId="33" xfId="0" applyNumberFormat="1" applyFont="1" applyFill="1" applyBorder="1" applyAlignment="1">
      <alignment horizontal="center"/>
    </xf>
    <xf numFmtId="0" fontId="0" fillId="0" borderId="18" xfId="0" applyFill="1" applyBorder="1"/>
    <xf numFmtId="0" fontId="0" fillId="0" borderId="0" xfId="0" applyFill="1" applyBorder="1"/>
    <xf numFmtId="0" fontId="0" fillId="0" borderId="2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164" fontId="1" fillId="0" borderId="46" xfId="0" applyNumberFormat="1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56" xfId="0" applyFont="1" applyBorder="1"/>
    <xf numFmtId="0" fontId="0" fillId="0" borderId="56" xfId="0" applyFont="1" applyFill="1" applyBorder="1"/>
    <xf numFmtId="0" fontId="0" fillId="0" borderId="57" xfId="0" applyFont="1" applyBorder="1"/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64" fontId="10" fillId="0" borderId="3" xfId="0" applyNumberFormat="1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2" borderId="16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11" fillId="0" borderId="9" xfId="0" applyFont="1" applyBorder="1" applyAlignment="1">
      <alignment horizont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7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00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00"/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/>
        <top style="thin">
          <color auto="1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medium">
          <color auto="1"/>
        </right>
        <top style="thin">
          <color auto="1"/>
        </top>
        <bottom/>
      </border>
    </dxf>
    <dxf>
      <numFmt numFmtId="166" formatCode="dd\ &quot;days&quot;\ hh&quot;h&quot;:mm&quot;m&quot;:ss&quot;s&quot;"/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0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00000"/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SPEED CURVES -JUMBO JUBILEE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5027229203072107E-2"/>
          <c:y val="0.147842527870167"/>
          <c:w val="0.653896411753633"/>
          <c:h val="0.69242302454432703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'SPEED CURVES'!$B$6</c:f>
              <c:strCache>
                <c:ptCount val="1"/>
                <c:pt idx="0">
                  <c:v>Following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7954686813729002"/>
                  <c:y val="3.3074784227677999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</c:numCache>
            </c:numRef>
          </c:xVal>
          <c:yVal>
            <c:numRef>
              <c:f>'SPEED CURVES'!$B$7:$B$18</c:f>
              <c:numCache>
                <c:formatCode>General</c:formatCode>
                <c:ptCount val="12"/>
                <c:pt idx="0" formatCode="0.00">
                  <c:v>18</c:v>
                </c:pt>
                <c:pt idx="1">
                  <c:v>18.428571430000002</c:v>
                </c:pt>
                <c:pt idx="2">
                  <c:v>18.571428569999998</c:v>
                </c:pt>
                <c:pt idx="3">
                  <c:v>18.571428569999998</c:v>
                </c:pt>
                <c:pt idx="4">
                  <c:v>18.35714286</c:v>
                </c:pt>
                <c:pt idx="5" formatCode="0.00">
                  <c:v>18</c:v>
                </c:pt>
                <c:pt idx="6">
                  <c:v>17.64285714</c:v>
                </c:pt>
                <c:pt idx="7">
                  <c:v>17.214285709999999</c:v>
                </c:pt>
                <c:pt idx="8">
                  <c:v>16.571428569999998</c:v>
                </c:pt>
                <c:pt idx="9">
                  <c:v>15.85714286</c:v>
                </c:pt>
                <c:pt idx="10">
                  <c:v>15.07142857</c:v>
                </c:pt>
                <c:pt idx="11">
                  <c:v>14.21428571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'SPEED CURVES'!$C$6</c:f>
              <c:strCache>
                <c:ptCount val="1"/>
                <c:pt idx="0">
                  <c:v>Beam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76240400504353"/>
                  <c:y val="3.04979766882091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</c:numCache>
            </c:numRef>
          </c:xVal>
          <c:yVal>
            <c:numRef>
              <c:f>'SPEED CURVES'!$C$7:$C$18</c:f>
              <c:numCache>
                <c:formatCode>General</c:formatCode>
                <c:ptCount val="12"/>
                <c:pt idx="0" formatCode="0.00">
                  <c:v>18</c:v>
                </c:pt>
                <c:pt idx="1">
                  <c:v>18.14285714</c:v>
                </c:pt>
                <c:pt idx="2">
                  <c:v>17.85714286</c:v>
                </c:pt>
                <c:pt idx="3">
                  <c:v>17.428571430000002</c:v>
                </c:pt>
                <c:pt idx="4">
                  <c:v>16.571428569999998</c:v>
                </c:pt>
                <c:pt idx="5">
                  <c:v>15.71428571</c:v>
                </c:pt>
                <c:pt idx="6">
                  <c:v>14.64285714</c:v>
                </c:pt>
                <c:pt idx="7">
                  <c:v>13.71428571</c:v>
                </c:pt>
                <c:pt idx="8">
                  <c:v>12.71428571</c:v>
                </c:pt>
                <c:pt idx="9">
                  <c:v>11.64285714</c:v>
                </c:pt>
                <c:pt idx="10">
                  <c:v>10.57142857</c:v>
                </c:pt>
                <c:pt idx="11">
                  <c:v>9.7142857140000007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'SPEED CURVES'!$D$6</c:f>
              <c:strCache>
                <c:ptCount val="1"/>
                <c:pt idx="0">
                  <c:v>Head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8873884815685302"/>
                  <c:y val="-1.77740086431342E-3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</c:numCache>
            </c:numRef>
          </c:xVal>
          <c:yVal>
            <c:numRef>
              <c:f>'SPEED CURVES'!$D$7:$D$18</c:f>
              <c:numCache>
                <c:formatCode>0.00</c:formatCode>
                <c:ptCount val="12"/>
                <c:pt idx="0">
                  <c:v>18</c:v>
                </c:pt>
                <c:pt idx="1">
                  <c:v>18</c:v>
                </c:pt>
                <c:pt idx="2" formatCode="General">
                  <c:v>17.714285709999999</c:v>
                </c:pt>
                <c:pt idx="3" formatCode="General">
                  <c:v>17.14285714</c:v>
                </c:pt>
                <c:pt idx="4">
                  <c:v>16</c:v>
                </c:pt>
                <c:pt idx="5" formatCode="General">
                  <c:v>14.92857143</c:v>
                </c:pt>
                <c:pt idx="6" formatCode="General">
                  <c:v>13.57142857</c:v>
                </c:pt>
                <c:pt idx="7" formatCode="General">
                  <c:v>12.07142857</c:v>
                </c:pt>
                <c:pt idx="8" formatCode="General">
                  <c:v>10.71428571</c:v>
                </c:pt>
                <c:pt idx="9" formatCode="General">
                  <c:v>9.1428571430000005</c:v>
                </c:pt>
                <c:pt idx="10" formatCode="General">
                  <c:v>7.7142857139999998</c:v>
                </c:pt>
                <c:pt idx="11" formatCode="General">
                  <c:v>6.3571428570000004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1854224"/>
        <c:axId val="181855792"/>
      </c:scatterChart>
      <c:valAx>
        <c:axId val="181854224"/>
        <c:scaling>
          <c:orientation val="minMax"/>
          <c:max val="2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WAVE</a:t>
                </a:r>
                <a:r>
                  <a:rPr lang="fr-CA" baseline="0"/>
                  <a:t> HEIGHT (FT.)</a:t>
                </a:r>
                <a:endParaRPr lang="fr-CA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55792"/>
        <c:crosses val="autoZero"/>
        <c:crossBetween val="midCat"/>
        <c:majorUnit val="2"/>
      </c:valAx>
      <c:valAx>
        <c:axId val="181855792"/>
        <c:scaling>
          <c:orientation val="minMax"/>
          <c:max val="20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SHIP SPEED (KNOTS)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85422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66996545392203"/>
          <c:y val="0.919585738633939"/>
          <c:w val="0.31805615111025698"/>
          <c:h val="6.056567413839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42333</xdr:colOff>
      <xdr:row>4</xdr:row>
      <xdr:rowOff>0</xdr:rowOff>
    </xdr:to>
    <xdr:sp macro="[0]!InsererUnPoint" textlink="">
      <xdr:nvSpPr>
        <xdr:cNvPr id="2" name="ZoneTexte 1"/>
        <xdr:cNvSpPr txBox="1"/>
      </xdr:nvSpPr>
      <xdr:spPr>
        <a:xfrm>
          <a:off x="0" y="381000"/>
          <a:ext cx="120650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  <a:r>
            <a:rPr lang="fr-FR" sz="1100" baseline="0">
              <a:solidFill>
                <a:srgbClr val="0000FF"/>
              </a:solidFill>
            </a:rPr>
            <a:t> un point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585786</xdr:colOff>
      <xdr:row>2</xdr:row>
      <xdr:rowOff>166686</xdr:rowOff>
    </xdr:from>
    <xdr:to>
      <xdr:col>14</xdr:col>
      <xdr:colOff>495300</xdr:colOff>
      <xdr:row>21</xdr:row>
      <xdr:rowOff>57150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1" displayName="Table1" ref="A6:AI22" totalsRowCount="1" headerRowDxfId="72" dataDxfId="71" tableBorderDxfId="70">
  <autoFilter ref="A6:AI20"/>
  <tableColumns count="35">
    <tableColumn id="1" name="Column1" dataDxfId="69" totalsRowDxfId="34"/>
    <tableColumn id="2" name="Column2" dataDxfId="68" totalsRowDxfId="33"/>
    <tableColumn id="3" name="Column3" dataDxfId="67" totalsRowDxfId="32"/>
    <tableColumn id="4" name="Column4" dataDxfId="66" totalsRowDxfId="31"/>
    <tableColumn id="5" name="Column5" dataDxfId="65" totalsRowDxfId="30"/>
    <tableColumn id="6" name="Column6" dataDxfId="64" totalsRowDxfId="29"/>
    <tableColumn id="7" name="Column7" dataDxfId="63" totalsRowDxfId="28"/>
    <tableColumn id="8" name="Column8" dataDxfId="62" totalsRowDxfId="27"/>
    <tableColumn id="9" name="Column9" dataDxfId="61" totalsRowDxfId="26"/>
    <tableColumn id="10" name="Column10" dataDxfId="60" totalsRowDxfId="25">
      <calculatedColumnFormula>7915.704468*(LOG(TAN((RADIANS(45))+((RADIANS((B7)+(C7/60)+(D7/3600)))/2))))-(23.268932*(SIN(RADIANS((B7)+(C7/60)+(D7/3600)))))-(0.0525*(SIN(RADIANS((B7)+(C7/60)+(D7/3600))))^3)-(0.000213*(SIN(RADIANS((B7)+(C7/60)+(D7/3600))))^5)</calculatedColumnFormula>
    </tableColumn>
    <tableColumn id="11" name="Column11" dataDxfId="59" totalsRowDxfId="24">
      <calculatedColumnFormula>IF((E6=E7),ABS(J6-J7),(J6+J7))</calculatedColumnFormula>
    </tableColumn>
    <tableColumn id="12" name="Column12" dataDxfId="58" totalsRowDxfId="23">
      <calculatedColumnFormula>IF(AND(E6="N",E7="N"),(ABS((RADIANS((B6)+(C6/60)+(D6/3600)))-(RADIANS((B7)+(C7/60)+(D7/3600))))),IF(AND(E6="S",E7="S"),(ABS((RADIANS((B6)+(C6/60)+(D6/3600)))-(RADIANS((B7)+(C7/60)+(D7/3600))))),IF(AND(E6="N",E7="S"),(RADIANS((B6)+(C6/60)+(D6/3600)))+(RADIANS((B7)+(C7/60)+(D7/3600))),IF(AND(E6="S",E7="N"),(RADIANS((B6)+(C6/60)+(D6/3600))+(RADIANS((B7)+(C7/60)+(D7/3600))))))))</calculatedColumnFormula>
    </tableColumn>
    <tableColumn id="13" name="Column13" dataDxfId="57" totalsRowDxfId="22">
      <calculatedColumnFormula>DEGREES(L7)</calculatedColumnFormula>
    </tableColumn>
    <tableColumn id="14" name="Column14" dataDxfId="56" totalsRowDxfId="21">
      <calculatedColumnFormula>M7*60</calculatedColumnFormula>
    </tableColumn>
    <tableColumn id="15" name="Column15" dataDxfId="55" totalsRowDxfId="20">
      <calculatedColumnFormula>IF(AND(I6="E",I7="E"),(ABS((RADIANS((F6)+(G6/60)+(H6/3600)))-(RADIANS((F7)+(G7/60)+(H7/3600))))),IF(AND(I6="W",I7="W"),(ABS((RADIANS((F6)+(G6/60)+(H6/3600)))-(RADIANS((F7)+(G7/60)+(H7/3600))))),IF(AND(I6="E",I7="W"),(RADIANS((F6)+(G6/60)+(H6/3600)))+(RADIANS((F7)+(G7/60)+(H7/3600))),IF(AND(I6="W",I7="E"),(RADIANS((F6)+(G6/60)+(H6/3600))+(RADIANS((F7)+(G7/60)+(H7/3600))))))))</calculatedColumnFormula>
    </tableColumn>
    <tableColumn id="16" name="Column16" dataDxfId="54" totalsRowDxfId="19">
      <calculatedColumnFormula>DEGREES(O7)</calculatedColumnFormula>
    </tableColumn>
    <tableColumn id="17" name="Column17" dataDxfId="53" totalsRowDxfId="18">
      <calculatedColumnFormula>IF(P7&gt;180,ABS(60*(P7-360)),P7*60)</calculatedColumnFormula>
    </tableColumn>
    <tableColumn id="18" name="Column18" dataDxfId="52" totalsRowDxfId="17">
      <calculatedColumnFormula>IF(AND(E6="N",E7="N"),(ACOS(COS(RADIANS(90-((B6)+(C6/60)+(D6/3600))))*COS(RADIANS(90-((B7)+(C7/60)+(D7/3600))))+SIN(RADIANS(90-((B6)+(C6/60)+(D6/3600))))*SIN(RADIANS(90-((B7)+(C7/60)+(D7/3600))))*COS(O7))*3440.065),IF(AND(E6="N",E7="S"),(ACOS(COS(RADIANS(90-((B6)+(C6/60)+(D6/3600))))*COS(RADIANS(90+((B7)+(C7/60)+(D7/3600))))+SIN(RADIANS(90-((B6)+(C6/60)+(D6/3600))))*SIN(RADIANS(90+((B7)+(C7/60)+(D7/3600))))*COS(O7))*3440.065),IF(AND(E6="S",E7="S"),(ACOS(COS(RADIANS(90-((B6)+(C6/60)+(D6/3600))))*COS(RADIANS(90-((B7)+(C7/60)+(D7/3600))))+SIN(RADIANS(90-((B6)+(C6/60)+(D6/3600))))*SIN(RADIANS(90-((B7)+(C7/60)+(D7/3600))))*COS(O7))*3440.065),IF(AND(E6="S",E7="N"),(ACOS(COS(RADIANS(90+((B6)+(C6/60)+(D6/3600))))*COS(RADIANS(90-((B7)+(C7/60)+(D7/3600))))+SIN(RADIANS(90+((B6)+(C6/60)+(D6/3600))))*SIN(RADIANS(90-((B7)+(C7/60)+(D7/3600))))*COS(O7))*3440.065)))))</calculatedColumnFormula>
    </tableColumn>
    <tableColumn id="19" name="Column19" dataDxfId="51" totalsRowDxfId="16">
      <calculatedColumnFormula>((N7)/COS((U7)))</calculatedColumnFormula>
    </tableColumn>
    <tableColumn id="20" name="Column20" dataDxfId="50" totalsRowDxfId="15">
      <calculatedColumnFormula>(DEGREES(L7/COS(X7)))*60</calculatedColumnFormula>
    </tableColumn>
    <tableColumn id="21" name="Column21" dataDxfId="49" totalsRowDxfId="14">
      <calculatedColumnFormula>ATAN((Q7)/(K7))</calculatedColumnFormula>
    </tableColumn>
    <tableColumn id="22" name="Column22" dataDxfId="48" totalsRowDxfId="13">
      <calculatedColumnFormula>IF(AND(E6=E7,RADIANS(((B6)+(C6/60)+(D6/3600))&gt;(B7)+(C7/60)+(D7/3600))),ABS(RADIANS((B6)+(C6/60)+(D6/3600))-(L7/2)),IF(AND(E6=E7,RADIANS(((B6)+(C6/60)+(D6/3600))&lt;(B7)+(C7/60)+(D7/3600))),ABS(RADIANS((B6)+(C6/60)+(D6/3600))+(L7/2)),IF(E6&lt;&gt;E7,ABS(RADIANS((B6)+(C6/60)+(D6/3600))-(L7/2)))))</calculatedColumnFormula>
    </tableColumn>
    <tableColumn id="23" name="Column23" dataDxfId="47" totalsRowDxfId="12">
      <calculatedColumnFormula>(O7*COS(V7))</calculatedColumnFormula>
    </tableColumn>
    <tableColumn id="24" name="Column24" dataDxfId="46" totalsRowDxfId="11">
      <calculatedColumnFormula>ATAN(W7/L7)</calculatedColumnFormula>
    </tableColumn>
    <tableColumn id="25" name="Column25" dataDxfId="45" totalsRowDxfId="10"/>
    <tableColumn id="26" name="Column26" dataDxfId="44" totalsRowDxfId="9">
      <calculatedColumnFormula>IF(Y7="Ortho",R7,IF(Y7="Mercator",S7,T7))</calculatedColumnFormula>
    </tableColumn>
    <tableColumn id="27" name="Column27" dataDxfId="43" totalsRowDxfId="8"/>
    <tableColumn id="28" name="Column28" dataDxfId="42" totalsRowDxfId="7"/>
    <tableColumn id="29" name="Column29" dataDxfId="41" totalsRowDxfId="6"/>
    <tableColumn id="30" name="Column30" dataDxfId="40" totalsRowDxfId="5">
      <calculatedColumnFormula>LOOKUP(AC7,'SPEED CURVES'!A22:A34,'SPEED CURVES'!D22:D34)</calculatedColumnFormula>
    </tableColumn>
    <tableColumn id="31" name="Column31" dataDxfId="39" totalsRowDxfId="4">
      <calculatedColumnFormula>IF((AB7="BEAM"),((0.001*(AD7)^3)-(0.0431*(AD7)^2)+(0.1043*(AD7))+(AA7)),IF((AB7="FOLLOW"),((0.0003*(AD7)^3)-(0.0233*(AD7)^2)+(0.2104*(AD7))+(AA7)),IF(AB7="HEAD",((0.0012*(AD7)^3)-(0.0554*(AD7)^2)+(0.1308*(AD7))+(AA7)))))</calculatedColumnFormula>
    </tableColumn>
    <tableColumn id="32" name="Column32" dataDxfId="38" totalsRowDxfId="3"/>
    <tableColumn id="33" name="Column33" dataDxfId="37" totalsRowDxfId="2"/>
    <tableColumn id="34" name="Column34" dataDxfId="36" totalsRowDxfId="1">
      <calculatedColumnFormula>IF(AF7="FOLLOW",AE7+AG7,IF(AF7="HEAD",AE7-AG7))</calculatedColumnFormula>
    </tableColumn>
    <tableColumn id="35" name="Column35" dataDxfId="35" totalsRowDxfId="0">
      <calculatedColumnFormula>((Z7/AH7)/24)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F13:G23" totalsRowShown="0">
  <autoFilter ref="F13:G23"/>
  <tableColumns count="2">
    <tableColumn id="1" name="Column1"/>
    <tableColumn id="2" name="Column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6:AV41"/>
  <sheetViews>
    <sheetView tabSelected="1" zoomScale="90" zoomScaleNormal="90" zoomScalePageLayoutView="90" workbookViewId="0">
      <selection activeCell="C3" sqref="C3"/>
    </sheetView>
  </sheetViews>
  <sheetFormatPr baseColWidth="10" defaultRowHeight="15" x14ac:dyDescent="0.25"/>
  <cols>
    <col min="1" max="1" width="17.42578125" style="1" customWidth="1"/>
    <col min="2" max="9" width="10.42578125" style="1" customWidth="1"/>
    <col min="10" max="10" width="13.85546875" style="1" customWidth="1"/>
    <col min="11" max="11" width="12.42578125" style="1" customWidth="1"/>
    <col min="12" max="29" width="11.42578125" style="1" customWidth="1"/>
    <col min="30" max="30" width="19.42578125" style="1" customWidth="1"/>
    <col min="31" max="31" width="14" style="1" customWidth="1"/>
    <col min="32" max="34" width="11.42578125" style="1" customWidth="1"/>
    <col min="35" max="35" width="21.85546875" style="1" customWidth="1"/>
    <col min="36" max="36" width="18.7109375" customWidth="1"/>
    <col min="37" max="46" width="11.42578125" customWidth="1"/>
  </cols>
  <sheetData>
    <row r="6" spans="1:48" ht="15.75" thickBot="1" x14ac:dyDescent="0.3">
      <c r="A6" s="89" t="s">
        <v>43</v>
      </c>
      <c r="B6" s="90" t="s">
        <v>44</v>
      </c>
      <c r="C6" s="91" t="s">
        <v>45</v>
      </c>
      <c r="D6" s="91" t="s">
        <v>46</v>
      </c>
      <c r="E6" s="91" t="s">
        <v>47</v>
      </c>
      <c r="F6" s="91" t="s">
        <v>48</v>
      </c>
      <c r="G6" s="91" t="s">
        <v>49</v>
      </c>
      <c r="H6" s="91" t="s">
        <v>50</v>
      </c>
      <c r="I6" s="92" t="s">
        <v>51</v>
      </c>
      <c r="J6" s="91" t="s">
        <v>52</v>
      </c>
      <c r="K6" s="91" t="s">
        <v>53</v>
      </c>
      <c r="L6" s="91" t="s">
        <v>54</v>
      </c>
      <c r="M6" s="91" t="s">
        <v>55</v>
      </c>
      <c r="N6" s="91" t="s">
        <v>56</v>
      </c>
      <c r="O6" s="91" t="s">
        <v>57</v>
      </c>
      <c r="P6" s="91" t="s">
        <v>58</v>
      </c>
      <c r="Q6" s="91" t="s">
        <v>59</v>
      </c>
      <c r="R6" s="93" t="s">
        <v>60</v>
      </c>
      <c r="S6" s="94" t="s">
        <v>61</v>
      </c>
      <c r="T6" s="95" t="s">
        <v>62</v>
      </c>
      <c r="U6" s="91" t="s">
        <v>63</v>
      </c>
      <c r="V6" s="91" t="s">
        <v>64</v>
      </c>
      <c r="W6" s="91" t="s">
        <v>65</v>
      </c>
      <c r="X6" s="91" t="s">
        <v>66</v>
      </c>
      <c r="Y6" s="96" t="s">
        <v>67</v>
      </c>
      <c r="Z6" s="96" t="s">
        <v>68</v>
      </c>
      <c r="AA6" s="96" t="s">
        <v>69</v>
      </c>
      <c r="AB6" s="97" t="s">
        <v>70</v>
      </c>
      <c r="AC6" s="97" t="s">
        <v>71</v>
      </c>
      <c r="AD6" s="98" t="s">
        <v>72</v>
      </c>
      <c r="AE6" s="97" t="s">
        <v>73</v>
      </c>
      <c r="AF6" s="97" t="s">
        <v>74</v>
      </c>
      <c r="AG6" s="97" t="s">
        <v>75</v>
      </c>
      <c r="AH6" s="97" t="s">
        <v>76</v>
      </c>
      <c r="AI6" s="90" t="s">
        <v>77</v>
      </c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15.75" thickBot="1" x14ac:dyDescent="0.3">
      <c r="A7" s="36"/>
      <c r="B7" s="59" t="s">
        <v>14</v>
      </c>
      <c r="C7" s="60"/>
      <c r="D7" s="60"/>
      <c r="E7" s="60"/>
      <c r="F7" s="60"/>
      <c r="G7" s="60"/>
      <c r="H7" s="60"/>
      <c r="I7" s="61"/>
      <c r="J7" s="60"/>
      <c r="K7" s="60"/>
      <c r="L7" s="60"/>
      <c r="M7" s="60"/>
      <c r="N7" s="60"/>
      <c r="O7" s="60"/>
      <c r="P7" s="60"/>
      <c r="Q7" s="60"/>
      <c r="R7" s="64" t="s">
        <v>0</v>
      </c>
      <c r="S7" s="65"/>
      <c r="T7" s="66"/>
      <c r="U7" s="60"/>
      <c r="V7" s="60"/>
      <c r="W7" s="60"/>
      <c r="X7" s="60"/>
      <c r="Y7" s="39" t="s">
        <v>38</v>
      </c>
      <c r="Z7" s="39" t="s">
        <v>0</v>
      </c>
      <c r="AA7" s="39" t="s">
        <v>37</v>
      </c>
      <c r="AB7" s="38" t="s">
        <v>36</v>
      </c>
      <c r="AC7" s="38" t="s">
        <v>24</v>
      </c>
      <c r="AD7" s="55" t="s">
        <v>39</v>
      </c>
      <c r="AE7" s="38" t="s">
        <v>37</v>
      </c>
      <c r="AF7" s="38" t="s">
        <v>35</v>
      </c>
      <c r="AG7" s="38" t="s">
        <v>24</v>
      </c>
      <c r="AH7" s="38" t="s">
        <v>37</v>
      </c>
      <c r="AI7" s="59" t="s">
        <v>34</v>
      </c>
      <c r="AL7" s="85"/>
      <c r="AM7" s="85"/>
      <c r="AN7" s="85"/>
      <c r="AO7" s="85"/>
      <c r="AP7" s="85"/>
      <c r="AQ7" s="85"/>
      <c r="AR7" s="85"/>
      <c r="AS7" s="85"/>
      <c r="AT7" s="85"/>
      <c r="AU7" s="85"/>
      <c r="AV7" s="20"/>
    </row>
    <row r="8" spans="1:48" ht="15.75" thickBot="1" x14ac:dyDescent="0.3">
      <c r="A8" s="37"/>
      <c r="B8" s="56" t="s">
        <v>5</v>
      </c>
      <c r="C8" s="57"/>
      <c r="D8" s="57"/>
      <c r="E8" s="58"/>
      <c r="F8" s="56" t="s">
        <v>6</v>
      </c>
      <c r="G8" s="57"/>
      <c r="H8" s="57"/>
      <c r="I8" s="58"/>
      <c r="J8" s="50"/>
      <c r="K8" s="70"/>
      <c r="L8" s="56" t="s">
        <v>41</v>
      </c>
      <c r="M8" s="57"/>
      <c r="N8" s="58"/>
      <c r="O8" s="104" t="s">
        <v>42</v>
      </c>
      <c r="P8" s="71"/>
      <c r="Q8" s="70"/>
      <c r="R8" s="62" t="s">
        <v>1</v>
      </c>
      <c r="S8" s="67" t="s">
        <v>2</v>
      </c>
      <c r="T8" s="68"/>
      <c r="U8" s="70" t="s">
        <v>3</v>
      </c>
      <c r="V8" s="56" t="s">
        <v>4</v>
      </c>
      <c r="W8" s="57"/>
      <c r="X8" s="58"/>
      <c r="Y8" s="5"/>
      <c r="Z8" s="5"/>
      <c r="AA8" s="35"/>
      <c r="AB8" s="35"/>
      <c r="AC8" s="5"/>
      <c r="AD8" s="5"/>
      <c r="AE8" s="5"/>
      <c r="AF8" s="5"/>
      <c r="AG8" s="5"/>
      <c r="AH8" s="5"/>
      <c r="AI8" s="86"/>
      <c r="AL8" s="85"/>
      <c r="AM8" s="85"/>
      <c r="AN8" s="85"/>
      <c r="AO8" s="85"/>
      <c r="AP8" s="85"/>
      <c r="AQ8" s="85"/>
      <c r="AR8" s="85"/>
      <c r="AS8" s="85"/>
      <c r="AT8" s="85"/>
      <c r="AU8" s="85"/>
    </row>
    <row r="9" spans="1:48" ht="15.75" thickBot="1" x14ac:dyDescent="0.3">
      <c r="A9" s="37"/>
      <c r="B9" s="8" t="s">
        <v>8</v>
      </c>
      <c r="C9" s="10" t="s">
        <v>9</v>
      </c>
      <c r="D9" s="10" t="s">
        <v>10</v>
      </c>
      <c r="E9" s="9" t="s">
        <v>12</v>
      </c>
      <c r="F9" s="8" t="s">
        <v>8</v>
      </c>
      <c r="G9" s="10" t="s">
        <v>9</v>
      </c>
      <c r="H9" s="10" t="s">
        <v>10</v>
      </c>
      <c r="I9" s="10" t="s">
        <v>13</v>
      </c>
      <c r="J9" s="73" t="s">
        <v>7</v>
      </c>
      <c r="K9" s="77" t="s">
        <v>15</v>
      </c>
      <c r="L9" s="79" t="s">
        <v>16</v>
      </c>
      <c r="M9" s="79" t="s">
        <v>17</v>
      </c>
      <c r="N9" s="79" t="s">
        <v>18</v>
      </c>
      <c r="O9" s="76" t="s">
        <v>16</v>
      </c>
      <c r="P9" s="29" t="s">
        <v>17</v>
      </c>
      <c r="Q9" s="72" t="s">
        <v>18</v>
      </c>
      <c r="R9" s="63"/>
      <c r="S9" s="58" t="s">
        <v>3</v>
      </c>
      <c r="T9" s="58" t="s">
        <v>4</v>
      </c>
      <c r="U9" s="26" t="s">
        <v>19</v>
      </c>
      <c r="V9" s="22" t="s">
        <v>21</v>
      </c>
      <c r="W9" s="30" t="s">
        <v>22</v>
      </c>
      <c r="X9" s="31" t="s">
        <v>23</v>
      </c>
      <c r="Y9" s="6"/>
      <c r="Z9" s="6"/>
      <c r="AA9" s="12"/>
      <c r="AB9" s="12"/>
      <c r="AC9" s="6"/>
      <c r="AD9" s="6"/>
      <c r="AE9" s="6"/>
      <c r="AF9" s="6"/>
      <c r="AG9" s="6"/>
      <c r="AH9" s="6"/>
      <c r="AI9" s="87"/>
      <c r="AL9" s="85"/>
      <c r="AM9" s="85"/>
      <c r="AN9" s="85"/>
      <c r="AO9" s="85"/>
      <c r="AP9" s="85"/>
      <c r="AQ9" s="85"/>
      <c r="AR9" s="85"/>
      <c r="AS9" s="85"/>
      <c r="AT9" s="85"/>
      <c r="AU9" s="85"/>
    </row>
    <row r="10" spans="1:48" ht="15.75" hidden="1" thickBot="1" x14ac:dyDescent="0.3">
      <c r="A10" s="116">
        <v>0</v>
      </c>
      <c r="B10" s="117">
        <v>0</v>
      </c>
      <c r="C10" s="118">
        <v>0</v>
      </c>
      <c r="D10" s="118">
        <v>0</v>
      </c>
      <c r="E10" s="119" t="s">
        <v>11</v>
      </c>
      <c r="F10" s="117">
        <v>0</v>
      </c>
      <c r="G10" s="120">
        <v>0</v>
      </c>
      <c r="H10" s="120">
        <v>0</v>
      </c>
      <c r="I10" s="120" t="s">
        <v>20</v>
      </c>
      <c r="J10" s="123">
        <f t="shared" ref="J10:J21" si="0">7915.704468*(LOG(TAN((RADIANS(45))+((RADIANS((B10)+(C10/60)+(D10/3600)))/2))))-(23.268932*(SIN(RADIANS((B10)+(C10/60)+(D10/3600)))))-(0.0525*(SIN(RADIANS((B10)+(C10/60)+(D10/3600))))^3)-(0.000213*(SIN(RADIANS((B10)+(C10/60)+(D10/3600))))^5)</f>
        <v>-3.8166656178054882E-13</v>
      </c>
      <c r="K10" s="124" t="e">
        <f t="shared" ref="K10:K21" si="1">IF((E9=E10),ABS(J9-J10),(J9+J10))</f>
        <v>#VALUE!</v>
      </c>
      <c r="L10" s="125" t="b">
        <f>IF(AND(E9="N",E10="N"),(ABS((RADIANS((B9)+(C9/60)+(D9/3600)))-(RADIANS((B10)+(C10/60)+(D10/3600))))),IF(AND(E9="S",E10="S"),(ABS((RADIANS((B9)+(C9/60)+(D9/3600)))-(RADIANS((B10)+(C10/60)+(D10/3600))))),IF(AND(E9="N",E10="S"),(RADIANS((B9)+(C9/60)+(D9/3600)))+(RADIANS((B10)+(C10/60)+(D10/3600))),IF(AND(E9="S",E10="N"),(RADIANS((B9)+(C9/60)+(D9/3600))+(RADIANS((B10)+(C10/60)+(D10/3600))))))))</f>
        <v>0</v>
      </c>
      <c r="M10" s="125">
        <f t="shared" ref="M10:M21" si="2">DEGREES(L10)</f>
        <v>0</v>
      </c>
      <c r="N10" s="125">
        <f t="shared" ref="N10:N21" si="3">M10*60</f>
        <v>0</v>
      </c>
      <c r="O10" s="126" t="b">
        <f>IF(AND(I9="E",I10="E"),(ABS((RADIANS((F9)+(G9/60)+(H9/3600)))-(RADIANS((F10)+(G10/60)+(H10/3600))))),IF(AND(I9="W",I10="W"),(ABS((RADIANS((F9)+(G9/60)+(H9/3600)))-(RADIANS((F10)+(G10/60)+(H10/3600))))),IF(AND(I9="E",I10="W"),(RADIANS((F9)+(G9/60)+(H9/3600)))+(RADIANS((F10)+(G10/60)+(H10/3600))),IF(AND(I9="W",I10="E"),(RADIANS((F9)+(G9/60)+(H9/3600))+(RADIANS((F10)+(G10/60)+(H10/3600))))))))</f>
        <v>0</v>
      </c>
      <c r="P10" s="126">
        <f t="shared" ref="P10:P21" si="4">DEGREES(O10)</f>
        <v>0</v>
      </c>
      <c r="Q10" s="126">
        <f t="shared" ref="Q10:Q21" si="5">IF(P10&gt;180,ABS(60*(P10-360)),P10*60)</f>
        <v>0</v>
      </c>
      <c r="R10" s="127" t="b">
        <f>IF(AND(E9="N",E10="N"),(ACOS(COS(RADIANS(90-((B9)+(C9/60)+(D9/3600))))*COS(RADIANS(90-((B10)+(C10/60)+(D10/3600))))+SIN(RADIANS(90-((B9)+(C9/60)+(D9/3600))))*SIN(RADIANS(90-((B10)+(C10/60)+(D10/3600))))*COS(O10))*3440.065),IF(AND(E9="N",E10="S"),(ACOS(COS(RADIANS(90-((B9)+(C9/60)+(D9/3600))))*COS(RADIANS(90+((B10)+(C10/60)+(D10/3600))))+SIN(RADIANS(90-((B9)+(C9/60)+(D9/3600))))*SIN(RADIANS(90+((B10)+(C10/60)+(D10/3600))))*COS(O10))*3440.065),IF(AND(E9="S",E10="S"),(ACOS(COS(RADIANS(90-((B9)+(C9/60)+(D9/3600))))*COS(RADIANS(90-((B10)+(C10/60)+(D10/3600))))+SIN(RADIANS(90-((B9)+(C9/60)+(D9/3600))))*SIN(RADIANS(90-((B10)+(C10/60)+(D10/3600))))*COS(O10))*3440.065),IF(AND(E9="S",E10="N"),(ACOS(COS(RADIANS(90+((B9)+(C9/60)+(D9/3600))))*COS(RADIANS(90-((B10)+(C10/60)+(D10/3600))))+SIN(RADIANS(90+((B9)+(C9/60)+(D9/3600))))*SIN(RADIANS(90-((B10)+(C10/60)+(D10/3600))))*COS(O10))*3440.065)))))</f>
        <v>0</v>
      </c>
      <c r="S10" s="128" t="e">
        <f t="shared" ref="S10:S21" si="6">((N10)/COS((U10)))</f>
        <v>#VALUE!</v>
      </c>
      <c r="T10" s="129" t="e">
        <f t="shared" ref="T10:T21" si="7">(DEGREES(L10/COS(X10)))*60</f>
        <v>#VALUE!</v>
      </c>
      <c r="U10" s="130" t="e">
        <f t="shared" ref="U10:U21" si="8">ATAN((Q10)/(K10))</f>
        <v>#VALUE!</v>
      </c>
      <c r="V10" s="131" t="e">
        <f>IF(AND(E9=E10,RADIANS(((B9)+(C9/60)+(D9/3600))&gt;(B10)+(C10/60)+(D10/3600))),ABS(RADIANS((B9)+(C9/60)+(D9/3600))-(L10/2)),IF(AND(E9=E10,RADIANS(((B9)+(C9/60)+(D9/3600))&lt;(B10)+(C10/60)+(D10/3600))),ABS(RADIANS((B9)+(C9/60)+(D9/3600))+(L10/2)),IF(E9&lt;&gt;E10,ABS(RADIANS((B9)+(C9/60)+(D9/3600))-(L10/2)))))</f>
        <v>#VALUE!</v>
      </c>
      <c r="W10" s="132" t="e">
        <f t="shared" ref="W10:W21" si="9">(O10*COS(V10))</f>
        <v>#VALUE!</v>
      </c>
      <c r="X10" s="133" t="e">
        <f t="shared" ref="X10:X21" si="10">ATAN(W10/L10)</f>
        <v>#VALUE!</v>
      </c>
      <c r="Y10" s="121" t="s">
        <v>1</v>
      </c>
      <c r="Z10" s="134" t="b">
        <f t="shared" ref="Z10:Z21" si="11">IF(Y10="Ortho",R10,IF(Y10="Mercator",S10,T10))</f>
        <v>0</v>
      </c>
      <c r="AA10" s="122">
        <v>12</v>
      </c>
      <c r="AB10" s="122" t="s">
        <v>40</v>
      </c>
      <c r="AC10" s="121">
        <v>2</v>
      </c>
      <c r="AD10" s="134">
        <f>LOOKUP(AC10,'SPEED CURVES'!$A$26:$A$38,'SPEED CURVES'!$D$26:$D$38)</f>
        <v>0.6561679800000001</v>
      </c>
      <c r="AE10" s="134">
        <f t="shared" ref="AE10:AE21" si="12">IF((AB10="BEAM"),((0.001*(AD10)^3)-(0.0431*(AD10)^2)+(0.1043*(AD10))+(AA10)),IF((AB10="FOLLOW"),((0.0003*(AD10)^3)-(0.0233*(AD10)^2)+(0.2104*(AD10))+(AA10)),IF(AB10="HEAD",((0.0012*(AD10)^3)-(0.0554*(AD10)^2)+(0.1308*(AD10))+(AA10)))))</f>
        <v>12.062312967030131</v>
      </c>
      <c r="AF10" s="121" t="s">
        <v>40</v>
      </c>
      <c r="AG10" s="121">
        <v>3</v>
      </c>
      <c r="AH10" s="134">
        <f t="shared" ref="AH10:AH21" si="13">IF(AF10="FOLLOW",AE10+AG10,IF(AF10="HEAD",AE10-AG10))</f>
        <v>9.062312967030131</v>
      </c>
      <c r="AI10" s="135">
        <f t="shared" ref="AI10:AI21" si="14">((Z10/AH10)/24)</f>
        <v>0</v>
      </c>
      <c r="AL10" s="85"/>
      <c r="AM10" s="85"/>
      <c r="AN10" s="85"/>
      <c r="AO10" s="85"/>
      <c r="AP10" s="85"/>
      <c r="AQ10" s="85"/>
      <c r="AR10" s="85"/>
      <c r="AS10" s="85"/>
      <c r="AT10" s="85"/>
      <c r="AU10" s="85"/>
    </row>
    <row r="11" spans="1:48" x14ac:dyDescent="0.25">
      <c r="A11" s="37">
        <v>1</v>
      </c>
      <c r="B11" s="11">
        <v>1</v>
      </c>
      <c r="C11" s="11">
        <v>0</v>
      </c>
      <c r="D11" s="11">
        <v>0</v>
      </c>
      <c r="E11" s="11" t="s">
        <v>11</v>
      </c>
      <c r="F11" s="11">
        <v>34</v>
      </c>
      <c r="G11" s="5">
        <v>0</v>
      </c>
      <c r="H11" s="5">
        <v>0</v>
      </c>
      <c r="I11" s="5" t="s">
        <v>20</v>
      </c>
      <c r="J11" s="74">
        <f t="shared" si="0"/>
        <v>59.596947269268611</v>
      </c>
      <c r="K11" s="74">
        <f t="shared" si="1"/>
        <v>59.596947269268995</v>
      </c>
      <c r="L11" s="80">
        <f t="shared" ref="L11:L21" si="15">IF(AND(E10="N",E11="N"),(ABS((RADIANS((B10)+(C10/60)+(D10/3600)))-(RADIANS((B11)+(C11/60)+(D11/3600))))),IF(AND(E10="S",E11="S"),(ABS((RADIANS((B10)+(C10/60)+(D10/3600)))-(RADIANS((B11)+(C11/60)+(D11/3600))))),IF(AND(E10="N",E11="S"),(RADIANS((B10)+(C10/60)+(D10/3600)))+(RADIANS((B11)+(C11/60)+(D11/3600))),IF(AND(E10="S",E11="N"),(RADIANS((B10)+(C10/60)+(D10/3600))+(RADIANS((B11)+(C11/60)+(D11/3600))))))))</f>
        <v>1.7453292519943295E-2</v>
      </c>
      <c r="M11" s="80">
        <f t="shared" si="2"/>
        <v>1</v>
      </c>
      <c r="N11" s="80">
        <f t="shared" si="3"/>
        <v>60</v>
      </c>
      <c r="O11" s="20">
        <f t="shared" ref="O11:O21" si="16">IF(AND(I10="E",I11="E"),(ABS((RADIANS((F10)+(G10/60)+(H10/3600)))-(RADIANS((F11)+(G11/60)+(H11/3600))))),IF(AND(I10="W",I11="W"),(ABS((RADIANS((F10)+(G10/60)+(H10/3600)))-(RADIANS((F11)+(G11/60)+(H11/3600))))),IF(AND(I10="E",I11="W"),(RADIANS((F10)+(G10/60)+(H10/3600)))+(RADIANS((F11)+(G11/60)+(H11/3600))),IF(AND(I10="W",I11="E"),(RADIANS((F10)+(G10/60)+(H10/3600))+(RADIANS((F11)+(G11/60)+(H11/3600))))))))</f>
        <v>0.59341194567807209</v>
      </c>
      <c r="P11" s="20">
        <f t="shared" si="4"/>
        <v>34</v>
      </c>
      <c r="Q11" s="20">
        <f t="shared" si="5"/>
        <v>2040</v>
      </c>
      <c r="R11" s="5">
        <f t="shared" ref="R11:R21" si="17">IF(AND(E10="N",E11="N"),(ACOS(COS(RADIANS(90-((B10)+(C10/60)+(D10/3600))))*COS(RADIANS(90-((B11)+(C11/60)+(D11/3600))))+SIN(RADIANS(90-((B10)+(C10/60)+(D10/3600))))*SIN(RADIANS(90-((B11)+(C11/60)+(D11/3600))))*COS(O11))*3440.065),IF(AND(E10="N",E11="S"),(ACOS(COS(RADIANS(90-((B10)+(C10/60)+(D10/3600))))*COS(RADIANS(90+((B11)+(C11/60)+(D11/3600))))+SIN(RADIANS(90-((B10)+(C10/60)+(D10/3600))))*SIN(RADIANS(90+((B11)+(C11/60)+(D11/3600))))*COS(O11))*3440.065),IF(AND(E10="S",E11="S"),(ACOS(COS(RADIANS(90-((B10)+(C10/60)+(D10/3600))))*COS(RADIANS(90-((B11)+(C11/60)+(D11/3600))))+SIN(RADIANS(90-((B10)+(C10/60)+(D10/3600))))*SIN(RADIANS(90-((B11)+(C11/60)+(D11/3600))))*COS(O11))*3440.065),IF(AND(E10="S",E11="N"),(ACOS(COS(RADIANS(90+((B10)+(C10/60)+(D10/3600))))*COS(RADIANS(90-((B11)+(C11/60)+(D11/3600))))+SIN(RADIANS(90+((B10)+(C10/60)+(D10/3600))))*SIN(RADIANS(90-((B11)+(C11/60)+(D11/3600))))*COS(O11))*3440.065)))))</f>
        <v>2042.1523058033183</v>
      </c>
      <c r="S11" s="18">
        <f t="shared" si="6"/>
        <v>2054.6727100428911</v>
      </c>
      <c r="T11" s="3">
        <f t="shared" si="7"/>
        <v>2040.804518831093</v>
      </c>
      <c r="U11" s="27">
        <f t="shared" si="8"/>
        <v>1.5415904438376731</v>
      </c>
      <c r="V11" s="27">
        <f t="shared" ref="V11:V21" si="18">IF(AND(E10=E11,RADIANS(((B10)+(C10/60)+(D10/3600))&gt;(B11)+(C11/60)+(D11/3600))),ABS(RADIANS((B10)+(C10/60)+(D10/3600))-(L11/2)),IF(AND(E10=E11,RADIANS(((B10)+(C10/60)+(D10/3600))&lt;(B11)+(C11/60)+(D11/3600))),ABS(RADIANS((B10)+(C10/60)+(D10/3600))+(L11/2)),IF(E10&lt;&gt;E11,ABS(RADIANS((B10)+(C10/60)+(D10/3600))-(L11/2)))))</f>
        <v>8.7266462599716477E-3</v>
      </c>
      <c r="W11" s="28">
        <f t="shared" si="9"/>
        <v>0.59338935036949658</v>
      </c>
      <c r="X11" s="3">
        <f t="shared" si="10"/>
        <v>1.5413919196063863</v>
      </c>
      <c r="Y11" s="6"/>
      <c r="Z11" s="6">
        <f t="shared" si="11"/>
        <v>2040.804518831093</v>
      </c>
      <c r="AA11" s="12"/>
      <c r="AB11" s="12"/>
      <c r="AC11" s="6"/>
      <c r="AD11" s="6">
        <f>LOOKUP(AC11,'SPEED CURVES'!$A$26:$A$38,'SPEED CURVES'!$D$26:$D$38)</f>
        <v>0</v>
      </c>
      <c r="AE11" s="6" t="b">
        <f t="shared" si="12"/>
        <v>0</v>
      </c>
      <c r="AF11" s="6"/>
      <c r="AG11" s="6"/>
      <c r="AH11" s="6" t="b">
        <f t="shared" si="13"/>
        <v>0</v>
      </c>
      <c r="AI11" s="87" t="e">
        <f t="shared" si="14"/>
        <v>#DIV/0!</v>
      </c>
      <c r="AL11" s="85"/>
      <c r="AM11" s="85"/>
      <c r="AN11" s="85"/>
      <c r="AO11" s="85"/>
      <c r="AP11" s="85"/>
      <c r="AQ11" s="85"/>
      <c r="AR11" s="85"/>
      <c r="AS11" s="85"/>
      <c r="AT11" s="85"/>
      <c r="AU11" s="85"/>
    </row>
    <row r="12" spans="1:48" x14ac:dyDescent="0.25">
      <c r="A12" s="37">
        <v>2</v>
      </c>
      <c r="B12" s="12">
        <v>8</v>
      </c>
      <c r="C12" s="12">
        <v>0</v>
      </c>
      <c r="D12" s="12">
        <v>0</v>
      </c>
      <c r="E12" s="12" t="s">
        <v>11</v>
      </c>
      <c r="F12" s="12">
        <v>65</v>
      </c>
      <c r="G12" s="6">
        <v>0</v>
      </c>
      <c r="H12" s="6">
        <v>0</v>
      </c>
      <c r="I12" s="6" t="s">
        <v>20</v>
      </c>
      <c r="J12" s="75">
        <f t="shared" si="0"/>
        <v>478.32873505506689</v>
      </c>
      <c r="K12" s="75">
        <f t="shared" si="1"/>
        <v>418.73178778579825</v>
      </c>
      <c r="L12" s="81">
        <f t="shared" si="15"/>
        <v>0.12217304763960307</v>
      </c>
      <c r="M12" s="81">
        <f t="shared" si="2"/>
        <v>7</v>
      </c>
      <c r="N12" s="81">
        <f t="shared" si="3"/>
        <v>420</v>
      </c>
      <c r="O12" s="78">
        <f t="shared" si="16"/>
        <v>0.54105206811824214</v>
      </c>
      <c r="P12" s="23">
        <f t="shared" si="4"/>
        <v>31</v>
      </c>
      <c r="Q12" s="23">
        <f t="shared" si="5"/>
        <v>1860</v>
      </c>
      <c r="R12" s="6">
        <f t="shared" si="17"/>
        <v>1901.2264723461365</v>
      </c>
      <c r="S12" s="19">
        <f t="shared" si="6"/>
        <v>1912.3252609265517</v>
      </c>
      <c r="T12" s="4">
        <f t="shared" si="7"/>
        <v>1901.2373054307213</v>
      </c>
      <c r="U12" s="82">
        <f t="shared" si="8"/>
        <v>1.3493632752736227</v>
      </c>
      <c r="V12" s="83">
        <f t="shared" si="18"/>
        <v>7.8539816339744828E-2</v>
      </c>
      <c r="W12" s="83">
        <f t="shared" si="9"/>
        <v>0.5393841851592327</v>
      </c>
      <c r="X12" s="84">
        <f t="shared" si="10"/>
        <v>1.3480501612019344</v>
      </c>
      <c r="Y12" s="6" t="s">
        <v>1</v>
      </c>
      <c r="Z12" s="6">
        <f t="shared" si="11"/>
        <v>1901.2264723461365</v>
      </c>
      <c r="AA12" s="12">
        <v>12</v>
      </c>
      <c r="AB12" s="12" t="s">
        <v>40</v>
      </c>
      <c r="AC12" s="6">
        <v>2</v>
      </c>
      <c r="AD12" s="6">
        <f>LOOKUP(AC12,'SPEED CURVES'!$A$26:$A$38,'SPEED CURVES'!$D$26:$D$38)</f>
        <v>0.6561679800000001</v>
      </c>
      <c r="AE12" s="6">
        <f t="shared" si="12"/>
        <v>12.062312967030131</v>
      </c>
      <c r="AF12" s="6" t="s">
        <v>40</v>
      </c>
      <c r="AG12" s="6">
        <v>3</v>
      </c>
      <c r="AH12" s="6">
        <f t="shared" si="13"/>
        <v>9.062312967030131</v>
      </c>
      <c r="AI12" s="88">
        <f t="shared" si="14"/>
        <v>8.7414515443566696</v>
      </c>
      <c r="AL12" s="85"/>
      <c r="AM12" s="85"/>
      <c r="AN12" s="85"/>
      <c r="AO12" s="85"/>
      <c r="AP12" s="85"/>
      <c r="AQ12" s="85"/>
      <c r="AR12" s="85"/>
      <c r="AS12" s="85"/>
      <c r="AT12" s="85"/>
      <c r="AU12" s="85"/>
    </row>
    <row r="13" spans="1:48" x14ac:dyDescent="0.25">
      <c r="A13" s="37">
        <v>3</v>
      </c>
      <c r="B13" s="12">
        <v>17</v>
      </c>
      <c r="C13" s="12">
        <v>0</v>
      </c>
      <c r="D13" s="12">
        <v>0</v>
      </c>
      <c r="E13" s="12" t="s">
        <v>11</v>
      </c>
      <c r="F13" s="12">
        <v>83</v>
      </c>
      <c r="G13" s="6">
        <v>0</v>
      </c>
      <c r="H13" s="6">
        <v>0</v>
      </c>
      <c r="I13" s="6" t="s">
        <v>20</v>
      </c>
      <c r="J13" s="75">
        <f t="shared" si="0"/>
        <v>1028.4994052816151</v>
      </c>
      <c r="K13" s="75">
        <f t="shared" si="1"/>
        <v>550.17067022654817</v>
      </c>
      <c r="L13" s="81">
        <f t="shared" si="15"/>
        <v>0.15707963267948968</v>
      </c>
      <c r="M13" s="81">
        <f t="shared" si="2"/>
        <v>9.0000000000000018</v>
      </c>
      <c r="N13" s="81">
        <f t="shared" si="3"/>
        <v>540.00000000000011</v>
      </c>
      <c r="O13" s="78">
        <f t="shared" si="16"/>
        <v>0.31415926535897931</v>
      </c>
      <c r="P13" s="23">
        <f t="shared" si="4"/>
        <v>18</v>
      </c>
      <c r="Q13" s="23">
        <f t="shared" si="5"/>
        <v>1080</v>
      </c>
      <c r="R13" s="6">
        <f t="shared" si="17"/>
        <v>1184.1392091900668</v>
      </c>
      <c r="S13" s="19">
        <f t="shared" si="6"/>
        <v>1189.6527056053476</v>
      </c>
      <c r="T13" s="4">
        <f t="shared" si="7"/>
        <v>1184.6344167715936</v>
      </c>
      <c r="U13" s="82">
        <f t="shared" si="8"/>
        <v>1.0996433017241947</v>
      </c>
      <c r="V13" s="83">
        <f t="shared" si="18"/>
        <v>0.21816615649929122</v>
      </c>
      <c r="W13" s="83">
        <f t="shared" si="9"/>
        <v>0.30671243636970308</v>
      </c>
      <c r="X13" s="84">
        <f t="shared" si="10"/>
        <v>1.0974841446722094</v>
      </c>
      <c r="Y13" s="6" t="s">
        <v>1</v>
      </c>
      <c r="Z13" s="6">
        <f t="shared" si="11"/>
        <v>1184.1392091900668</v>
      </c>
      <c r="AA13" s="12">
        <v>12</v>
      </c>
      <c r="AB13" s="12" t="s">
        <v>40</v>
      </c>
      <c r="AC13" s="6">
        <v>2</v>
      </c>
      <c r="AD13" s="6">
        <f>LOOKUP(AC13,'SPEED CURVES'!$A$26:$A$38,'SPEED CURVES'!$D$26:$D$38)</f>
        <v>0.6561679800000001</v>
      </c>
      <c r="AE13" s="6">
        <f t="shared" si="12"/>
        <v>12.062312967030131</v>
      </c>
      <c r="AF13" s="6" t="s">
        <v>40</v>
      </c>
      <c r="AG13" s="6">
        <v>3</v>
      </c>
      <c r="AH13" s="6">
        <f t="shared" si="13"/>
        <v>9.062312967030131</v>
      </c>
      <c r="AI13" s="88">
        <f t="shared" si="14"/>
        <v>5.4444305659885011</v>
      </c>
      <c r="AL13" s="85"/>
      <c r="AM13" s="85"/>
      <c r="AN13" s="85"/>
      <c r="AO13" s="85"/>
      <c r="AP13" s="85"/>
      <c r="AQ13" s="85"/>
      <c r="AR13" s="85"/>
      <c r="AS13" s="85"/>
      <c r="AT13" s="85"/>
      <c r="AU13" s="85"/>
    </row>
    <row r="14" spans="1:48" x14ac:dyDescent="0.25">
      <c r="A14" s="37">
        <v>4</v>
      </c>
      <c r="B14" s="12">
        <v>19</v>
      </c>
      <c r="C14" s="12">
        <v>0</v>
      </c>
      <c r="D14" s="12">
        <v>0</v>
      </c>
      <c r="E14" s="12" t="s">
        <v>11</v>
      </c>
      <c r="F14" s="12">
        <v>99</v>
      </c>
      <c r="G14" s="6">
        <v>0</v>
      </c>
      <c r="H14" s="6">
        <v>0</v>
      </c>
      <c r="I14" s="6" t="s">
        <v>20</v>
      </c>
      <c r="J14" s="75">
        <f t="shared" si="0"/>
        <v>1153.9096855854407</v>
      </c>
      <c r="K14" s="75">
        <f t="shared" si="1"/>
        <v>125.41028030382563</v>
      </c>
      <c r="L14" s="81">
        <f t="shared" si="15"/>
        <v>3.4906585039886584E-2</v>
      </c>
      <c r="M14" s="81">
        <f t="shared" si="2"/>
        <v>1.9999999999999996</v>
      </c>
      <c r="N14" s="81">
        <f t="shared" si="3"/>
        <v>119.99999999999997</v>
      </c>
      <c r="O14" s="78">
        <f t="shared" si="16"/>
        <v>0.27925268031909267</v>
      </c>
      <c r="P14" s="23">
        <f t="shared" si="4"/>
        <v>15.999999999999996</v>
      </c>
      <c r="Q14" s="23">
        <f t="shared" si="5"/>
        <v>959.99999999999977</v>
      </c>
      <c r="R14" s="6">
        <f t="shared" si="17"/>
        <v>921.14372970218801</v>
      </c>
      <c r="S14" s="19">
        <f t="shared" si="6"/>
        <v>926.38996543024609</v>
      </c>
      <c r="T14" s="4">
        <f t="shared" si="7"/>
        <v>920.8664566634925</v>
      </c>
      <c r="U14" s="82">
        <f t="shared" si="8"/>
        <v>1.4408962299077144</v>
      </c>
      <c r="V14" s="83">
        <f t="shared" si="18"/>
        <v>0.31415926535897931</v>
      </c>
      <c r="W14" s="83">
        <f t="shared" si="9"/>
        <v>0.26558508131036046</v>
      </c>
      <c r="X14" s="84">
        <f t="shared" si="10"/>
        <v>1.4401126152095878</v>
      </c>
      <c r="Y14" s="6" t="s">
        <v>1</v>
      </c>
      <c r="Z14" s="6">
        <f t="shared" si="11"/>
        <v>921.14372970218801</v>
      </c>
      <c r="AA14" s="12">
        <v>12</v>
      </c>
      <c r="AB14" s="12" t="s">
        <v>40</v>
      </c>
      <c r="AC14" s="6">
        <v>2</v>
      </c>
      <c r="AD14" s="6">
        <f>LOOKUP(AC14,'SPEED CURVES'!$A$26:$A$38,'SPEED CURVES'!$D$26:$D$38)</f>
        <v>0.6561679800000001</v>
      </c>
      <c r="AE14" s="6">
        <f t="shared" si="12"/>
        <v>12.062312967030131</v>
      </c>
      <c r="AF14" s="6" t="s">
        <v>40</v>
      </c>
      <c r="AG14" s="6">
        <v>1</v>
      </c>
      <c r="AH14" s="6">
        <f t="shared" si="13"/>
        <v>11.062312967030131</v>
      </c>
      <c r="AI14" s="88">
        <f t="shared" si="14"/>
        <v>3.4695265675434244</v>
      </c>
      <c r="AL14" s="85"/>
      <c r="AM14" s="85"/>
      <c r="AN14" s="85"/>
      <c r="AO14" s="85"/>
      <c r="AP14" s="85"/>
      <c r="AQ14" s="85"/>
      <c r="AR14" s="85"/>
      <c r="AS14" s="85"/>
      <c r="AT14" s="85"/>
      <c r="AU14" s="85"/>
    </row>
    <row r="15" spans="1:48" x14ac:dyDescent="0.25">
      <c r="A15" s="37">
        <v>5</v>
      </c>
      <c r="B15" s="12">
        <v>22</v>
      </c>
      <c r="C15" s="12">
        <v>0</v>
      </c>
      <c r="D15" s="12">
        <v>0</v>
      </c>
      <c r="E15" s="12" t="s">
        <v>11</v>
      </c>
      <c r="F15" s="12">
        <v>110</v>
      </c>
      <c r="G15" s="6">
        <v>0</v>
      </c>
      <c r="H15" s="6">
        <v>0</v>
      </c>
      <c r="I15" s="6" t="s">
        <v>20</v>
      </c>
      <c r="J15" s="75">
        <f t="shared" si="0"/>
        <v>1344.965446195017</v>
      </c>
      <c r="K15" s="75">
        <f t="shared" si="1"/>
        <v>191.05576060957628</v>
      </c>
      <c r="L15" s="81">
        <f t="shared" si="15"/>
        <v>5.2359877559829848E-2</v>
      </c>
      <c r="M15" s="81">
        <f t="shared" si="2"/>
        <v>2.9999999999999978</v>
      </c>
      <c r="N15" s="81">
        <f t="shared" si="3"/>
        <v>179.99999999999986</v>
      </c>
      <c r="O15" s="78">
        <f t="shared" si="16"/>
        <v>0.1919862177193763</v>
      </c>
      <c r="P15" s="23">
        <f t="shared" si="4"/>
        <v>11.000000000000004</v>
      </c>
      <c r="Q15" s="23">
        <f t="shared" si="5"/>
        <v>660.00000000000023</v>
      </c>
      <c r="R15" s="6">
        <f t="shared" si="17"/>
        <v>644.10111877312352</v>
      </c>
      <c r="S15" s="19">
        <f t="shared" si="6"/>
        <v>647.33699593420056</v>
      </c>
      <c r="T15" s="4">
        <f t="shared" si="7"/>
        <v>643.87556761576207</v>
      </c>
      <c r="U15" s="82">
        <f t="shared" si="8"/>
        <v>1.2890200851246942</v>
      </c>
      <c r="V15" s="83">
        <f t="shared" si="18"/>
        <v>0.35779249665883756</v>
      </c>
      <c r="W15" s="83">
        <f t="shared" si="9"/>
        <v>0.17982815085672768</v>
      </c>
      <c r="X15" s="84">
        <f t="shared" si="10"/>
        <v>1.2874635188046568</v>
      </c>
      <c r="Y15" s="6" t="s">
        <v>1</v>
      </c>
      <c r="Z15" s="6">
        <f t="shared" si="11"/>
        <v>644.10111877312352</v>
      </c>
      <c r="AA15" s="12">
        <v>12</v>
      </c>
      <c r="AB15" s="12" t="s">
        <v>40</v>
      </c>
      <c r="AC15" s="6">
        <v>2</v>
      </c>
      <c r="AD15" s="6">
        <f>LOOKUP(AC15,'SPEED CURVES'!$A$26:$A$38,'SPEED CURVES'!$D$26:$D$38)</f>
        <v>0.6561679800000001</v>
      </c>
      <c r="AE15" s="6">
        <f t="shared" si="12"/>
        <v>12.062312967030131</v>
      </c>
      <c r="AF15" s="6" t="s">
        <v>40</v>
      </c>
      <c r="AG15" s="6">
        <v>3</v>
      </c>
      <c r="AH15" s="6">
        <f t="shared" si="13"/>
        <v>9.062312967030131</v>
      </c>
      <c r="AI15" s="88">
        <f t="shared" si="14"/>
        <v>2.9614455728008164</v>
      </c>
      <c r="AL15" s="85"/>
      <c r="AM15" s="85"/>
      <c r="AN15" s="85"/>
      <c r="AO15" s="85"/>
      <c r="AP15" s="85"/>
      <c r="AQ15" s="85"/>
      <c r="AR15" s="85"/>
      <c r="AS15" s="85"/>
      <c r="AT15" s="85"/>
      <c r="AU15" s="85"/>
    </row>
    <row r="16" spans="1:48" x14ac:dyDescent="0.25">
      <c r="A16" s="37">
        <v>6</v>
      </c>
      <c r="B16" s="12">
        <v>23</v>
      </c>
      <c r="C16" s="12">
        <v>0</v>
      </c>
      <c r="D16" s="12">
        <v>0</v>
      </c>
      <c r="E16" s="12" t="s">
        <v>11</v>
      </c>
      <c r="F16" s="12">
        <v>120</v>
      </c>
      <c r="G16" s="6">
        <v>0</v>
      </c>
      <c r="H16" s="6">
        <v>0</v>
      </c>
      <c r="I16" s="6" t="s">
        <v>20</v>
      </c>
      <c r="J16" s="75">
        <f t="shared" si="0"/>
        <v>1409.534512363063</v>
      </c>
      <c r="K16" s="75">
        <f t="shared" si="1"/>
        <v>64.569066168045993</v>
      </c>
      <c r="L16" s="81">
        <f>IF(AND(E15="N",E16="N"),(ABS((RADIANS((B15)+(C15/60)+(D15/3600)))-(RADIANS((B16)+(C16/60)+(D16/3600))))),IF(AND(E15="S",E16="S"),(ABS((RADIANS((B15)+(C15/60)+(D15/3600)))-(RADIANS((B16)+(C16/60)+(D16/3600))))),IF(AND(E15="N",E16="S"),(RADIANS((B15)+(C15/60)+(D15/3600)))+(RADIANS((B16)+(C16/60)+(D16/3600))),IF(AND(E15="S",E16="N"),(RADIANS((B15)+(C15/60)+(D15/3600))+(RADIANS((B16)+(C16/60)+(D16/3600))))))))</f>
        <v>1.745329251994332E-2</v>
      </c>
      <c r="M16" s="81">
        <f t="shared" si="2"/>
        <v>1.0000000000000013</v>
      </c>
      <c r="N16" s="81">
        <f t="shared" si="3"/>
        <v>60.000000000000078</v>
      </c>
      <c r="O16" s="78">
        <f t="shared" si="16"/>
        <v>0.17453292519943275</v>
      </c>
      <c r="P16" s="23">
        <f t="shared" si="4"/>
        <v>9.9999999999999893</v>
      </c>
      <c r="Q16" s="23">
        <f t="shared" si="5"/>
        <v>599.99999999999932</v>
      </c>
      <c r="R16" s="6">
        <f t="shared" si="17"/>
        <v>557.82805272500241</v>
      </c>
      <c r="S16" s="19">
        <f t="shared" si="6"/>
        <v>560.76168194055958</v>
      </c>
      <c r="T16" s="4">
        <f t="shared" si="7"/>
        <v>557.56544065569426</v>
      </c>
      <c r="U16" s="82">
        <f t="shared" si="8"/>
        <v>1.4635937841428726</v>
      </c>
      <c r="V16" s="83">
        <f t="shared" si="18"/>
        <v>0.39269908169872414</v>
      </c>
      <c r="W16" s="83">
        <f t="shared" si="9"/>
        <v>0.16124739734107932</v>
      </c>
      <c r="X16" s="84">
        <f t="shared" si="10"/>
        <v>1.4629768605077216</v>
      </c>
      <c r="Y16" s="6" t="s">
        <v>1</v>
      </c>
      <c r="Z16" s="6">
        <f t="shared" si="11"/>
        <v>557.82805272500241</v>
      </c>
      <c r="AA16" s="12">
        <v>12</v>
      </c>
      <c r="AB16" s="12" t="s">
        <v>40</v>
      </c>
      <c r="AC16" s="6">
        <v>2</v>
      </c>
      <c r="AD16" s="6">
        <f>LOOKUP(AC16,'SPEED CURVES'!$A$26:$A$38,'SPEED CURVES'!$D$26:$D$38)</f>
        <v>0.6561679800000001</v>
      </c>
      <c r="AE16" s="6">
        <f t="shared" si="12"/>
        <v>12.062312967030131</v>
      </c>
      <c r="AF16" s="6" t="s">
        <v>40</v>
      </c>
      <c r="AG16" s="6">
        <v>3</v>
      </c>
      <c r="AH16" s="6">
        <f t="shared" si="13"/>
        <v>9.062312967030131</v>
      </c>
      <c r="AI16" s="88">
        <f t="shared" si="14"/>
        <v>2.5647796114268933</v>
      </c>
      <c r="AL16" s="85"/>
      <c r="AM16" s="85"/>
      <c r="AN16" s="85"/>
      <c r="AO16" s="85"/>
      <c r="AP16" s="85"/>
      <c r="AQ16" s="85"/>
      <c r="AR16" s="85"/>
      <c r="AS16" s="85"/>
      <c r="AT16" s="85"/>
      <c r="AU16" s="85"/>
    </row>
    <row r="17" spans="1:47" x14ac:dyDescent="0.25">
      <c r="A17" s="37">
        <v>7</v>
      </c>
      <c r="B17" s="12">
        <v>12</v>
      </c>
      <c r="C17" s="12">
        <v>0</v>
      </c>
      <c r="D17" s="12">
        <v>0</v>
      </c>
      <c r="E17" s="12" t="s">
        <v>11</v>
      </c>
      <c r="F17" s="12">
        <v>19</v>
      </c>
      <c r="G17" s="6">
        <v>0</v>
      </c>
      <c r="H17" s="6">
        <v>0</v>
      </c>
      <c r="I17" s="6" t="s">
        <v>78</v>
      </c>
      <c r="J17" s="152">
        <f t="shared" si="0"/>
        <v>720.48390383481342</v>
      </c>
      <c r="K17" s="152">
        <f t="shared" si="1"/>
        <v>689.05060852824954</v>
      </c>
      <c r="L17" s="105">
        <f t="shared" si="15"/>
        <v>0.19198621771937624</v>
      </c>
      <c r="M17" s="105">
        <f t="shared" si="2"/>
        <v>11</v>
      </c>
      <c r="N17" s="105">
        <f t="shared" si="3"/>
        <v>660</v>
      </c>
      <c r="O17" s="153">
        <f t="shared" si="16"/>
        <v>2.4260076602721181</v>
      </c>
      <c r="P17" s="154">
        <f t="shared" si="4"/>
        <v>139</v>
      </c>
      <c r="Q17" s="154">
        <f t="shared" si="5"/>
        <v>8340</v>
      </c>
      <c r="R17" s="155">
        <f t="shared" si="17"/>
        <v>7610.0017344105436</v>
      </c>
      <c r="S17" s="141">
        <f t="shared" si="6"/>
        <v>8015.6009803014085</v>
      </c>
      <c r="T17" s="106">
        <f t="shared" si="7"/>
        <v>7981.3348486248724</v>
      </c>
      <c r="U17" s="156">
        <f t="shared" si="8"/>
        <v>1.4883635732069345</v>
      </c>
      <c r="V17" s="157">
        <f t="shared" si="18"/>
        <v>0.30543261909900765</v>
      </c>
      <c r="W17" s="157">
        <f t="shared" si="9"/>
        <v>2.3137246282465651</v>
      </c>
      <c r="X17" s="158">
        <f t="shared" si="10"/>
        <v>1.4880088570334331</v>
      </c>
      <c r="Y17" s="6" t="s">
        <v>1</v>
      </c>
      <c r="Z17" s="6">
        <f t="shared" si="11"/>
        <v>7610.0017344105436</v>
      </c>
      <c r="AA17" s="12">
        <v>12</v>
      </c>
      <c r="AB17" s="12" t="s">
        <v>40</v>
      </c>
      <c r="AC17" s="6">
        <v>2</v>
      </c>
      <c r="AD17" s="6">
        <f>LOOKUP(AC17,'SPEED CURVES'!$A$26:$A$38,'SPEED CURVES'!$D$26:$D$38)</f>
        <v>0.6561679800000001</v>
      </c>
      <c r="AE17" s="6">
        <f t="shared" si="12"/>
        <v>12.062312967030131</v>
      </c>
      <c r="AF17" s="6" t="s">
        <v>40</v>
      </c>
      <c r="AG17" s="6">
        <v>3</v>
      </c>
      <c r="AH17" s="6">
        <f t="shared" si="13"/>
        <v>9.062312967030131</v>
      </c>
      <c r="AI17" s="88">
        <f t="shared" si="14"/>
        <v>34.989235833504075</v>
      </c>
      <c r="AL17" s="85"/>
      <c r="AM17" s="85"/>
      <c r="AN17" s="85"/>
      <c r="AO17" s="85"/>
      <c r="AP17" s="85"/>
      <c r="AQ17" s="85"/>
      <c r="AR17" s="85"/>
      <c r="AS17" s="85"/>
      <c r="AT17" s="85"/>
      <c r="AU17" s="85"/>
    </row>
    <row r="18" spans="1:47" ht="15.75" thickBot="1" x14ac:dyDescent="0.3">
      <c r="A18" s="37">
        <v>8</v>
      </c>
      <c r="B18" s="12">
        <v>23</v>
      </c>
      <c r="C18" s="12">
        <v>0</v>
      </c>
      <c r="D18" s="12">
        <v>0</v>
      </c>
      <c r="E18" s="12" t="s">
        <v>11</v>
      </c>
      <c r="F18" s="12">
        <v>24</v>
      </c>
      <c r="G18" s="6">
        <v>0</v>
      </c>
      <c r="H18" s="6">
        <v>0</v>
      </c>
      <c r="I18" s="6" t="s">
        <v>78</v>
      </c>
      <c r="J18" s="152">
        <f t="shared" si="0"/>
        <v>1409.534512363063</v>
      </c>
      <c r="K18" s="152">
        <f t="shared" si="1"/>
        <v>689.05060852824954</v>
      </c>
      <c r="L18" s="105">
        <f t="shared" si="15"/>
        <v>0.19198621771937624</v>
      </c>
      <c r="M18" s="105">
        <f t="shared" si="2"/>
        <v>11</v>
      </c>
      <c r="N18" s="105">
        <f t="shared" si="3"/>
        <v>660</v>
      </c>
      <c r="O18" s="153">
        <f t="shared" si="16"/>
        <v>8.7266462599716488E-2</v>
      </c>
      <c r="P18" s="154">
        <f t="shared" si="4"/>
        <v>5.0000000000000009</v>
      </c>
      <c r="Q18" s="154">
        <f t="shared" si="5"/>
        <v>300.00000000000006</v>
      </c>
      <c r="R18" s="155">
        <f t="shared" si="17"/>
        <v>719.60263481570155</v>
      </c>
      <c r="S18" s="141">
        <f t="shared" si="6"/>
        <v>719.84103323942384</v>
      </c>
      <c r="T18" s="106">
        <f t="shared" si="7"/>
        <v>719.34820635976041</v>
      </c>
      <c r="U18" s="156">
        <f t="shared" si="8"/>
        <v>0.41063104551331303</v>
      </c>
      <c r="V18" s="157">
        <f t="shared" si="18"/>
        <v>0.30543261909900765</v>
      </c>
      <c r="W18" s="157">
        <f t="shared" si="9"/>
        <v>8.3227504613185802E-2</v>
      </c>
      <c r="X18" s="158">
        <f t="shared" si="10"/>
        <v>0.40905462447296392</v>
      </c>
      <c r="Y18" s="6" t="s">
        <v>1</v>
      </c>
      <c r="Z18" s="6">
        <f t="shared" si="11"/>
        <v>719.60263481570155</v>
      </c>
      <c r="AA18" s="12">
        <v>12</v>
      </c>
      <c r="AB18" s="12" t="s">
        <v>40</v>
      </c>
      <c r="AC18" s="6">
        <v>2</v>
      </c>
      <c r="AD18" s="6">
        <f>LOOKUP(AC18,'SPEED CURVES'!$A$26:$A$38,'SPEED CURVES'!$D$26:$D$38)</f>
        <v>0.6561679800000001</v>
      </c>
      <c r="AE18" s="6">
        <f t="shared" si="12"/>
        <v>12.062312967030131</v>
      </c>
      <c r="AF18" s="6" t="s">
        <v>40</v>
      </c>
      <c r="AG18" s="6">
        <v>3</v>
      </c>
      <c r="AH18" s="6">
        <f t="shared" si="13"/>
        <v>9.062312967030131</v>
      </c>
      <c r="AI18" s="88">
        <f t="shared" si="14"/>
        <v>3.3085861442221813</v>
      </c>
      <c r="AL18" s="85"/>
      <c r="AM18" s="85"/>
      <c r="AN18" s="85"/>
      <c r="AO18" s="85"/>
      <c r="AP18" s="85"/>
      <c r="AQ18" s="85"/>
      <c r="AR18" s="85"/>
      <c r="AS18" s="85"/>
      <c r="AT18" s="85"/>
      <c r="AU18" s="85"/>
    </row>
    <row r="19" spans="1:47" ht="15.75" thickBot="1" x14ac:dyDescent="0.3">
      <c r="A19" s="37">
        <v>9</v>
      </c>
      <c r="B19" s="12">
        <v>30</v>
      </c>
      <c r="C19" s="12">
        <v>0</v>
      </c>
      <c r="D19" s="12">
        <v>0</v>
      </c>
      <c r="E19" s="12" t="s">
        <v>11</v>
      </c>
      <c r="F19" s="12">
        <v>34</v>
      </c>
      <c r="G19" s="6">
        <v>0</v>
      </c>
      <c r="H19" s="6">
        <v>0</v>
      </c>
      <c r="I19" s="6" t="s">
        <v>78</v>
      </c>
      <c r="J19" s="136">
        <f t="shared" si="0"/>
        <v>1876.734388724848</v>
      </c>
      <c r="K19" s="137">
        <f t="shared" si="1"/>
        <v>467.19987636178507</v>
      </c>
      <c r="L19" s="138">
        <f t="shared" si="15"/>
        <v>0.12217304763960302</v>
      </c>
      <c r="M19" s="138">
        <f t="shared" si="2"/>
        <v>6.9999999999999973</v>
      </c>
      <c r="N19" s="138">
        <f t="shared" si="3"/>
        <v>419.99999999999983</v>
      </c>
      <c r="O19" s="139">
        <f t="shared" si="16"/>
        <v>0.17453292519943298</v>
      </c>
      <c r="P19" s="139">
        <f t="shared" si="4"/>
        <v>10.000000000000002</v>
      </c>
      <c r="Q19" s="139">
        <f t="shared" si="5"/>
        <v>600.00000000000011</v>
      </c>
      <c r="R19" s="140">
        <f t="shared" si="17"/>
        <v>681.6008477705941</v>
      </c>
      <c r="S19" s="141">
        <f t="shared" si="6"/>
        <v>683.6188854585173</v>
      </c>
      <c r="T19" s="142">
        <f t="shared" si="7"/>
        <v>681.70866516963713</v>
      </c>
      <c r="U19" s="143">
        <f t="shared" si="8"/>
        <v>0.90919967860703343</v>
      </c>
      <c r="V19" s="144">
        <f t="shared" si="18"/>
        <v>0.46251225177849731</v>
      </c>
      <c r="W19" s="107">
        <f t="shared" si="9"/>
        <v>0.15619551199188855</v>
      </c>
      <c r="X19" s="145">
        <f t="shared" si="10"/>
        <v>0.90701591384999536</v>
      </c>
      <c r="Y19" s="6" t="s">
        <v>1</v>
      </c>
      <c r="Z19" s="6">
        <f t="shared" si="11"/>
        <v>681.6008477705941</v>
      </c>
      <c r="AA19" s="12">
        <v>12</v>
      </c>
      <c r="AB19" s="12" t="s">
        <v>40</v>
      </c>
      <c r="AC19" s="6">
        <v>2</v>
      </c>
      <c r="AD19" s="6">
        <f>LOOKUP(AC19,'SPEED CURVES'!$A$26:$A$38,'SPEED CURVES'!$D$26:$D$38)</f>
        <v>0.6561679800000001</v>
      </c>
      <c r="AE19" s="6">
        <f t="shared" si="12"/>
        <v>12.062312967030131</v>
      </c>
      <c r="AF19" s="6" t="s">
        <v>40</v>
      </c>
      <c r="AG19" s="6">
        <v>3</v>
      </c>
      <c r="AH19" s="6">
        <f t="shared" si="13"/>
        <v>9.062312967030131</v>
      </c>
      <c r="AI19" s="88">
        <f t="shared" si="14"/>
        <v>3.1338616782600384</v>
      </c>
      <c r="AL19" s="85"/>
      <c r="AM19" s="85"/>
      <c r="AN19" s="85"/>
      <c r="AO19" s="85"/>
      <c r="AP19" s="85"/>
      <c r="AQ19" s="85"/>
      <c r="AR19" s="85"/>
      <c r="AS19" s="85"/>
      <c r="AT19" s="85"/>
      <c r="AU19" s="85"/>
    </row>
    <row r="20" spans="1:47" x14ac:dyDescent="0.25">
      <c r="A20" s="37">
        <v>10</v>
      </c>
      <c r="B20" s="12">
        <v>40</v>
      </c>
      <c r="C20" s="12">
        <v>0</v>
      </c>
      <c r="D20" s="12">
        <v>0</v>
      </c>
      <c r="E20" s="12" t="s">
        <v>11</v>
      </c>
      <c r="F20" s="12">
        <v>40</v>
      </c>
      <c r="G20" s="6">
        <v>0</v>
      </c>
      <c r="H20" s="6">
        <v>0</v>
      </c>
      <c r="I20" s="6" t="s">
        <v>78</v>
      </c>
      <c r="J20" s="146">
        <f t="shared" si="0"/>
        <v>2607.7192450944208</v>
      </c>
      <c r="K20" s="146">
        <f t="shared" si="1"/>
        <v>730.98485636957275</v>
      </c>
      <c r="L20" s="147">
        <f t="shared" si="15"/>
        <v>0.17453292519943298</v>
      </c>
      <c r="M20" s="147">
        <f t="shared" si="2"/>
        <v>10.000000000000002</v>
      </c>
      <c r="N20" s="147">
        <f t="shared" si="3"/>
        <v>600.00000000000011</v>
      </c>
      <c r="O20" s="148">
        <f t="shared" si="16"/>
        <v>0.1047197551196597</v>
      </c>
      <c r="P20" s="148">
        <f t="shared" si="4"/>
        <v>5.9999999999999956</v>
      </c>
      <c r="Q20" s="148">
        <f t="shared" si="5"/>
        <v>359.99999999999972</v>
      </c>
      <c r="R20" s="149">
        <f t="shared" si="17"/>
        <v>668.57500385272363</v>
      </c>
      <c r="S20" s="150">
        <f t="shared" si="6"/>
        <v>668.81640142832862</v>
      </c>
      <c r="T20" s="151">
        <f t="shared" si="7"/>
        <v>668.55284405011946</v>
      </c>
      <c r="U20" s="28">
        <f t="shared" si="8"/>
        <v>0.45761857174777054</v>
      </c>
      <c r="V20" s="28">
        <f t="shared" si="18"/>
        <v>0.6108652381980153</v>
      </c>
      <c r="W20" s="28">
        <f t="shared" si="9"/>
        <v>8.5781401483711855E-2</v>
      </c>
      <c r="X20" s="151">
        <f t="shared" si="10"/>
        <v>0.45681744959991327</v>
      </c>
      <c r="Y20" s="6" t="s">
        <v>1</v>
      </c>
      <c r="Z20" s="6">
        <f t="shared" si="11"/>
        <v>668.57500385272363</v>
      </c>
      <c r="AA20" s="12">
        <v>12</v>
      </c>
      <c r="AB20" s="12" t="s">
        <v>40</v>
      </c>
      <c r="AC20" s="6">
        <v>2</v>
      </c>
      <c r="AD20" s="6">
        <f>LOOKUP(AC20,'SPEED CURVES'!$A$26:$A$38,'SPEED CURVES'!$D$26:$D$38)</f>
        <v>0.6561679800000001</v>
      </c>
      <c r="AE20" s="6">
        <f t="shared" si="12"/>
        <v>12.062312967030131</v>
      </c>
      <c r="AF20" s="6" t="s">
        <v>40</v>
      </c>
      <c r="AG20" s="6">
        <v>3</v>
      </c>
      <c r="AH20" s="6">
        <f t="shared" si="13"/>
        <v>9.062312967030131</v>
      </c>
      <c r="AI20" s="88">
        <f t="shared" si="14"/>
        <v>3.0739715046859732</v>
      </c>
      <c r="AL20" s="85"/>
      <c r="AM20" s="85"/>
      <c r="AN20" s="85"/>
      <c r="AO20" s="85"/>
      <c r="AP20" s="85"/>
      <c r="AQ20" s="85"/>
      <c r="AR20" s="85"/>
      <c r="AS20" s="85"/>
      <c r="AT20" s="85"/>
      <c r="AU20" s="85"/>
    </row>
    <row r="21" spans="1:47" x14ac:dyDescent="0.25">
      <c r="A21" s="37"/>
      <c r="B21" s="12"/>
      <c r="C21" s="12"/>
      <c r="D21" s="12"/>
      <c r="E21" s="12"/>
      <c r="F21" s="12"/>
      <c r="G21" s="6"/>
      <c r="H21" s="6"/>
      <c r="I21" s="6"/>
      <c r="J21" s="170">
        <f t="shared" si="0"/>
        <v>-3.8166656178054882E-13</v>
      </c>
      <c r="K21" s="170">
        <f t="shared" si="1"/>
        <v>2607.7192450944203</v>
      </c>
      <c r="L21" s="171" t="b">
        <f t="shared" si="15"/>
        <v>0</v>
      </c>
      <c r="M21" s="171">
        <f t="shared" si="2"/>
        <v>0</v>
      </c>
      <c r="N21" s="171">
        <f t="shared" si="3"/>
        <v>0</v>
      </c>
      <c r="O21" s="172" t="b">
        <f t="shared" si="16"/>
        <v>0</v>
      </c>
      <c r="P21" s="173">
        <f t="shared" si="4"/>
        <v>0</v>
      </c>
      <c r="Q21" s="173">
        <f t="shared" si="5"/>
        <v>0</v>
      </c>
      <c r="R21" s="6" t="b">
        <f t="shared" si="17"/>
        <v>0</v>
      </c>
      <c r="S21" s="19">
        <f t="shared" si="6"/>
        <v>0</v>
      </c>
      <c r="T21" s="4" t="e">
        <f t="shared" si="7"/>
        <v>#DIV/0!</v>
      </c>
      <c r="U21" s="174">
        <f t="shared" si="8"/>
        <v>0</v>
      </c>
      <c r="V21" s="175">
        <f t="shared" si="18"/>
        <v>0.69813170079773179</v>
      </c>
      <c r="W21" s="175">
        <f t="shared" si="9"/>
        <v>0</v>
      </c>
      <c r="X21" s="176" t="e">
        <f t="shared" si="10"/>
        <v>#DIV/0!</v>
      </c>
      <c r="Y21" s="6"/>
      <c r="Z21" s="6" t="e">
        <f t="shared" si="11"/>
        <v>#DIV/0!</v>
      </c>
      <c r="AA21" s="12"/>
      <c r="AB21" s="12"/>
      <c r="AC21" s="6"/>
      <c r="AD21" s="6">
        <f>LOOKUP(AC21,'SPEED CURVES'!$A$26:$A$38,'SPEED CURVES'!$D$26:$D$38)</f>
        <v>0</v>
      </c>
      <c r="AE21" s="6" t="b">
        <f t="shared" si="12"/>
        <v>0</v>
      </c>
      <c r="AF21" s="6"/>
      <c r="AG21" s="6"/>
      <c r="AH21" s="6" t="b">
        <f t="shared" si="13"/>
        <v>0</v>
      </c>
      <c r="AI21" s="88" t="e">
        <f t="shared" si="14"/>
        <v>#DIV/0!</v>
      </c>
      <c r="AJ21" s="24"/>
      <c r="AK21" s="24"/>
      <c r="AL21" s="85"/>
      <c r="AM21" s="85"/>
      <c r="AN21" s="85"/>
      <c r="AO21" s="85"/>
      <c r="AP21" s="85"/>
      <c r="AQ21" s="85"/>
      <c r="AR21" s="85"/>
      <c r="AS21" s="85"/>
      <c r="AT21" s="85"/>
      <c r="AU21" s="85"/>
    </row>
    <row r="22" spans="1:47" x14ac:dyDescent="0.25">
      <c r="A22" s="99"/>
      <c r="B22" s="100"/>
      <c r="C22" s="100"/>
      <c r="D22" s="100"/>
      <c r="E22" s="100"/>
      <c r="F22" s="100"/>
      <c r="G22" s="101"/>
      <c r="H22" s="101"/>
      <c r="I22" s="101"/>
      <c r="J22" s="108"/>
      <c r="K22" s="108"/>
      <c r="L22" s="109"/>
      <c r="M22" s="109"/>
      <c r="N22" s="109"/>
      <c r="O22" s="110"/>
      <c r="P22" s="111"/>
      <c r="Q22" s="111"/>
      <c r="R22" s="101"/>
      <c r="S22" s="102"/>
      <c r="T22" s="103"/>
      <c r="U22" s="112"/>
      <c r="V22" s="113"/>
      <c r="W22" s="113"/>
      <c r="X22" s="114"/>
      <c r="Y22" s="101"/>
      <c r="Z22" s="101"/>
      <c r="AA22" s="100"/>
      <c r="AB22" s="100"/>
      <c r="AC22" s="101"/>
      <c r="AD22" s="101"/>
      <c r="AE22" s="101"/>
      <c r="AF22" s="101"/>
      <c r="AG22" s="101"/>
      <c r="AH22" s="101"/>
      <c r="AI22" s="115"/>
      <c r="AJ22" s="24"/>
      <c r="AK22" s="24"/>
      <c r="AL22" s="24"/>
      <c r="AM22" s="24"/>
      <c r="AN22" s="24"/>
      <c r="AO22" s="25"/>
      <c r="AP22" s="25"/>
      <c r="AQ22" s="25"/>
      <c r="AR22" s="20"/>
      <c r="AS22" s="20"/>
      <c r="AT22" s="20"/>
    </row>
    <row r="23" spans="1:47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I23" s="24"/>
      <c r="AJ23" s="24"/>
      <c r="AK23" s="24"/>
      <c r="AL23" s="24"/>
      <c r="AM23" s="20"/>
      <c r="AN23" s="20"/>
      <c r="AO23" s="20"/>
      <c r="AP23" s="20"/>
      <c r="AQ23" s="20"/>
      <c r="AR23" s="20"/>
    </row>
    <row r="24" spans="1:47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I24" s="24"/>
      <c r="AJ24" s="24"/>
      <c r="AK24" s="24"/>
      <c r="AL24" s="24"/>
      <c r="AM24" s="20"/>
      <c r="AN24" s="20"/>
      <c r="AO24" s="20"/>
      <c r="AP24" s="20"/>
      <c r="AQ24" s="20"/>
      <c r="AR24" s="20"/>
    </row>
    <row r="25" spans="1:47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G25" s="24"/>
      <c r="AH25" s="24"/>
      <c r="AI25" s="24"/>
    </row>
    <row r="26" spans="1:47" x14ac:dyDescent="0.25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G26" s="24"/>
      <c r="AH26" s="24"/>
      <c r="AI26" s="24"/>
    </row>
    <row r="27" spans="1:47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G27" s="24"/>
      <c r="AH27"/>
      <c r="AI27"/>
    </row>
    <row r="28" spans="1:47" x14ac:dyDescent="0.25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G28" s="24"/>
      <c r="AH28"/>
      <c r="AI28"/>
    </row>
    <row r="29" spans="1:47" x14ac:dyDescent="0.2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G29" s="24"/>
      <c r="AH29"/>
      <c r="AI29"/>
    </row>
    <row r="30" spans="1:47" x14ac:dyDescent="0.25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H30"/>
      <c r="AI30"/>
    </row>
    <row r="31" spans="1:47" x14ac:dyDescent="0.25">
      <c r="A31" s="21"/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H31"/>
      <c r="AI31"/>
    </row>
    <row r="32" spans="1:47" x14ac:dyDescent="0.25">
      <c r="A32" s="21"/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H32"/>
      <c r="AI32"/>
    </row>
    <row r="33" spans="5:36" x14ac:dyDescent="0.25">
      <c r="E33" s="21"/>
      <c r="F33" s="21"/>
      <c r="AH33"/>
      <c r="AI33"/>
      <c r="AJ33" s="13"/>
    </row>
    <row r="34" spans="5:36" x14ac:dyDescent="0.25">
      <c r="E34" s="21"/>
      <c r="F34" s="21"/>
      <c r="AH34"/>
      <c r="AI34"/>
      <c r="AJ34" s="13"/>
    </row>
    <row r="35" spans="5:36" x14ac:dyDescent="0.25">
      <c r="E35" s="21"/>
      <c r="F35" s="21"/>
      <c r="Z35" s="15"/>
      <c r="AA35" s="15"/>
      <c r="AB35" s="15"/>
      <c r="AC35" s="15"/>
      <c r="AD35" s="15"/>
      <c r="AE35" s="15"/>
      <c r="AF35" s="15"/>
      <c r="AG35" s="15"/>
      <c r="AH35" s="15"/>
      <c r="AJ35" s="13"/>
    </row>
    <row r="36" spans="5:36" x14ac:dyDescent="0.25">
      <c r="E36" s="21"/>
      <c r="F36" s="21"/>
      <c r="Y36" s="7"/>
      <c r="Z36" s="15"/>
      <c r="AA36" s="16"/>
      <c r="AB36" s="16"/>
      <c r="AC36" s="15"/>
      <c r="AD36" s="15"/>
      <c r="AE36" s="15"/>
      <c r="AF36" s="15"/>
      <c r="AG36" s="15"/>
      <c r="AH36" s="15"/>
      <c r="AI36" s="69"/>
      <c r="AJ36" s="13"/>
    </row>
    <row r="37" spans="5:36" x14ac:dyDescent="0.25">
      <c r="Y37" s="7"/>
      <c r="Z37" s="15"/>
      <c r="AA37" s="16"/>
      <c r="AB37" s="16"/>
      <c r="AC37" s="15"/>
      <c r="AD37" s="15"/>
      <c r="AE37" s="15"/>
      <c r="AF37" s="15"/>
      <c r="AG37" s="15"/>
      <c r="AH37" s="15"/>
      <c r="AI37" s="69"/>
      <c r="AJ37" s="13"/>
    </row>
    <row r="38" spans="5:36" x14ac:dyDescent="0.25">
      <c r="Z38" s="15"/>
      <c r="AA38" s="17"/>
      <c r="AB38" s="17"/>
      <c r="AC38" s="15"/>
      <c r="AD38" s="15"/>
      <c r="AE38" s="15"/>
      <c r="AF38" s="15"/>
      <c r="AG38" s="15"/>
      <c r="AH38" s="15"/>
      <c r="AI38" s="69"/>
      <c r="AJ38" s="14"/>
    </row>
    <row r="39" spans="5:36" x14ac:dyDescent="0.25">
      <c r="Z39" s="15"/>
      <c r="AA39" s="15"/>
      <c r="AB39" s="15"/>
      <c r="AC39" s="15"/>
      <c r="AD39" s="15"/>
      <c r="AE39" s="15"/>
      <c r="AF39" s="15"/>
      <c r="AG39" s="15"/>
      <c r="AH39" s="15"/>
      <c r="AI39" s="69"/>
    </row>
    <row r="40" spans="5:36" x14ac:dyDescent="0.25">
      <c r="Z40" s="15"/>
      <c r="AA40" s="15"/>
      <c r="AB40" s="15"/>
      <c r="AC40" s="15"/>
      <c r="AD40" s="15"/>
      <c r="AE40" s="15"/>
      <c r="AF40" s="15"/>
      <c r="AG40" s="15"/>
      <c r="AH40" s="15"/>
      <c r="AI40" s="69"/>
    </row>
    <row r="41" spans="5:36" x14ac:dyDescent="0.25">
      <c r="AA41" s="15"/>
      <c r="AB41" s="15"/>
      <c r="AC41" s="15"/>
      <c r="AD41" s="15"/>
      <c r="AE41" s="15"/>
      <c r="AF41" s="15"/>
      <c r="AG41" s="15"/>
      <c r="AH41" s="15"/>
      <c r="AI41" s="69"/>
    </row>
  </sheetData>
  <sheetProtection formatCells="0" formatColumns="0" formatRows="0" insertColumns="0"/>
  <dataConsolidate link="1"/>
  <dataValidations count="12">
    <dataValidation type="whole" allowBlank="1" showInputMessage="1" showErrorMessage="1" errorTitle="Longitude" error="Veuillez entrer une valeur comprise entre 0 et 180 degrés." sqref="F11">
      <formula1>0</formula1>
      <formula2>180</formula2>
    </dataValidation>
    <dataValidation type="list" allowBlank="1" showInputMessage="1" showErrorMessage="1" errorTitle="Longitude" error="Veuillez entrer une longitude Est ou Ouest." sqref="G25:O32 I23:Q24 I11:I20">
      <formula1>"E,W"</formula1>
    </dataValidation>
    <dataValidation type="whole" allowBlank="1" showInputMessage="1" showErrorMessage="1" errorTitle="Longitude" error="Veuillez entrer une valeur comprise entre 0 et 360 degrés." sqref="D25:D32 F23:F36 F12:F20">
      <formula1>0</formula1>
      <formula2>360</formula2>
    </dataValidation>
    <dataValidation type="whole" allowBlank="1" showInputMessage="1" showErrorMessage="1" errorTitle="Latitude" error="Veuillez entrer une valeur comprise entre 0 et 90 degrés." sqref="B23:B32 B11:B20">
      <formula1>0</formula1>
      <formula2>90</formula2>
    </dataValidation>
    <dataValidation type="whole" allowBlank="1" showInputMessage="1" showErrorMessage="1" errorTitle="Latitude" error="Veuillez entrer une valeur comprise entre 0 et 60 minutes." sqref="C23:C32 C11:C20">
      <formula1>0</formula1>
      <formula2>60</formula2>
    </dataValidation>
    <dataValidation type="whole" allowBlank="1" showInputMessage="1" showErrorMessage="1" errorTitle="Latitude" error="Veuillez entrer une valeur comprise entre 0 et 60 secondes." sqref="D23:D24 D11:D20">
      <formula1>0</formula1>
      <formula2>60</formula2>
    </dataValidation>
    <dataValidation type="whole" allowBlank="1" showInputMessage="1" showErrorMessage="1" errorTitle="Longitude" error="Veuillez entrer une valeur comprise entre 0 et 60 minutes." sqref="G23:G24 G11:G20">
      <formula1>0</formula1>
      <formula2>60</formula2>
    </dataValidation>
    <dataValidation type="whole" allowBlank="1" showInputMessage="1" showErrorMessage="1" errorTitle="Longitude" error="Veuillez entrer une valeur comprise entre 0 et 60 secondes." sqref="H23:H24 H11:H20">
      <formula1>0</formula1>
      <formula2>60</formula2>
    </dataValidation>
    <dataValidation type="list" allowBlank="1" showInputMessage="1" showErrorMessage="1" errorTitle="Latitude" error="Veuillez entrer une latitude Nord ou Sud." sqref="E23:E36 E11:E20">
      <formula1>"N,S"</formula1>
    </dataValidation>
    <dataValidation type="list" allowBlank="1" showInputMessage="1" showErrorMessage="1" sqref="AF12:AF20 AB12:AB20">
      <formula1>"FOLLOW,HEAD,BEAM"</formula1>
    </dataValidation>
    <dataValidation type="whole" allowBlank="1" showInputMessage="1" showErrorMessage="1" errorTitle="WIND FORCE" error="Veuillez saisir une valeur comprise entre 0 et 12. " sqref="AC12:AC20">
      <formula1>0</formula1>
      <formula2>12</formula2>
    </dataValidation>
    <dataValidation type="list" allowBlank="1" showInputMessage="1" showErrorMessage="1" sqref="Y12:Y20">
      <formula1>"Ortho,Mercator,Plane"</formula1>
    </dataValidation>
  </dataValidations>
  <pageMargins left="0.7" right="0.7" top="0.75" bottom="0.75" header="0.3" footer="0.3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4:G40"/>
  <sheetViews>
    <sheetView workbookViewId="0">
      <selection activeCell="J30" sqref="J30"/>
    </sheetView>
  </sheetViews>
  <sheetFormatPr baseColWidth="10" defaultRowHeight="15" x14ac:dyDescent="0.25"/>
  <cols>
    <col min="1" max="1" width="18.7109375" customWidth="1"/>
    <col min="2" max="2" width="16" customWidth="1"/>
    <col min="3" max="5" width="13.7109375" customWidth="1"/>
  </cols>
  <sheetData>
    <row r="4" spans="1:4" ht="15.75" thickBot="1" x14ac:dyDescent="0.3"/>
    <row r="5" spans="1:4" ht="15.75" thickBot="1" x14ac:dyDescent="0.3">
      <c r="B5" s="159" t="s">
        <v>29</v>
      </c>
      <c r="C5" s="160"/>
      <c r="D5" s="161"/>
    </row>
    <row r="6" spans="1:4" x14ac:dyDescent="0.25">
      <c r="A6" s="50" t="s">
        <v>28</v>
      </c>
      <c r="B6" s="49" t="s">
        <v>26</v>
      </c>
      <c r="C6" s="42" t="s">
        <v>25</v>
      </c>
      <c r="D6" s="43" t="s">
        <v>27</v>
      </c>
    </row>
    <row r="7" spans="1:4" x14ac:dyDescent="0.25">
      <c r="A7" s="6">
        <v>0</v>
      </c>
      <c r="B7" s="46">
        <v>18</v>
      </c>
      <c r="C7" s="41">
        <v>18</v>
      </c>
      <c r="D7" s="44">
        <v>18</v>
      </c>
    </row>
    <row r="8" spans="1:4" x14ac:dyDescent="0.25">
      <c r="A8" s="6">
        <v>2</v>
      </c>
      <c r="B8" s="47">
        <v>18.428571430000002</v>
      </c>
      <c r="C8" s="40">
        <v>18.14285714</v>
      </c>
      <c r="D8" s="44">
        <v>18</v>
      </c>
    </row>
    <row r="9" spans="1:4" x14ac:dyDescent="0.25">
      <c r="A9" s="6">
        <v>4</v>
      </c>
      <c r="B9" s="47">
        <v>18.571428569999998</v>
      </c>
      <c r="C9" s="40">
        <v>17.85714286</v>
      </c>
      <c r="D9" s="4">
        <v>17.714285709999999</v>
      </c>
    </row>
    <row r="10" spans="1:4" x14ac:dyDescent="0.25">
      <c r="A10" s="6">
        <v>6</v>
      </c>
      <c r="B10" s="47">
        <v>18.571428569999998</v>
      </c>
      <c r="C10" s="40">
        <v>17.428571430000002</v>
      </c>
      <c r="D10" s="4">
        <v>17.14285714</v>
      </c>
    </row>
    <row r="11" spans="1:4" x14ac:dyDescent="0.25">
      <c r="A11" s="6">
        <v>8</v>
      </c>
      <c r="B11" s="47">
        <v>18.35714286</v>
      </c>
      <c r="C11" s="40">
        <v>16.571428569999998</v>
      </c>
      <c r="D11" s="44">
        <v>16</v>
      </c>
    </row>
    <row r="12" spans="1:4" x14ac:dyDescent="0.25">
      <c r="A12" s="6">
        <v>10</v>
      </c>
      <c r="B12" s="46">
        <v>18</v>
      </c>
      <c r="C12" s="40">
        <v>15.71428571</v>
      </c>
      <c r="D12" s="4">
        <v>14.92857143</v>
      </c>
    </row>
    <row r="13" spans="1:4" x14ac:dyDescent="0.25">
      <c r="A13" s="6">
        <v>12</v>
      </c>
      <c r="B13" s="47">
        <v>17.64285714</v>
      </c>
      <c r="C13" s="40">
        <v>14.64285714</v>
      </c>
      <c r="D13" s="4">
        <v>13.57142857</v>
      </c>
    </row>
    <row r="14" spans="1:4" x14ac:dyDescent="0.25">
      <c r="A14" s="6">
        <v>14</v>
      </c>
      <c r="B14" s="47">
        <v>17.214285709999999</v>
      </c>
      <c r="C14" s="40">
        <v>13.71428571</v>
      </c>
      <c r="D14" s="4">
        <v>12.07142857</v>
      </c>
    </row>
    <row r="15" spans="1:4" x14ac:dyDescent="0.25">
      <c r="A15" s="6">
        <v>16</v>
      </c>
      <c r="B15" s="47">
        <v>16.571428569999998</v>
      </c>
      <c r="C15" s="40">
        <v>12.71428571</v>
      </c>
      <c r="D15" s="4">
        <v>10.71428571</v>
      </c>
    </row>
    <row r="16" spans="1:4" x14ac:dyDescent="0.25">
      <c r="A16" s="6">
        <v>18</v>
      </c>
      <c r="B16" s="47">
        <v>15.85714286</v>
      </c>
      <c r="C16" s="40">
        <v>11.64285714</v>
      </c>
      <c r="D16" s="4">
        <v>9.1428571430000005</v>
      </c>
    </row>
    <row r="17" spans="1:7" x14ac:dyDescent="0.25">
      <c r="A17" s="6">
        <v>20</v>
      </c>
      <c r="B17" s="47">
        <v>15.07142857</v>
      </c>
      <c r="C17" s="40">
        <v>10.57142857</v>
      </c>
      <c r="D17" s="4">
        <v>7.7142857139999998</v>
      </c>
    </row>
    <row r="18" spans="1:7" ht="15.75" thickBot="1" x14ac:dyDescent="0.3">
      <c r="A18" s="32">
        <v>22</v>
      </c>
      <c r="B18" s="48">
        <v>14.21428571</v>
      </c>
      <c r="C18" s="45">
        <v>9.7142857140000007</v>
      </c>
      <c r="D18" s="34">
        <v>6.3571428570000004</v>
      </c>
    </row>
    <row r="23" spans="1:7" ht="15.75" thickBot="1" x14ac:dyDescent="0.3"/>
    <row r="24" spans="1:7" x14ac:dyDescent="0.25">
      <c r="A24" s="164" t="s">
        <v>30</v>
      </c>
      <c r="B24" s="162" t="s">
        <v>31</v>
      </c>
      <c r="C24" s="166" t="s">
        <v>32</v>
      </c>
      <c r="D24" s="168" t="s">
        <v>33</v>
      </c>
    </row>
    <row r="25" spans="1:7" x14ac:dyDescent="0.25">
      <c r="A25" s="165"/>
      <c r="B25" s="163"/>
      <c r="C25" s="167"/>
      <c r="D25" s="169"/>
    </row>
    <row r="26" spans="1:7" x14ac:dyDescent="0.25">
      <c r="A26" s="2">
        <v>0</v>
      </c>
      <c r="B26" s="2">
        <v>0</v>
      </c>
      <c r="C26" s="53">
        <v>0</v>
      </c>
      <c r="D26" s="51">
        <f>C26*3.2808399</f>
        <v>0</v>
      </c>
    </row>
    <row r="27" spans="1:7" x14ac:dyDescent="0.25">
      <c r="A27" s="2">
        <v>1</v>
      </c>
      <c r="B27" s="2">
        <v>2</v>
      </c>
      <c r="C27" s="53">
        <v>0.1</v>
      </c>
      <c r="D27" s="51">
        <f t="shared" ref="D27:D38" si="0">C27*3.2808399</f>
        <v>0.32808399000000005</v>
      </c>
    </row>
    <row r="28" spans="1:7" x14ac:dyDescent="0.25">
      <c r="A28" s="2">
        <v>2</v>
      </c>
      <c r="B28" s="2">
        <v>5</v>
      </c>
      <c r="C28" s="53">
        <v>0.2</v>
      </c>
      <c r="D28" s="51">
        <f t="shared" si="0"/>
        <v>0.6561679800000001</v>
      </c>
    </row>
    <row r="29" spans="1:7" x14ac:dyDescent="0.25">
      <c r="A29" s="2">
        <v>3</v>
      </c>
      <c r="B29" s="2">
        <v>9</v>
      </c>
      <c r="C29" s="53">
        <v>0.6</v>
      </c>
      <c r="D29" s="51">
        <f t="shared" si="0"/>
        <v>1.96850394</v>
      </c>
      <c r="G29" s="21"/>
    </row>
    <row r="30" spans="1:7" x14ac:dyDescent="0.25">
      <c r="A30" s="2">
        <v>4</v>
      </c>
      <c r="B30" s="2">
        <v>13</v>
      </c>
      <c r="C30" s="53">
        <v>1</v>
      </c>
      <c r="D30" s="51">
        <f t="shared" si="0"/>
        <v>3.2808399000000001</v>
      </c>
      <c r="G30" s="21"/>
    </row>
    <row r="31" spans="1:7" x14ac:dyDescent="0.25">
      <c r="A31" s="2">
        <v>5</v>
      </c>
      <c r="B31" s="2">
        <v>19</v>
      </c>
      <c r="C31" s="53">
        <v>2</v>
      </c>
      <c r="D31" s="51">
        <f t="shared" si="0"/>
        <v>6.5616798000000003</v>
      </c>
      <c r="G31" s="21"/>
    </row>
    <row r="32" spans="1:7" x14ac:dyDescent="0.25">
      <c r="A32" s="2">
        <v>6</v>
      </c>
      <c r="B32" s="2">
        <v>24</v>
      </c>
      <c r="C32" s="53">
        <v>3</v>
      </c>
      <c r="D32" s="51">
        <f t="shared" si="0"/>
        <v>9.8425197000000004</v>
      </c>
      <c r="G32" s="21"/>
    </row>
    <row r="33" spans="1:7" x14ac:dyDescent="0.25">
      <c r="A33" s="2">
        <v>7</v>
      </c>
      <c r="B33" s="2">
        <v>30</v>
      </c>
      <c r="C33" s="53">
        <v>4</v>
      </c>
      <c r="D33" s="51">
        <f t="shared" si="0"/>
        <v>13.123359600000001</v>
      </c>
      <c r="G33" s="21"/>
    </row>
    <row r="34" spans="1:7" x14ac:dyDescent="0.25">
      <c r="A34" s="2">
        <v>8</v>
      </c>
      <c r="B34" s="2">
        <v>37</v>
      </c>
      <c r="C34" s="53">
        <v>5.5</v>
      </c>
      <c r="D34" s="51">
        <f t="shared" si="0"/>
        <v>18.044619449999999</v>
      </c>
      <c r="G34" s="21"/>
    </row>
    <row r="35" spans="1:7" x14ac:dyDescent="0.25">
      <c r="A35" s="2">
        <v>9</v>
      </c>
      <c r="B35" s="2">
        <v>44</v>
      </c>
      <c r="C35" s="53">
        <v>7</v>
      </c>
      <c r="D35" s="51">
        <f t="shared" si="0"/>
        <v>22.965879300000001</v>
      </c>
      <c r="G35" s="21"/>
    </row>
    <row r="36" spans="1:7" x14ac:dyDescent="0.25">
      <c r="A36" s="2">
        <v>10</v>
      </c>
      <c r="B36" s="2">
        <v>52</v>
      </c>
      <c r="C36" s="53">
        <v>9</v>
      </c>
      <c r="D36" s="51">
        <f t="shared" si="0"/>
        <v>29.527559100000001</v>
      </c>
      <c r="G36" s="21"/>
    </row>
    <row r="37" spans="1:7" x14ac:dyDescent="0.25">
      <c r="A37" s="2">
        <v>11</v>
      </c>
      <c r="B37" s="2">
        <v>60</v>
      </c>
      <c r="C37" s="53">
        <v>11.5</v>
      </c>
      <c r="D37" s="51">
        <f t="shared" si="0"/>
        <v>37.72965885</v>
      </c>
      <c r="G37" s="21"/>
    </row>
    <row r="38" spans="1:7" ht="15.75" thickBot="1" x14ac:dyDescent="0.3">
      <c r="A38" s="33">
        <v>12</v>
      </c>
      <c r="B38" s="33">
        <v>64</v>
      </c>
      <c r="C38" s="54">
        <v>14</v>
      </c>
      <c r="D38" s="52">
        <f t="shared" si="0"/>
        <v>45.931758600000002</v>
      </c>
      <c r="G38" s="21"/>
    </row>
    <row r="39" spans="1:7" x14ac:dyDescent="0.25">
      <c r="G39" s="21"/>
    </row>
    <row r="40" spans="1:7" x14ac:dyDescent="0.25">
      <c r="G40" s="21"/>
    </row>
  </sheetData>
  <mergeCells count="5">
    <mergeCell ref="B5:D5"/>
    <mergeCell ref="B24:B25"/>
    <mergeCell ref="A24:A25"/>
    <mergeCell ref="C24:C25"/>
    <mergeCell ref="D24:D25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ROW39"/>
  <sheetViews>
    <sheetView workbookViewId="0">
      <selection activeCell="I11" sqref="I11"/>
    </sheetView>
  </sheetViews>
  <sheetFormatPr baseColWidth="10" defaultRowHeight="15" x14ac:dyDescent="0.25"/>
  <sheetData>
    <row r="1" spans="1:13 12581:12581" x14ac:dyDescent="0.25">
      <c r="A1">
        <v>10</v>
      </c>
      <c r="B1">
        <v>10</v>
      </c>
      <c r="C1">
        <v>10</v>
      </c>
      <c r="D1">
        <v>10</v>
      </c>
    </row>
    <row r="2" spans="1:13 12581:12581" x14ac:dyDescent="0.25">
      <c r="A2">
        <v>10</v>
      </c>
      <c r="B2">
        <v>10</v>
      </c>
      <c r="C2">
        <v>10</v>
      </c>
      <c r="D2">
        <v>10</v>
      </c>
    </row>
    <row r="3" spans="1:13 12581:12581" x14ac:dyDescent="0.25">
      <c r="A3">
        <v>10</v>
      </c>
      <c r="B3">
        <v>10</v>
      </c>
      <c r="C3">
        <v>10</v>
      </c>
      <c r="D3">
        <v>10</v>
      </c>
    </row>
    <row r="4" spans="1:13 12581:12581" x14ac:dyDescent="0.25">
      <c r="A4">
        <v>10</v>
      </c>
      <c r="B4">
        <v>10</v>
      </c>
      <c r="C4">
        <v>10</v>
      </c>
      <c r="D4">
        <v>10</v>
      </c>
    </row>
    <row r="5" spans="1:13 12581:12581" x14ac:dyDescent="0.25">
      <c r="A5">
        <v>10</v>
      </c>
      <c r="B5">
        <v>10</v>
      </c>
      <c r="C5">
        <v>10</v>
      </c>
      <c r="D5">
        <v>10</v>
      </c>
    </row>
    <row r="6" spans="1:13 12581:12581" x14ac:dyDescent="0.25">
      <c r="A6">
        <v>10</v>
      </c>
      <c r="B6">
        <v>10</v>
      </c>
      <c r="C6">
        <v>10</v>
      </c>
      <c r="D6">
        <v>10</v>
      </c>
    </row>
    <row r="7" spans="1:13 12581:12581" x14ac:dyDescent="0.25">
      <c r="A7">
        <v>10</v>
      </c>
      <c r="B7">
        <v>10</v>
      </c>
      <c r="C7">
        <v>10</v>
      </c>
      <c r="D7">
        <v>10</v>
      </c>
    </row>
    <row r="8" spans="1:13 12581:12581" x14ac:dyDescent="0.25">
      <c r="A8">
        <v>10</v>
      </c>
      <c r="B8">
        <v>10</v>
      </c>
      <c r="C8">
        <v>10</v>
      </c>
      <c r="D8">
        <v>10</v>
      </c>
    </row>
    <row r="9" spans="1:13 12581:12581" x14ac:dyDescent="0.25">
      <c r="A9">
        <v>10</v>
      </c>
      <c r="B9">
        <v>10</v>
      </c>
      <c r="C9">
        <v>10</v>
      </c>
      <c r="D9">
        <v>10</v>
      </c>
    </row>
    <row r="10" spans="1:13 12581:12581" x14ac:dyDescent="0.25">
      <c r="A10">
        <v>10</v>
      </c>
      <c r="B10">
        <v>10</v>
      </c>
      <c r="C10">
        <v>10</v>
      </c>
      <c r="D10">
        <v>10</v>
      </c>
    </row>
    <row r="11" spans="1:13 12581:12581" x14ac:dyDescent="0.25">
      <c r="A11">
        <v>10</v>
      </c>
      <c r="B11">
        <v>10</v>
      </c>
      <c r="C11">
        <v>10</v>
      </c>
      <c r="D11">
        <v>10</v>
      </c>
    </row>
    <row r="12" spans="1:13 12581:12581" x14ac:dyDescent="0.25">
      <c r="A12">
        <v>10</v>
      </c>
      <c r="B12">
        <v>10</v>
      </c>
      <c r="C12">
        <v>10</v>
      </c>
      <c r="D12">
        <v>10</v>
      </c>
    </row>
    <row r="13" spans="1:13 12581:12581" x14ac:dyDescent="0.25">
      <c r="A13">
        <v>10</v>
      </c>
      <c r="B13">
        <v>10</v>
      </c>
      <c r="C13">
        <v>10</v>
      </c>
      <c r="D13">
        <v>10</v>
      </c>
      <c r="F13" t="s">
        <v>43</v>
      </c>
      <c r="G13" t="s">
        <v>44</v>
      </c>
    </row>
    <row r="14" spans="1:13 12581:12581" x14ac:dyDescent="0.25">
      <c r="A14">
        <v>10</v>
      </c>
      <c r="B14">
        <v>10</v>
      </c>
      <c r="C14">
        <v>10</v>
      </c>
      <c r="D14">
        <v>10</v>
      </c>
      <c r="F14">
        <v>4</v>
      </c>
      <c r="L14">
        <v>4</v>
      </c>
    </row>
    <row r="15" spans="1:13 12581:12581" x14ac:dyDescent="0.25">
      <c r="A15">
        <v>10</v>
      </c>
      <c r="B15">
        <v>10</v>
      </c>
      <c r="C15">
        <v>10</v>
      </c>
      <c r="D15">
        <v>10</v>
      </c>
      <c r="F15">
        <v>5</v>
      </c>
      <c r="G15">
        <f>(F14-F15)</f>
        <v>-1</v>
      </c>
      <c r="L15">
        <v>2</v>
      </c>
      <c r="M15">
        <f>SUM(L14:L15)</f>
        <v>6</v>
      </c>
    </row>
    <row r="16" spans="1:13 12581:12581" x14ac:dyDescent="0.25">
      <c r="A16">
        <v>10</v>
      </c>
      <c r="B16">
        <v>10</v>
      </c>
      <c r="C16">
        <v>10</v>
      </c>
      <c r="D16">
        <v>10</v>
      </c>
      <c r="F16">
        <v>7</v>
      </c>
      <c r="G16">
        <f t="shared" ref="G16:G22" si="0">(F15-F16)</f>
        <v>-2</v>
      </c>
      <c r="L16">
        <v>9</v>
      </c>
      <c r="M16" t="e">
        <f ca="1">SUM(CELL(L1:L16))</f>
        <v>#VALUE!</v>
      </c>
      <c r="ROW16" t="s">
        <v>79</v>
      </c>
    </row>
    <row r="17" spans="1:13" x14ac:dyDescent="0.25">
      <c r="A17">
        <v>10</v>
      </c>
      <c r="B17">
        <v>10</v>
      </c>
      <c r="C17">
        <v>10</v>
      </c>
      <c r="D17">
        <v>10</v>
      </c>
      <c r="F17">
        <v>6</v>
      </c>
      <c r="G17">
        <f t="shared" si="0"/>
        <v>1</v>
      </c>
      <c r="L17">
        <v>12</v>
      </c>
      <c r="M17">
        <f t="shared" ref="M17:M39" si="1">SUM(L16:L17)</f>
        <v>21</v>
      </c>
    </row>
    <row r="18" spans="1:13" x14ac:dyDescent="0.25">
      <c r="A18">
        <v>10</v>
      </c>
      <c r="B18">
        <v>10</v>
      </c>
      <c r="C18">
        <v>10</v>
      </c>
      <c r="D18">
        <v>10</v>
      </c>
      <c r="F18">
        <v>2</v>
      </c>
      <c r="G18">
        <f t="shared" si="0"/>
        <v>4</v>
      </c>
      <c r="L18">
        <v>333</v>
      </c>
      <c r="M18">
        <f t="shared" si="1"/>
        <v>345</v>
      </c>
    </row>
    <row r="19" spans="1:13" x14ac:dyDescent="0.25">
      <c r="A19">
        <v>10</v>
      </c>
      <c r="B19">
        <v>10</v>
      </c>
      <c r="C19">
        <v>10</v>
      </c>
      <c r="D19">
        <v>10</v>
      </c>
      <c r="F19">
        <v>3</v>
      </c>
      <c r="G19">
        <f t="shared" si="0"/>
        <v>-1</v>
      </c>
      <c r="L19">
        <v>55</v>
      </c>
      <c r="M19">
        <f t="shared" si="1"/>
        <v>388</v>
      </c>
    </row>
    <row r="20" spans="1:13" x14ac:dyDescent="0.25">
      <c r="A20">
        <v>10</v>
      </c>
      <c r="B20">
        <v>10</v>
      </c>
      <c r="C20">
        <v>10</v>
      </c>
      <c r="D20">
        <v>10</v>
      </c>
      <c r="F20">
        <v>3</v>
      </c>
      <c r="G20">
        <f t="shared" si="0"/>
        <v>0</v>
      </c>
      <c r="L20">
        <v>32</v>
      </c>
      <c r="M20">
        <f t="shared" si="1"/>
        <v>87</v>
      </c>
    </row>
    <row r="21" spans="1:13" x14ac:dyDescent="0.25">
      <c r="A21">
        <v>10</v>
      </c>
      <c r="B21">
        <v>10</v>
      </c>
      <c r="C21">
        <v>10</v>
      </c>
      <c r="D21">
        <v>10</v>
      </c>
      <c r="F21">
        <v>5</v>
      </c>
      <c r="G21">
        <f t="shared" si="0"/>
        <v>-2</v>
      </c>
      <c r="L21">
        <v>1</v>
      </c>
      <c r="M21">
        <f t="shared" si="1"/>
        <v>33</v>
      </c>
    </row>
    <row r="22" spans="1:13" x14ac:dyDescent="0.25">
      <c r="A22">
        <v>10</v>
      </c>
      <c r="B22">
        <v>10</v>
      </c>
      <c r="C22">
        <v>10</v>
      </c>
      <c r="D22">
        <v>10</v>
      </c>
      <c r="F22">
        <v>2</v>
      </c>
      <c r="G22">
        <f t="shared" si="0"/>
        <v>3</v>
      </c>
      <c r="L22">
        <v>1</v>
      </c>
      <c r="M22">
        <f t="shared" si="1"/>
        <v>2</v>
      </c>
    </row>
    <row r="23" spans="1:13" x14ac:dyDescent="0.25">
      <c r="A23">
        <v>10</v>
      </c>
      <c r="B23">
        <v>10</v>
      </c>
      <c r="C23">
        <v>10</v>
      </c>
      <c r="D23">
        <v>10</v>
      </c>
      <c r="F23">
        <f>SUM(F14:F22)</f>
        <v>37</v>
      </c>
      <c r="L23">
        <v>57</v>
      </c>
      <c r="M23">
        <f t="shared" si="1"/>
        <v>58</v>
      </c>
    </row>
    <row r="24" spans="1:13" x14ac:dyDescent="0.25">
      <c r="L24">
        <v>443</v>
      </c>
      <c r="M24">
        <f t="shared" si="1"/>
        <v>500</v>
      </c>
    </row>
    <row r="25" spans="1:13" x14ac:dyDescent="0.25">
      <c r="L25">
        <v>11</v>
      </c>
      <c r="M25">
        <f t="shared" si="1"/>
        <v>454</v>
      </c>
    </row>
    <row r="26" spans="1:13" x14ac:dyDescent="0.25">
      <c r="L26">
        <v>66</v>
      </c>
      <c r="M26">
        <f t="shared" si="1"/>
        <v>77</v>
      </c>
    </row>
    <row r="27" spans="1:13" x14ac:dyDescent="0.25">
      <c r="E27">
        <f>(F15-F17)</f>
        <v>-1</v>
      </c>
      <c r="L27">
        <v>66</v>
      </c>
      <c r="M27">
        <f t="shared" si="1"/>
        <v>132</v>
      </c>
    </row>
    <row r="28" spans="1:13" x14ac:dyDescent="0.25">
      <c r="L28">
        <v>222</v>
      </c>
      <c r="M28">
        <f t="shared" si="1"/>
        <v>288</v>
      </c>
    </row>
    <row r="29" spans="1:13" x14ac:dyDescent="0.25">
      <c r="L29">
        <v>3</v>
      </c>
      <c r="M29">
        <f t="shared" si="1"/>
        <v>225</v>
      </c>
    </row>
    <row r="30" spans="1:13" x14ac:dyDescent="0.25">
      <c r="A30">
        <v>23</v>
      </c>
      <c r="L30">
        <v>23</v>
      </c>
      <c r="M30">
        <f t="shared" si="1"/>
        <v>26</v>
      </c>
    </row>
    <row r="31" spans="1:13" x14ac:dyDescent="0.25">
      <c r="A31">
        <v>23</v>
      </c>
      <c r="L31">
        <v>23</v>
      </c>
      <c r="M31">
        <f t="shared" si="1"/>
        <v>46</v>
      </c>
    </row>
    <row r="32" spans="1:13" x14ac:dyDescent="0.25">
      <c r="L32">
        <v>99</v>
      </c>
      <c r="M32">
        <f t="shared" si="1"/>
        <v>122</v>
      </c>
    </row>
    <row r="33" spans="6:13" x14ac:dyDescent="0.25">
      <c r="L33">
        <v>34</v>
      </c>
      <c r="M33">
        <f t="shared" si="1"/>
        <v>133</v>
      </c>
    </row>
    <row r="34" spans="6:13" x14ac:dyDescent="0.25">
      <c r="L34">
        <v>34</v>
      </c>
      <c r="M34">
        <f t="shared" si="1"/>
        <v>68</v>
      </c>
    </row>
    <row r="35" spans="6:13" x14ac:dyDescent="0.25">
      <c r="F35">
        <f ca="1">INDIRECT("A" &amp; ROW() - 1)</f>
        <v>0</v>
      </c>
      <c r="L35">
        <v>23</v>
      </c>
      <c r="M35">
        <f t="shared" si="1"/>
        <v>57</v>
      </c>
    </row>
    <row r="36" spans="6:13" x14ac:dyDescent="0.25">
      <c r="L36">
        <v>55</v>
      </c>
      <c r="M36">
        <f>SUM(L34:L36)</f>
        <v>112</v>
      </c>
    </row>
    <row r="37" spans="6:13" x14ac:dyDescent="0.25">
      <c r="L37">
        <v>335</v>
      </c>
      <c r="M37">
        <f t="shared" si="1"/>
        <v>390</v>
      </c>
    </row>
    <row r="38" spans="6:13" x14ac:dyDescent="0.25">
      <c r="L38">
        <v>12</v>
      </c>
      <c r="M38">
        <f t="shared" si="1"/>
        <v>347</v>
      </c>
    </row>
    <row r="39" spans="6:13" x14ac:dyDescent="0.25">
      <c r="L39">
        <v>90</v>
      </c>
      <c r="M39">
        <f t="shared" si="1"/>
        <v>102</v>
      </c>
    </row>
  </sheetData>
  <pageMargins left="0.7" right="0.7" top="0.75" bottom="0.75" header="0.3" footer="0.3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CALCULATEUR</vt:lpstr>
      <vt:lpstr>SPEED CURVES</vt:lpstr>
      <vt:lpstr>Feuil3</vt:lpstr>
    </vt:vector>
  </TitlesOfParts>
  <Company>Cegep de Rimouski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Institut maritime du Québec</dc:creator>
  <cp:lastModifiedBy>gmb</cp:lastModifiedBy>
  <dcterms:created xsi:type="dcterms:W3CDTF">2016-01-25T19:12:46Z</dcterms:created>
  <dcterms:modified xsi:type="dcterms:W3CDTF">2016-02-10T17:15:00Z</dcterms:modified>
</cp:coreProperties>
</file>