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20" windowHeight="9480"/>
  </bookViews>
  <sheets>
    <sheet name="Travail" sheetId="6" r:id="rId1"/>
    <sheet name="Feuil3" sheetId="21" r:id="rId2"/>
    <sheet name="Jours spéciaux" sheetId="18" r:id="rId3"/>
    <sheet name="Synthése" sheetId="14" r:id="rId4"/>
    <sheet name="Paie" sheetId="17" r:id="rId5"/>
    <sheet name="DATA" sheetId="11" r:id="rId6"/>
  </sheets>
  <externalReferences>
    <externalReference r:id="rId7"/>
  </externalReferences>
  <definedNames>
    <definedName name="Année_Calendaire" localSheetId="4">[1]Travail!$A$1</definedName>
    <definedName name="Année_Calendaire">Travail!$A$1</definedName>
    <definedName name="Aoû_Dim1" localSheetId="4">DATE(Paie!Année_Calendaire,8,1)-WEEKDAY(DATE(Paie!Année_Calendaire,8,1))+1</definedName>
    <definedName name="Aoû_Dim1">DATE(Année_Calendaire,8,1)-WEEKDAY(DATE(Année_Calendaire,8,1))+1</definedName>
    <definedName name="Avr_Dim1" localSheetId="4">DATE(Paie!Année_Calendaire,4,1)-WEEKDAY(DATE(Paie!Année_Calendaire,4,1))+1</definedName>
    <definedName name="Avr_Dim1">DATE(Année_Calendaire,4,1)-WEEKDAY(DATE(Année_Calendaire,4,1))+1</definedName>
    <definedName name="Déc_Dim1" localSheetId="4">DATE(Paie!Année_Calendaire,12,1)-WEEKDAY(DATE(Paie!Année_Calendaire,12,1))+1</definedName>
    <definedName name="Déc_Dim1">DATE(Année_Calendaire,12,1)-WEEKDAY(DATE(Année_Calendaire,12,1))+1</definedName>
    <definedName name="Fév_Dim1" localSheetId="4">DATE(Paie!Année_Calendaire,2,1)-WEEKDAY(DATE(Paie!Année_Calendaire,2,1))+1</definedName>
    <definedName name="Fév_Dim1">DATE(Année_Calendaire,2,1)-WEEKDAY(DATE(Année_Calendaire,2,1))+1</definedName>
    <definedName name="Jan_Dim1" localSheetId="4">DATE(Paie!Année_Calendaire,1,1)-WEEKDAY(DATE(Paie!Année_Calendaire,1,1))+1</definedName>
    <definedName name="Jan_Dim1">DATE(Année_Calendaire,1,1)-WEEKDAY(DATE(Année_Calendaire,1,1))+1</definedName>
    <definedName name="Janv" localSheetId="4">[1]Synthése!$C$1:$N$1</definedName>
    <definedName name="Janv">Synthése!$C$1:$N$1</definedName>
    <definedName name="Juil_Dim1" localSheetId="4">DATE(Paie!Année_Calendaire,7,1)-WEEKDAY(DATE(Paie!Année_Calendaire,7,1))+1</definedName>
    <definedName name="Juil_Dim1">DATE(Année_Calendaire,7,1)-WEEKDAY(DATE(Année_Calendaire,7,1))+1</definedName>
    <definedName name="Juin_Dim1" localSheetId="4">DATE(Paie!Année_Calendaire,6,1)-WEEKDAY(DATE(Paie!Année_Calendaire,6,1))+1</definedName>
    <definedName name="Juin_Dim1">DATE(Année_Calendaire,6,1)-WEEKDAY(DATE(Année_Calendaire,6,1))+1</definedName>
    <definedName name="Mai_Dim1" localSheetId="4">DATE(Paie!Année_Calendaire,5,1)-WEEKDAY(DATE(Paie!Année_Calendaire,5,1))+1</definedName>
    <definedName name="Mai_Dim1">DATE(Année_Calendaire,5,1)-WEEKDAY(DATE(Année_Calendaire,5,1))+1</definedName>
    <definedName name="Mar_Dim1" localSheetId="4">DATE(Paie!Année_Calendaire,3,1)-WEEKDAY(DATE(Paie!Année_Calendaire,3,1))+1</definedName>
    <definedName name="Mar_Dim1">DATE(Année_Calendaire,3,1)-WEEKDAY(DATE(Année_Calendaire,3,1))+1</definedName>
    <definedName name="Mois">DATA!$A$15:$L$15</definedName>
    <definedName name="Nov_Dim1" localSheetId="4">DATE(Paie!Année_Calendaire,11,1)-WEEKDAY(DATE(Paie!Année_Calendaire,11,1))+1</definedName>
    <definedName name="Nov_Dim1">DATE(Année_Calendaire,11,1)-WEEKDAY(DATE(Année_Calendaire,11,1))+1</definedName>
    <definedName name="Oct_Dim1" localSheetId="4">DATE(Paie!Année_Calendaire,10,1)-WEEKDAY(DATE(Paie!Année_Calendaire,10,1))+1</definedName>
    <definedName name="Oct_Dim1">DATE(Année_Calendaire,10,1)-WEEKDAY(DATE(Année_Calendaire,10,1))+1</definedName>
    <definedName name="Sep_Dim1" localSheetId="4">DATE(Paie!Année_Calendaire,9,1)-WEEKDAY(DATE(Paie!Année_Calendaire,9,1))+1</definedName>
    <definedName name="Sep_Dim1">DATE(Année_Calendaire,9,1)-WEEKDAY(DATE(Année_Calendaire,9,1))+1</definedName>
    <definedName name="_xlnm.Print_Area" localSheetId="0">Travail!$A$2:$I$121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" i="6" l="1"/>
  <c r="T5" i="6" s="1"/>
  <c r="AC5" i="6" s="1"/>
  <c r="A3" i="21"/>
  <c r="A4" i="21"/>
  <c r="A5" i="21" s="1"/>
  <c r="A6" i="21" s="1"/>
  <c r="A7" i="21" s="1"/>
  <c r="A8" i="21" s="1"/>
  <c r="A9" i="21" s="1"/>
  <c r="A10" i="21" s="1"/>
  <c r="A11" i="21" s="1"/>
  <c r="A12" i="21" s="1"/>
  <c r="A2" i="21"/>
  <c r="D21" i="6"/>
  <c r="I21" i="6" l="1"/>
  <c r="H21" i="6"/>
  <c r="G21" i="6"/>
  <c r="F21" i="6"/>
  <c r="E21" i="6"/>
  <c r="C21" i="6"/>
  <c r="C6" i="6" l="1"/>
  <c r="C5" i="6" l="1"/>
  <c r="C9" i="17"/>
  <c r="C8" i="17"/>
  <c r="C7" i="17"/>
  <c r="B10" i="17" l="1"/>
  <c r="B11" i="17"/>
  <c r="B12" i="17"/>
  <c r="D12" i="17" s="1"/>
  <c r="B13" i="17"/>
  <c r="B1" i="18" l="1"/>
  <c r="A4" i="18" l="1"/>
  <c r="A5" i="18"/>
  <c r="A11" i="18"/>
  <c r="A12" i="18" s="1"/>
  <c r="A13" i="18" s="1"/>
  <c r="A6" i="18"/>
  <c r="A7" i="18"/>
  <c r="A8" i="18"/>
  <c r="A10" i="18"/>
  <c r="A9" i="18"/>
  <c r="A3" i="18"/>
  <c r="AY22" i="6" l="1"/>
  <c r="AS78" i="6" l="1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V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I77" i="6" l="1"/>
  <c r="D77" i="6"/>
  <c r="E77" i="6"/>
  <c r="F77" i="6"/>
  <c r="H77" i="6"/>
  <c r="C77" i="6"/>
  <c r="G77" i="6"/>
  <c r="G5" i="14"/>
  <c r="AW204" i="6" l="1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AW132" i="6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C132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AW6" i="6"/>
  <c r="AV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H6" i="6"/>
  <c r="G6" i="6"/>
  <c r="F6" i="6"/>
  <c r="E6" i="6"/>
  <c r="D6" i="6"/>
  <c r="C149" i="6" l="1"/>
  <c r="I23" i="6"/>
  <c r="G59" i="6"/>
  <c r="I113" i="6"/>
  <c r="D131" i="6"/>
  <c r="E23" i="6"/>
  <c r="H41" i="6"/>
  <c r="D41" i="6"/>
  <c r="C59" i="6"/>
  <c r="F95" i="6"/>
  <c r="E113" i="6"/>
  <c r="H131" i="6"/>
  <c r="G149" i="6"/>
  <c r="I185" i="6"/>
  <c r="H203" i="6"/>
  <c r="F23" i="6"/>
  <c r="E41" i="6"/>
  <c r="I41" i="6"/>
  <c r="D59" i="6"/>
  <c r="H59" i="6"/>
  <c r="C95" i="6"/>
  <c r="G95" i="6"/>
  <c r="F113" i="6"/>
  <c r="E131" i="6"/>
  <c r="I131" i="6"/>
  <c r="D149" i="6"/>
  <c r="H149" i="6"/>
  <c r="C167" i="6"/>
  <c r="G167" i="6"/>
  <c r="F185" i="6"/>
  <c r="E203" i="6"/>
  <c r="I203" i="6"/>
  <c r="C23" i="6"/>
  <c r="G23" i="6"/>
  <c r="F41" i="6"/>
  <c r="E59" i="6"/>
  <c r="I59" i="6"/>
  <c r="D95" i="6"/>
  <c r="H95" i="6"/>
  <c r="C113" i="6"/>
  <c r="G113" i="6"/>
  <c r="F131" i="6"/>
  <c r="E149" i="6"/>
  <c r="I149" i="6"/>
  <c r="D167" i="6"/>
  <c r="H167" i="6"/>
  <c r="C185" i="6"/>
  <c r="G185" i="6"/>
  <c r="F203" i="6"/>
  <c r="AJ203" i="6"/>
  <c r="AV203" i="6"/>
  <c r="F167" i="6"/>
  <c r="E185" i="6"/>
  <c r="D203" i="6"/>
  <c r="D23" i="6"/>
  <c r="H23" i="6"/>
  <c r="C41" i="6"/>
  <c r="G41" i="6"/>
  <c r="F59" i="6"/>
  <c r="E95" i="6"/>
  <c r="I95" i="6"/>
  <c r="D113" i="6"/>
  <c r="H113" i="6"/>
  <c r="C131" i="6"/>
  <c r="G131" i="6"/>
  <c r="F149" i="6"/>
  <c r="E167" i="6"/>
  <c r="I167" i="6"/>
  <c r="D185" i="6"/>
  <c r="H185" i="6"/>
  <c r="C203" i="6"/>
  <c r="G203" i="6"/>
  <c r="M203" i="6"/>
  <c r="AQ203" i="6"/>
  <c r="P23" i="6"/>
  <c r="Z23" i="6"/>
  <c r="AJ23" i="6"/>
  <c r="AV23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E5" i="6"/>
  <c r="F5" i="6"/>
  <c r="H5" i="6"/>
  <c r="D5" i="6"/>
  <c r="I5" i="6"/>
  <c r="R21" i="6" l="1"/>
  <c r="N21" i="6"/>
  <c r="Q21" i="6"/>
  <c r="M21" i="6"/>
  <c r="P21" i="6"/>
  <c r="L21" i="6"/>
  <c r="O21" i="6"/>
  <c r="AL5" i="6"/>
  <c r="U10" i="6" l="1"/>
  <c r="U9" i="6" s="1"/>
  <c r="X10" i="6"/>
  <c r="H14" i="6"/>
  <c r="G14" i="6"/>
  <c r="F14" i="6"/>
  <c r="E14" i="6"/>
  <c r="D14" i="6"/>
  <c r="C14" i="6"/>
  <c r="AW190" i="6" l="1"/>
  <c r="AW154" i="6"/>
  <c r="AW100" i="6"/>
  <c r="AW64" i="6"/>
  <c r="D46" i="6"/>
  <c r="C46" i="6"/>
  <c r="AU5" i="6" l="1"/>
  <c r="M10" i="6"/>
  <c r="I10" i="6"/>
  <c r="I14" i="6" s="1"/>
  <c r="H10" i="6"/>
  <c r="G10" i="6"/>
  <c r="F10" i="6"/>
  <c r="E10" i="6"/>
  <c r="D10" i="6"/>
  <c r="C10" i="6"/>
  <c r="D28" i="6"/>
  <c r="C28" i="6"/>
  <c r="AW28" i="6"/>
  <c r="AV28" i="6"/>
  <c r="B23" i="6" l="1"/>
  <c r="I12" i="6"/>
  <c r="I13" i="6"/>
  <c r="I11" i="6"/>
  <c r="C8" i="6"/>
  <c r="K23" i="6" l="1"/>
  <c r="T23" i="6" s="1"/>
  <c r="AC23" i="6" s="1"/>
  <c r="F13" i="6"/>
  <c r="E12" i="6"/>
  <c r="D11" i="6"/>
  <c r="E11" i="6" s="1"/>
  <c r="F11" i="6" s="1"/>
  <c r="H13" i="6"/>
  <c r="F12" i="6"/>
  <c r="E13" i="6"/>
  <c r="D12" i="6"/>
  <c r="C11" i="6"/>
  <c r="D13" i="6"/>
  <c r="C12" i="6"/>
  <c r="C13" i="6"/>
  <c r="G13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Q86" i="6"/>
  <c r="P86" i="6"/>
  <c r="O86" i="6"/>
  <c r="N86" i="6"/>
  <c r="M86" i="6"/>
  <c r="L86" i="6"/>
  <c r="H86" i="6"/>
  <c r="G86" i="6"/>
  <c r="F86" i="6"/>
  <c r="E86" i="6"/>
  <c r="D86" i="6"/>
  <c r="C86" i="6"/>
  <c r="AW68" i="6"/>
  <c r="AV68" i="6"/>
  <c r="AR68" i="6"/>
  <c r="AQ68" i="6"/>
  <c r="AP68" i="6"/>
  <c r="AO68" i="6"/>
  <c r="AN68" i="6"/>
  <c r="AM68" i="6"/>
  <c r="AI68" i="6"/>
  <c r="AH68" i="6"/>
  <c r="AG68" i="6"/>
  <c r="AF68" i="6"/>
  <c r="AE68" i="6"/>
  <c r="AD68" i="6"/>
  <c r="Z68" i="6"/>
  <c r="Y68" i="6"/>
  <c r="X68" i="6"/>
  <c r="W68" i="6"/>
  <c r="V68" i="6"/>
  <c r="U68" i="6"/>
  <c r="Q68" i="6"/>
  <c r="P68" i="6"/>
  <c r="O68" i="6"/>
  <c r="N68" i="6"/>
  <c r="M68" i="6"/>
  <c r="L68" i="6"/>
  <c r="H68" i="6"/>
  <c r="G68" i="6"/>
  <c r="F68" i="6"/>
  <c r="E68" i="6"/>
  <c r="D68" i="6"/>
  <c r="C68" i="6"/>
  <c r="AW50" i="6"/>
  <c r="AV50" i="6"/>
  <c r="AR50" i="6"/>
  <c r="AQ50" i="6"/>
  <c r="AP50" i="6"/>
  <c r="AO50" i="6"/>
  <c r="AN50" i="6"/>
  <c r="AM50" i="6"/>
  <c r="AI50" i="6"/>
  <c r="AH50" i="6"/>
  <c r="AG50" i="6"/>
  <c r="AF50" i="6"/>
  <c r="AE50" i="6"/>
  <c r="AD50" i="6"/>
  <c r="Z50" i="6"/>
  <c r="Y50" i="6"/>
  <c r="X50" i="6"/>
  <c r="W50" i="6"/>
  <c r="V50" i="6"/>
  <c r="U50" i="6"/>
  <c r="Q50" i="6"/>
  <c r="P50" i="6"/>
  <c r="O50" i="6"/>
  <c r="N50" i="6"/>
  <c r="M50" i="6"/>
  <c r="L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I32" i="6"/>
  <c r="AH32" i="6"/>
  <c r="AG32" i="6"/>
  <c r="AF32" i="6"/>
  <c r="AE32" i="6"/>
  <c r="AD32" i="6"/>
  <c r="Z32" i="6"/>
  <c r="Y32" i="6"/>
  <c r="X32" i="6"/>
  <c r="W32" i="6"/>
  <c r="V32" i="6"/>
  <c r="U32" i="6"/>
  <c r="P32" i="6"/>
  <c r="O32" i="6"/>
  <c r="N32" i="6"/>
  <c r="M32" i="6"/>
  <c r="L32" i="6"/>
  <c r="H32" i="6"/>
  <c r="G32" i="6"/>
  <c r="F32" i="6"/>
  <c r="E32" i="6"/>
  <c r="D32" i="6"/>
  <c r="C32" i="6"/>
  <c r="AV14" i="6"/>
  <c r="AW14" i="6"/>
  <c r="AR14" i="6"/>
  <c r="AQ14" i="6"/>
  <c r="AP14" i="6"/>
  <c r="AO14" i="6"/>
  <c r="AN14" i="6"/>
  <c r="AM14" i="6"/>
  <c r="AI14" i="6"/>
  <c r="AH14" i="6"/>
  <c r="AG14" i="6"/>
  <c r="AF14" i="6"/>
  <c r="AE14" i="6"/>
  <c r="AD14" i="6"/>
  <c r="Z14" i="6"/>
  <c r="Y14" i="6"/>
  <c r="X14" i="6"/>
  <c r="W14" i="6"/>
  <c r="V14" i="6"/>
  <c r="U14" i="6"/>
  <c r="Q14" i="6"/>
  <c r="P14" i="6"/>
  <c r="O14" i="6"/>
  <c r="N14" i="6"/>
  <c r="M14" i="6"/>
  <c r="L14" i="6"/>
  <c r="G12" i="6" l="1"/>
  <c r="H12" i="6" s="1"/>
  <c r="G11" i="6"/>
  <c r="H11" i="6" s="1"/>
  <c r="AX32" i="6"/>
  <c r="AT32" i="6"/>
  <c r="AL23" i="6" l="1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54" i="6"/>
  <c r="AX53" i="6"/>
  <c r="AX52" i="6"/>
  <c r="AX51" i="6"/>
  <c r="AX50" i="6"/>
  <c r="AX36" i="6"/>
  <c r="AX35" i="6"/>
  <c r="AX34" i="6"/>
  <c r="AX33" i="6"/>
  <c r="AX28" i="6"/>
  <c r="AX16" i="6"/>
  <c r="AX17" i="6"/>
  <c r="AX18" i="6"/>
  <c r="AX15" i="6"/>
  <c r="AX14" i="6"/>
  <c r="AQ28" i="6" l="1"/>
  <c r="AR28" i="6"/>
  <c r="AU23" i="6"/>
  <c r="B41" i="6" s="1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K41" i="6" l="1"/>
  <c r="AW199" i="6"/>
  <c r="AW163" i="6"/>
  <c r="AW109" i="6"/>
  <c r="AW73" i="6"/>
  <c r="D55" i="6"/>
  <c r="C55" i="6"/>
  <c r="C37" i="6"/>
  <c r="AW37" i="6"/>
  <c r="AV37" i="6"/>
  <c r="AR37" i="6"/>
  <c r="AQ37" i="6"/>
  <c r="D37" i="6"/>
  <c r="M19" i="6"/>
  <c r="G19" i="6"/>
  <c r="D19" i="6"/>
  <c r="E19" i="6"/>
  <c r="F19" i="6"/>
  <c r="H19" i="6"/>
  <c r="I19" i="6"/>
  <c r="C19" i="6"/>
  <c r="T41" i="6" l="1"/>
  <c r="AX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I211" i="6"/>
  <c r="I210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I193" i="6"/>
  <c r="I192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I175" i="6"/>
  <c r="I174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I157" i="6"/>
  <c r="I156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I139" i="6"/>
  <c r="I138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I121" i="6"/>
  <c r="I120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A103" i="6"/>
  <c r="R103" i="6"/>
  <c r="I103" i="6"/>
  <c r="AA102" i="6"/>
  <c r="R102" i="6"/>
  <c r="I102" i="6"/>
  <c r="AJ101" i="6"/>
  <c r="AA101" i="6"/>
  <c r="R101" i="6"/>
  <c r="I101" i="6"/>
  <c r="AW99" i="6"/>
  <c r="AW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J85" i="6"/>
  <c r="AA85" i="6"/>
  <c r="R85" i="6"/>
  <c r="I85" i="6"/>
  <c r="AJ84" i="6"/>
  <c r="AA84" i="6"/>
  <c r="R84" i="6"/>
  <c r="I84" i="6"/>
  <c r="AJ83" i="6"/>
  <c r="AA83" i="6"/>
  <c r="R83" i="6"/>
  <c r="I83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J67" i="6"/>
  <c r="AA67" i="6"/>
  <c r="R67" i="6"/>
  <c r="I67" i="6"/>
  <c r="AJ66" i="6"/>
  <c r="AA66" i="6"/>
  <c r="R66" i="6"/>
  <c r="I66" i="6"/>
  <c r="AJ65" i="6"/>
  <c r="AA65" i="6"/>
  <c r="R65" i="6"/>
  <c r="I65" i="6"/>
  <c r="AW63" i="6"/>
  <c r="AW62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J49" i="6"/>
  <c r="AA49" i="6"/>
  <c r="R49" i="6"/>
  <c r="I49" i="6"/>
  <c r="D49" i="6"/>
  <c r="C49" i="6"/>
  <c r="AJ48" i="6"/>
  <c r="AA48" i="6"/>
  <c r="R48" i="6"/>
  <c r="I48" i="6"/>
  <c r="D48" i="6"/>
  <c r="C48" i="6"/>
  <c r="AJ47" i="6"/>
  <c r="AA47" i="6"/>
  <c r="R47" i="6"/>
  <c r="I47" i="6"/>
  <c r="D47" i="6"/>
  <c r="C47" i="6"/>
  <c r="D45" i="6"/>
  <c r="C45" i="6"/>
  <c r="D44" i="6"/>
  <c r="C44" i="6"/>
  <c r="AW30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J31" i="6"/>
  <c r="AA31" i="6"/>
  <c r="R31" i="6"/>
  <c r="I31" i="6"/>
  <c r="D31" i="6"/>
  <c r="C31" i="6"/>
  <c r="AV30" i="6"/>
  <c r="AJ30" i="6"/>
  <c r="AA30" i="6"/>
  <c r="R30" i="6"/>
  <c r="I30" i="6"/>
  <c r="D30" i="6"/>
  <c r="C30" i="6"/>
  <c r="AW29" i="6"/>
  <c r="AV29" i="6"/>
  <c r="AJ29" i="6"/>
  <c r="AA29" i="6"/>
  <c r="R29" i="6"/>
  <c r="I29" i="6"/>
  <c r="D29" i="6"/>
  <c r="C29" i="6"/>
  <c r="AW27" i="6"/>
  <c r="AV27" i="6"/>
  <c r="AR27" i="6"/>
  <c r="AQ27" i="6"/>
  <c r="D27" i="6"/>
  <c r="C27" i="6"/>
  <c r="AW26" i="6"/>
  <c r="AV26" i="6"/>
  <c r="AR26" i="6"/>
  <c r="AQ26" i="6"/>
  <c r="D26" i="6"/>
  <c r="C26" i="6"/>
  <c r="D9" i="6"/>
  <c r="AJ12" i="6"/>
  <c r="AJ13" i="6"/>
  <c r="AJ11" i="6"/>
  <c r="AA11" i="6"/>
  <c r="AA12" i="6"/>
  <c r="AA13" i="6"/>
  <c r="R11" i="6"/>
  <c r="R12" i="6"/>
  <c r="R13" i="6"/>
  <c r="AC41" i="6" l="1"/>
  <c r="AV98" i="6"/>
  <c r="AX98" i="6" s="1"/>
  <c r="AX27" i="6"/>
  <c r="AX30" i="6"/>
  <c r="AX29" i="6"/>
  <c r="AX26" i="6"/>
  <c r="AY216" i="6"/>
  <c r="AY213" i="6"/>
  <c r="AY215" i="6"/>
  <c r="AX31" i="6"/>
  <c r="AY214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105" i="6"/>
  <c r="AY107" i="6"/>
  <c r="AY108" i="6"/>
  <c r="AY106" i="6"/>
  <c r="AY88" i="6"/>
  <c r="AY89" i="6"/>
  <c r="AY87" i="6"/>
  <c r="AY70" i="6"/>
  <c r="AY69" i="6"/>
  <c r="AY71" i="6"/>
  <c r="AY72" i="6"/>
  <c r="AY33" i="6"/>
  <c r="AY53" i="6"/>
  <c r="AY54" i="6"/>
  <c r="AY52" i="6"/>
  <c r="AY51" i="6"/>
  <c r="AY35" i="6"/>
  <c r="AY34" i="6"/>
  <c r="AY36" i="6"/>
  <c r="J19" i="6"/>
  <c r="AT18" i="6"/>
  <c r="AT17" i="6"/>
  <c r="AT16" i="6"/>
  <c r="AT15" i="6"/>
  <c r="AK18" i="6"/>
  <c r="AK17" i="6"/>
  <c r="AK16" i="6"/>
  <c r="AK15" i="6"/>
  <c r="AB18" i="6"/>
  <c r="AB17" i="6"/>
  <c r="AB16" i="6"/>
  <c r="AB15" i="6"/>
  <c r="S18" i="6"/>
  <c r="S17" i="6"/>
  <c r="S16" i="6"/>
  <c r="S15" i="6"/>
  <c r="M9" i="6"/>
  <c r="E9" i="6"/>
  <c r="F9" i="6"/>
  <c r="G9" i="6"/>
  <c r="H9" i="6"/>
  <c r="I9" i="6"/>
  <c r="C9" i="6"/>
  <c r="AL41" i="6" l="1"/>
  <c r="AV100" i="6"/>
  <c r="AW103" i="6" s="1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AV109" i="6" l="1"/>
  <c r="AX109" i="6" s="1"/>
  <c r="AW101" i="6"/>
  <c r="AV99" i="6"/>
  <c r="AX99" i="6" s="1"/>
  <c r="AX100" i="6"/>
  <c r="AV102" i="6"/>
  <c r="AW102" i="6"/>
  <c r="AV103" i="6"/>
  <c r="AX103" i="6" s="1"/>
  <c r="AV101" i="6"/>
  <c r="K5" i="14"/>
  <c r="L5" i="14" s="1"/>
  <c r="M5" i="14" s="1"/>
  <c r="N5" i="14" s="1"/>
  <c r="P5" i="14" s="1"/>
  <c r="R120" i="6" l="1"/>
  <c r="AX102" i="6"/>
  <c r="AX101" i="6"/>
  <c r="J9" i="6"/>
  <c r="J10" i="6"/>
  <c r="J11" i="6"/>
  <c r="J12" i="6"/>
  <c r="J13" i="6"/>
  <c r="J14" i="6"/>
  <c r="J15" i="6"/>
  <c r="J16" i="6"/>
  <c r="J17" i="6"/>
  <c r="J18" i="6"/>
  <c r="AY18" i="6" s="1"/>
  <c r="R119" i="6" l="1"/>
  <c r="R121" i="6"/>
  <c r="C19" i="14"/>
  <c r="AY17" i="6"/>
  <c r="AY16" i="6"/>
  <c r="AY15" i="6"/>
  <c r="D8" i="6"/>
  <c r="E8" i="6"/>
  <c r="F8" i="6"/>
  <c r="G8" i="6"/>
  <c r="H8" i="6"/>
  <c r="I8" i="6"/>
  <c r="M8" i="6"/>
  <c r="AA120" i="6" l="1"/>
  <c r="AA119" i="6"/>
  <c r="AA121" i="6"/>
  <c r="C18" i="14"/>
  <c r="C17" i="14"/>
  <c r="P19" i="14"/>
  <c r="C16" i="14"/>
  <c r="P16" i="14" s="1"/>
  <c r="J8" i="6"/>
  <c r="H202" i="6"/>
  <c r="H184" i="6"/>
  <c r="H166" i="6"/>
  <c r="H148" i="6"/>
  <c r="AJ121" i="6" l="1"/>
  <c r="AJ120" i="6"/>
  <c r="AJ119" i="6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H130" i="6"/>
  <c r="H112" i="6" l="1"/>
  <c r="H94" i="6"/>
  <c r="H76" i="6"/>
  <c r="H58" i="6"/>
  <c r="H40" i="6"/>
  <c r="H22" i="6"/>
  <c r="R138" i="6" l="1"/>
  <c r="R137" i="6"/>
  <c r="R139" i="6"/>
  <c r="AA139" i="6" l="1"/>
  <c r="AA138" i="6"/>
  <c r="AA137" i="6"/>
  <c r="AJ138" i="6" l="1"/>
  <c r="AJ137" i="6"/>
  <c r="AJ139" i="6"/>
  <c r="H4" i="6"/>
  <c r="R157" i="6" l="1"/>
  <c r="R155" i="6"/>
  <c r="AA157" i="6" l="1"/>
  <c r="AA156" i="6"/>
  <c r="AA155" i="6"/>
  <c r="R156" i="6"/>
  <c r="AJ157" i="6" l="1"/>
  <c r="AJ156" i="6"/>
  <c r="AJ155" i="6"/>
  <c r="R175" i="6" l="1"/>
  <c r="R174" i="6"/>
  <c r="R173" i="6"/>
  <c r="AA175" i="6" l="1"/>
  <c r="AA174" i="6"/>
  <c r="AA173" i="6"/>
  <c r="AJ175" i="6" l="1"/>
  <c r="AJ174" i="6"/>
  <c r="AJ173" i="6"/>
  <c r="R193" i="6" l="1"/>
  <c r="R192" i="6"/>
  <c r="R191" i="6"/>
  <c r="AA193" i="6" l="1"/>
  <c r="AA192" i="6"/>
  <c r="AA191" i="6"/>
  <c r="AJ193" i="6" l="1"/>
  <c r="AJ192" i="6"/>
  <c r="AJ191" i="6"/>
  <c r="R211" i="6" l="1"/>
  <c r="R210" i="6"/>
  <c r="R209" i="6"/>
  <c r="AA211" i="6" l="1"/>
  <c r="AA210" i="6"/>
  <c r="AA209" i="6"/>
  <c r="AJ211" i="6" l="1"/>
  <c r="AJ210" i="6"/>
  <c r="AJ209" i="6"/>
  <c r="C208" i="6" l="1"/>
  <c r="C154" i="6"/>
  <c r="AJ102" i="6"/>
  <c r="AS26" i="6"/>
  <c r="AS37" i="6" l="1"/>
  <c r="C152" i="6"/>
  <c r="C163" i="6"/>
  <c r="AS28" i="6"/>
  <c r="AS27" i="6" s="1"/>
  <c r="C206" i="6"/>
  <c r="C155" i="6"/>
  <c r="C156" i="6"/>
  <c r="C153" i="6"/>
  <c r="C157" i="6"/>
  <c r="C207" i="6"/>
  <c r="C209" i="6"/>
  <c r="C210" i="6"/>
  <c r="C211" i="6"/>
  <c r="C217" i="6"/>
  <c r="Q10" i="6" l="1"/>
  <c r="Q9" i="6" s="1"/>
  <c r="L10" i="6"/>
  <c r="P10" i="6" l="1"/>
  <c r="P9" i="6" s="1"/>
  <c r="P8" i="6"/>
  <c r="M13" i="6"/>
  <c r="M12" i="6"/>
  <c r="M11" i="6"/>
  <c r="L9" i="6"/>
  <c r="L13" i="6"/>
  <c r="L12" i="6"/>
  <c r="L11" i="6"/>
  <c r="L8" i="6"/>
  <c r="R19" i="6"/>
  <c r="R8" i="6"/>
  <c r="L19" i="6"/>
  <c r="R10" i="6"/>
  <c r="O10" i="6"/>
  <c r="O9" i="6" s="1"/>
  <c r="Q8" i="6"/>
  <c r="Q19" i="6"/>
  <c r="N10" i="6"/>
  <c r="N9" i="6" s="1"/>
  <c r="N8" i="6"/>
  <c r="O8" i="6"/>
  <c r="N19" i="6" l="1"/>
  <c r="O19" i="6"/>
  <c r="P19" i="6"/>
  <c r="N12" i="6"/>
  <c r="N11" i="6"/>
  <c r="O13" i="6"/>
  <c r="S8" i="6"/>
  <c r="S10" i="6"/>
  <c r="O12" i="6"/>
  <c r="O11" i="6"/>
  <c r="R9" i="6"/>
  <c r="S9" i="6" s="1"/>
  <c r="R14" i="6"/>
  <c r="S14" i="6" s="1"/>
  <c r="N13" i="6"/>
  <c r="P13" i="6"/>
  <c r="Q13" i="6" l="1"/>
  <c r="S13" i="6" s="1"/>
  <c r="S19" i="6"/>
  <c r="P11" i="6"/>
  <c r="P12" i="6"/>
  <c r="Q12" i="6" l="1"/>
  <c r="S12" i="6" s="1"/>
  <c r="Q11" i="6"/>
  <c r="S11" i="6" s="1"/>
  <c r="X9" i="6"/>
  <c r="V10" i="6"/>
  <c r="V9" i="6" s="1"/>
  <c r="Z10" i="6"/>
  <c r="Z9" i="6" s="1"/>
  <c r="Y10" i="6"/>
  <c r="Y9" i="6" s="1"/>
  <c r="AA10" i="6"/>
  <c r="U8" i="6"/>
  <c r="AA9" i="6" l="1"/>
  <c r="AA14" i="6"/>
  <c r="AB14" i="6" s="1"/>
  <c r="U19" i="6"/>
  <c r="AA19" i="6"/>
  <c r="AA8" i="6"/>
  <c r="Y19" i="6"/>
  <c r="Y8" i="6"/>
  <c r="X8" i="6"/>
  <c r="X19" i="6"/>
  <c r="V8" i="6"/>
  <c r="V19" i="6"/>
  <c r="Z19" i="6"/>
  <c r="Z8" i="6"/>
  <c r="W8" i="6"/>
  <c r="W10" i="6"/>
  <c r="W9" i="6" s="1"/>
  <c r="W19" i="6" l="1"/>
  <c r="AB19" i="6" s="1"/>
  <c r="AB8" i="6"/>
  <c r="AE8" i="6"/>
  <c r="AE10" i="6"/>
  <c r="AE9" i="6" s="1"/>
  <c r="AI8" i="6"/>
  <c r="AI10" i="6"/>
  <c r="AI9" i="6" s="1"/>
  <c r="AD8" i="6"/>
  <c r="AD10" i="6"/>
  <c r="AD19" i="6" s="1"/>
  <c r="AR8" i="6"/>
  <c r="AR19" i="6"/>
  <c r="AR10" i="6"/>
  <c r="AR9" i="6" s="1"/>
  <c r="AM8" i="6"/>
  <c r="AM10" i="6"/>
  <c r="AM19" i="6" s="1"/>
  <c r="AF8" i="6"/>
  <c r="AF10" i="6"/>
  <c r="AF9" i="6" s="1"/>
  <c r="AQ8" i="6"/>
  <c r="AQ10" i="6"/>
  <c r="AQ9" i="6" s="1"/>
  <c r="AG8" i="6"/>
  <c r="AG10" i="6"/>
  <c r="AG9" i="6" s="1"/>
  <c r="AO8" i="6"/>
  <c r="AO10" i="6"/>
  <c r="AO9" i="6" s="1"/>
  <c r="AH8" i="6"/>
  <c r="AH10" i="6"/>
  <c r="AH9" i="6" s="1"/>
  <c r="AS8" i="6"/>
  <c r="AS19" i="6"/>
  <c r="AS10" i="6"/>
  <c r="W11" i="6"/>
  <c r="V12" i="6"/>
  <c r="W12" i="6"/>
  <c r="V13" i="6"/>
  <c r="X12" i="6"/>
  <c r="V11" i="6"/>
  <c r="Z13" i="6"/>
  <c r="Y13" i="6"/>
  <c r="X13" i="6"/>
  <c r="X11" i="6"/>
  <c r="W13" i="6"/>
  <c r="U13" i="6"/>
  <c r="AB9" i="6"/>
  <c r="AB10" i="6"/>
  <c r="U12" i="6"/>
  <c r="U11" i="6"/>
  <c r="AN8" i="6"/>
  <c r="AN10" i="6"/>
  <c r="AN9" i="6" s="1"/>
  <c r="AJ10" i="6"/>
  <c r="AJ8" i="6"/>
  <c r="AJ19" i="6"/>
  <c r="AP8" i="6"/>
  <c r="AP10" i="6"/>
  <c r="AP9" i="6" s="1"/>
  <c r="AQ19" i="6" l="1"/>
  <c r="AI19" i="6"/>
  <c r="AP19" i="6"/>
  <c r="Y12" i="6"/>
  <c r="AN19" i="6"/>
  <c r="Y11" i="6"/>
  <c r="Z11" i="6" s="1"/>
  <c r="AO19" i="6"/>
  <c r="AS13" i="6"/>
  <c r="AS11" i="6"/>
  <c r="AS12" i="6"/>
  <c r="AB13" i="6"/>
  <c r="AW8" i="6"/>
  <c r="AW10" i="6"/>
  <c r="AW9" i="6" s="1"/>
  <c r="AS9" i="6"/>
  <c r="AS14" i="6"/>
  <c r="AT14" i="6" s="1"/>
  <c r="AJ14" i="6"/>
  <c r="AK14" i="6" s="1"/>
  <c r="AJ9" i="6"/>
  <c r="AF19" i="6"/>
  <c r="AF11" i="6"/>
  <c r="AE12" i="6"/>
  <c r="AF12" i="6"/>
  <c r="AG12" i="6"/>
  <c r="AG11" i="6"/>
  <c r="AH13" i="6"/>
  <c r="AK10" i="6"/>
  <c r="AF13" i="6"/>
  <c r="AE11" i="6"/>
  <c r="AE13" i="6"/>
  <c r="AG13" i="6"/>
  <c r="AD11" i="6"/>
  <c r="AD12" i="6"/>
  <c r="AD13" i="6"/>
  <c r="AD9" i="6"/>
  <c r="AG19" i="6"/>
  <c r="AK8" i="6"/>
  <c r="AP12" i="6"/>
  <c r="AP13" i="6"/>
  <c r="AP11" i="6"/>
  <c r="AN11" i="6"/>
  <c r="AO13" i="6"/>
  <c r="AQ13" i="6"/>
  <c r="AT10" i="6"/>
  <c r="AO11" i="6"/>
  <c r="AR13" i="6"/>
  <c r="AN13" i="6"/>
  <c r="AN12" i="6"/>
  <c r="AO12" i="6"/>
  <c r="AM9" i="6"/>
  <c r="AM11" i="6"/>
  <c r="AM12" i="6"/>
  <c r="AM13" i="6"/>
  <c r="AH19" i="6"/>
  <c r="AT8" i="6"/>
  <c r="AE19" i="6"/>
  <c r="AV8" i="6"/>
  <c r="AV10" i="6"/>
  <c r="AV19" i="6" s="1"/>
  <c r="AI13" i="6" l="1"/>
  <c r="AK13" i="6" s="1"/>
  <c r="AW19" i="6"/>
  <c r="AQ12" i="6"/>
  <c r="AR12" i="6" s="1"/>
  <c r="AQ11" i="6"/>
  <c r="AR11" i="6" s="1"/>
  <c r="AT11" i="6" s="1"/>
  <c r="AT19" i="6"/>
  <c r="Z12" i="6"/>
  <c r="AB12" i="6" s="1"/>
  <c r="AB11" i="6"/>
  <c r="AX8" i="6"/>
  <c r="AY8" i="6" s="1"/>
  <c r="C9" i="14" s="1"/>
  <c r="AK9" i="6"/>
  <c r="AX19" i="6"/>
  <c r="AK19" i="6"/>
  <c r="AT9" i="6"/>
  <c r="AH12" i="6"/>
  <c r="AI12" i="6" s="1"/>
  <c r="AK12" i="6" s="1"/>
  <c r="AH11" i="6"/>
  <c r="AI11" i="6" s="1"/>
  <c r="AK11" i="6" s="1"/>
  <c r="AY14" i="6"/>
  <c r="C15" i="14" s="1"/>
  <c r="I37" i="6"/>
  <c r="I26" i="6"/>
  <c r="I28" i="6"/>
  <c r="H37" i="6"/>
  <c r="H26" i="6"/>
  <c r="H28" i="6"/>
  <c r="H27" i="6" s="1"/>
  <c r="AT13" i="6"/>
  <c r="G26" i="6"/>
  <c r="G28" i="6"/>
  <c r="G27" i="6" s="1"/>
  <c r="AW13" i="6"/>
  <c r="AW12" i="6"/>
  <c r="AX10" i="6"/>
  <c r="AY10" i="6" s="1"/>
  <c r="C11" i="14" s="1"/>
  <c r="AW11" i="6"/>
  <c r="AV11" i="6"/>
  <c r="AV9" i="6"/>
  <c r="AX9" i="6" s="1"/>
  <c r="AV12" i="6"/>
  <c r="AV13" i="6"/>
  <c r="F26" i="6"/>
  <c r="F28" i="6"/>
  <c r="F27" i="6" s="1"/>
  <c r="E26" i="6"/>
  <c r="E28" i="6"/>
  <c r="E37" i="6" s="1"/>
  <c r="AT12" i="6" l="1"/>
  <c r="F37" i="6"/>
  <c r="G37" i="6"/>
  <c r="AY19" i="6"/>
  <c r="C20" i="14" s="1"/>
  <c r="C8" i="14" s="1"/>
  <c r="AY9" i="6"/>
  <c r="C10" i="14" s="1"/>
  <c r="AX13" i="6"/>
  <c r="AY13" i="6" s="1"/>
  <c r="C14" i="14" s="1"/>
  <c r="AX11" i="6"/>
  <c r="AY11" i="6" s="1"/>
  <c r="C12" i="14" s="1"/>
  <c r="L26" i="6"/>
  <c r="L28" i="6"/>
  <c r="L37" i="6" s="1"/>
  <c r="R26" i="6"/>
  <c r="R37" i="6"/>
  <c r="R28" i="6"/>
  <c r="P26" i="6"/>
  <c r="P28" i="6"/>
  <c r="P27" i="6" s="1"/>
  <c r="N26" i="6"/>
  <c r="N28" i="6"/>
  <c r="N27" i="6" s="1"/>
  <c r="H31" i="6"/>
  <c r="G31" i="6"/>
  <c r="F29" i="6"/>
  <c r="F31" i="6"/>
  <c r="F30" i="6"/>
  <c r="J28" i="6"/>
  <c r="E27" i="6"/>
  <c r="E30" i="6"/>
  <c r="G30" i="6" s="1"/>
  <c r="H30" i="6" s="1"/>
  <c r="E29" i="6"/>
  <c r="E31" i="6"/>
  <c r="AX12" i="6"/>
  <c r="O26" i="6"/>
  <c r="O28" i="6"/>
  <c r="O27" i="6" s="1"/>
  <c r="J26" i="6"/>
  <c r="I27" i="6"/>
  <c r="I32" i="6"/>
  <c r="J32" i="6" s="1"/>
  <c r="M26" i="6"/>
  <c r="M28" i="6"/>
  <c r="M27" i="6" s="1"/>
  <c r="Q37" i="6"/>
  <c r="Q26" i="6"/>
  <c r="Q28" i="6"/>
  <c r="Q27" i="6" s="1"/>
  <c r="J37" i="6" l="1"/>
  <c r="P37" i="6"/>
  <c r="AY12" i="6"/>
  <c r="AZ5" i="6" s="1"/>
  <c r="N37" i="6"/>
  <c r="M37" i="6"/>
  <c r="O37" i="6"/>
  <c r="G29" i="6"/>
  <c r="H29" i="6" s="1"/>
  <c r="AA26" i="6"/>
  <c r="AA28" i="6"/>
  <c r="AA37" i="6" s="1"/>
  <c r="Y26" i="6"/>
  <c r="Y28" i="6"/>
  <c r="Y27" i="6" s="1"/>
  <c r="M31" i="6"/>
  <c r="M30" i="6"/>
  <c r="O29" i="6"/>
  <c r="P31" i="6"/>
  <c r="O30" i="6"/>
  <c r="O31" i="6"/>
  <c r="N31" i="6"/>
  <c r="S28" i="6"/>
  <c r="N29" i="6"/>
  <c r="N30" i="6"/>
  <c r="Q31" i="6"/>
  <c r="M29" i="6"/>
  <c r="L27" i="6"/>
  <c r="L30" i="6"/>
  <c r="L29" i="6"/>
  <c r="L31" i="6"/>
  <c r="V26" i="6"/>
  <c r="V28" i="6"/>
  <c r="V27" i="6" s="1"/>
  <c r="J31" i="6"/>
  <c r="Z26" i="6"/>
  <c r="Z28" i="6"/>
  <c r="Z27" i="6" s="1"/>
  <c r="S26" i="6"/>
  <c r="J30" i="6"/>
  <c r="X26" i="6"/>
  <c r="X28" i="6"/>
  <c r="X27" i="6" s="1"/>
  <c r="J27" i="6"/>
  <c r="W26" i="6"/>
  <c r="W28" i="6"/>
  <c r="W27" i="6" s="1"/>
  <c r="R27" i="6"/>
  <c r="R32" i="6"/>
  <c r="S32" i="6" s="1"/>
  <c r="U26" i="6"/>
  <c r="U28" i="6"/>
  <c r="U37" i="6" s="1"/>
  <c r="Z37" i="6" l="1"/>
  <c r="C13" i="14"/>
  <c r="S37" i="6"/>
  <c r="J29" i="6"/>
  <c r="P30" i="6"/>
  <c r="Q30" i="6" s="1"/>
  <c r="S30" i="6" s="1"/>
  <c r="P29" i="6"/>
  <c r="Q29" i="6" s="1"/>
  <c r="AO28" i="6"/>
  <c r="AO27" i="6" s="1"/>
  <c r="AU41" i="6"/>
  <c r="AH28" i="6"/>
  <c r="AH27" i="6" s="1"/>
  <c r="AH26" i="6"/>
  <c r="W37" i="6"/>
  <c r="AD26" i="6"/>
  <c r="AD28" i="6"/>
  <c r="AD37" i="6" s="1"/>
  <c r="V37" i="6"/>
  <c r="Y37" i="6"/>
  <c r="AB26" i="6"/>
  <c r="AG26" i="6"/>
  <c r="AG28" i="6"/>
  <c r="AG27" i="6" s="1"/>
  <c r="AA27" i="6"/>
  <c r="AA32" i="6"/>
  <c r="AB32" i="6" s="1"/>
  <c r="AI26" i="6"/>
  <c r="AI37" i="6"/>
  <c r="AI28" i="6"/>
  <c r="AI27" i="6" s="1"/>
  <c r="S31" i="6"/>
  <c r="X30" i="6"/>
  <c r="V31" i="6"/>
  <c r="W31" i="6"/>
  <c r="W30" i="6"/>
  <c r="X29" i="6"/>
  <c r="X31" i="6"/>
  <c r="W29" i="6"/>
  <c r="AB28" i="6"/>
  <c r="V29" i="6"/>
  <c r="V30" i="6"/>
  <c r="Y31" i="6"/>
  <c r="U31" i="6"/>
  <c r="U27" i="6"/>
  <c r="U29" i="6"/>
  <c r="U30" i="6"/>
  <c r="X37" i="6"/>
  <c r="AF26" i="6"/>
  <c r="AF28" i="6"/>
  <c r="AF27" i="6" s="1"/>
  <c r="AE26" i="6"/>
  <c r="AE28" i="6"/>
  <c r="AE27" i="6" s="1"/>
  <c r="AJ37" i="6"/>
  <c r="AJ26" i="6"/>
  <c r="AJ28" i="6"/>
  <c r="S27" i="6"/>
  <c r="C21" i="14"/>
  <c r="BA5" i="6"/>
  <c r="C22" i="14" s="1"/>
  <c r="Z31" i="6" l="1"/>
  <c r="AB31" i="6" s="1"/>
  <c r="B59" i="6"/>
  <c r="AF37" i="6"/>
  <c r="AE37" i="6"/>
  <c r="S29" i="6"/>
  <c r="AG37" i="6"/>
  <c r="AH37" i="6"/>
  <c r="AO26" i="6"/>
  <c r="AO37" i="6"/>
  <c r="AP28" i="6"/>
  <c r="AP27" i="6" s="1"/>
  <c r="AP26" i="6"/>
  <c r="AB27" i="6"/>
  <c r="Y29" i="6"/>
  <c r="Z29" i="6" s="1"/>
  <c r="AB29" i="6" s="1"/>
  <c r="AB37" i="6"/>
  <c r="Y30" i="6"/>
  <c r="Z30" i="6" s="1"/>
  <c r="AB30" i="6" s="1"/>
  <c r="AI31" i="6"/>
  <c r="AE29" i="6"/>
  <c r="AE31" i="6"/>
  <c r="AG30" i="6"/>
  <c r="AH31" i="6"/>
  <c r="AF31" i="6"/>
  <c r="AD29" i="6"/>
  <c r="AF29" i="6"/>
  <c r="AK28" i="6"/>
  <c r="AG29" i="6"/>
  <c r="AE30" i="6"/>
  <c r="AF30" i="6"/>
  <c r="AG31" i="6"/>
  <c r="AD27" i="6"/>
  <c r="AD30" i="6"/>
  <c r="AD31" i="6"/>
  <c r="AM28" i="6"/>
  <c r="AM37" i="6" s="1"/>
  <c r="AM26" i="6"/>
  <c r="AK26" i="6"/>
  <c r="AN26" i="6"/>
  <c r="AN28" i="6"/>
  <c r="AN27" i="6" s="1"/>
  <c r="AJ32" i="6"/>
  <c r="AK32" i="6" s="1"/>
  <c r="AY32" i="6" s="1"/>
  <c r="D15" i="14" s="1"/>
  <c r="AJ27" i="6"/>
  <c r="AP37" i="6" l="1"/>
  <c r="AN37" i="6"/>
  <c r="AT37" i="6" s="1"/>
  <c r="AW46" i="6"/>
  <c r="AW45" i="6" s="1"/>
  <c r="AW44" i="6"/>
  <c r="AV46" i="6"/>
  <c r="AV55" i="6"/>
  <c r="AV44" i="6"/>
  <c r="AH30" i="6"/>
  <c r="AI30" i="6" s="1"/>
  <c r="AH29" i="6"/>
  <c r="AI29" i="6" s="1"/>
  <c r="AK29" i="6" s="1"/>
  <c r="AK37" i="6"/>
  <c r="AK31" i="6"/>
  <c r="AT26" i="6"/>
  <c r="AY26" i="6" s="1"/>
  <c r="D9" i="14" s="1"/>
  <c r="I55" i="6"/>
  <c r="I44" i="6"/>
  <c r="I46" i="6"/>
  <c r="H55" i="6"/>
  <c r="H44" i="6"/>
  <c r="H46" i="6"/>
  <c r="H45" i="6" s="1"/>
  <c r="G44" i="6"/>
  <c r="G46" i="6"/>
  <c r="G45" i="6" s="1"/>
  <c r="F44" i="6"/>
  <c r="F46" i="6"/>
  <c r="F45" i="6" s="1"/>
  <c r="E46" i="6"/>
  <c r="E55" i="6" s="1"/>
  <c r="E44" i="6"/>
  <c r="AK27" i="6"/>
  <c r="AN31" i="6"/>
  <c r="AN30" i="6"/>
  <c r="AP29" i="6"/>
  <c r="AS31" i="6"/>
  <c r="AO30" i="6"/>
  <c r="AT28" i="6"/>
  <c r="AY28" i="6" s="1"/>
  <c r="D11" i="14" s="1"/>
  <c r="AN29" i="6"/>
  <c r="AP30" i="6"/>
  <c r="AP31" i="6"/>
  <c r="AR31" i="6"/>
  <c r="AM27" i="6"/>
  <c r="AT27" i="6" s="1"/>
  <c r="AO29" i="6"/>
  <c r="AO31" i="6"/>
  <c r="AQ31" i="6"/>
  <c r="AM31" i="6"/>
  <c r="AM30" i="6"/>
  <c r="AM29" i="6"/>
  <c r="AR30" i="6" l="1"/>
  <c r="AQ30" i="6"/>
  <c r="AS30" i="6" s="1"/>
  <c r="AW55" i="6"/>
  <c r="AQ29" i="6"/>
  <c r="AR29" i="6" s="1"/>
  <c r="G55" i="6"/>
  <c r="F55" i="6"/>
  <c r="AX55" i="6"/>
  <c r="AX46" i="6"/>
  <c r="AW49" i="6"/>
  <c r="AW48" i="6"/>
  <c r="AW47" i="6"/>
  <c r="AV47" i="6"/>
  <c r="AV45" i="6"/>
  <c r="AX45" i="6" s="1"/>
  <c r="AV49" i="6"/>
  <c r="AV48" i="6"/>
  <c r="AX44" i="6"/>
  <c r="AK30" i="6"/>
  <c r="AY37" i="6"/>
  <c r="D20" i="14" s="1"/>
  <c r="D8" i="14" s="1"/>
  <c r="J44" i="6"/>
  <c r="AT31" i="6"/>
  <c r="AY31" i="6" s="1"/>
  <c r="D14" i="14" s="1"/>
  <c r="P44" i="6"/>
  <c r="P46" i="6"/>
  <c r="P45" i="6" s="1"/>
  <c r="AY27" i="6"/>
  <c r="D10" i="14" s="1"/>
  <c r="F48" i="6"/>
  <c r="G49" i="6"/>
  <c r="F49" i="6"/>
  <c r="H49" i="6"/>
  <c r="F47" i="6"/>
  <c r="J46" i="6"/>
  <c r="E49" i="6"/>
  <c r="E45" i="6"/>
  <c r="E47" i="6"/>
  <c r="E48" i="6"/>
  <c r="Q55" i="6"/>
  <c r="Q44" i="6"/>
  <c r="Q46" i="6"/>
  <c r="Q45" i="6" s="1"/>
  <c r="N44" i="6"/>
  <c r="N46" i="6"/>
  <c r="N45" i="6" s="1"/>
  <c r="L46" i="6"/>
  <c r="L55" i="6" s="1"/>
  <c r="L44" i="6"/>
  <c r="M44" i="6"/>
  <c r="M46" i="6"/>
  <c r="M45" i="6" s="1"/>
  <c r="I45" i="6"/>
  <c r="I50" i="6"/>
  <c r="J50" i="6" s="1"/>
  <c r="R55" i="6"/>
  <c r="R44" i="6"/>
  <c r="R46" i="6"/>
  <c r="O44" i="6"/>
  <c r="O46" i="6"/>
  <c r="O45" i="6" s="1"/>
  <c r="AT30" i="6" l="1"/>
  <c r="H47" i="6"/>
  <c r="G47" i="6"/>
  <c r="H48" i="6"/>
  <c r="G48" i="6"/>
  <c r="AS29" i="6"/>
  <c r="AT29" i="6" s="1"/>
  <c r="AY29" i="6" s="1"/>
  <c r="D12" i="14" s="1"/>
  <c r="J55" i="6"/>
  <c r="AX47" i="6"/>
  <c r="AX49" i="6"/>
  <c r="AY30" i="6"/>
  <c r="D13" i="14" s="1"/>
  <c r="AX48" i="6"/>
  <c r="J47" i="6"/>
  <c r="V44" i="6"/>
  <c r="V46" i="6"/>
  <c r="V45" i="6" s="1"/>
  <c r="AA55" i="6"/>
  <c r="AA44" i="6"/>
  <c r="AA46" i="6"/>
  <c r="J45" i="6"/>
  <c r="P55" i="6"/>
  <c r="N55" i="6"/>
  <c r="X44" i="6"/>
  <c r="X46" i="6"/>
  <c r="X45" i="6" s="1"/>
  <c r="J49" i="6"/>
  <c r="Z55" i="6"/>
  <c r="Z44" i="6"/>
  <c r="Z46" i="6"/>
  <c r="Z45" i="6" s="1"/>
  <c r="W44" i="6"/>
  <c r="W46" i="6"/>
  <c r="W45" i="6" s="1"/>
  <c r="S44" i="6"/>
  <c r="Y44" i="6"/>
  <c r="Y46" i="6"/>
  <c r="Y45" i="6" s="1"/>
  <c r="U46" i="6"/>
  <c r="U55" i="6" s="1"/>
  <c r="U44" i="6"/>
  <c r="M55" i="6"/>
  <c r="O55" i="6"/>
  <c r="R45" i="6"/>
  <c r="R50" i="6"/>
  <c r="S50" i="6" s="1"/>
  <c r="M49" i="6"/>
  <c r="L45" i="6"/>
  <c r="L49" i="6"/>
  <c r="M48" i="6"/>
  <c r="Q49" i="6"/>
  <c r="O48" i="6"/>
  <c r="N49" i="6"/>
  <c r="S46" i="6"/>
  <c r="O49" i="6"/>
  <c r="O47" i="6"/>
  <c r="P49" i="6"/>
  <c r="N48" i="6"/>
  <c r="M47" i="6"/>
  <c r="N47" i="6"/>
  <c r="L48" i="6"/>
  <c r="L47" i="6"/>
  <c r="J48" i="6" l="1"/>
  <c r="AZ23" i="6"/>
  <c r="BA23" i="6" s="1"/>
  <c r="D22" i="14" s="1"/>
  <c r="X55" i="6"/>
  <c r="Y55" i="6"/>
  <c r="W55" i="6"/>
  <c r="V55" i="6"/>
  <c r="AR55" i="6"/>
  <c r="P48" i="6"/>
  <c r="Q48" i="6" s="1"/>
  <c r="S48" i="6" s="1"/>
  <c r="S55" i="6"/>
  <c r="P47" i="6"/>
  <c r="Q47" i="6" s="1"/>
  <c r="AJ55" i="6"/>
  <c r="AJ44" i="6"/>
  <c r="AJ46" i="6"/>
  <c r="AH44" i="6"/>
  <c r="AH46" i="6"/>
  <c r="AH45" i="6" s="1"/>
  <c r="AE44" i="6"/>
  <c r="AE46" i="6"/>
  <c r="AE45" i="6" s="1"/>
  <c r="AG44" i="6"/>
  <c r="AG46" i="6"/>
  <c r="AG45" i="6" s="1"/>
  <c r="AI55" i="6"/>
  <c r="AI44" i="6"/>
  <c r="AI46" i="6"/>
  <c r="AI45" i="6" s="1"/>
  <c r="S49" i="6"/>
  <c r="AB44" i="6"/>
  <c r="AA45" i="6"/>
  <c r="AA50" i="6"/>
  <c r="AB50" i="6" s="1"/>
  <c r="AF44" i="6"/>
  <c r="AF46" i="6"/>
  <c r="AF45" i="6" s="1"/>
  <c r="AD46" i="6"/>
  <c r="AD55" i="6" s="1"/>
  <c r="AD44" i="6"/>
  <c r="S45" i="6"/>
  <c r="W49" i="6"/>
  <c r="W47" i="6"/>
  <c r="U45" i="6"/>
  <c r="X49" i="6"/>
  <c r="V48" i="6"/>
  <c r="AB46" i="6"/>
  <c r="V47" i="6"/>
  <c r="V49" i="6"/>
  <c r="Y49" i="6"/>
  <c r="Z49" i="6"/>
  <c r="X48" i="6"/>
  <c r="W48" i="6"/>
  <c r="X47" i="6"/>
  <c r="U49" i="6"/>
  <c r="U47" i="6"/>
  <c r="U48" i="6"/>
  <c r="D21" i="14" l="1"/>
  <c r="K59" i="6"/>
  <c r="AF55" i="6"/>
  <c r="AG55" i="6"/>
  <c r="AH55" i="6"/>
  <c r="AE55" i="6"/>
  <c r="Y47" i="6"/>
  <c r="Z47" i="6" s="1"/>
  <c r="Y48" i="6"/>
  <c r="Z48" i="6" s="1"/>
  <c r="AB48" i="6" s="1"/>
  <c r="AB55" i="6"/>
  <c r="AR44" i="6"/>
  <c r="AR46" i="6"/>
  <c r="AR45" i="6" s="1"/>
  <c r="AS46" i="6"/>
  <c r="AS55" i="6"/>
  <c r="AS44" i="6"/>
  <c r="AB45" i="6"/>
  <c r="AK44" i="6"/>
  <c r="AN44" i="6"/>
  <c r="AN46" i="6"/>
  <c r="AN45" i="6" s="1"/>
  <c r="AJ45" i="6"/>
  <c r="AJ50" i="6"/>
  <c r="AK50" i="6" s="1"/>
  <c r="AP44" i="6"/>
  <c r="AP46" i="6"/>
  <c r="AP45" i="6" s="1"/>
  <c r="AO44" i="6"/>
  <c r="AO46" i="6"/>
  <c r="AO45" i="6" s="1"/>
  <c r="AG49" i="6"/>
  <c r="AH49" i="6"/>
  <c r="AF47" i="6"/>
  <c r="AG47" i="6"/>
  <c r="AE49" i="6"/>
  <c r="AI49" i="6"/>
  <c r="AK46" i="6"/>
  <c r="AE48" i="6"/>
  <c r="AF49" i="6"/>
  <c r="AE47" i="6"/>
  <c r="AG48" i="6"/>
  <c r="AF48" i="6"/>
  <c r="AD49" i="6"/>
  <c r="AD47" i="6"/>
  <c r="AD48" i="6"/>
  <c r="AD45" i="6"/>
  <c r="AB49" i="6"/>
  <c r="S47" i="6"/>
  <c r="AM44" i="6"/>
  <c r="AM46" i="6"/>
  <c r="AM55" i="6" s="1"/>
  <c r="AQ44" i="6"/>
  <c r="AQ46" i="6"/>
  <c r="AQ45" i="6" s="1"/>
  <c r="T59" i="6" l="1"/>
  <c r="AO55" i="6"/>
  <c r="AN55" i="6"/>
  <c r="AQ55" i="6"/>
  <c r="AP55" i="6"/>
  <c r="AK55" i="6"/>
  <c r="AB47" i="6"/>
  <c r="AH47" i="6"/>
  <c r="AI47" i="6" s="1"/>
  <c r="AK47" i="6" s="1"/>
  <c r="E64" i="6"/>
  <c r="E63" i="6" s="1"/>
  <c r="E62" i="6"/>
  <c r="G64" i="6"/>
  <c r="G63" i="6" s="1"/>
  <c r="G62" i="6"/>
  <c r="AS50" i="6"/>
  <c r="AT50" i="6" s="1"/>
  <c r="AY50" i="6" s="1"/>
  <c r="E15" i="14" s="1"/>
  <c r="AS45" i="6"/>
  <c r="F64" i="6"/>
  <c r="F63" i="6" s="1"/>
  <c r="F62" i="6"/>
  <c r="D62" i="6"/>
  <c r="D64" i="6"/>
  <c r="C64" i="6"/>
  <c r="C62" i="6"/>
  <c r="AK45" i="6"/>
  <c r="AP48" i="6"/>
  <c r="AS49" i="6"/>
  <c r="AO48" i="6"/>
  <c r="AR49" i="6"/>
  <c r="AT46" i="6"/>
  <c r="AY46" i="6" s="1"/>
  <c r="E11" i="14" s="1"/>
  <c r="AP49" i="6"/>
  <c r="AQ49" i="6"/>
  <c r="AN48" i="6"/>
  <c r="AO49" i="6"/>
  <c r="AN49" i="6"/>
  <c r="AO47" i="6"/>
  <c r="AP47" i="6"/>
  <c r="AN47" i="6"/>
  <c r="AM49" i="6"/>
  <c r="AM48" i="6"/>
  <c r="AM47" i="6"/>
  <c r="AM45" i="6"/>
  <c r="AT44" i="6"/>
  <c r="AY44" i="6" s="1"/>
  <c r="E9" i="14" s="1"/>
  <c r="AH48" i="6"/>
  <c r="AI48" i="6" s="1"/>
  <c r="H62" i="6"/>
  <c r="H73" i="6"/>
  <c r="H64" i="6"/>
  <c r="AK49" i="6"/>
  <c r="I73" i="6"/>
  <c r="I62" i="6"/>
  <c r="I64" i="6"/>
  <c r="AC59" i="6" l="1"/>
  <c r="AT55" i="6"/>
  <c r="AY55" i="6" s="1"/>
  <c r="E20" i="14" s="1"/>
  <c r="E8" i="14" s="1"/>
  <c r="AQ47" i="6"/>
  <c r="AQ48" i="6"/>
  <c r="AR48" i="6" s="1"/>
  <c r="C63" i="6"/>
  <c r="C67" i="6"/>
  <c r="C66" i="6"/>
  <c r="C65" i="6"/>
  <c r="D66" i="6"/>
  <c r="D65" i="6"/>
  <c r="F66" i="6"/>
  <c r="F67" i="6"/>
  <c r="F65" i="6"/>
  <c r="G67" i="6"/>
  <c r="E67" i="6"/>
  <c r="D67" i="6"/>
  <c r="E66" i="6"/>
  <c r="AT45" i="6"/>
  <c r="AY45" i="6" s="1"/>
  <c r="E10" i="14" s="1"/>
  <c r="E65" i="6"/>
  <c r="D63" i="6"/>
  <c r="D73" i="6"/>
  <c r="F73" i="6"/>
  <c r="E73" i="6"/>
  <c r="C73" i="6"/>
  <c r="G73" i="6"/>
  <c r="L64" i="6"/>
  <c r="L73" i="6" s="1"/>
  <c r="L62" i="6"/>
  <c r="AK48" i="6"/>
  <c r="O62" i="6"/>
  <c r="O64" i="6"/>
  <c r="O63" i="6" s="1"/>
  <c r="P62" i="6"/>
  <c r="P64" i="6"/>
  <c r="P63" i="6" s="1"/>
  <c r="R73" i="6"/>
  <c r="R62" i="6"/>
  <c r="R64" i="6"/>
  <c r="J62" i="6"/>
  <c r="Q73" i="6"/>
  <c r="Q62" i="6"/>
  <c r="Q64" i="6"/>
  <c r="Q63" i="6" s="1"/>
  <c r="M62" i="6"/>
  <c r="M64" i="6"/>
  <c r="M63" i="6" s="1"/>
  <c r="H63" i="6"/>
  <c r="J64" i="6"/>
  <c r="H67" i="6"/>
  <c r="I63" i="6"/>
  <c r="I68" i="6"/>
  <c r="J68" i="6" s="1"/>
  <c r="N62" i="6"/>
  <c r="N64" i="6"/>
  <c r="N63" i="6" s="1"/>
  <c r="AT49" i="6"/>
  <c r="AY49" i="6" s="1"/>
  <c r="E14" i="14" s="1"/>
  <c r="AL59" i="6" l="1"/>
  <c r="G65" i="6"/>
  <c r="H65" i="6" s="1"/>
  <c r="J65" i="6" s="1"/>
  <c r="N73" i="6"/>
  <c r="AS48" i="6"/>
  <c r="AT48" i="6" s="1"/>
  <c r="AY48" i="6" s="1"/>
  <c r="M73" i="6"/>
  <c r="AR47" i="6"/>
  <c r="AS47" i="6" s="1"/>
  <c r="P73" i="6"/>
  <c r="O73" i="6"/>
  <c r="G66" i="6"/>
  <c r="H66" i="6" s="1"/>
  <c r="J73" i="6"/>
  <c r="J67" i="6"/>
  <c r="J63" i="6"/>
  <c r="X62" i="6"/>
  <c r="X64" i="6"/>
  <c r="X63" i="6" s="1"/>
  <c r="S62" i="6"/>
  <c r="V62" i="6"/>
  <c r="V64" i="6"/>
  <c r="V63" i="6" s="1"/>
  <c r="Z62" i="6"/>
  <c r="Z73" i="6"/>
  <c r="Z64" i="6"/>
  <c r="Z63" i="6" s="1"/>
  <c r="P67" i="6"/>
  <c r="N67" i="6"/>
  <c r="M67" i="6"/>
  <c r="S64" i="6"/>
  <c r="O67" i="6"/>
  <c r="O66" i="6"/>
  <c r="O65" i="6"/>
  <c r="N66" i="6"/>
  <c r="N65" i="6"/>
  <c r="M66" i="6"/>
  <c r="M65" i="6"/>
  <c r="Q67" i="6"/>
  <c r="L65" i="6"/>
  <c r="L66" i="6"/>
  <c r="L67" i="6"/>
  <c r="L63" i="6"/>
  <c r="W62" i="6"/>
  <c r="W64" i="6"/>
  <c r="W63" i="6" s="1"/>
  <c r="U62" i="6"/>
  <c r="U64" i="6"/>
  <c r="U73" i="6" s="1"/>
  <c r="R63" i="6"/>
  <c r="R68" i="6"/>
  <c r="S68" i="6" s="1"/>
  <c r="Y62" i="6"/>
  <c r="Y64" i="6"/>
  <c r="Y63" i="6" s="1"/>
  <c r="AA73" i="6"/>
  <c r="AA62" i="6"/>
  <c r="AA64" i="6"/>
  <c r="AU59" i="6" l="1"/>
  <c r="W73" i="6"/>
  <c r="Y73" i="6"/>
  <c r="V73" i="6"/>
  <c r="X73" i="6"/>
  <c r="P65" i="6"/>
  <c r="S73" i="6"/>
  <c r="P66" i="6"/>
  <c r="Q66" i="6" s="1"/>
  <c r="S66" i="6" s="1"/>
  <c r="AT47" i="6"/>
  <c r="AY47" i="6" s="1"/>
  <c r="E12" i="14" s="1"/>
  <c r="Q65" i="6"/>
  <c r="J66" i="6"/>
  <c r="AE62" i="6"/>
  <c r="AE64" i="6"/>
  <c r="AE63" i="6" s="1"/>
  <c r="AD62" i="6"/>
  <c r="AD64" i="6"/>
  <c r="AD73" i="6" s="1"/>
  <c r="X66" i="6"/>
  <c r="V66" i="6"/>
  <c r="V67" i="6"/>
  <c r="W67" i="6"/>
  <c r="W65" i="6"/>
  <c r="X67" i="6"/>
  <c r="Y67" i="6"/>
  <c r="X65" i="6"/>
  <c r="AB64" i="6"/>
  <c r="V65" i="6"/>
  <c r="W66" i="6"/>
  <c r="Z67" i="6"/>
  <c r="U63" i="6"/>
  <c r="U66" i="6"/>
  <c r="U65" i="6"/>
  <c r="U67" i="6"/>
  <c r="AJ62" i="6"/>
  <c r="AJ73" i="6"/>
  <c r="AJ64" i="6"/>
  <c r="AB62" i="6"/>
  <c r="AG62" i="6"/>
  <c r="AG64" i="6"/>
  <c r="AG63" i="6" s="1"/>
  <c r="S63" i="6"/>
  <c r="E13" i="14"/>
  <c r="AZ41" i="6"/>
  <c r="AI62" i="6"/>
  <c r="AI73" i="6"/>
  <c r="AI64" i="6"/>
  <c r="AI63" i="6" s="1"/>
  <c r="S67" i="6"/>
  <c r="AH64" i="6"/>
  <c r="AH63" i="6" s="1"/>
  <c r="AH62" i="6"/>
  <c r="AA63" i="6"/>
  <c r="AA68" i="6"/>
  <c r="AB68" i="6" s="1"/>
  <c r="AF62" i="6"/>
  <c r="AF64" i="6"/>
  <c r="AF63" i="6" s="1"/>
  <c r="B77" i="6" l="1"/>
  <c r="AF73" i="6"/>
  <c r="AH73" i="6"/>
  <c r="AG73" i="6"/>
  <c r="AE73" i="6"/>
  <c r="AB73" i="6"/>
  <c r="S65" i="6"/>
  <c r="Y66" i="6"/>
  <c r="Z66" i="6" s="1"/>
  <c r="AB66" i="6" s="1"/>
  <c r="Y65" i="6"/>
  <c r="Z65" i="6" s="1"/>
  <c r="AB65" i="6" s="1"/>
  <c r="AB63" i="6"/>
  <c r="AN62" i="6"/>
  <c r="AN64" i="6"/>
  <c r="AN63" i="6" s="1"/>
  <c r="AG66" i="6"/>
  <c r="AH67" i="6"/>
  <c r="AE66" i="6"/>
  <c r="AF65" i="6"/>
  <c r="AE65" i="6"/>
  <c r="AI67" i="6"/>
  <c r="AG65" i="6"/>
  <c r="AF67" i="6"/>
  <c r="AG67" i="6"/>
  <c r="AK64" i="6"/>
  <c r="AF66" i="6"/>
  <c r="AE67" i="6"/>
  <c r="AD65" i="6"/>
  <c r="AD66" i="6"/>
  <c r="AD63" i="6"/>
  <c r="AD67" i="6"/>
  <c r="AO62" i="6"/>
  <c r="AO64" i="6"/>
  <c r="AO63" i="6" s="1"/>
  <c r="AJ63" i="6"/>
  <c r="AJ68" i="6"/>
  <c r="AK68" i="6" s="1"/>
  <c r="AQ62" i="6"/>
  <c r="AQ64" i="6"/>
  <c r="AQ63" i="6" s="1"/>
  <c r="E21" i="14"/>
  <c r="BA41" i="6"/>
  <c r="E22" i="14" s="1"/>
  <c r="AK62" i="6"/>
  <c r="AP62" i="6"/>
  <c r="AP64" i="6"/>
  <c r="AP63" i="6" s="1"/>
  <c r="AM64" i="6"/>
  <c r="AM62" i="6"/>
  <c r="AB67" i="6"/>
  <c r="AR62" i="6"/>
  <c r="AR73" i="6"/>
  <c r="AR64" i="6"/>
  <c r="AR63" i="6" s="1"/>
  <c r="AS62" i="6"/>
  <c r="AS73" i="6"/>
  <c r="AS64" i="6"/>
  <c r="K77" i="6" l="1"/>
  <c r="T77" i="6" s="1"/>
  <c r="AV62" i="6"/>
  <c r="AX62" i="6" s="1"/>
  <c r="AV64" i="6"/>
  <c r="I82" i="6"/>
  <c r="H91" i="6"/>
  <c r="E80" i="6"/>
  <c r="F80" i="6"/>
  <c r="D82" i="6"/>
  <c r="D81" i="6" s="1"/>
  <c r="G82" i="6"/>
  <c r="G81" i="6" s="1"/>
  <c r="AK73" i="6"/>
  <c r="AH65" i="6"/>
  <c r="AI65" i="6" s="1"/>
  <c r="AK65" i="6" s="1"/>
  <c r="AH66" i="6"/>
  <c r="AI66" i="6" s="1"/>
  <c r="AK66" i="6" s="1"/>
  <c r="AM73" i="6"/>
  <c r="AS67" i="6"/>
  <c r="AP73" i="6"/>
  <c r="I80" i="6"/>
  <c r="AT62" i="6"/>
  <c r="AO66" i="6"/>
  <c r="AP66" i="6"/>
  <c r="AR67" i="6"/>
  <c r="AP67" i="6"/>
  <c r="AN67" i="6"/>
  <c r="AO67" i="6"/>
  <c r="AQ67" i="6"/>
  <c r="AN66" i="6"/>
  <c r="AN65" i="6"/>
  <c r="AT64" i="6"/>
  <c r="AP65" i="6"/>
  <c r="AO65" i="6"/>
  <c r="AM67" i="6"/>
  <c r="AM63" i="6"/>
  <c r="AM65" i="6"/>
  <c r="AM66" i="6"/>
  <c r="AN73" i="6"/>
  <c r="AS63" i="6"/>
  <c r="AS68" i="6"/>
  <c r="AT68" i="6" s="1"/>
  <c r="AY68" i="6" s="1"/>
  <c r="F15" i="14" s="1"/>
  <c r="AO73" i="6"/>
  <c r="AQ73" i="6"/>
  <c r="AK67" i="6"/>
  <c r="C82" i="6"/>
  <c r="C91" i="6"/>
  <c r="C80" i="6"/>
  <c r="AK63" i="6"/>
  <c r="Q91" i="6" l="1"/>
  <c r="M82" i="6"/>
  <c r="M81" i="6" s="1"/>
  <c r="L80" i="6"/>
  <c r="O80" i="6"/>
  <c r="N82" i="6"/>
  <c r="N81" i="6" s="1"/>
  <c r="P80" i="6"/>
  <c r="R91" i="6"/>
  <c r="D80" i="6"/>
  <c r="E82" i="6"/>
  <c r="E81" i="6" s="1"/>
  <c r="AY62" i="6"/>
  <c r="F9" i="14" s="1"/>
  <c r="I91" i="6"/>
  <c r="F82" i="6"/>
  <c r="F81" i="6" s="1"/>
  <c r="H80" i="6"/>
  <c r="G80" i="6"/>
  <c r="H82" i="6"/>
  <c r="H81" i="6" s="1"/>
  <c r="AV73" i="6"/>
  <c r="AX73" i="6" s="1"/>
  <c r="AW66" i="6"/>
  <c r="AW67" i="6"/>
  <c r="AV66" i="6"/>
  <c r="AV63" i="6"/>
  <c r="AX63" i="6" s="1"/>
  <c r="AV65" i="6"/>
  <c r="AW65" i="6"/>
  <c r="AV67" i="6"/>
  <c r="AX64" i="6"/>
  <c r="AY64" i="6" s="1"/>
  <c r="F11" i="14" s="1"/>
  <c r="AC77" i="6"/>
  <c r="AW82" i="6"/>
  <c r="AW81" i="6" s="1"/>
  <c r="AW91" i="6"/>
  <c r="AW80" i="6"/>
  <c r="G91" i="6"/>
  <c r="F91" i="6"/>
  <c r="D91" i="6"/>
  <c r="E91" i="6"/>
  <c r="AQ66" i="6"/>
  <c r="AR66" i="6" s="1"/>
  <c r="AT73" i="6"/>
  <c r="AT63" i="6"/>
  <c r="I81" i="6"/>
  <c r="I86" i="6"/>
  <c r="J86" i="6" s="1"/>
  <c r="Q80" i="6"/>
  <c r="Q82" i="6"/>
  <c r="Q81" i="6" s="1"/>
  <c r="AQ65" i="6"/>
  <c r="AR65" i="6" s="1"/>
  <c r="AT67" i="6"/>
  <c r="L82" i="6"/>
  <c r="L91" i="6" s="1"/>
  <c r="D83" i="6"/>
  <c r="D85" i="6"/>
  <c r="D84" i="6"/>
  <c r="C81" i="6"/>
  <c r="C85" i="6"/>
  <c r="C83" i="6"/>
  <c r="C84" i="6"/>
  <c r="N80" i="6"/>
  <c r="M80" i="6" l="1"/>
  <c r="J80" i="6"/>
  <c r="O82" i="6"/>
  <c r="O81" i="6" s="1"/>
  <c r="P82" i="6"/>
  <c r="P81" i="6" s="1"/>
  <c r="R80" i="6"/>
  <c r="S80" i="6" s="1"/>
  <c r="E85" i="6"/>
  <c r="R82" i="6"/>
  <c r="R81" i="6" s="1"/>
  <c r="E84" i="6"/>
  <c r="F84" i="6"/>
  <c r="F85" i="6"/>
  <c r="E83" i="6"/>
  <c r="G85" i="6"/>
  <c r="F83" i="6"/>
  <c r="J82" i="6"/>
  <c r="H85" i="6"/>
  <c r="AY63" i="6"/>
  <c r="F10" i="14" s="1"/>
  <c r="AY73" i="6"/>
  <c r="F20" i="14" s="1"/>
  <c r="F8" i="14" s="1"/>
  <c r="AX65" i="6"/>
  <c r="AL77" i="6"/>
  <c r="AX67" i="6"/>
  <c r="AY67" i="6" s="1"/>
  <c r="F14" i="14" s="1"/>
  <c r="AX66" i="6"/>
  <c r="G84" i="6"/>
  <c r="H84" i="6" s="1"/>
  <c r="G83" i="6"/>
  <c r="H83" i="6" s="1"/>
  <c r="AV82" i="6"/>
  <c r="AV91" i="6" s="1"/>
  <c r="AX91" i="6" s="1"/>
  <c r="AV80" i="6"/>
  <c r="AX80" i="6" s="1"/>
  <c r="AS65" i="6"/>
  <c r="AT65" i="6" s="1"/>
  <c r="AS66" i="6"/>
  <c r="AT66" i="6" s="1"/>
  <c r="N91" i="6"/>
  <c r="M91" i="6"/>
  <c r="O91" i="6"/>
  <c r="P91" i="6"/>
  <c r="J91" i="6"/>
  <c r="J81" i="6"/>
  <c r="V80" i="6"/>
  <c r="V82" i="6"/>
  <c r="V81" i="6" s="1"/>
  <c r="U80" i="6"/>
  <c r="U82" i="6"/>
  <c r="U91" i="6" s="1"/>
  <c r="R86" i="6"/>
  <c r="S86" i="6" s="1"/>
  <c r="Z80" i="6"/>
  <c r="Z91" i="6"/>
  <c r="Z82" i="6"/>
  <c r="Z81" i="6" s="1"/>
  <c r="M84" i="6"/>
  <c r="M83" i="6"/>
  <c r="O85" i="6"/>
  <c r="M85" i="6"/>
  <c r="N83" i="6"/>
  <c r="N85" i="6"/>
  <c r="N84" i="6"/>
  <c r="L85" i="6"/>
  <c r="L83" i="6"/>
  <c r="L81" i="6"/>
  <c r="L84" i="6"/>
  <c r="AA80" i="6"/>
  <c r="AA91" i="6"/>
  <c r="AA82" i="6"/>
  <c r="Y80" i="6"/>
  <c r="Y82" i="6"/>
  <c r="Y81" i="6" s="1"/>
  <c r="X80" i="6"/>
  <c r="X82" i="6"/>
  <c r="X81" i="6" s="1"/>
  <c r="W82" i="6"/>
  <c r="W81" i="6" s="1"/>
  <c r="W80" i="6"/>
  <c r="O84" i="6" l="1"/>
  <c r="O83" i="6"/>
  <c r="P85" i="6"/>
  <c r="Q85" i="6"/>
  <c r="AY65" i="6"/>
  <c r="F12" i="14" s="1"/>
  <c r="J85" i="6"/>
  <c r="S82" i="6"/>
  <c r="J84" i="6"/>
  <c r="J83" i="6"/>
  <c r="AY66" i="6"/>
  <c r="AZ59" i="6" s="1"/>
  <c r="BA59" i="6" s="1"/>
  <c r="F22" i="14" s="1"/>
  <c r="AP80" i="6"/>
  <c r="AU77" i="6"/>
  <c r="B95" i="6" s="1"/>
  <c r="AX82" i="6"/>
  <c r="AV84" i="6"/>
  <c r="AV81" i="6"/>
  <c r="AX81" i="6" s="1"/>
  <c r="AW85" i="6"/>
  <c r="AW83" i="6"/>
  <c r="AV85" i="6"/>
  <c r="AV83" i="6"/>
  <c r="AW84" i="6"/>
  <c r="W91" i="6"/>
  <c r="V91" i="6"/>
  <c r="Y91" i="6"/>
  <c r="X91" i="6"/>
  <c r="S91" i="6"/>
  <c r="P84" i="6"/>
  <c r="Q84" i="6" s="1"/>
  <c r="S84" i="6" s="1"/>
  <c r="S81" i="6"/>
  <c r="P83" i="6"/>
  <c r="Q83" i="6" s="1"/>
  <c r="AH82" i="6"/>
  <c r="AH81" i="6" s="1"/>
  <c r="AH80" i="6"/>
  <c r="AF80" i="6"/>
  <c r="AF82" i="6"/>
  <c r="AF81" i="6" s="1"/>
  <c r="AE80" i="6"/>
  <c r="AE82" i="6"/>
  <c r="AE81" i="6" s="1"/>
  <c r="V84" i="6"/>
  <c r="W83" i="6"/>
  <c r="X85" i="6"/>
  <c r="V83" i="6"/>
  <c r="X84" i="6"/>
  <c r="W84" i="6"/>
  <c r="W85" i="6"/>
  <c r="V85" i="6"/>
  <c r="X83" i="6"/>
  <c r="Y85" i="6"/>
  <c r="AB82" i="6"/>
  <c r="Z85" i="6"/>
  <c r="U81" i="6"/>
  <c r="U85" i="6"/>
  <c r="U84" i="6"/>
  <c r="U83" i="6"/>
  <c r="AD80" i="6"/>
  <c r="AD82" i="6"/>
  <c r="AD91" i="6" s="1"/>
  <c r="AB80" i="6"/>
  <c r="AG80" i="6"/>
  <c r="AG82" i="6"/>
  <c r="AG81" i="6" s="1"/>
  <c r="AI82" i="6"/>
  <c r="AI81" i="6" s="1"/>
  <c r="AI80" i="6"/>
  <c r="AI91" i="6"/>
  <c r="AA81" i="6"/>
  <c r="AA86" i="6"/>
  <c r="AB86" i="6" s="1"/>
  <c r="AJ80" i="6"/>
  <c r="AJ82" i="6"/>
  <c r="AJ91" i="6"/>
  <c r="S85" i="6" l="1"/>
  <c r="F21" i="14"/>
  <c r="F13" i="14"/>
  <c r="AS91" i="6"/>
  <c r="AS82" i="6"/>
  <c r="AS80" i="6"/>
  <c r="AR80" i="6"/>
  <c r="AR91" i="6"/>
  <c r="AR82" i="6"/>
  <c r="AR81" i="6" s="1"/>
  <c r="AX83" i="6"/>
  <c r="AX85" i="6"/>
  <c r="AX84" i="6"/>
  <c r="K95" i="6"/>
  <c r="AB91" i="6"/>
  <c r="Y83" i="6"/>
  <c r="Z83" i="6" s="1"/>
  <c r="Y84" i="6"/>
  <c r="Z84" i="6" s="1"/>
  <c r="S83" i="6"/>
  <c r="AP82" i="6"/>
  <c r="AP81" i="6" s="1"/>
  <c r="AQ82" i="6"/>
  <c r="AQ81" i="6" s="1"/>
  <c r="AQ91" i="6"/>
  <c r="AQ80" i="6"/>
  <c r="AH91" i="6"/>
  <c r="AB81" i="6"/>
  <c r="AG91" i="6"/>
  <c r="AF91" i="6"/>
  <c r="AB85" i="6"/>
  <c r="AM80" i="6"/>
  <c r="AM82" i="6"/>
  <c r="AM91" i="6" s="1"/>
  <c r="AI85" i="6"/>
  <c r="AE83" i="6"/>
  <c r="AG83" i="6"/>
  <c r="AG84" i="6"/>
  <c r="AK82" i="6"/>
  <c r="AE84" i="6"/>
  <c r="AG85" i="6"/>
  <c r="AF84" i="6"/>
  <c r="AF83" i="6"/>
  <c r="AH85" i="6"/>
  <c r="AE85" i="6"/>
  <c r="AF85" i="6"/>
  <c r="AD83" i="6"/>
  <c r="AD85" i="6"/>
  <c r="AD84" i="6"/>
  <c r="AD81" i="6"/>
  <c r="AN80" i="6"/>
  <c r="AN82" i="6"/>
  <c r="AN81" i="6" s="1"/>
  <c r="AJ81" i="6"/>
  <c r="AJ86" i="6"/>
  <c r="AK86" i="6" s="1"/>
  <c r="AK80" i="6"/>
  <c r="AE91" i="6"/>
  <c r="AO80" i="6"/>
  <c r="AO82" i="6"/>
  <c r="AO81" i="6" s="1"/>
  <c r="C100" i="6" l="1"/>
  <c r="C109" i="6"/>
  <c r="C98" i="6"/>
  <c r="D98" i="6"/>
  <c r="D100" i="6"/>
  <c r="D99" i="6" s="1"/>
  <c r="D109" i="6"/>
  <c r="E98" i="6"/>
  <c r="E100" i="6"/>
  <c r="E99" i="6" s="1"/>
  <c r="E109" i="6"/>
  <c r="AS81" i="6"/>
  <c r="AS86" i="6"/>
  <c r="AT86" i="6" s="1"/>
  <c r="AY86" i="6" s="1"/>
  <c r="G15" i="14" s="1"/>
  <c r="T95" i="6"/>
  <c r="AB83" i="6"/>
  <c r="AB84" i="6"/>
  <c r="AN91" i="6"/>
  <c r="AO91" i="6"/>
  <c r="AP91" i="6"/>
  <c r="AH83" i="6"/>
  <c r="AI83" i="6" s="1"/>
  <c r="AK83" i="6" s="1"/>
  <c r="AK91" i="6"/>
  <c r="AH84" i="6"/>
  <c r="AI84" i="6" s="1"/>
  <c r="AK81" i="6"/>
  <c r="F98" i="6"/>
  <c r="F100" i="6"/>
  <c r="F109" i="6" s="1"/>
  <c r="H98" i="6"/>
  <c r="H109" i="6"/>
  <c r="H100" i="6"/>
  <c r="H99" i="6" s="1"/>
  <c r="I98" i="6"/>
  <c r="I109" i="6"/>
  <c r="I100" i="6"/>
  <c r="G98" i="6"/>
  <c r="G100" i="6"/>
  <c r="G99" i="6" s="1"/>
  <c r="AK85" i="6"/>
  <c r="AP83" i="6"/>
  <c r="AO85" i="6"/>
  <c r="AP85" i="6"/>
  <c r="AN84" i="6"/>
  <c r="AN83" i="6"/>
  <c r="AO84" i="6"/>
  <c r="AO83" i="6"/>
  <c r="AT82" i="6"/>
  <c r="AY82" i="6" s="1"/>
  <c r="G11" i="14" s="1"/>
  <c r="AR85" i="6"/>
  <c r="AP84" i="6"/>
  <c r="AS85" i="6"/>
  <c r="AQ85" i="6"/>
  <c r="AN85" i="6"/>
  <c r="AM83" i="6"/>
  <c r="AM81" i="6"/>
  <c r="AT81" i="6" s="1"/>
  <c r="AM84" i="6"/>
  <c r="AM85" i="6"/>
  <c r="AT80" i="6"/>
  <c r="AY80" i="6" s="1"/>
  <c r="G9" i="14" s="1"/>
  <c r="C101" i="6" l="1"/>
  <c r="D103" i="6"/>
  <c r="D101" i="6"/>
  <c r="E102" i="6"/>
  <c r="C99" i="6"/>
  <c r="E101" i="6"/>
  <c r="C102" i="6"/>
  <c r="E103" i="6"/>
  <c r="C103" i="6"/>
  <c r="D102" i="6"/>
  <c r="AC95" i="6"/>
  <c r="AQ84" i="6"/>
  <c r="AR84" i="6" s="1"/>
  <c r="AS84" i="6" s="1"/>
  <c r="AT84" i="6" s="1"/>
  <c r="AQ83" i="6"/>
  <c r="G109" i="6"/>
  <c r="J109" i="6" s="1"/>
  <c r="AK84" i="6"/>
  <c r="AT91" i="6"/>
  <c r="AY91" i="6" s="1"/>
  <c r="G20" i="14" s="1"/>
  <c r="G8" i="14" s="1"/>
  <c r="AY81" i="6"/>
  <c r="G10" i="14" s="1"/>
  <c r="P98" i="6"/>
  <c r="P100" i="6"/>
  <c r="P99" i="6" s="1"/>
  <c r="N98" i="6"/>
  <c r="N100" i="6"/>
  <c r="N99" i="6" s="1"/>
  <c r="R109" i="6"/>
  <c r="R98" i="6"/>
  <c r="R100" i="6"/>
  <c r="I99" i="6"/>
  <c r="I104" i="6"/>
  <c r="J104" i="6" s="1"/>
  <c r="L98" i="6"/>
  <c r="L100" i="6"/>
  <c r="L109" i="6" s="1"/>
  <c r="G103" i="6"/>
  <c r="H103" i="6"/>
  <c r="G101" i="6"/>
  <c r="F99" i="6"/>
  <c r="J100" i="6"/>
  <c r="F101" i="6"/>
  <c r="H101" i="6" s="1"/>
  <c r="F102" i="6"/>
  <c r="G102" i="6" s="1"/>
  <c r="F103" i="6"/>
  <c r="M98" i="6"/>
  <c r="M100" i="6"/>
  <c r="M99" i="6" s="1"/>
  <c r="J98" i="6"/>
  <c r="AT85" i="6"/>
  <c r="AY85" i="6" s="1"/>
  <c r="G14" i="14" s="1"/>
  <c r="O98" i="6"/>
  <c r="O100" i="6"/>
  <c r="O99" i="6" s="1"/>
  <c r="Q98" i="6"/>
  <c r="Q109" i="6"/>
  <c r="Q100" i="6"/>
  <c r="Q99" i="6" s="1"/>
  <c r="H102" i="6" l="1"/>
  <c r="J102" i="6" s="1"/>
  <c r="AL95" i="6"/>
  <c r="AR83" i="6"/>
  <c r="M109" i="6"/>
  <c r="P109" i="6"/>
  <c r="O109" i="6"/>
  <c r="N109" i="6"/>
  <c r="AY84" i="6"/>
  <c r="G13" i="14" s="1"/>
  <c r="AA109" i="6"/>
  <c r="AA98" i="6"/>
  <c r="AA100" i="6"/>
  <c r="J103" i="6"/>
  <c r="Y98" i="6"/>
  <c r="Y100" i="6"/>
  <c r="Y99" i="6" s="1"/>
  <c r="R99" i="6"/>
  <c r="R104" i="6"/>
  <c r="S104" i="6" s="1"/>
  <c r="Z109" i="6"/>
  <c r="Z98" i="6"/>
  <c r="Z100" i="6"/>
  <c r="Z99" i="6" s="1"/>
  <c r="J101" i="6"/>
  <c r="V98" i="6"/>
  <c r="V100" i="6"/>
  <c r="V99" i="6" s="1"/>
  <c r="P103" i="6"/>
  <c r="O102" i="6"/>
  <c r="N103" i="6"/>
  <c r="O101" i="6"/>
  <c r="M101" i="6"/>
  <c r="O103" i="6"/>
  <c r="M103" i="6"/>
  <c r="S100" i="6"/>
  <c r="N101" i="6"/>
  <c r="N102" i="6"/>
  <c r="Q103" i="6"/>
  <c r="M102" i="6"/>
  <c r="L101" i="6"/>
  <c r="L102" i="6"/>
  <c r="L103" i="6"/>
  <c r="L99" i="6"/>
  <c r="U98" i="6"/>
  <c r="U100" i="6"/>
  <c r="J99" i="6"/>
  <c r="X98" i="6"/>
  <c r="X100" i="6"/>
  <c r="X99" i="6" s="1"/>
  <c r="W98" i="6"/>
  <c r="W100" i="6"/>
  <c r="W99" i="6" s="1"/>
  <c r="S98" i="6"/>
  <c r="AU95" i="6" l="1"/>
  <c r="B113" i="6" s="1"/>
  <c r="AR109" i="6"/>
  <c r="AS83" i="6"/>
  <c r="AT83" i="6" s="1"/>
  <c r="AY83" i="6" s="1"/>
  <c r="G12" i="14" s="1"/>
  <c r="S109" i="6"/>
  <c r="P102" i="6"/>
  <c r="Q102" i="6" s="1"/>
  <c r="S102" i="6" s="1"/>
  <c r="P101" i="6"/>
  <c r="Q101" i="6" s="1"/>
  <c r="S101" i="6" s="1"/>
  <c r="AZ77" i="6"/>
  <c r="G21" i="14" s="1"/>
  <c r="S99" i="6"/>
  <c r="AB98" i="6"/>
  <c r="AE98" i="6"/>
  <c r="AE100" i="6"/>
  <c r="AE99" i="6" s="1"/>
  <c r="AJ109" i="6"/>
  <c r="AJ98" i="6"/>
  <c r="AJ100" i="6"/>
  <c r="W109" i="6"/>
  <c r="AD100" i="6"/>
  <c r="AD109" i="6" s="1"/>
  <c r="AD98" i="6"/>
  <c r="AA99" i="6"/>
  <c r="AA104" i="6"/>
  <c r="AB104" i="6" s="1"/>
  <c r="AH98" i="6"/>
  <c r="AH100" i="6"/>
  <c r="AH99" i="6" s="1"/>
  <c r="AG98" i="6"/>
  <c r="AG100" i="6"/>
  <c r="AG99" i="6" s="1"/>
  <c r="AB100" i="6"/>
  <c r="X103" i="6"/>
  <c r="Z103" i="6"/>
  <c r="W101" i="6"/>
  <c r="V102" i="6"/>
  <c r="W103" i="6"/>
  <c r="V103" i="6"/>
  <c r="X102" i="6"/>
  <c r="W102" i="6"/>
  <c r="X101" i="6"/>
  <c r="V101" i="6"/>
  <c r="Y103" i="6"/>
  <c r="U99" i="6"/>
  <c r="U103" i="6"/>
  <c r="U101" i="6"/>
  <c r="U102" i="6"/>
  <c r="V109" i="6"/>
  <c r="AI98" i="6"/>
  <c r="AI100" i="6"/>
  <c r="AI99" i="6" s="1"/>
  <c r="AI109" i="6"/>
  <c r="U109" i="6"/>
  <c r="X109" i="6"/>
  <c r="AF98" i="6"/>
  <c r="AF100" i="6"/>
  <c r="AF99" i="6" s="1"/>
  <c r="Y109" i="6"/>
  <c r="S103" i="6"/>
  <c r="BA77" i="6" l="1"/>
  <c r="G22" i="14" s="1"/>
  <c r="K113" i="6"/>
  <c r="AF109" i="6"/>
  <c r="AH109" i="6"/>
  <c r="AE109" i="6"/>
  <c r="AG109" i="6"/>
  <c r="AR100" i="6"/>
  <c r="AR99" i="6" s="1"/>
  <c r="AR98" i="6"/>
  <c r="AS98" i="6"/>
  <c r="AS109" i="6"/>
  <c r="AS100" i="6"/>
  <c r="Y101" i="6"/>
  <c r="Z101" i="6" s="1"/>
  <c r="AB101" i="6" s="1"/>
  <c r="Y102" i="6"/>
  <c r="Z102" i="6" s="1"/>
  <c r="AB102" i="6" s="1"/>
  <c r="AB99" i="6"/>
  <c r="AK98" i="6"/>
  <c r="AG101" i="6"/>
  <c r="AE101" i="6"/>
  <c r="AF103" i="6"/>
  <c r="AF102" i="6"/>
  <c r="AI103" i="6"/>
  <c r="AE103" i="6"/>
  <c r="AG102" i="6"/>
  <c r="AE102" i="6"/>
  <c r="AF101" i="6"/>
  <c r="AH103" i="6"/>
  <c r="AK100" i="6"/>
  <c r="AG103" i="6"/>
  <c r="AD103" i="6"/>
  <c r="AD101" i="6"/>
  <c r="AD99" i="6"/>
  <c r="AD102" i="6"/>
  <c r="AM98" i="6"/>
  <c r="AM100" i="6"/>
  <c r="AM109" i="6" s="1"/>
  <c r="AQ100" i="6"/>
  <c r="AQ99" i="6" s="1"/>
  <c r="AQ98" i="6"/>
  <c r="AB103" i="6"/>
  <c r="AJ99" i="6"/>
  <c r="AJ104" i="6"/>
  <c r="AK104" i="6" s="1"/>
  <c r="AO98" i="6"/>
  <c r="AO100" i="6"/>
  <c r="AO99" i="6" s="1"/>
  <c r="AB109" i="6"/>
  <c r="AP98" i="6"/>
  <c r="AP100" i="6"/>
  <c r="AP99" i="6" s="1"/>
  <c r="AN98" i="6"/>
  <c r="AN100" i="6"/>
  <c r="AN99" i="6" s="1"/>
  <c r="T113" i="6" l="1"/>
  <c r="C134" i="6"/>
  <c r="C136" i="6"/>
  <c r="C145" i="6"/>
  <c r="AP109" i="6"/>
  <c r="AO109" i="6"/>
  <c r="AN109" i="6"/>
  <c r="AQ109" i="6"/>
  <c r="AH102" i="6"/>
  <c r="AI102" i="6" s="1"/>
  <c r="AK102" i="6" s="1"/>
  <c r="AK109" i="6"/>
  <c r="AH101" i="6"/>
  <c r="AI101" i="6" s="1"/>
  <c r="D118" i="6"/>
  <c r="D116" i="6"/>
  <c r="G118" i="6"/>
  <c r="G117" i="6" s="1"/>
  <c r="G127" i="6"/>
  <c r="G116" i="6"/>
  <c r="AS99" i="6"/>
  <c r="AS104" i="6"/>
  <c r="AT104" i="6" s="1"/>
  <c r="AY104" i="6" s="1"/>
  <c r="H15" i="14" s="1"/>
  <c r="E118" i="6"/>
  <c r="E117" i="6" s="1"/>
  <c r="E127" i="6"/>
  <c r="E116" i="6"/>
  <c r="C118" i="6"/>
  <c r="C116" i="6"/>
  <c r="F116" i="6"/>
  <c r="F118" i="6"/>
  <c r="F117" i="6" s="1"/>
  <c r="F127" i="6"/>
  <c r="AK103" i="6"/>
  <c r="AO103" i="6"/>
  <c r="AT100" i="6"/>
  <c r="AY100" i="6" s="1"/>
  <c r="H11" i="14" s="1"/>
  <c r="AP102" i="6"/>
  <c r="AN101" i="6"/>
  <c r="AN102" i="6"/>
  <c r="AR103" i="6"/>
  <c r="AP103" i="6"/>
  <c r="AQ103" i="6"/>
  <c r="AO101" i="6"/>
  <c r="AP101" i="6"/>
  <c r="AN103" i="6"/>
  <c r="AS103" i="6"/>
  <c r="AO102" i="6"/>
  <c r="AM101" i="6"/>
  <c r="AM99" i="6"/>
  <c r="AM103" i="6"/>
  <c r="AM102" i="6"/>
  <c r="AT98" i="6"/>
  <c r="AY98" i="6" s="1"/>
  <c r="H9" i="14" s="1"/>
  <c r="H116" i="6"/>
  <c r="H118" i="6"/>
  <c r="H127" i="6"/>
  <c r="I116" i="6"/>
  <c r="I127" i="6"/>
  <c r="I118" i="6"/>
  <c r="AK99" i="6"/>
  <c r="AC113" i="6" l="1"/>
  <c r="C137" i="6"/>
  <c r="C139" i="6"/>
  <c r="C135" i="6"/>
  <c r="C138" i="6"/>
  <c r="AT109" i="6"/>
  <c r="AY109" i="6" s="1"/>
  <c r="H20" i="14" s="1"/>
  <c r="H8" i="14" s="1"/>
  <c r="AK101" i="6"/>
  <c r="AT99" i="6"/>
  <c r="C127" i="6"/>
  <c r="D121" i="6"/>
  <c r="E121" i="6"/>
  <c r="C117" i="6"/>
  <c r="C121" i="6"/>
  <c r="E120" i="6"/>
  <c r="C120" i="6"/>
  <c r="E119" i="6"/>
  <c r="D119" i="6"/>
  <c r="D120" i="6"/>
  <c r="C119" i="6"/>
  <c r="F119" i="6"/>
  <c r="G119" i="6" s="1"/>
  <c r="F120" i="6"/>
  <c r="G120" i="6" s="1"/>
  <c r="F121" i="6"/>
  <c r="G121" i="6"/>
  <c r="D127" i="6"/>
  <c r="D117" i="6"/>
  <c r="AQ101" i="6"/>
  <c r="AR101" i="6" s="1"/>
  <c r="J116" i="6"/>
  <c r="AY99" i="6"/>
  <c r="H10" i="14" s="1"/>
  <c r="AQ102" i="6"/>
  <c r="AR102" i="6" s="1"/>
  <c r="AS102" i="6" s="1"/>
  <c r="AT102" i="6" s="1"/>
  <c r="AY102" i="6" s="1"/>
  <c r="AS101" i="6"/>
  <c r="P116" i="6"/>
  <c r="P118" i="6"/>
  <c r="P117" i="6" s="1"/>
  <c r="R116" i="6"/>
  <c r="R127" i="6"/>
  <c r="R118" i="6"/>
  <c r="Q116" i="6"/>
  <c r="Q127" i="6"/>
  <c r="Q118" i="6"/>
  <c r="Q117" i="6" s="1"/>
  <c r="L116" i="6"/>
  <c r="L118" i="6"/>
  <c r="L127" i="6" s="1"/>
  <c r="AT103" i="6"/>
  <c r="AY103" i="6" s="1"/>
  <c r="H14" i="14" s="1"/>
  <c r="M116" i="6"/>
  <c r="M118" i="6"/>
  <c r="M117" i="6" s="1"/>
  <c r="H117" i="6"/>
  <c r="H121" i="6"/>
  <c r="J118" i="6"/>
  <c r="H120" i="6"/>
  <c r="H119" i="6"/>
  <c r="I117" i="6"/>
  <c r="I122" i="6"/>
  <c r="J122" i="6" s="1"/>
  <c r="N116" i="6"/>
  <c r="N118" i="6"/>
  <c r="N117" i="6" s="1"/>
  <c r="O116" i="6"/>
  <c r="O118" i="6"/>
  <c r="O117" i="6" s="1"/>
  <c r="AL113" i="6" l="1"/>
  <c r="AT101" i="6"/>
  <c r="AY101" i="6" s="1"/>
  <c r="H12" i="14" s="1"/>
  <c r="J120" i="6"/>
  <c r="J127" i="6"/>
  <c r="J121" i="6"/>
  <c r="J119" i="6"/>
  <c r="N127" i="6"/>
  <c r="J117" i="6"/>
  <c r="H13" i="14"/>
  <c r="AZ95" i="6"/>
  <c r="V116" i="6"/>
  <c r="V118" i="6"/>
  <c r="V117" i="6" s="1"/>
  <c r="X116" i="6"/>
  <c r="X118" i="6"/>
  <c r="X117" i="6" s="1"/>
  <c r="O127" i="6"/>
  <c r="M127" i="6"/>
  <c r="U116" i="6"/>
  <c r="U118" i="6"/>
  <c r="U127" i="6" s="1"/>
  <c r="P127" i="6"/>
  <c r="W116" i="6"/>
  <c r="W118" i="6"/>
  <c r="W117" i="6" s="1"/>
  <c r="AA116" i="6"/>
  <c r="AA127" i="6"/>
  <c r="AA118" i="6"/>
  <c r="S118" i="6"/>
  <c r="O119" i="6"/>
  <c r="M121" i="6"/>
  <c r="O120" i="6"/>
  <c r="N120" i="6"/>
  <c r="M119" i="6"/>
  <c r="O121" i="6"/>
  <c r="N119" i="6"/>
  <c r="M120" i="6"/>
  <c r="Q121" i="6"/>
  <c r="N121" i="6"/>
  <c r="P121" i="6"/>
  <c r="L117" i="6"/>
  <c r="L119" i="6"/>
  <c r="L120" i="6"/>
  <c r="L121" i="6"/>
  <c r="Z127" i="6"/>
  <c r="Z116" i="6"/>
  <c r="Z118" i="6"/>
  <c r="Z117" i="6" s="1"/>
  <c r="R122" i="6"/>
  <c r="S122" i="6" s="1"/>
  <c r="R117" i="6"/>
  <c r="S116" i="6"/>
  <c r="Y116" i="6"/>
  <c r="Y118" i="6"/>
  <c r="Y117" i="6" s="1"/>
  <c r="AU113" i="6" l="1"/>
  <c r="V127" i="6"/>
  <c r="Y127" i="6"/>
  <c r="W127" i="6"/>
  <c r="X127" i="6"/>
  <c r="S127" i="6"/>
  <c r="P119" i="6"/>
  <c r="Q119" i="6" s="1"/>
  <c r="S121" i="6"/>
  <c r="V120" i="6"/>
  <c r="Y121" i="6"/>
  <c r="AB118" i="6"/>
  <c r="X119" i="6"/>
  <c r="V119" i="6"/>
  <c r="Z121" i="6"/>
  <c r="W119" i="6"/>
  <c r="V121" i="6"/>
  <c r="W121" i="6"/>
  <c r="X120" i="6"/>
  <c r="X121" i="6"/>
  <c r="W120" i="6"/>
  <c r="U120" i="6"/>
  <c r="U121" i="6"/>
  <c r="U119" i="6"/>
  <c r="U117" i="6"/>
  <c r="AE116" i="6"/>
  <c r="AE118" i="6"/>
  <c r="AE117" i="6" s="1"/>
  <c r="AB116" i="6"/>
  <c r="AF116" i="6"/>
  <c r="AF118" i="6"/>
  <c r="AF117" i="6" s="1"/>
  <c r="AG116" i="6"/>
  <c r="AG118" i="6"/>
  <c r="AG117" i="6" s="1"/>
  <c r="AJ116" i="6"/>
  <c r="AJ127" i="6"/>
  <c r="AJ118" i="6"/>
  <c r="P120" i="6"/>
  <c r="Q120" i="6" s="1"/>
  <c r="S120" i="6" s="1"/>
  <c r="AI118" i="6"/>
  <c r="AI117" i="6" s="1"/>
  <c r="AI127" i="6"/>
  <c r="AI116" i="6"/>
  <c r="S117" i="6"/>
  <c r="AH116" i="6"/>
  <c r="AH118" i="6"/>
  <c r="AH117" i="6" s="1"/>
  <c r="H21" i="14"/>
  <c r="BA95" i="6"/>
  <c r="H22" i="14" s="1"/>
  <c r="AA117" i="6"/>
  <c r="AA122" i="6"/>
  <c r="AB122" i="6" s="1"/>
  <c r="AD118" i="6"/>
  <c r="AD127" i="6" s="1"/>
  <c r="AD116" i="6"/>
  <c r="B131" i="6" l="1"/>
  <c r="AW116" i="6"/>
  <c r="AG127" i="6"/>
  <c r="AF127" i="6"/>
  <c r="AE127" i="6"/>
  <c r="AH127" i="6"/>
  <c r="AB127" i="6"/>
  <c r="Y119" i="6"/>
  <c r="Z119" i="6" s="1"/>
  <c r="Y120" i="6"/>
  <c r="Z120" i="6" s="1"/>
  <c r="S119" i="6"/>
  <c r="AB121" i="6"/>
  <c r="AQ116" i="6"/>
  <c r="AQ118" i="6"/>
  <c r="AQ117" i="6" s="1"/>
  <c r="AN116" i="6"/>
  <c r="AN118" i="6"/>
  <c r="AN117" i="6" s="1"/>
  <c r="AP116" i="6"/>
  <c r="AP118" i="6"/>
  <c r="AP117" i="6" s="1"/>
  <c r="AS127" i="6"/>
  <c r="AS116" i="6"/>
  <c r="AS118" i="6"/>
  <c r="AR127" i="6"/>
  <c r="AR116" i="6"/>
  <c r="AR118" i="6"/>
  <c r="AR117" i="6" s="1"/>
  <c r="AM116" i="6"/>
  <c r="AM118" i="6"/>
  <c r="AM127" i="6" s="1"/>
  <c r="AF119" i="6"/>
  <c r="AG119" i="6"/>
  <c r="AF121" i="6"/>
  <c r="AH121" i="6"/>
  <c r="AE121" i="6"/>
  <c r="AG121" i="6"/>
  <c r="AE120" i="6"/>
  <c r="AK118" i="6"/>
  <c r="AI121" i="6"/>
  <c r="AG120" i="6"/>
  <c r="AF120" i="6"/>
  <c r="AE119" i="6"/>
  <c r="AD120" i="6"/>
  <c r="AD117" i="6"/>
  <c r="AD119" i="6"/>
  <c r="AD121" i="6"/>
  <c r="AK116" i="6"/>
  <c r="AJ117" i="6"/>
  <c r="AJ122" i="6"/>
  <c r="AK122" i="6" s="1"/>
  <c r="AB117" i="6"/>
  <c r="AO116" i="6"/>
  <c r="AO118" i="6"/>
  <c r="AO117" i="6" s="1"/>
  <c r="AW118" i="6" l="1"/>
  <c r="AW117" i="6" s="1"/>
  <c r="K131" i="6"/>
  <c r="AN127" i="6"/>
  <c r="AP127" i="6"/>
  <c r="AO127" i="6"/>
  <c r="AQ127" i="6"/>
  <c r="AK127" i="6"/>
  <c r="AB119" i="6"/>
  <c r="AB120" i="6"/>
  <c r="AW127" i="6"/>
  <c r="AS121" i="6"/>
  <c r="AS119" i="6"/>
  <c r="AS120" i="6"/>
  <c r="AK117" i="6"/>
  <c r="AH120" i="6"/>
  <c r="AI120" i="6" s="1"/>
  <c r="AK120" i="6" s="1"/>
  <c r="AN120" i="6"/>
  <c r="AT118" i="6"/>
  <c r="AO120" i="6"/>
  <c r="AQ121" i="6"/>
  <c r="AR121" i="6"/>
  <c r="AO119" i="6"/>
  <c r="AN121" i="6"/>
  <c r="AO121" i="6"/>
  <c r="AN119" i="6"/>
  <c r="AP121" i="6"/>
  <c r="AP119" i="6"/>
  <c r="AP120" i="6"/>
  <c r="AM117" i="6"/>
  <c r="AM120" i="6"/>
  <c r="AM119" i="6"/>
  <c r="AM121" i="6"/>
  <c r="AS117" i="6"/>
  <c r="AS122" i="6"/>
  <c r="AT122" i="6" s="1"/>
  <c r="AY122" i="6" s="1"/>
  <c r="I15" i="14" s="1"/>
  <c r="AT116" i="6"/>
  <c r="AH119" i="6"/>
  <c r="AK121" i="6"/>
  <c r="AV116" i="6"/>
  <c r="AX116" i="6" s="1"/>
  <c r="AV118" i="6"/>
  <c r="T131" i="6" l="1"/>
  <c r="AT127" i="6"/>
  <c r="AQ119" i="6"/>
  <c r="AR119" i="6" s="1"/>
  <c r="AQ120" i="6"/>
  <c r="AR120" i="6" s="1"/>
  <c r="AI119" i="6"/>
  <c r="AK119" i="6" s="1"/>
  <c r="AY116" i="6"/>
  <c r="I9" i="14" s="1"/>
  <c r="AT117" i="6"/>
  <c r="D134" i="6"/>
  <c r="D136" i="6"/>
  <c r="F134" i="6"/>
  <c r="F136" i="6"/>
  <c r="F135" i="6" s="1"/>
  <c r="I134" i="6"/>
  <c r="I145" i="6"/>
  <c r="I136" i="6"/>
  <c r="AW119" i="6"/>
  <c r="AW121" i="6"/>
  <c r="AW120" i="6"/>
  <c r="AX118" i="6"/>
  <c r="AY118" i="6" s="1"/>
  <c r="I11" i="14" s="1"/>
  <c r="AV120" i="6"/>
  <c r="AV121" i="6"/>
  <c r="AV119" i="6"/>
  <c r="AV117" i="6"/>
  <c r="AX117" i="6" s="1"/>
  <c r="G134" i="6"/>
  <c r="G136" i="6"/>
  <c r="G135" i="6" s="1"/>
  <c r="E134" i="6"/>
  <c r="E136" i="6"/>
  <c r="E135" i="6" s="1"/>
  <c r="AT121" i="6"/>
  <c r="H134" i="6"/>
  <c r="H145" i="6"/>
  <c r="H136" i="6"/>
  <c r="H135" i="6" s="1"/>
  <c r="AV127" i="6"/>
  <c r="AX127" i="6" s="1"/>
  <c r="AC131" i="6" l="1"/>
  <c r="AW134" i="6"/>
  <c r="AW136" i="6"/>
  <c r="AW135" i="6" s="1"/>
  <c r="AY127" i="6"/>
  <c r="I20" i="14" s="1"/>
  <c r="I8" i="14" s="1"/>
  <c r="AT119" i="6"/>
  <c r="AT120" i="6"/>
  <c r="AY117" i="6"/>
  <c r="I10" i="14" s="1"/>
  <c r="G145" i="6"/>
  <c r="F138" i="6"/>
  <c r="E137" i="6"/>
  <c r="G139" i="6"/>
  <c r="E138" i="6"/>
  <c r="F137" i="6"/>
  <c r="F139" i="6"/>
  <c r="H139" i="6"/>
  <c r="E139" i="6"/>
  <c r="D137" i="6"/>
  <c r="D138" i="6"/>
  <c r="D139" i="6"/>
  <c r="D135" i="6"/>
  <c r="J136" i="6"/>
  <c r="L134" i="6"/>
  <c r="L136" i="6"/>
  <c r="L145" i="6" s="1"/>
  <c r="D145" i="6"/>
  <c r="M136" i="6"/>
  <c r="M135" i="6" s="1"/>
  <c r="M134" i="6"/>
  <c r="I135" i="6"/>
  <c r="I140" i="6"/>
  <c r="J140" i="6" s="1"/>
  <c r="J134" i="6"/>
  <c r="N134" i="6"/>
  <c r="N136" i="6"/>
  <c r="N135" i="6" s="1"/>
  <c r="AX119" i="6"/>
  <c r="O134" i="6"/>
  <c r="O136" i="6"/>
  <c r="O135" i="6" s="1"/>
  <c r="R145" i="6"/>
  <c r="R134" i="6"/>
  <c r="R136" i="6"/>
  <c r="AX121" i="6"/>
  <c r="AY121" i="6" s="1"/>
  <c r="I14" i="14" s="1"/>
  <c r="E145" i="6"/>
  <c r="AX120" i="6"/>
  <c r="P134" i="6"/>
  <c r="P136" i="6"/>
  <c r="P135" i="6" s="1"/>
  <c r="Q145" i="6"/>
  <c r="Q134" i="6"/>
  <c r="Q136" i="6"/>
  <c r="Q135" i="6" s="1"/>
  <c r="F145" i="6"/>
  <c r="AL131" i="6" l="1"/>
  <c r="G137" i="6"/>
  <c r="H137" i="6" s="1"/>
  <c r="J137" i="6" s="1"/>
  <c r="G138" i="6"/>
  <c r="H138" i="6" s="1"/>
  <c r="AW145" i="6"/>
  <c r="AY119" i="6"/>
  <c r="I12" i="14" s="1"/>
  <c r="AY120" i="6"/>
  <c r="AZ113" i="6" s="1"/>
  <c r="P145" i="6"/>
  <c r="M145" i="6"/>
  <c r="O145" i="6"/>
  <c r="N145" i="6"/>
  <c r="X134" i="6"/>
  <c r="X136" i="6"/>
  <c r="X135" i="6" s="1"/>
  <c r="U136" i="6"/>
  <c r="U145" i="6" s="1"/>
  <c r="U134" i="6"/>
  <c r="N138" i="6"/>
  <c r="M137" i="6"/>
  <c r="Q139" i="6"/>
  <c r="N139" i="6"/>
  <c r="S136" i="6"/>
  <c r="M138" i="6"/>
  <c r="O137" i="6"/>
  <c r="O139" i="6"/>
  <c r="P139" i="6"/>
  <c r="O138" i="6"/>
  <c r="M139" i="6"/>
  <c r="N137" i="6"/>
  <c r="L138" i="6"/>
  <c r="L139" i="6"/>
  <c r="L135" i="6"/>
  <c r="L137" i="6"/>
  <c r="S134" i="6"/>
  <c r="V134" i="6"/>
  <c r="V136" i="6"/>
  <c r="V135" i="6" s="1"/>
  <c r="Z134" i="6"/>
  <c r="Z145" i="6"/>
  <c r="Z136" i="6"/>
  <c r="Z135" i="6" s="1"/>
  <c r="J135" i="6"/>
  <c r="AA134" i="6"/>
  <c r="AA145" i="6"/>
  <c r="AA136" i="6"/>
  <c r="W134" i="6"/>
  <c r="W136" i="6"/>
  <c r="W135" i="6" s="1"/>
  <c r="J139" i="6"/>
  <c r="Y134" i="6"/>
  <c r="Y136" i="6"/>
  <c r="Y135" i="6" s="1"/>
  <c r="R135" i="6"/>
  <c r="R140" i="6"/>
  <c r="S140" i="6" s="1"/>
  <c r="J145" i="6"/>
  <c r="AQ136" i="6" l="1"/>
  <c r="AQ135" i="6" s="1"/>
  <c r="AU131" i="6"/>
  <c r="J138" i="6"/>
  <c r="W145" i="6"/>
  <c r="V145" i="6"/>
  <c r="X145" i="6"/>
  <c r="Y145" i="6"/>
  <c r="I13" i="14"/>
  <c r="P137" i="6"/>
  <c r="Q137" i="6" s="1"/>
  <c r="S137" i="6" s="1"/>
  <c r="S145" i="6"/>
  <c r="P138" i="6"/>
  <c r="Q138" i="6" s="1"/>
  <c r="S138" i="6" s="1"/>
  <c r="AJ134" i="6"/>
  <c r="AJ145" i="6"/>
  <c r="AJ136" i="6"/>
  <c r="X138" i="6"/>
  <c r="W137" i="6"/>
  <c r="W138" i="6"/>
  <c r="V138" i="6"/>
  <c r="AB136" i="6"/>
  <c r="X137" i="6"/>
  <c r="Z139" i="6"/>
  <c r="V139" i="6"/>
  <c r="Y139" i="6"/>
  <c r="W139" i="6"/>
  <c r="X139" i="6"/>
  <c r="V137" i="6"/>
  <c r="U138" i="6"/>
  <c r="U137" i="6"/>
  <c r="U139" i="6"/>
  <c r="U135" i="6"/>
  <c r="AD134" i="6"/>
  <c r="AD136" i="6"/>
  <c r="AD145" i="6" s="1"/>
  <c r="AE134" i="6"/>
  <c r="AE136" i="6"/>
  <c r="AE135" i="6" s="1"/>
  <c r="S135" i="6"/>
  <c r="AF134" i="6"/>
  <c r="AF136" i="6"/>
  <c r="AF135" i="6" s="1"/>
  <c r="S139" i="6"/>
  <c r="AH134" i="6"/>
  <c r="AH136" i="6"/>
  <c r="AH135" i="6" s="1"/>
  <c r="AA135" i="6"/>
  <c r="AA140" i="6"/>
  <c r="AB140" i="6" s="1"/>
  <c r="AG134" i="6"/>
  <c r="AG136" i="6"/>
  <c r="AG135" i="6" s="1"/>
  <c r="I21" i="14"/>
  <c r="BA113" i="6"/>
  <c r="I22" i="14" s="1"/>
  <c r="AI145" i="6"/>
  <c r="AI134" i="6"/>
  <c r="AI136" i="6"/>
  <c r="AI135" i="6" s="1"/>
  <c r="AB134" i="6"/>
  <c r="B149" i="6" l="1"/>
  <c r="AS134" i="6"/>
  <c r="AS145" i="6"/>
  <c r="AS136" i="6"/>
  <c r="AG145" i="6"/>
  <c r="AF145" i="6"/>
  <c r="AH145" i="6"/>
  <c r="AE145" i="6"/>
  <c r="AB145" i="6"/>
  <c r="AQ134" i="6"/>
  <c r="AQ145" i="6"/>
  <c r="AR136" i="6"/>
  <c r="AR135" i="6" s="1"/>
  <c r="AR145" i="6"/>
  <c r="AR134" i="6"/>
  <c r="Y138" i="6"/>
  <c r="Z138" i="6" s="1"/>
  <c r="AB138" i="6" s="1"/>
  <c r="AM136" i="6"/>
  <c r="AM145" i="6" s="1"/>
  <c r="AM134" i="6"/>
  <c r="AP134" i="6"/>
  <c r="AP136" i="6"/>
  <c r="AP135" i="6" s="1"/>
  <c r="AN136" i="6"/>
  <c r="AN135" i="6" s="1"/>
  <c r="AN134" i="6"/>
  <c r="AJ135" i="6"/>
  <c r="AJ140" i="6"/>
  <c r="AK140" i="6" s="1"/>
  <c r="AO136" i="6"/>
  <c r="AO135" i="6" s="1"/>
  <c r="AO134" i="6"/>
  <c r="AK134" i="6"/>
  <c r="Y137" i="6"/>
  <c r="AB135" i="6"/>
  <c r="AF139" i="6"/>
  <c r="AE139" i="6"/>
  <c r="AG138" i="6"/>
  <c r="AH139" i="6"/>
  <c r="AI139" i="6"/>
  <c r="AG139" i="6"/>
  <c r="AF137" i="6"/>
  <c r="AE138" i="6"/>
  <c r="AG137" i="6"/>
  <c r="AK136" i="6"/>
  <c r="AE137" i="6"/>
  <c r="AF138" i="6"/>
  <c r="AD139" i="6"/>
  <c r="AD138" i="6"/>
  <c r="AD137" i="6"/>
  <c r="AD135" i="6"/>
  <c r="AB139" i="6"/>
  <c r="I152" i="6" l="1"/>
  <c r="AV134" i="6"/>
  <c r="AX134" i="6" s="1"/>
  <c r="AV136" i="6"/>
  <c r="AS135" i="6"/>
  <c r="AS140" i="6"/>
  <c r="AT140" i="6" s="1"/>
  <c r="AY140" i="6" s="1"/>
  <c r="J15" i="14" s="1"/>
  <c r="G154" i="6"/>
  <c r="G163" i="6" s="1"/>
  <c r="K149" i="6"/>
  <c r="AK145" i="6"/>
  <c r="AH137" i="6"/>
  <c r="AI137" i="6" s="1"/>
  <c r="AH138" i="6"/>
  <c r="AO145" i="6"/>
  <c r="AK135" i="6"/>
  <c r="AN145" i="6"/>
  <c r="AP145" i="6"/>
  <c r="H152" i="6"/>
  <c r="H163" i="6"/>
  <c r="H154" i="6"/>
  <c r="H153" i="6" s="1"/>
  <c r="I163" i="6"/>
  <c r="Z137" i="6"/>
  <c r="AB137" i="6" s="1"/>
  <c r="AT134" i="6"/>
  <c r="AN138" i="6"/>
  <c r="AP138" i="6"/>
  <c r="AT136" i="6"/>
  <c r="AO139" i="6"/>
  <c r="AP139" i="6"/>
  <c r="AN139" i="6"/>
  <c r="AR139" i="6"/>
  <c r="AO138" i="6"/>
  <c r="AQ139" i="6"/>
  <c r="AO137" i="6"/>
  <c r="AP137" i="6"/>
  <c r="AS139" i="6"/>
  <c r="AN137" i="6"/>
  <c r="AM139" i="6"/>
  <c r="AM135" i="6"/>
  <c r="AM138" i="6"/>
  <c r="AM137" i="6"/>
  <c r="AK139" i="6"/>
  <c r="I154" i="6" l="1"/>
  <c r="I153" i="6" s="1"/>
  <c r="AY134" i="6"/>
  <c r="J9" i="14" s="1"/>
  <c r="AT135" i="6"/>
  <c r="G152" i="6"/>
  <c r="E152" i="6"/>
  <c r="E154" i="6"/>
  <c r="E153" i="6" s="1"/>
  <c r="D163" i="6"/>
  <c r="D154" i="6"/>
  <c r="D152" i="6"/>
  <c r="N154" i="6"/>
  <c r="N153" i="6" s="1"/>
  <c r="P154" i="6"/>
  <c r="P153" i="6" s="1"/>
  <c r="T149" i="6"/>
  <c r="R154" i="6"/>
  <c r="M154" i="6"/>
  <c r="M153" i="6" s="1"/>
  <c r="L152" i="6"/>
  <c r="Q152" i="6"/>
  <c r="O154" i="6"/>
  <c r="O153" i="6" s="1"/>
  <c r="AV145" i="6"/>
  <c r="AX145" i="6" s="1"/>
  <c r="AV137" i="6"/>
  <c r="AW138" i="6"/>
  <c r="AV135" i="6"/>
  <c r="AX135" i="6" s="1"/>
  <c r="AY135" i="6" s="1"/>
  <c r="J10" i="14" s="1"/>
  <c r="AX136" i="6"/>
  <c r="AY136" i="6" s="1"/>
  <c r="J11" i="14" s="1"/>
  <c r="AV138" i="6"/>
  <c r="AV139" i="6"/>
  <c r="AW137" i="6"/>
  <c r="AW139" i="6"/>
  <c r="F152" i="6"/>
  <c r="F154" i="6"/>
  <c r="F153" i="6" s="1"/>
  <c r="AK137" i="6"/>
  <c r="AI138" i="6"/>
  <c r="AK138" i="6" s="1"/>
  <c r="AQ138" i="6"/>
  <c r="AR138" i="6" s="1"/>
  <c r="AS138" i="6" s="1"/>
  <c r="AT145" i="6"/>
  <c r="AQ137" i="6"/>
  <c r="AR137" i="6" s="1"/>
  <c r="I158" i="6"/>
  <c r="J158" i="6" s="1"/>
  <c r="G153" i="6"/>
  <c r="P152" i="6"/>
  <c r="AT139" i="6"/>
  <c r="L154" i="6"/>
  <c r="L163" i="6" s="1"/>
  <c r="O152" i="6" l="1"/>
  <c r="R152" i="6"/>
  <c r="R163" i="6"/>
  <c r="Q154" i="6"/>
  <c r="Q153" i="6" s="1"/>
  <c r="J152" i="6"/>
  <c r="Q163" i="6"/>
  <c r="H157" i="6"/>
  <c r="N152" i="6"/>
  <c r="AY145" i="6"/>
  <c r="J20" i="14" s="1"/>
  <c r="J8" i="14" s="1"/>
  <c r="M152" i="6"/>
  <c r="G157" i="6"/>
  <c r="J154" i="6"/>
  <c r="F163" i="6"/>
  <c r="E163" i="6"/>
  <c r="AX139" i="6"/>
  <c r="AY139" i="6" s="1"/>
  <c r="J14" i="14" s="1"/>
  <c r="V152" i="6"/>
  <c r="X154" i="6"/>
  <c r="X153" i="6" s="1"/>
  <c r="Y154" i="6"/>
  <c r="Y153" i="6" s="1"/>
  <c r="W152" i="6"/>
  <c r="AC149" i="6"/>
  <c r="Z163" i="6"/>
  <c r="U154" i="6"/>
  <c r="U163" i="6" s="1"/>
  <c r="AA152" i="6"/>
  <c r="AX138" i="6"/>
  <c r="AX137" i="6"/>
  <c r="D153" i="6"/>
  <c r="J153" i="6" s="1"/>
  <c r="E156" i="6"/>
  <c r="F156" i="6"/>
  <c r="F157" i="6"/>
  <c r="E155" i="6"/>
  <c r="E157" i="6"/>
  <c r="D155" i="6"/>
  <c r="D157" i="6"/>
  <c r="F155" i="6"/>
  <c r="D156" i="6"/>
  <c r="O163" i="6"/>
  <c r="M163" i="6"/>
  <c r="P163" i="6"/>
  <c r="N163" i="6"/>
  <c r="AT138" i="6"/>
  <c r="AY138" i="6" s="1"/>
  <c r="J13" i="14" s="1"/>
  <c r="AS137" i="6"/>
  <c r="AT137" i="6" s="1"/>
  <c r="AY137" i="6" s="1"/>
  <c r="J12" i="14" s="1"/>
  <c r="Y152" i="6"/>
  <c r="N155" i="6"/>
  <c r="O156" i="6"/>
  <c r="N157" i="6"/>
  <c r="M155" i="6"/>
  <c r="M157" i="6"/>
  <c r="N156" i="6"/>
  <c r="O157" i="6"/>
  <c r="P157" i="6"/>
  <c r="M156" i="6"/>
  <c r="O155" i="6"/>
  <c r="L155" i="6"/>
  <c r="L153" i="6"/>
  <c r="L156" i="6"/>
  <c r="L157" i="6"/>
  <c r="R153" i="6"/>
  <c r="R158" i="6"/>
  <c r="S158" i="6" s="1"/>
  <c r="G155" i="6" l="1"/>
  <c r="H155" i="6" s="1"/>
  <c r="J155" i="6" s="1"/>
  <c r="G156" i="6"/>
  <c r="H156" i="6" s="1"/>
  <c r="J156" i="6" s="1"/>
  <c r="Q157" i="6"/>
  <c r="S157" i="6" s="1"/>
  <c r="U152" i="6"/>
  <c r="S154" i="6"/>
  <c r="AA154" i="6"/>
  <c r="AA158" i="6" s="1"/>
  <c r="AB158" i="6" s="1"/>
  <c r="AA163" i="6"/>
  <c r="X152" i="6"/>
  <c r="V154" i="6"/>
  <c r="V153" i="6" s="1"/>
  <c r="S152" i="6"/>
  <c r="W154" i="6"/>
  <c r="W153" i="6" s="1"/>
  <c r="Z152" i="6"/>
  <c r="J157" i="6"/>
  <c r="AD152" i="6"/>
  <c r="AF152" i="6"/>
  <c r="AH154" i="6"/>
  <c r="AH153" i="6" s="1"/>
  <c r="AE152" i="6"/>
  <c r="AI152" i="6"/>
  <c r="AG154" i="6"/>
  <c r="AG153" i="6" s="1"/>
  <c r="AJ163" i="6"/>
  <c r="AL149" i="6"/>
  <c r="Z154" i="6"/>
  <c r="Z153" i="6" s="1"/>
  <c r="J163" i="6"/>
  <c r="Y163" i="6"/>
  <c r="X163" i="6"/>
  <c r="S163" i="6"/>
  <c r="AZ131" i="6"/>
  <c r="J21" i="14" s="1"/>
  <c r="P156" i="6"/>
  <c r="Q156" i="6" s="1"/>
  <c r="S156" i="6" s="1"/>
  <c r="S153" i="6"/>
  <c r="X155" i="6"/>
  <c r="U156" i="6"/>
  <c r="U157" i="6"/>
  <c r="U153" i="6"/>
  <c r="U155" i="6"/>
  <c r="P155" i="6"/>
  <c r="AA153" i="6" l="1"/>
  <c r="AB152" i="6"/>
  <c r="X156" i="6"/>
  <c r="V156" i="6"/>
  <c r="X157" i="6"/>
  <c r="W155" i="6"/>
  <c r="AI163" i="6"/>
  <c r="V157" i="6"/>
  <c r="W157" i="6"/>
  <c r="W156" i="6"/>
  <c r="Y157" i="6"/>
  <c r="V155" i="6"/>
  <c r="W163" i="6"/>
  <c r="V163" i="6"/>
  <c r="AG152" i="6"/>
  <c r="AF154" i="6"/>
  <c r="AF153" i="6" s="1"/>
  <c r="AH152" i="6"/>
  <c r="AJ152" i="6"/>
  <c r="AJ154" i="6"/>
  <c r="AJ153" i="6" s="1"/>
  <c r="AD154" i="6"/>
  <c r="AE154" i="6"/>
  <c r="AE153" i="6" s="1"/>
  <c r="AP152" i="6"/>
  <c r="AR154" i="6"/>
  <c r="AR153" i="6" s="1"/>
  <c r="AS163" i="6"/>
  <c r="AQ154" i="6"/>
  <c r="AQ153" i="6" s="1"/>
  <c r="AI154" i="6"/>
  <c r="AI153" i="6" s="1"/>
  <c r="Z157" i="6"/>
  <c r="AB154" i="6"/>
  <c r="AO152" i="6"/>
  <c r="AN152" i="6"/>
  <c r="AM154" i="6"/>
  <c r="AM163" i="6" s="1"/>
  <c r="AU149" i="6"/>
  <c r="BA131" i="6"/>
  <c r="J22" i="14" s="1"/>
  <c r="Y155" i="6"/>
  <c r="AF163" i="6"/>
  <c r="AG163" i="6"/>
  <c r="AB153" i="6"/>
  <c r="AH163" i="6"/>
  <c r="AE163" i="6"/>
  <c r="AD163" i="6"/>
  <c r="Q155" i="6"/>
  <c r="S155" i="6" s="1"/>
  <c r="AO154" i="6" l="1"/>
  <c r="AO153" i="6" s="1"/>
  <c r="AR152" i="6"/>
  <c r="AJ158" i="6"/>
  <c r="AK158" i="6" s="1"/>
  <c r="Y156" i="6"/>
  <c r="Z156" i="6" s="1"/>
  <c r="AQ152" i="6"/>
  <c r="AF157" i="6"/>
  <c r="AH157" i="6"/>
  <c r="AK152" i="6"/>
  <c r="AB163" i="6"/>
  <c r="AE156" i="6"/>
  <c r="AD157" i="6"/>
  <c r="AE157" i="6"/>
  <c r="AB157" i="6"/>
  <c r="AP154" i="6"/>
  <c r="AP153" i="6" s="1"/>
  <c r="AN154" i="6"/>
  <c r="AN153" i="6" s="1"/>
  <c r="AG155" i="6"/>
  <c r="AG156" i="6"/>
  <c r="AD153" i="6"/>
  <c r="AK153" i="6" s="1"/>
  <c r="AF156" i="6"/>
  <c r="AI157" i="6"/>
  <c r="AF155" i="6"/>
  <c r="AD156" i="6"/>
  <c r="AE155" i="6"/>
  <c r="AD155" i="6"/>
  <c r="AK154" i="6"/>
  <c r="AG157" i="6"/>
  <c r="AR163" i="6"/>
  <c r="AM152" i="6"/>
  <c r="AS152" i="6"/>
  <c r="AS154" i="6"/>
  <c r="AS153" i="6" s="1"/>
  <c r="B167" i="6"/>
  <c r="C172" i="6" s="1"/>
  <c r="G172" i="6"/>
  <c r="G171" i="6" s="1"/>
  <c r="H172" i="6"/>
  <c r="H171" i="6" s="1"/>
  <c r="AN163" i="6"/>
  <c r="AO163" i="6"/>
  <c r="AQ163" i="6"/>
  <c r="AS158" i="6"/>
  <c r="AT158" i="6" s="1"/>
  <c r="Z155" i="6"/>
  <c r="AB155" i="6" s="1"/>
  <c r="AP163" i="6"/>
  <c r="AK163" i="6"/>
  <c r="AM156" i="6"/>
  <c r="AM153" i="6"/>
  <c r="AM157" i="6"/>
  <c r="AM155" i="6"/>
  <c r="AN156" i="6" l="1"/>
  <c r="AY158" i="6"/>
  <c r="K15" i="14" s="1"/>
  <c r="AB156" i="6"/>
  <c r="AP156" i="6"/>
  <c r="AO155" i="6"/>
  <c r="AN155" i="6"/>
  <c r="AO156" i="6"/>
  <c r="AO157" i="6"/>
  <c r="AN157" i="6"/>
  <c r="AP157" i="6"/>
  <c r="AR157" i="6"/>
  <c r="AP155" i="6"/>
  <c r="AQ157" i="6"/>
  <c r="AT152" i="6"/>
  <c r="AK157" i="6"/>
  <c r="AH155" i="6"/>
  <c r="AI155" i="6" s="1"/>
  <c r="AK155" i="6" s="1"/>
  <c r="AH156" i="6"/>
  <c r="AI156" i="6" s="1"/>
  <c r="AK156" i="6" s="1"/>
  <c r="K167" i="6"/>
  <c r="T167" i="6" s="1"/>
  <c r="AT154" i="6"/>
  <c r="AT153" i="6"/>
  <c r="AS157" i="6"/>
  <c r="I181" i="6"/>
  <c r="F170" i="6"/>
  <c r="AV154" i="6"/>
  <c r="AV152" i="6"/>
  <c r="AX152" i="6" s="1"/>
  <c r="D170" i="6"/>
  <c r="E170" i="6"/>
  <c r="R181" i="6"/>
  <c r="G181" i="6"/>
  <c r="AT163" i="6"/>
  <c r="H170" i="6"/>
  <c r="H181" i="6"/>
  <c r="G170" i="6"/>
  <c r="C170" i="6"/>
  <c r="C181" i="6"/>
  <c r="C175" i="6"/>
  <c r="C171" i="6"/>
  <c r="C174" i="6"/>
  <c r="C173" i="6"/>
  <c r="AQ156" i="6" l="1"/>
  <c r="AR156" i="6" s="1"/>
  <c r="AQ155" i="6"/>
  <c r="AR155" i="6" s="1"/>
  <c r="AY152" i="6"/>
  <c r="K9" i="14" s="1"/>
  <c r="AT157" i="6"/>
  <c r="I172" i="6"/>
  <c r="I171" i="6" s="1"/>
  <c r="Q172" i="6"/>
  <c r="Q171" i="6" s="1"/>
  <c r="M170" i="6"/>
  <c r="P172" i="6"/>
  <c r="P171" i="6" s="1"/>
  <c r="E181" i="6"/>
  <c r="F172" i="6"/>
  <c r="F171" i="6" s="1"/>
  <c r="N170" i="6"/>
  <c r="L172" i="6"/>
  <c r="E172" i="6"/>
  <c r="E171" i="6" s="1"/>
  <c r="O170" i="6"/>
  <c r="D172" i="6"/>
  <c r="D171" i="6" s="1"/>
  <c r="I170" i="6"/>
  <c r="J170" i="6" s="1"/>
  <c r="AV163" i="6"/>
  <c r="AX163" i="6" s="1"/>
  <c r="AY163" i="6" s="1"/>
  <c r="K20" i="14" s="1"/>
  <c r="K8" i="14" s="1"/>
  <c r="AV153" i="6"/>
  <c r="AX153" i="6" s="1"/>
  <c r="AY153" i="6" s="1"/>
  <c r="K10" i="14" s="1"/>
  <c r="AV157" i="6"/>
  <c r="AW156" i="6"/>
  <c r="AV156" i="6"/>
  <c r="AW155" i="6"/>
  <c r="AW157" i="6"/>
  <c r="AV155" i="6"/>
  <c r="AX154" i="6"/>
  <c r="AY154" i="6" s="1"/>
  <c r="K11" i="14" s="1"/>
  <c r="AC167" i="6"/>
  <c r="X170" i="6"/>
  <c r="Z172" i="6"/>
  <c r="Z171" i="6" s="1"/>
  <c r="V170" i="6"/>
  <c r="Y172" i="6"/>
  <c r="Y171" i="6" s="1"/>
  <c r="W170" i="6"/>
  <c r="U170" i="6"/>
  <c r="AA170" i="6"/>
  <c r="AS155" i="6"/>
  <c r="AT155" i="6" s="1"/>
  <c r="AS156" i="6"/>
  <c r="AT156" i="6" s="1"/>
  <c r="F181" i="6"/>
  <c r="D181" i="6"/>
  <c r="L170" i="6"/>
  <c r="R170" i="6"/>
  <c r="R172" i="6"/>
  <c r="R176" i="6" s="1"/>
  <c r="S176" i="6" s="1"/>
  <c r="P170" i="6" l="1"/>
  <c r="E175" i="6"/>
  <c r="O172" i="6"/>
  <c r="O171" i="6" s="1"/>
  <c r="D175" i="6"/>
  <c r="E174" i="6"/>
  <c r="N172" i="6"/>
  <c r="N171" i="6" s="1"/>
  <c r="I176" i="6"/>
  <c r="J176" i="6" s="1"/>
  <c r="E173" i="6"/>
  <c r="D174" i="6"/>
  <c r="D173" i="6"/>
  <c r="M172" i="6"/>
  <c r="M171" i="6" s="1"/>
  <c r="Y170" i="6"/>
  <c r="G175" i="6"/>
  <c r="F175" i="6"/>
  <c r="J172" i="6"/>
  <c r="H175" i="6"/>
  <c r="F174" i="6"/>
  <c r="J171" i="6"/>
  <c r="F173" i="6"/>
  <c r="Q181" i="6"/>
  <c r="Q170" i="6"/>
  <c r="S170" i="6" s="1"/>
  <c r="P181" i="6"/>
  <c r="AX156" i="6"/>
  <c r="AY156" i="6" s="1"/>
  <c r="AX157" i="6"/>
  <c r="AY157" i="6" s="1"/>
  <c r="K14" i="14" s="1"/>
  <c r="AX155" i="6"/>
  <c r="AY155" i="6" s="1"/>
  <c r="K12" i="14" s="1"/>
  <c r="AL167" i="6"/>
  <c r="AG172" i="6"/>
  <c r="AG171" i="6" s="1"/>
  <c r="AJ170" i="6"/>
  <c r="AE170" i="6"/>
  <c r="AD172" i="6"/>
  <c r="AD181" i="6" s="1"/>
  <c r="AI170" i="6"/>
  <c r="AH172" i="6"/>
  <c r="AH171" i="6" s="1"/>
  <c r="M181" i="6"/>
  <c r="O181" i="6"/>
  <c r="N181" i="6"/>
  <c r="L181" i="6"/>
  <c r="J181" i="6"/>
  <c r="R171" i="6"/>
  <c r="L175" i="6"/>
  <c r="L174" i="6"/>
  <c r="M173" i="6"/>
  <c r="L171" i="6"/>
  <c r="L173" i="6"/>
  <c r="X172" i="6"/>
  <c r="X171" i="6" s="1"/>
  <c r="AA181" i="6"/>
  <c r="U172" i="6"/>
  <c r="U171" i="6" s="1"/>
  <c r="AA172" i="6"/>
  <c r="AA176" i="6" s="1"/>
  <c r="AB176" i="6" s="1"/>
  <c r="AF170" i="6"/>
  <c r="Z170" i="6"/>
  <c r="V172" i="6"/>
  <c r="V171" i="6" s="1"/>
  <c r="Z181" i="6"/>
  <c r="W172" i="6"/>
  <c r="W171" i="6" s="1"/>
  <c r="G174" i="6"/>
  <c r="H174" i="6" s="1"/>
  <c r="G173" i="6"/>
  <c r="H173" i="6" s="1"/>
  <c r="Y181" i="6"/>
  <c r="M175" i="6" l="1"/>
  <c r="AB170" i="6"/>
  <c r="O174" i="6"/>
  <c r="O173" i="6"/>
  <c r="O175" i="6"/>
  <c r="N173" i="6"/>
  <c r="P175" i="6"/>
  <c r="N174" i="6"/>
  <c r="Q175" i="6"/>
  <c r="S172" i="6"/>
  <c r="N175" i="6"/>
  <c r="S175" i="6" s="1"/>
  <c r="M174" i="6"/>
  <c r="J175" i="6"/>
  <c r="AI172" i="6"/>
  <c r="AI171" i="6" s="1"/>
  <c r="AI181" i="6"/>
  <c r="K13" i="14"/>
  <c r="AZ149" i="6"/>
  <c r="BA149" i="6" s="1"/>
  <c r="K22" i="14" s="1"/>
  <c r="AP172" i="6"/>
  <c r="AP171" i="6" s="1"/>
  <c r="AQ170" i="6"/>
  <c r="AR170" i="6"/>
  <c r="AO172" i="6"/>
  <c r="AO171" i="6" s="1"/>
  <c r="U181" i="6"/>
  <c r="AM172" i="6"/>
  <c r="AM181" i="6" s="1"/>
  <c r="AU167" i="6"/>
  <c r="S181" i="6"/>
  <c r="AF172" i="6"/>
  <c r="AF171" i="6" s="1"/>
  <c r="W181" i="6"/>
  <c r="X181" i="6"/>
  <c r="V181" i="6"/>
  <c r="S171" i="6"/>
  <c r="P174" i="6"/>
  <c r="Q174" i="6" s="1"/>
  <c r="P173" i="6"/>
  <c r="Q173" i="6" s="1"/>
  <c r="W175" i="6"/>
  <c r="AJ172" i="6"/>
  <c r="AJ171" i="6" s="1"/>
  <c r="AJ181" i="6"/>
  <c r="Z175" i="6"/>
  <c r="AA171" i="6"/>
  <c r="AB171" i="6" s="1"/>
  <c r="U175" i="6"/>
  <c r="AB172" i="6"/>
  <c r="U174" i="6"/>
  <c r="X173" i="6"/>
  <c r="V173" i="6"/>
  <c r="U173" i="6"/>
  <c r="AE172" i="6"/>
  <c r="AE171" i="6" s="1"/>
  <c r="AG170" i="6"/>
  <c r="W173" i="6"/>
  <c r="AH170" i="6"/>
  <c r="X174" i="6"/>
  <c r="W174" i="6"/>
  <c r="V174" i="6"/>
  <c r="J174" i="6"/>
  <c r="X175" i="6"/>
  <c r="V175" i="6"/>
  <c r="Y175" i="6"/>
  <c r="AD170" i="6"/>
  <c r="AG181" i="6"/>
  <c r="AH181" i="6"/>
  <c r="J173" i="6"/>
  <c r="AR172" i="6"/>
  <c r="AR171" i="6" s="1"/>
  <c r="AD175" i="6"/>
  <c r="AD174" i="6"/>
  <c r="AD173" i="6"/>
  <c r="AD171" i="6"/>
  <c r="AS170" i="6"/>
  <c r="AS181" i="6"/>
  <c r="AS172" i="6"/>
  <c r="AP170" i="6"/>
  <c r="AR181" i="6" l="1"/>
  <c r="S174" i="6"/>
  <c r="K21" i="14"/>
  <c r="AV172" i="6"/>
  <c r="AV181" i="6" s="1"/>
  <c r="AW170" i="6"/>
  <c r="AQ172" i="6"/>
  <c r="AQ171" i="6" s="1"/>
  <c r="AP181" i="6"/>
  <c r="B185" i="6"/>
  <c r="AM170" i="6"/>
  <c r="AF181" i="6"/>
  <c r="AB181" i="6"/>
  <c r="Y173" i="6"/>
  <c r="Z173" i="6" s="1"/>
  <c r="Y174" i="6"/>
  <c r="Z174" i="6" s="1"/>
  <c r="AE173" i="6"/>
  <c r="S173" i="6"/>
  <c r="AG173" i="6"/>
  <c r="AK170" i="6"/>
  <c r="AN172" i="6"/>
  <c r="AN171" i="6" s="1"/>
  <c r="AG175" i="6"/>
  <c r="AN170" i="6"/>
  <c r="AH175" i="6"/>
  <c r="AE181" i="6"/>
  <c r="AE174" i="6"/>
  <c r="AK172" i="6"/>
  <c r="AJ176" i="6"/>
  <c r="AK176" i="6" s="1"/>
  <c r="AF173" i="6"/>
  <c r="AF174" i="6"/>
  <c r="AF175" i="6"/>
  <c r="AO170" i="6"/>
  <c r="AE175" i="6"/>
  <c r="AG174" i="6"/>
  <c r="AI175" i="6"/>
  <c r="AO181" i="6"/>
  <c r="AB175" i="6"/>
  <c r="AK171" i="6"/>
  <c r="AS171" i="6"/>
  <c r="AS176" i="6"/>
  <c r="AT176" i="6" s="1"/>
  <c r="AM171" i="6"/>
  <c r="AM173" i="6"/>
  <c r="AM174" i="6"/>
  <c r="AM175" i="6"/>
  <c r="AW172" i="6" l="1"/>
  <c r="AW171" i="6" s="1"/>
  <c r="AV170" i="6"/>
  <c r="AQ181" i="6"/>
  <c r="AW181" i="6"/>
  <c r="H188" i="6"/>
  <c r="I188" i="6"/>
  <c r="F190" i="6"/>
  <c r="F189" i="6" s="1"/>
  <c r="G188" i="6"/>
  <c r="AK181" i="6"/>
  <c r="K185" i="6"/>
  <c r="AN181" i="6"/>
  <c r="AT181" i="6" s="1"/>
  <c r="AH173" i="6"/>
  <c r="AI173" i="6" s="1"/>
  <c r="AB173" i="6"/>
  <c r="AT170" i="6"/>
  <c r="AB174" i="6"/>
  <c r="AN173" i="6"/>
  <c r="AN174" i="6"/>
  <c r="AH174" i="6"/>
  <c r="AI174" i="6" s="1"/>
  <c r="AK174" i="6" s="1"/>
  <c r="AQ175" i="6"/>
  <c r="AP174" i="6"/>
  <c r="AP175" i="6"/>
  <c r="AO175" i="6"/>
  <c r="AO173" i="6"/>
  <c r="AR175" i="6"/>
  <c r="AO174" i="6"/>
  <c r="AP173" i="6"/>
  <c r="AT172" i="6"/>
  <c r="AN175" i="6"/>
  <c r="AS175" i="6"/>
  <c r="AY176" i="6"/>
  <c r="L15" i="14" s="1"/>
  <c r="B9" i="17" s="1"/>
  <c r="D9" i="17" s="1"/>
  <c r="AK175" i="6"/>
  <c r="AX181" i="6"/>
  <c r="AT171" i="6"/>
  <c r="E190" i="6"/>
  <c r="E199" i="6" s="1"/>
  <c r="E188" i="6"/>
  <c r="AW173" i="6"/>
  <c r="AX172" i="6"/>
  <c r="AV174" i="6"/>
  <c r="AV173" i="6"/>
  <c r="AV175" i="6"/>
  <c r="AV171" i="6"/>
  <c r="AX171" i="6" s="1"/>
  <c r="AX170" i="6"/>
  <c r="AW175" i="6" l="1"/>
  <c r="AX175" i="6" s="1"/>
  <c r="AW174" i="6"/>
  <c r="AX174" i="6" s="1"/>
  <c r="H199" i="6"/>
  <c r="H190" i="6"/>
  <c r="H189" i="6" s="1"/>
  <c r="F188" i="6"/>
  <c r="T185" i="6"/>
  <c r="L190" i="6"/>
  <c r="M190" i="6"/>
  <c r="M189" i="6" s="1"/>
  <c r="R188" i="6"/>
  <c r="P188" i="6"/>
  <c r="O188" i="6"/>
  <c r="Q190" i="6"/>
  <c r="Q189" i="6" s="1"/>
  <c r="N190" i="6"/>
  <c r="N189" i="6" s="1"/>
  <c r="G190" i="6"/>
  <c r="G189" i="6" s="1"/>
  <c r="O190" i="6"/>
  <c r="O189" i="6" s="1"/>
  <c r="I190" i="6"/>
  <c r="I194" i="6" s="1"/>
  <c r="J194" i="6" s="1"/>
  <c r="AY171" i="6"/>
  <c r="L10" i="14" s="1"/>
  <c r="B4" i="17" s="1"/>
  <c r="AQ174" i="6"/>
  <c r="AR174" i="6" s="1"/>
  <c r="AK173" i="6"/>
  <c r="AQ173" i="6"/>
  <c r="AR173" i="6" s="1"/>
  <c r="D188" i="6"/>
  <c r="D190" i="6"/>
  <c r="D189" i="6" s="1"/>
  <c r="D199" i="6"/>
  <c r="C188" i="6"/>
  <c r="C190" i="6"/>
  <c r="AS174" i="6"/>
  <c r="I199" i="6"/>
  <c r="AY170" i="6"/>
  <c r="L9" i="14" s="1"/>
  <c r="B3" i="17" s="1"/>
  <c r="F199" i="6"/>
  <c r="G199" i="6"/>
  <c r="AY181" i="6"/>
  <c r="L20" i="14" s="1"/>
  <c r="L8" i="14" s="1"/>
  <c r="AT175" i="6"/>
  <c r="AY172" i="6"/>
  <c r="L11" i="14" s="1"/>
  <c r="B5" i="17" s="1"/>
  <c r="AX173" i="6"/>
  <c r="L188" i="6"/>
  <c r="E189" i="6"/>
  <c r="B14" i="17"/>
  <c r="Q188" i="6" l="1"/>
  <c r="P190" i="6"/>
  <c r="P189" i="6" s="1"/>
  <c r="M188" i="6"/>
  <c r="Q199" i="6"/>
  <c r="N188" i="6"/>
  <c r="S188" i="6" s="1"/>
  <c r="AC185" i="6"/>
  <c r="Y188" i="6"/>
  <c r="X188" i="6"/>
  <c r="AA199" i="6"/>
  <c r="V188" i="6"/>
  <c r="W188" i="6"/>
  <c r="Z188" i="6"/>
  <c r="U188" i="6"/>
  <c r="G193" i="6"/>
  <c r="I189" i="6"/>
  <c r="R190" i="6"/>
  <c r="R194" i="6" s="1"/>
  <c r="S194" i="6" s="1"/>
  <c r="R199" i="6"/>
  <c r="E193" i="6"/>
  <c r="AT174" i="6"/>
  <c r="AY174" i="6" s="1"/>
  <c r="L13" i="14" s="1"/>
  <c r="B7" i="17" s="1"/>
  <c r="D7" i="17" s="1"/>
  <c r="F193" i="6"/>
  <c r="H192" i="6"/>
  <c r="J188" i="6"/>
  <c r="J190" i="6"/>
  <c r="G191" i="6"/>
  <c r="F191" i="6"/>
  <c r="E192" i="6"/>
  <c r="H193" i="6"/>
  <c r="H191" i="6"/>
  <c r="E191" i="6"/>
  <c r="G192" i="6"/>
  <c r="F192" i="6"/>
  <c r="C199" i="6"/>
  <c r="J199" i="6" s="1"/>
  <c r="C191" i="6"/>
  <c r="D193" i="6"/>
  <c r="C193" i="6"/>
  <c r="D192" i="6"/>
  <c r="C189" i="6"/>
  <c r="C192" i="6"/>
  <c r="D191" i="6"/>
  <c r="AS173" i="6"/>
  <c r="AT173" i="6" s="1"/>
  <c r="AY173" i="6" s="1"/>
  <c r="L12" i="14" s="1"/>
  <c r="B6" i="17" s="1"/>
  <c r="AY175" i="6"/>
  <c r="L14" i="14" s="1"/>
  <c r="B8" i="17" s="1"/>
  <c r="D8" i="17" s="1"/>
  <c r="P199" i="6"/>
  <c r="O192" i="6"/>
  <c r="M193" i="6"/>
  <c r="N192" i="6"/>
  <c r="N191" i="6"/>
  <c r="M192" i="6"/>
  <c r="O193" i="6"/>
  <c r="M191" i="6"/>
  <c r="N193" i="6"/>
  <c r="O191" i="6"/>
  <c r="L192" i="6"/>
  <c r="L191" i="6"/>
  <c r="L189" i="6"/>
  <c r="L193" i="6"/>
  <c r="O199" i="6"/>
  <c r="M199" i="6"/>
  <c r="N199" i="6"/>
  <c r="L199" i="6"/>
  <c r="S190" i="6" l="1"/>
  <c r="P193" i="6"/>
  <c r="Q193" i="6"/>
  <c r="Y190" i="6"/>
  <c r="Y189" i="6" s="1"/>
  <c r="W190" i="6"/>
  <c r="W189" i="6" s="1"/>
  <c r="U190" i="6"/>
  <c r="U199" i="6" s="1"/>
  <c r="V190" i="6"/>
  <c r="V189" i="6" s="1"/>
  <c r="J189" i="6"/>
  <c r="R189" i="6"/>
  <c r="S189" i="6" s="1"/>
  <c r="Z199" i="6"/>
  <c r="X190" i="6"/>
  <c r="X189" i="6" s="1"/>
  <c r="AA190" i="6"/>
  <c r="AA189" i="6" s="1"/>
  <c r="AA188" i="6"/>
  <c r="AB188" i="6" s="1"/>
  <c r="Z190" i="6"/>
  <c r="Z189" i="6" s="1"/>
  <c r="AL185" i="6"/>
  <c r="AF188" i="6"/>
  <c r="AG190" i="6"/>
  <c r="AG189" i="6" s="1"/>
  <c r="AI188" i="6"/>
  <c r="AJ188" i="6"/>
  <c r="AH190" i="6"/>
  <c r="AH189" i="6" s="1"/>
  <c r="AE190" i="6"/>
  <c r="AE189" i="6" s="1"/>
  <c r="AD188" i="6"/>
  <c r="J192" i="6"/>
  <c r="J191" i="6"/>
  <c r="J193" i="6"/>
  <c r="AZ167" i="6"/>
  <c r="BA167" i="6" s="1"/>
  <c r="L22" i="14" s="1"/>
  <c r="B16" i="17" s="1"/>
  <c r="E18" i="17"/>
  <c r="W199" i="6"/>
  <c r="Y199" i="6"/>
  <c r="V199" i="6"/>
  <c r="X199" i="6"/>
  <c r="S199" i="6"/>
  <c r="P192" i="6"/>
  <c r="Q192" i="6" s="1"/>
  <c r="S192" i="6" s="1"/>
  <c r="W192" i="6"/>
  <c r="P191" i="6"/>
  <c r="Q191" i="6" s="1"/>
  <c r="S191" i="6" s="1"/>
  <c r="U191" i="6" l="1"/>
  <c r="U189" i="6"/>
  <c r="U193" i="6"/>
  <c r="U192" i="6"/>
  <c r="S193" i="6"/>
  <c r="V191" i="6"/>
  <c r="V192" i="6"/>
  <c r="AG188" i="6"/>
  <c r="W193" i="6"/>
  <c r="W191" i="6"/>
  <c r="V193" i="6"/>
  <c r="AA194" i="6"/>
  <c r="AB194" i="6" s="1"/>
  <c r="AI190" i="6"/>
  <c r="AI189" i="6" s="1"/>
  <c r="AI199" i="6"/>
  <c r="AD190" i="6"/>
  <c r="AD199" i="6" s="1"/>
  <c r="AJ199" i="6"/>
  <c r="X193" i="6"/>
  <c r="X191" i="6"/>
  <c r="X192" i="6"/>
  <c r="AB190" i="6"/>
  <c r="AE188" i="6"/>
  <c r="AJ190" i="6"/>
  <c r="AJ189" i="6" s="1"/>
  <c r="Z193" i="6"/>
  <c r="Y193" i="6"/>
  <c r="AH188" i="6"/>
  <c r="AF190" i="6"/>
  <c r="AF189" i="6" s="1"/>
  <c r="AR190" i="6"/>
  <c r="AR189" i="6" s="1"/>
  <c r="AS188" i="6"/>
  <c r="AN188" i="6"/>
  <c r="AO188" i="6"/>
  <c r="AM190" i="6"/>
  <c r="AM199" i="6" s="1"/>
  <c r="AP188" i="6"/>
  <c r="AQ190" i="6"/>
  <c r="AQ189" i="6" s="1"/>
  <c r="AU185" i="6"/>
  <c r="AF199" i="6"/>
  <c r="AH199" i="6"/>
  <c r="AG199" i="6"/>
  <c r="AE199" i="6"/>
  <c r="L21" i="14"/>
  <c r="B15" i="17" s="1"/>
  <c r="Y192" i="6"/>
  <c r="Z192" i="6" s="1"/>
  <c r="Y191" i="6"/>
  <c r="Z191" i="6" s="1"/>
  <c r="AB199" i="6"/>
  <c r="AQ199" i="6"/>
  <c r="AB189" i="6"/>
  <c r="AE192" i="6"/>
  <c r="AJ194" i="6"/>
  <c r="AK194" i="6" s="1"/>
  <c r="AO190" i="6" l="1"/>
  <c r="AO189" i="6" s="1"/>
  <c r="AD193" i="6"/>
  <c r="AF191" i="6"/>
  <c r="AF193" i="6"/>
  <c r="AD189" i="6"/>
  <c r="AK189" i="6" s="1"/>
  <c r="AI193" i="6"/>
  <c r="AF192" i="6"/>
  <c r="AE191" i="6"/>
  <c r="AK188" i="6"/>
  <c r="AD192" i="6"/>
  <c r="AD191" i="6"/>
  <c r="AG191" i="6"/>
  <c r="AH193" i="6"/>
  <c r="AG193" i="6"/>
  <c r="AG192" i="6"/>
  <c r="AK190" i="6"/>
  <c r="AE193" i="6"/>
  <c r="AN190" i="6"/>
  <c r="AN189" i="6" s="1"/>
  <c r="AB193" i="6"/>
  <c r="AR188" i="6"/>
  <c r="AR199" i="6"/>
  <c r="AB192" i="6"/>
  <c r="AQ188" i="6"/>
  <c r="AS199" i="6"/>
  <c r="AS190" i="6"/>
  <c r="AP190" i="6"/>
  <c r="AP189" i="6" s="1"/>
  <c r="B203" i="6"/>
  <c r="K203" i="6" s="1"/>
  <c r="AM188" i="6"/>
  <c r="AN199" i="6"/>
  <c r="AO199" i="6"/>
  <c r="AK199" i="6"/>
  <c r="AB191" i="6"/>
  <c r="AM193" i="6"/>
  <c r="AM189" i="6"/>
  <c r="AM191" i="6"/>
  <c r="AM192" i="6"/>
  <c r="AO191" i="6" l="1"/>
  <c r="AH192" i="6"/>
  <c r="AI192" i="6" s="1"/>
  <c r="AO192" i="6"/>
  <c r="AN191" i="6"/>
  <c r="AN192" i="6"/>
  <c r="AO193" i="6"/>
  <c r="AN193" i="6"/>
  <c r="AK193" i="6"/>
  <c r="AH191" i="6"/>
  <c r="AI191" i="6" s="1"/>
  <c r="AP193" i="6"/>
  <c r="AT188" i="6"/>
  <c r="H217" i="6"/>
  <c r="I206" i="6"/>
  <c r="AP192" i="6"/>
  <c r="AT190" i="6"/>
  <c r="AP191" i="6"/>
  <c r="AQ191" i="6" s="1"/>
  <c r="AS193" i="6"/>
  <c r="AR193" i="6"/>
  <c r="AQ193" i="6"/>
  <c r="AP199" i="6"/>
  <c r="AT199" i="6" s="1"/>
  <c r="AV199" i="6"/>
  <c r="AX199" i="6" s="1"/>
  <c r="AV188" i="6"/>
  <c r="AX188" i="6" s="1"/>
  <c r="AV190" i="6"/>
  <c r="AS189" i="6"/>
  <c r="AT189" i="6" s="1"/>
  <c r="AS194" i="6"/>
  <c r="AT194" i="6" s="1"/>
  <c r="AY194" i="6" s="1"/>
  <c r="M15" i="14" s="1"/>
  <c r="T203" i="6"/>
  <c r="R217" i="6"/>
  <c r="L206" i="6"/>
  <c r="Q206" i="6"/>
  <c r="P206" i="6"/>
  <c r="M206" i="6"/>
  <c r="O208" i="6"/>
  <c r="O207" i="6" s="1"/>
  <c r="N206" i="6"/>
  <c r="AQ192" i="6"/>
  <c r="AR192" i="6" s="1"/>
  <c r="AS192" i="6" s="1"/>
  <c r="AK192" i="6"/>
  <c r="AK191" i="6" l="1"/>
  <c r="AY188" i="6"/>
  <c r="M9" i="14" s="1"/>
  <c r="AY199" i="6"/>
  <c r="M20" i="14" s="1"/>
  <c r="M8" i="14" s="1"/>
  <c r="L208" i="6"/>
  <c r="L217" i="6" s="1"/>
  <c r="H206" i="6"/>
  <c r="O206" i="6"/>
  <c r="R206" i="6"/>
  <c r="H208" i="6"/>
  <c r="H207" i="6" s="1"/>
  <c r="I217" i="6"/>
  <c r="R208" i="6"/>
  <c r="R207" i="6" s="1"/>
  <c r="M208" i="6"/>
  <c r="M207" i="6" s="1"/>
  <c r="I208" i="6"/>
  <c r="AT193" i="6"/>
  <c r="G208" i="6"/>
  <c r="G206" i="6"/>
  <c r="AV189" i="6"/>
  <c r="AX189" i="6" s="1"/>
  <c r="AY189" i="6" s="1"/>
  <c r="M10" i="14" s="1"/>
  <c r="AV191" i="6"/>
  <c r="AV192" i="6"/>
  <c r="AV193" i="6"/>
  <c r="AW191" i="6"/>
  <c r="AX190" i="6"/>
  <c r="AY190" i="6" s="1"/>
  <c r="M11" i="14" s="1"/>
  <c r="AW193" i="6"/>
  <c r="AW192" i="6"/>
  <c r="P208" i="6"/>
  <c r="P207" i="6" s="1"/>
  <c r="E206" i="6"/>
  <c r="E208" i="6"/>
  <c r="E207" i="6" s="1"/>
  <c r="E217" i="6"/>
  <c r="F206" i="6"/>
  <c r="F208" i="6"/>
  <c r="F207" i="6" s="1"/>
  <c r="F217" i="6"/>
  <c r="D208" i="6"/>
  <c r="D217" i="6"/>
  <c r="D206" i="6"/>
  <c r="Q217" i="6"/>
  <c r="N208" i="6"/>
  <c r="N207" i="6" s="1"/>
  <c r="Q208" i="6"/>
  <c r="Q207" i="6" s="1"/>
  <c r="AC203" i="6"/>
  <c r="U206" i="6"/>
  <c r="X206" i="6"/>
  <c r="Z217" i="6"/>
  <c r="W206" i="6"/>
  <c r="Y208" i="6"/>
  <c r="Y207" i="6" s="1"/>
  <c r="AA206" i="6"/>
  <c r="V206" i="6"/>
  <c r="M217" i="6"/>
  <c r="AR191" i="6"/>
  <c r="AS191" i="6" s="1"/>
  <c r="AT191" i="6" s="1"/>
  <c r="O217" i="6"/>
  <c r="AT192" i="6"/>
  <c r="L211" i="6" l="1"/>
  <c r="L210" i="6"/>
  <c r="N211" i="6"/>
  <c r="R212" i="6"/>
  <c r="S212" i="6" s="1"/>
  <c r="L209" i="6"/>
  <c r="L207" i="6"/>
  <c r="S207" i="6" s="1"/>
  <c r="P217" i="6"/>
  <c r="U208" i="6"/>
  <c r="U217" i="6" s="1"/>
  <c r="AX193" i="6"/>
  <c r="S206" i="6"/>
  <c r="M209" i="6"/>
  <c r="M210" i="6"/>
  <c r="O211" i="6"/>
  <c r="M211" i="6"/>
  <c r="AY193" i="6"/>
  <c r="M14" i="14" s="1"/>
  <c r="I207" i="6"/>
  <c r="I212" i="6"/>
  <c r="J212" i="6" s="1"/>
  <c r="Y206" i="6"/>
  <c r="N217" i="6"/>
  <c r="S217" i="6" s="1"/>
  <c r="O210" i="6"/>
  <c r="N209" i="6"/>
  <c r="N210" i="6"/>
  <c r="P211" i="6"/>
  <c r="AA208" i="6"/>
  <c r="AA212" i="6" s="1"/>
  <c r="AB212" i="6" s="1"/>
  <c r="O209" i="6"/>
  <c r="AX191" i="6"/>
  <c r="AY191" i="6" s="1"/>
  <c r="M12" i="14" s="1"/>
  <c r="Z208" i="6"/>
  <c r="Z207" i="6" s="1"/>
  <c r="Q211" i="6"/>
  <c r="S208" i="6"/>
  <c r="V208" i="6"/>
  <c r="V207" i="6" s="1"/>
  <c r="Z206" i="6"/>
  <c r="D210" i="6"/>
  <c r="F211" i="6"/>
  <c r="G209" i="6"/>
  <c r="G210" i="6"/>
  <c r="E211" i="6"/>
  <c r="G211" i="6"/>
  <c r="F210" i="6"/>
  <c r="D211" i="6"/>
  <c r="H210" i="6"/>
  <c r="D207" i="6"/>
  <c r="F209" i="6"/>
  <c r="E210" i="6"/>
  <c r="H211" i="6"/>
  <c r="J208" i="6"/>
  <c r="D209" i="6"/>
  <c r="E209" i="6"/>
  <c r="H209" i="6"/>
  <c r="J206" i="6"/>
  <c r="AX192" i="6"/>
  <c r="AY192" i="6" s="1"/>
  <c r="G217" i="6"/>
  <c r="J217" i="6" s="1"/>
  <c r="G207" i="6"/>
  <c r="W208" i="6"/>
  <c r="W207" i="6" s="1"/>
  <c r="AA217" i="6"/>
  <c r="X208" i="6"/>
  <c r="X207" i="6" s="1"/>
  <c r="AL203" i="6"/>
  <c r="AD208" i="6"/>
  <c r="AD217" i="6" s="1"/>
  <c r="AH206" i="6"/>
  <c r="AF206" i="6"/>
  <c r="AJ208" i="6"/>
  <c r="AE206" i="6"/>
  <c r="AG208" i="6"/>
  <c r="AG207" i="6" s="1"/>
  <c r="AI208" i="6"/>
  <c r="AI207" i="6" s="1"/>
  <c r="Y217" i="6"/>
  <c r="W217" i="6"/>
  <c r="X217" i="6"/>
  <c r="P209" i="6"/>
  <c r="Q209" i="6" s="1"/>
  <c r="P210" i="6"/>
  <c r="Q210" i="6" s="1"/>
  <c r="AA207" i="6"/>
  <c r="U211" i="6"/>
  <c r="U207" i="6" l="1"/>
  <c r="U209" i="6"/>
  <c r="U210" i="6"/>
  <c r="AI206" i="6"/>
  <c r="W211" i="6"/>
  <c r="V211" i="6"/>
  <c r="V217" i="6"/>
  <c r="AB217" i="6" s="1"/>
  <c r="AB206" i="6"/>
  <c r="S211" i="6"/>
  <c r="AF208" i="6"/>
  <c r="AF207" i="6" s="1"/>
  <c r="Y211" i="6"/>
  <c r="AG206" i="6"/>
  <c r="AI217" i="6"/>
  <c r="W209" i="6"/>
  <c r="X210" i="6"/>
  <c r="X209" i="6"/>
  <c r="W210" i="6"/>
  <c r="X211" i="6"/>
  <c r="AB208" i="6"/>
  <c r="AD206" i="6"/>
  <c r="V210" i="6"/>
  <c r="Z211" i="6"/>
  <c r="V209" i="6"/>
  <c r="M13" i="14"/>
  <c r="AZ185" i="6"/>
  <c r="BA185" i="6" s="1"/>
  <c r="M22" i="14" s="1"/>
  <c r="J210" i="6"/>
  <c r="J211" i="6"/>
  <c r="J209" i="6"/>
  <c r="AH208" i="6"/>
  <c r="AH207" i="6" s="1"/>
  <c r="AJ217" i="6"/>
  <c r="J207" i="6"/>
  <c r="AJ206" i="6"/>
  <c r="AE208" i="6"/>
  <c r="AE207" i="6" s="1"/>
  <c r="AO208" i="6"/>
  <c r="AO207" i="6" s="1"/>
  <c r="AP206" i="6"/>
  <c r="AS217" i="6"/>
  <c r="AQ206" i="6"/>
  <c r="AM206" i="6"/>
  <c r="AN206" i="6"/>
  <c r="AR206" i="6"/>
  <c r="AU203" i="6"/>
  <c r="AG217" i="6"/>
  <c r="AF217" i="6"/>
  <c r="AE217" i="6"/>
  <c r="S209" i="6"/>
  <c r="S210" i="6"/>
  <c r="AB207" i="6"/>
  <c r="AD207" i="6"/>
  <c r="AD209" i="6"/>
  <c r="AD210" i="6"/>
  <c r="AD211" i="6"/>
  <c r="AJ207" i="6"/>
  <c r="AJ212" i="6"/>
  <c r="AK212" i="6" s="1"/>
  <c r="Y210" i="6" l="1"/>
  <c r="AO206" i="6"/>
  <c r="AB211" i="6"/>
  <c r="AS208" i="6"/>
  <c r="AS212" i="6" s="1"/>
  <c r="AT212" i="6" s="1"/>
  <c r="AY212" i="6" s="1"/>
  <c r="N15" i="14" s="1"/>
  <c r="P15" i="14" s="1"/>
  <c r="AM208" i="6"/>
  <c r="AM211" i="6" s="1"/>
  <c r="AE210" i="6"/>
  <c r="AF210" i="6"/>
  <c r="AE209" i="6"/>
  <c r="M21" i="14"/>
  <c r="AH211" i="6"/>
  <c r="AG211" i="6"/>
  <c r="AG209" i="6"/>
  <c r="AI211" i="6"/>
  <c r="AE211" i="6"/>
  <c r="AF211" i="6"/>
  <c r="AP208" i="6"/>
  <c r="AP207" i="6" s="1"/>
  <c r="AK206" i="6"/>
  <c r="Y209" i="6"/>
  <c r="Z209" i="6" s="1"/>
  <c r="AR208" i="6"/>
  <c r="AR207" i="6" s="1"/>
  <c r="AF209" i="6"/>
  <c r="AG210" i="6"/>
  <c r="AK208" i="6"/>
  <c r="AQ208" i="6"/>
  <c r="AQ207" i="6" s="1"/>
  <c r="AH217" i="6"/>
  <c r="AK217" i="6" s="1"/>
  <c r="AV217" i="6"/>
  <c r="AN208" i="6"/>
  <c r="AN207" i="6" s="1"/>
  <c r="AS206" i="6"/>
  <c r="AR217" i="6"/>
  <c r="AM217" i="6"/>
  <c r="AS211" i="6"/>
  <c r="AK207" i="6"/>
  <c r="AO217" i="6"/>
  <c r="AQ217" i="6"/>
  <c r="AP217" i="6"/>
  <c r="AN217" i="6"/>
  <c r="Z210" i="6"/>
  <c r="AB210" i="6" l="1"/>
  <c r="AT206" i="6"/>
  <c r="AM209" i="6"/>
  <c r="AM210" i="6"/>
  <c r="AH209" i="6"/>
  <c r="AI209" i="6" s="1"/>
  <c r="AK209" i="6" s="1"/>
  <c r="AS207" i="6"/>
  <c r="AM207" i="6"/>
  <c r="AH210" i="6"/>
  <c r="AI210" i="6" s="1"/>
  <c r="AN209" i="6"/>
  <c r="AK211" i="6"/>
  <c r="AB209" i="6"/>
  <c r="AP211" i="6"/>
  <c r="AO210" i="6"/>
  <c r="AN210" i="6"/>
  <c r="AO209" i="6"/>
  <c r="AN211" i="6"/>
  <c r="AP209" i="6"/>
  <c r="AO211" i="6"/>
  <c r="AT208" i="6"/>
  <c r="AR211" i="6"/>
  <c r="AP210" i="6"/>
  <c r="AQ211" i="6"/>
  <c r="AW206" i="6"/>
  <c r="AW217" i="6"/>
  <c r="AX217" i="6" s="1"/>
  <c r="AW208" i="6"/>
  <c r="AW207" i="6" s="1"/>
  <c r="AV206" i="6"/>
  <c r="AV208" i="6"/>
  <c r="AK210" i="6"/>
  <c r="AQ210" i="6"/>
  <c r="AR210" i="6" s="1"/>
  <c r="AT217" i="6"/>
  <c r="AQ209" i="6"/>
  <c r="AR209" i="6" s="1"/>
  <c r="AT207" i="6" l="1"/>
  <c r="AT211" i="6"/>
  <c r="AY217" i="6"/>
  <c r="N20" i="14" s="1"/>
  <c r="P20" i="14" s="1"/>
  <c r="AV209" i="6"/>
  <c r="AW210" i="6"/>
  <c r="AV207" i="6"/>
  <c r="AX207" i="6" s="1"/>
  <c r="AV211" i="6"/>
  <c r="AW209" i="6"/>
  <c r="AX208" i="6"/>
  <c r="AY208" i="6" s="1"/>
  <c r="N11" i="14" s="1"/>
  <c r="P11" i="14" s="1"/>
  <c r="AV210" i="6"/>
  <c r="AW211" i="6"/>
  <c r="AX206" i="6"/>
  <c r="AY206" i="6" s="1"/>
  <c r="N9" i="14" s="1"/>
  <c r="P9" i="14" s="1"/>
  <c r="AS209" i="6"/>
  <c r="AT209" i="6" s="1"/>
  <c r="AS210" i="6"/>
  <c r="AT210" i="6" s="1"/>
  <c r="N8" i="14" l="1"/>
  <c r="P8" i="14" s="1"/>
  <c r="AY207" i="6"/>
  <c r="N10" i="14" s="1"/>
  <c r="P10" i="14" s="1"/>
  <c r="AX209" i="6"/>
  <c r="AY209" i="6" s="1"/>
  <c r="N12" i="14" s="1"/>
  <c r="P12" i="14" s="1"/>
  <c r="AX210" i="6"/>
  <c r="AY210" i="6" s="1"/>
  <c r="AX211" i="6"/>
  <c r="AY211" i="6" s="1"/>
  <c r="N14" i="14" s="1"/>
  <c r="P14" i="14" s="1"/>
  <c r="AZ203" i="6" l="1"/>
  <c r="N21" i="14" s="1"/>
  <c r="N13" i="14"/>
  <c r="P13" i="14" s="1"/>
  <c r="BA203" i="6" l="1"/>
  <c r="N22" i="14" s="1"/>
  <c r="P22" i="14" s="1"/>
</calcChain>
</file>

<file path=xl/comments1.xml><?xml version="1.0" encoding="utf-8"?>
<comments xmlns="http://schemas.openxmlformats.org/spreadsheetml/2006/main">
  <authors>
    <author>Angéle Ard80</author>
  </authors>
  <commentList>
    <comment ref="O23" authorId="0" shapeId="0">
      <text>
        <r>
          <rPr>
            <sz val="9"/>
            <color indexed="81"/>
            <rFont val="Tahoma"/>
            <charset val="1"/>
          </rPr>
          <t>Papa a 72 ans</t>
        </r>
      </text>
    </comment>
    <comment ref="M77" authorId="0" shapeId="0">
      <text>
        <r>
          <rPr>
            <sz val="9"/>
            <color indexed="81"/>
            <rFont val="Tahoma"/>
            <charset val="1"/>
          </rPr>
          <t>Maman a 68 ans</t>
        </r>
      </text>
    </comment>
    <comment ref="I95" authorId="0" shapeId="0">
      <text>
        <r>
          <rPr>
            <sz val="9"/>
            <color indexed="81"/>
            <rFont val="Tahoma"/>
            <charset val="1"/>
          </rPr>
          <t>Ma Douce et Belle a 42 ans</t>
        </r>
      </text>
    </comment>
    <comment ref="O167" authorId="0" shapeId="0">
      <text>
        <r>
          <rPr>
            <sz val="9"/>
            <color indexed="81"/>
            <rFont val="Tahoma"/>
            <charset val="1"/>
          </rPr>
          <t>Mathéo a 9 ans</t>
        </r>
      </text>
    </comment>
    <comment ref="AM185" authorId="0" shapeId="0">
      <text>
        <r>
          <rPr>
            <sz val="9"/>
            <color indexed="81"/>
            <rFont val="Tahoma"/>
            <charset val="1"/>
          </rPr>
          <t>Jumeaux a 18 ans</t>
        </r>
      </text>
    </comment>
    <comment ref="W203" authorId="0" shapeId="0">
      <text>
        <r>
          <rPr>
            <sz val="9"/>
            <color indexed="81"/>
            <rFont val="Tahoma"/>
            <charset val="1"/>
          </rPr>
          <t>Moi a 40 ans</t>
        </r>
      </text>
    </comment>
  </commentList>
</comments>
</file>

<file path=xl/sharedStrings.xml><?xml version="1.0" encoding="utf-8"?>
<sst xmlns="http://schemas.openxmlformats.org/spreadsheetml/2006/main" count="666" uniqueCount="111">
  <si>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</si>
  <si>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</si>
  <si>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</si>
  <si>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</si>
  <si>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</si>
  <si>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</si>
  <si>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</si>
  <si>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</si>
  <si>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</si>
  <si>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</si>
  <si>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</si>
  <si>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</si>
  <si>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</si>
  <si>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</si>
  <si>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</si>
  <si>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</si>
  <si>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</si>
  <si>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</si>
  <si>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</si>
  <si>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</si>
  <si>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</si>
  <si>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</si>
  <si>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</si>
  <si>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</si>
  <si>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</si>
  <si>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</si>
  <si>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</si>
  <si>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</si>
  <si>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</si>
  <si>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</si>
  <si>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</si>
  <si>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</si>
  <si>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</si>
  <si>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</si>
  <si>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</si>
  <si>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</si>
  <si>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</si>
  <si>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</si>
  <si>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</si>
  <si>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</si>
  <si>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</si>
  <si>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</si>
  <si>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</si>
  <si>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</si>
  <si>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</si>
  <si>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</si>
  <si>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</si>
  <si>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</si>
  <si>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</si>
  <si>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</si>
  <si>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</si>
  <si>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</si>
  <si>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</si>
  <si>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</si>
  <si>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</si>
  <si>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</si>
  <si>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</si>
  <si>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</si>
  <si>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</si>
  <si>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</si>
  <si>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</si>
  <si>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</si>
  <si>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</si>
  <si>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</si>
  <si>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</si>
  <si>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</si>
  <si>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</si>
  <si>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</si>
  <si>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</si>
  <si>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</si>
  <si>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</si>
  <si>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</si>
  <si>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</si>
  <si>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 xml:space="preserve">Paie du mois de </t>
  </si>
  <si>
    <t>JANVIER</t>
  </si>
  <si>
    <t>INDEX(Synthése!$C$9:$N$22;EQUIV(A3;Synthése!$A$9:$A$22;0);EQUIV($B$1;Janv;0))</t>
  </si>
  <si>
    <t>Année :</t>
  </si>
  <si>
    <t>Anniversaires</t>
  </si>
  <si>
    <t>Vacances scolaires</t>
  </si>
  <si>
    <t>http://www.education.gouv.fr/pid25058/le-calendrier-scolaire.html</t>
  </si>
  <si>
    <t>Date de férié</t>
  </si>
  <si>
    <t>Motif</t>
  </si>
  <si>
    <t>Date de naiss.</t>
  </si>
  <si>
    <t>Personne</t>
  </si>
  <si>
    <t>Fin des cours</t>
  </si>
  <si>
    <t>Reprise</t>
  </si>
  <si>
    <t>http://www.education.gouv.fr/cid197/les-archives-calendrier-scolaire-partir-1960.html</t>
  </si>
  <si>
    <t>Jour de l'an</t>
  </si>
  <si>
    <t>Ma Douce et Belle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</si>
  <si>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</si>
  <si>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</si>
  <si>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</si>
  <si>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</si>
  <si>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</si>
  <si>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</si>
  <si>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</si>
  <si>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</si>
  <si>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</si>
  <si>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</si>
  <si>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Date de reprise incertaine</t>
  </si>
  <si>
    <t>Jumeaux</t>
  </si>
  <si>
    <t>Mathéo</t>
  </si>
  <si>
    <t>Moi</t>
  </si>
  <si>
    <t>Maman</t>
  </si>
  <si>
    <t>Papa</t>
  </si>
  <si>
    <t>Estimation</t>
  </si>
  <si>
    <t>Taux horaire brut</t>
  </si>
  <si>
    <t>Salaire de base ss heure</t>
  </si>
  <si>
    <t>CP</t>
  </si>
  <si>
    <t>Prime de prod moyenne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</si>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</sst>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\ mmmm"/>
    <numFmt numFmtId="167" formatCode="ddd\ dd\ mmm\ yy"/>
  </numFmts>
  <fonts count="2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2"/>
      <color rgb="FFFF0000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0"/>
      <name val="Geneva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CC8A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00FF00"/>
      </top>
      <bottom style="double">
        <color rgb="FF00FF00"/>
      </bottom>
      <diagonal/>
    </border>
  </borders>
  <cellStyleXfs count="8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17" fillId="0" borderId="0"/>
  </cellStyleXfs>
  <cellXfs count="109">
    <xf numFmtId="0" fontId="0" fillId="0" borderId="0" xfId="0"/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horizontal="center"/>
    </xf>
    <xf numFmtId="0" fontId="8" fillId="0" borderId="0" xfId="1" applyFont="1"/>
    <xf numFmtId="0" fontId="8" fillId="0" borderId="0" xfId="1" applyNumberFormat="1" applyFo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9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/>
    <xf numFmtId="0" fontId="3" fillId="0" borderId="0" xfId="1" applyFont="1" applyBorder="1" applyAlignment="1">
      <alignment horizontal="center"/>
    </xf>
    <xf numFmtId="2" fontId="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/>
    <xf numFmtId="0" fontId="7" fillId="0" borderId="0" xfId="1" applyNumberFormat="1" applyFont="1" applyFill="1" applyBorder="1" applyAlignment="1">
      <alignment horizontal="left" vertical="top" wrapText="1"/>
    </xf>
    <xf numFmtId="0" fontId="8" fillId="0" borderId="0" xfId="1" applyFont="1" applyFill="1" applyBorder="1"/>
    <xf numFmtId="49" fontId="10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0" fontId="11" fillId="0" borderId="0" xfId="0" applyFont="1"/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13" fillId="0" borderId="0" xfId="0" applyFont="1"/>
    <xf numFmtId="165" fontId="8" fillId="0" borderId="0" xfId="0" applyNumberFormat="1" applyFont="1" applyFill="1" applyBorder="1" applyAlignment="1">
      <alignment vertical="center" textRotation="90"/>
    </xf>
    <xf numFmtId="0" fontId="8" fillId="0" borderId="0" xfId="0" applyFont="1"/>
    <xf numFmtId="0" fontId="7" fillId="0" borderId="0" xfId="1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 vertical="center" textRotation="90"/>
    </xf>
    <xf numFmtId="0" fontId="8" fillId="0" borderId="0" xfId="0" applyNumberFormat="1" applyFont="1"/>
    <xf numFmtId="0" fontId="8" fillId="0" borderId="0" xfId="0" applyNumberFormat="1" applyFont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left" vertical="top" wrapText="1"/>
    </xf>
    <xf numFmtId="0" fontId="8" fillId="0" borderId="0" xfId="3" applyNumberFormat="1" applyFont="1" applyFill="1" applyBorder="1" applyAlignment="1">
      <alignment horizontal="center" vertical="top" wrapText="1"/>
    </xf>
    <xf numFmtId="0" fontId="3" fillId="0" borderId="0" xfId="1" applyFont="1" applyFill="1" applyBorder="1"/>
    <xf numFmtId="164" fontId="14" fillId="0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center" vertical="top" wrapText="1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/>
    <xf numFmtId="0" fontId="0" fillId="0" borderId="0" xfId="0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5" borderId="0" xfId="1" applyNumberFormat="1" applyFont="1" applyFill="1" applyBorder="1" applyAlignment="1">
      <alignment horizontal="left" vertical="top" wrapText="1"/>
    </xf>
    <xf numFmtId="0" fontId="7" fillId="5" borderId="0" xfId="1" applyNumberFormat="1" applyFont="1" applyFill="1" applyBorder="1" applyAlignment="1">
      <alignment horizontal="center" vertical="top" wrapText="1"/>
    </xf>
    <xf numFmtId="0" fontId="14" fillId="5" borderId="0" xfId="1" applyNumberFormat="1" applyFont="1" applyFill="1" applyBorder="1" applyAlignment="1">
      <alignment horizontal="center" vertical="top" wrapText="1"/>
    </xf>
    <xf numFmtId="0" fontId="7" fillId="7" borderId="0" xfId="1" applyNumberFormat="1" applyFont="1" applyFill="1" applyBorder="1" applyAlignment="1">
      <alignment horizontal="left" vertical="top" wrapText="1"/>
    </xf>
    <xf numFmtId="0" fontId="7" fillId="7" borderId="0" xfId="1" applyNumberFormat="1" applyFont="1" applyFill="1" applyBorder="1" applyAlignment="1">
      <alignment horizontal="center" vertical="top" wrapText="1"/>
    </xf>
    <xf numFmtId="0" fontId="11" fillId="5" borderId="0" xfId="2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164" fontId="7" fillId="6" borderId="0" xfId="1" applyNumberFormat="1" applyFont="1" applyFill="1" applyBorder="1" applyAlignment="1">
      <alignment horizontal="left" vertical="top" wrapText="1"/>
    </xf>
    <xf numFmtId="164" fontId="14" fillId="6" borderId="0" xfId="1" applyNumberFormat="1" applyFont="1" applyFill="1" applyBorder="1" applyAlignment="1">
      <alignment horizontal="left" vertical="top" wrapText="1"/>
    </xf>
    <xf numFmtId="0" fontId="7" fillId="7" borderId="2" xfId="1" applyNumberFormat="1" applyFont="1" applyFill="1" applyBorder="1" applyAlignment="1">
      <alignment horizontal="left" vertical="top" wrapText="1"/>
    </xf>
    <xf numFmtId="0" fontId="7" fillId="5" borderId="3" xfId="1" applyNumberFormat="1" applyFont="1" applyFill="1" applyBorder="1" applyAlignment="1">
      <alignment horizontal="left" vertical="top" wrapText="1"/>
    </xf>
    <xf numFmtId="0" fontId="7" fillId="7" borderId="3" xfId="1" applyNumberFormat="1" applyFont="1" applyFill="1" applyBorder="1" applyAlignment="1">
      <alignment horizontal="left" vertical="top" wrapText="1"/>
    </xf>
    <xf numFmtId="0" fontId="7" fillId="5" borderId="4" xfId="1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0" fontId="0" fillId="0" borderId="0" xfId="0" applyFill="1"/>
    <xf numFmtId="0" fontId="1" fillId="0" borderId="0" xfId="5"/>
    <xf numFmtId="0" fontId="1" fillId="0" borderId="0" xfId="5" applyFill="1" applyAlignment="1">
      <alignment horizontal="center"/>
    </xf>
    <xf numFmtId="16" fontId="1" fillId="0" borderId="0" xfId="5" applyNumberFormat="1"/>
    <xf numFmtId="0" fontId="1" fillId="0" borderId="0" xfId="5" applyAlignment="1">
      <alignment horizontal="left" indent="2"/>
    </xf>
    <xf numFmtId="0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/>
    </xf>
    <xf numFmtId="0" fontId="15" fillId="9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16" fillId="0" borderId="0" xfId="6"/>
    <xf numFmtId="0" fontId="15" fillId="9" borderId="0" xfId="0" applyFont="1" applyFill="1" applyAlignment="1">
      <alignment horizontal="center"/>
    </xf>
    <xf numFmtId="0" fontId="17" fillId="0" borderId="5" xfId="7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7" fontId="17" fillId="9" borderId="3" xfId="7" applyNumberFormat="1" applyFill="1" applyBorder="1" applyAlignment="1">
      <alignment horizontal="center"/>
    </xf>
    <xf numFmtId="167" fontId="17" fillId="9" borderId="4" xfId="7" applyNumberFormat="1" applyFill="1" applyBorder="1" applyAlignment="1">
      <alignment horizontal="center"/>
    </xf>
    <xf numFmtId="167" fontId="17" fillId="0" borderId="2" xfId="7" applyNumberFormat="1" applyBorder="1" applyAlignment="1">
      <alignment horizontal="center"/>
    </xf>
    <xf numFmtId="167" fontId="17" fillId="0" borderId="2" xfId="7" applyNumberFormat="1" applyFont="1" applyBorder="1" applyAlignment="1">
      <alignment horizontal="center"/>
    </xf>
    <xf numFmtId="167" fontId="17" fillId="0" borderId="3" xfId="7" applyNumberFormat="1" applyBorder="1" applyAlignment="1">
      <alignment horizontal="center"/>
    </xf>
    <xf numFmtId="0" fontId="0" fillId="10" borderId="0" xfId="0" applyFill="1"/>
    <xf numFmtId="167" fontId="17" fillId="0" borderId="4" xfId="7" applyNumberFormat="1" applyBorder="1" applyAlignment="1">
      <alignment horizontal="center"/>
    </xf>
    <xf numFmtId="167" fontId="17" fillId="9" borderId="2" xfId="7" applyNumberFormat="1" applyFill="1" applyBorder="1" applyAlignment="1">
      <alignment horizontal="center"/>
    </xf>
    <xf numFmtId="167" fontId="17" fillId="9" borderId="2" xfId="7" applyNumberFormat="1" applyFont="1" applyFill="1" applyBorder="1" applyAlignment="1">
      <alignment horizontal="center"/>
    </xf>
    <xf numFmtId="0" fontId="15" fillId="0" borderId="0" xfId="0" applyFont="1"/>
    <xf numFmtId="164" fontId="7" fillId="11" borderId="0" xfId="1" applyNumberFormat="1" applyFont="1" applyFill="1" applyBorder="1" applyAlignment="1">
      <alignment horizontal="center" vertical="top" wrapText="1"/>
    </xf>
    <xf numFmtId="0" fontId="18" fillId="5" borderId="0" xfId="2" applyFont="1" applyFill="1" applyBorder="1" applyAlignment="1">
      <alignment horizontal="center" vertical="center"/>
    </xf>
    <xf numFmtId="0" fontId="19" fillId="5" borderId="0" xfId="2" applyFont="1" applyFill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top" wrapText="1"/>
    </xf>
    <xf numFmtId="166" fontId="0" fillId="0" borderId="0" xfId="0" applyNumberFormat="1" applyFill="1" applyAlignment="1">
      <alignment horizontal="center"/>
    </xf>
    <xf numFmtId="167" fontId="17" fillId="0" borderId="2" xfId="7" applyNumberFormat="1" applyFill="1" applyBorder="1" applyAlignment="1">
      <alignment horizontal="center"/>
    </xf>
    <xf numFmtId="167" fontId="17" fillId="0" borderId="2" xfId="7" applyNumberFormat="1" applyFont="1" applyFill="1" applyBorder="1" applyAlignment="1">
      <alignment horizontal="center"/>
    </xf>
    <xf numFmtId="167" fontId="17" fillId="0" borderId="3" xfId="7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18" fillId="5" borderId="5" xfId="2" applyFont="1" applyFill="1" applyBorder="1" applyAlignment="1">
      <alignment horizontal="center" vertical="center"/>
    </xf>
    <xf numFmtId="0" fontId="19" fillId="5" borderId="5" xfId="2" applyFont="1" applyFill="1" applyBorder="1" applyAlignment="1">
      <alignment horizontal="center" vertical="center"/>
    </xf>
    <xf numFmtId="0" fontId="7" fillId="6" borderId="0" xfId="0" quotePrefix="1" applyFont="1" applyFill="1" applyBorder="1"/>
    <xf numFmtId="0" fontId="7" fillId="6" borderId="0" xfId="0" applyFont="1" applyFill="1" applyBorder="1" applyAlignment="1">
      <alignment horizontal="center"/>
    </xf>
    <xf numFmtId="164" fontId="7" fillId="6" borderId="0" xfId="1" applyNumberFormat="1" applyFont="1" applyFill="1" applyBorder="1" applyAlignment="1">
      <alignment horizontal="center" vertical="top" wrapText="1"/>
    </xf>
    <xf numFmtId="0" fontId="11" fillId="7" borderId="0" xfId="2" applyFont="1" applyFill="1" applyBorder="1" applyAlignment="1">
      <alignment horizontal="center" vertical="center" textRotation="45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</cellXfs>
  <cellStyles count="8">
    <cellStyle name="40% - Accent1 2" xfId="3"/>
    <cellStyle name="Accent1 2" xfId="2"/>
    <cellStyle name="Heading 1 2" xfId="4"/>
    <cellStyle name="Lien hypertexte" xfId="6" builtinId="8"/>
    <cellStyle name="Normal" xfId="0" builtinId="0" customBuiltin="1"/>
    <cellStyle name="Normal 2" xfId="1"/>
    <cellStyle name="Normal 3" xfId="5"/>
    <cellStyle name="Normal_Paramètres" xfId="7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dov/Downloads/Planning%20vierge%20ok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Evenements"/>
      <sheetName val="Synthése"/>
      <sheetName val="Paie"/>
      <sheetName val="DATA"/>
    </sheetNames>
    <sheetDataSet>
      <sheetData sheetId="0">
        <row r="1">
          <cell r="A1">
            <v>2016</v>
          </cell>
        </row>
      </sheetData>
      <sheetData sheetId="1"/>
      <sheetData sheetId="2">
        <row r="1">
          <cell r="C1" t="str">
            <v>Janv</v>
          </cell>
          <cell r="D1" t="str">
            <v>Fev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</v>
          </cell>
          <cell r="J1" t="str">
            <v>Aout</v>
          </cell>
          <cell r="K1" t="str">
            <v>Sept</v>
          </cell>
          <cell r="L1" t="str">
            <v>Oct</v>
          </cell>
          <cell r="M1" t="str">
            <v>Nov</v>
          </cell>
          <cell r="N1" t="str">
            <v>Dec</v>
          </cell>
        </row>
      </sheetData>
      <sheetData sheetId="3"/>
      <sheetData sheetId="4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="82" zoomScaleNormal="8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5" sqref="C5"/>
    </sheetView>
  </sheetViews>
  <sheetFormatPr baseColWidth="10" defaultColWidth="6.6640625" defaultRowHeight="14.25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>
      <c r="A1" s="18">
        <v>2017</v>
      </c>
      <c r="C1" s="46" t="s">
        <v>69</v>
      </c>
      <c r="D1" s="14"/>
      <c r="E1" s="7"/>
      <c r="F1" s="13" t="s">
        <v>70</v>
      </c>
      <c r="G1" s="13"/>
      <c r="H1" s="13" t="s">
        <v>71</v>
      </c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108" t="s">
        <v>38</v>
      </c>
      <c r="BA2" s="108" t="s">
        <v>39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108"/>
      <c r="BA3" s="108"/>
      <c r="BF3" s="6"/>
    </row>
    <row r="4" spans="1:59" s="2" customFormat="1" ht="27.75" thickBot="1">
      <c r="A4" s="20"/>
      <c r="B4" s="20"/>
      <c r="C4" s="21" t="s">
        <v>0</v>
      </c>
      <c r="D4" s="21"/>
      <c r="E4" s="21"/>
      <c r="F4" s="21"/>
      <c r="G4" s="21"/>
      <c r="H4" s="107">
        <f>Année_Calendaire</f>
        <v>2017</v>
      </c>
      <c r="I4" s="107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107">
        <f>Année_Calendaire</f>
        <v>2017</v>
      </c>
      <c r="AA4" s="107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107">
        <f>Année_Calendaire</f>
        <v>2017</v>
      </c>
      <c r="AS4" s="107"/>
      <c r="AT4" s="38"/>
      <c r="AU4" s="45"/>
      <c r="AV4" s="22"/>
      <c r="AW4" s="22"/>
      <c r="AY4" s="64" t="s">
        <v>74</v>
      </c>
      <c r="AZ4" s="19"/>
      <c r="BA4" s="19"/>
      <c r="BB4" s="19"/>
      <c r="BC4" s="19"/>
      <c r="BD4" s="106"/>
      <c r="BE4" s="106"/>
      <c r="BF4" s="42"/>
    </row>
    <row r="5" spans="1:59" s="23" customFormat="1" ht="29.25" customHeight="1" thickTop="1" thickBot="1">
      <c r="A5" s="36"/>
      <c r="B5" s="55" t="s">
        <v>58</v>
      </c>
      <c r="C5" s="91" t="str">
        <f>IF(C6&lt;&gt;"","Lun","")</f>
        <v/>
      </c>
      <c r="D5" s="91" t="str">
        <f>IF(D6&lt;&gt;"","Mar","")</f>
        <v/>
      </c>
      <c r="E5" s="91" t="str">
        <f>IF(E6&lt;&gt;"","Mer","")</f>
        <v/>
      </c>
      <c r="F5" s="91" t="str">
        <f>IF(F6&lt;&gt;"","Jeu","")</f>
        <v/>
      </c>
      <c r="G5" s="91" t="str">
        <f>IF(G6&lt;&gt;"","Ven","")</f>
        <v/>
      </c>
      <c r="H5" s="91" t="str">
        <f>IF(H6&lt;&gt;"","Sam","")</f>
        <v/>
      </c>
      <c r="I5" s="100" t="str">
        <f>IF(I6&lt;&gt;"","Dim","")</f>
        <v>Dim</v>
      </c>
      <c r="J5" s="105" t="s">
        <v>25</v>
      </c>
      <c r="K5" s="55" t="str">
        <f>IF(L5="",LEFT(B5)&amp;MOD(RIGHT(B5),5),LEFT(B5)&amp;MOD(RIGHT(B5),4)+1)</f>
        <v>C2</v>
      </c>
      <c r="L5" s="100" t="str">
        <f>IF(L6&lt;&gt;"","Lun","")</f>
        <v>Lun</v>
      </c>
      <c r="M5" s="100" t="str">
        <f>IF(M6&lt;&gt;"","Mar","")</f>
        <v>Mar</v>
      </c>
      <c r="N5" s="91" t="str">
        <f>IF(N6&lt;&gt;"","Mer","")</f>
        <v>Mer</v>
      </c>
      <c r="O5" s="91" t="str">
        <f>IF(O6&lt;&gt;"","Jeu","")</f>
        <v>Jeu</v>
      </c>
      <c r="P5" s="91" t="str">
        <f>IF(P6&lt;&gt;"","Ven","")</f>
        <v>Ven</v>
      </c>
      <c r="Q5" s="91" t="str">
        <f>IF(Q6&lt;&gt;"","Sam","")</f>
        <v>Sam</v>
      </c>
      <c r="R5" s="91" t="str">
        <f>IF(R6&lt;&gt;"","Dim","")</f>
        <v>Dim</v>
      </c>
      <c r="S5" s="105" t="s">
        <v>25</v>
      </c>
      <c r="T5" s="55" t="str">
        <f>IF(U5="",LEFT(K5)&amp;MOD(RIGHT(K5),5),LEFT(K5)&amp;MOD(RIGHT(K5),4)+1)</f>
        <v>C3</v>
      </c>
      <c r="U5" s="91" t="str">
        <f>IF(U6&lt;&gt;"","Lun","")</f>
        <v>Lun</v>
      </c>
      <c r="V5" s="91" t="str">
        <f>IF(V6&lt;&gt;"","Mar","")</f>
        <v>Mar</v>
      </c>
      <c r="W5" s="91" t="str">
        <f>IF(W6&lt;&gt;"","Mer","")</f>
        <v>Mer</v>
      </c>
      <c r="X5" s="91" t="str">
        <f>IF(X6&lt;&gt;"","Jeu","")</f>
        <v>Jeu</v>
      </c>
      <c r="Y5" s="91" t="str">
        <f>IF(Y6&lt;&gt;"","Ven","")</f>
        <v>Ven</v>
      </c>
      <c r="Z5" s="91" t="str">
        <f>IF(Z6&lt;&gt;"","Sam","")</f>
        <v>Sam</v>
      </c>
      <c r="AA5" s="91" t="str">
        <f>IF(AA6&lt;&gt;"","Dim","")</f>
        <v>Dim</v>
      </c>
      <c r="AB5" s="105" t="s">
        <v>25</v>
      </c>
      <c r="AC5" s="55" t="str">
        <f>IF(AD5="",LEFT(T5)&amp;MOD(RIGHT(T5),5),LEFT(T5)&amp;MOD(RIGHT(T5),4)+1)</f>
        <v>C4</v>
      </c>
      <c r="AD5" s="91" t="str">
        <f>IF(AD6&lt;&gt;"","Lun","")</f>
        <v>Lun</v>
      </c>
      <c r="AE5" s="91" t="str">
        <f>IF(AE6&lt;&gt;"","Mar","")</f>
        <v>Mar</v>
      </c>
      <c r="AF5" s="91" t="str">
        <f>IF(AF6&lt;&gt;"","Mer","")</f>
        <v>Mer</v>
      </c>
      <c r="AG5" s="91" t="str">
        <f>IF(AG6&lt;&gt;"","Jeu","")</f>
        <v>Jeu</v>
      </c>
      <c r="AH5" s="91" t="str">
        <f>IF(AH6&lt;&gt;"","Ven","")</f>
        <v>Ven</v>
      </c>
      <c r="AI5" s="91" t="str">
        <f>IF(AI6&lt;&gt;"","Sam","")</f>
        <v>Sam</v>
      </c>
      <c r="AJ5" s="91" t="str">
        <f>IF(AJ6&lt;&gt;"","Dim","")</f>
        <v>Dim</v>
      </c>
      <c r="AK5" s="105" t="s">
        <v>25</v>
      </c>
      <c r="AL5" s="55" t="str">
        <f>IF(AM5="",LEFT(AC5)&amp;MOD(RIGHT(AC5),5),LEFT(AC5)&amp;MOD(RIGHT(AC5),4)+1)</f>
        <v>C1</v>
      </c>
      <c r="AM5" s="91" t="str">
        <f>IF(AM6&lt;&gt;"","Lun","")</f>
        <v>Lun</v>
      </c>
      <c r="AN5" s="91" t="str">
        <f>IF(AN6&lt;&gt;"","Mar","")</f>
        <v>Mar</v>
      </c>
      <c r="AO5" s="91" t="str">
        <f>IF(AO6&lt;&gt;"","Mer","")</f>
        <v>Mer</v>
      </c>
      <c r="AP5" s="91" t="str">
        <f>IF(AP6&lt;&gt;"","Jeu","")</f>
        <v>Jeu</v>
      </c>
      <c r="AQ5" s="91" t="str">
        <f>IF(AQ6&lt;&gt;"","Ven","")</f>
        <v>Ven</v>
      </c>
      <c r="AR5" s="91" t="str">
        <f>IF(AR6&lt;&gt;"","Sam","")</f>
        <v>Sam</v>
      </c>
      <c r="AS5" s="91" t="str">
        <f>IF(AS6&lt;&gt;"","Dim","")</f>
        <v>Dim</v>
      </c>
      <c r="AT5" s="105" t="s">
        <v>25</v>
      </c>
      <c r="AU5" s="55" t="str">
        <f>IF(AV5="",LEFT(AL5)&amp;MOD(RIGHT(AL5),5),LEFT(AL5)&amp;MOD(RIGHT(AL5),4)+1)</f>
        <v>C2</v>
      </c>
      <c r="AV5" s="53" t="str">
        <f>IF(AV6&lt;&gt;"","Lun","")</f>
        <v>Lun</v>
      </c>
      <c r="AW5" s="53" t="str">
        <f>IF(AW6&lt;&gt;"","Mar","")</f>
        <v>Mar</v>
      </c>
      <c r="AX5" s="105" t="s">
        <v>25</v>
      </c>
      <c r="AY5" s="105" t="s">
        <v>28</v>
      </c>
      <c r="AZ5" s="108">
        <f>AY12+AY13+AY14</f>
        <v>10</v>
      </c>
      <c r="BA5" s="108">
        <f>AZ5</f>
        <v>10</v>
      </c>
      <c r="BB5" s="39"/>
      <c r="BC5" s="39"/>
      <c r="BD5" s="39"/>
      <c r="BE5" s="39"/>
      <c r="BF5" s="34"/>
    </row>
    <row r="6" spans="1:59" s="25" customFormat="1" ht="15" customHeight="1" thickTop="1">
      <c r="A6" s="10"/>
      <c r="B6" s="54"/>
      <c r="C6" s="90" t="str">
        <f>IF(DAY(Jan_Dim1)=1,"",IF(AND(YEAR(Jan_Dim1+1)=Année_Calendaire,MONTH(Jan_Dim1+1)=1),Jan_Dim1+1,""))</f>
        <v/>
      </c>
      <c r="D6" s="90" t="str">
        <f>IF(DAY(Jan_Dim1)=1,"",IF(AND(YEAR(Jan_Dim1+2)=Année_Calendaire,MONTH(Jan_Dim1+2)=1),Jan_Dim1+2,""))</f>
        <v/>
      </c>
      <c r="E6" s="90" t="str">
        <f>IF(DAY(Jan_Dim1)=1,"",IF(AND(YEAR(Jan_Dim1+3)=Année_Calendaire,MONTH(Jan_Dim1+3)=1),Jan_Dim1+3,""))</f>
        <v/>
      </c>
      <c r="F6" s="90" t="str">
        <f>IF(DAY(Jan_Dim1)=1,"",IF(AND(YEAR(Jan_Dim1+4)=Année_Calendaire,MONTH(Jan_Dim1+4)=1),Jan_Dim1+4,""))</f>
        <v/>
      </c>
      <c r="G6" s="90" t="str">
        <f>IF(DAY(Jan_Dim1)=1,"",IF(AND(YEAR(Jan_Dim1+5)=Année_Calendaire,MONTH(Jan_Dim1+5)=1),Jan_Dim1+5,""))</f>
        <v/>
      </c>
      <c r="H6" s="90" t="str">
        <f>IF(DAY(Jan_Dim1)=1,"",IF(AND(YEAR(Jan_Dim1+6)=Année_Calendaire,MONTH(Jan_Dim1+6)=1),Jan_Dim1+6,""))</f>
        <v/>
      </c>
      <c r="I6" s="93">
        <f>IF(DAY(Jan_Dim1)=1,IF(AND(YEAR(Jan_Dim1)=Année_Calendaire,MONTH(Jan_Dim1)=1),Jan_Dim1,""),IF(AND(YEAR(Jan_Dim1+7)=Année_Calendaire,MONTH(Jan_Dim1+7)=1),Jan_Dim1+7,""))</f>
        <v>42736</v>
      </c>
      <c r="J6" s="105"/>
      <c r="K6" s="54"/>
      <c r="L6" s="90">
        <f>IF(DAY(Jan_Dim1)=1,IF(AND(YEAR(Jan_Dim1+1)=Année_Calendaire,MONTH(Jan_Dim1+1)=1),Jan_Dim1+1,""),IF(AND(YEAR(Jan_Dim1+8)=Année_Calendaire,MONTH(Jan_Dim1+8)=1),Jan_Dim1+8,""))</f>
        <v>42737</v>
      </c>
      <c r="M6" s="90">
        <f>IF(DAY(Jan_Dim1)=1,IF(AND(YEAR(Jan_Dim1+2)=Année_Calendaire,MONTH(Jan_Dim1+2)=1),Jan_Dim1+2,""),IF(AND(YEAR(Jan_Dim1+9)=Année_Calendaire,MONTH(Jan_Dim1+9)=1),Jan_Dim1+9,""))</f>
        <v>42738</v>
      </c>
      <c r="N6" s="90">
        <f>IF(DAY(Jan_Dim1)=1,IF(AND(YEAR(Jan_Dim1+3)=Année_Calendaire,MONTH(Jan_Dim1+3)=1),Jan_Dim1+3,""),IF(AND(YEAR(Jan_Dim1+10)=Année_Calendaire,MONTH(Jan_Dim1+10)=1),Jan_Dim1+10,""))</f>
        <v>42739</v>
      </c>
      <c r="O6" s="90">
        <f>IF(DAY(Jan_Dim1)=1,IF(AND(YEAR(Jan_Dim1+4)=Année_Calendaire,MONTH(Jan_Dim1+4)=1),Jan_Dim1+4,""),IF(AND(YEAR(Jan_Dim1+11)=Année_Calendaire,MONTH(Jan_Dim1+11)=1),Jan_Dim1+11,""))</f>
        <v>42740</v>
      </c>
      <c r="P6" s="90">
        <f>IF(DAY(Jan_Dim1)=1,IF(AND(YEAR(Jan_Dim1+5)=Année_Calendaire,MONTH(Jan_Dim1+5)=1),Jan_Dim1+5,""),IF(AND(YEAR(Jan_Dim1+12)=Année_Calendaire,MONTH(Jan_Dim1+12)=1),Jan_Dim1+12,""))</f>
        <v>42741</v>
      </c>
      <c r="Q6" s="90">
        <f>IF(DAY(Jan_Dim1)=1,IF(AND(YEAR(Jan_Dim1+6)=Année_Calendaire,MONTH(Jan_Dim1+6)=1),Jan_Dim1+6,""),IF(AND(YEAR(Jan_Dim1+13)=Année_Calendaire,MONTH(Jan_Dim1+13)=1),Jan_Dim1+13,""))</f>
        <v>42742</v>
      </c>
      <c r="R6" s="90">
        <f>IF(DAY(Jan_Dim1)=1,IF(AND(YEAR(Jan_Dim1+7)=Année_Calendaire,MONTH(Jan_Dim1+7)=1),Jan_Dim1+7,""),IF(AND(YEAR(Jan_Dim1+14)=Année_Calendaire,MONTH(Jan_Dim1+14)=1),Jan_Dim1+14,""))</f>
        <v>42743</v>
      </c>
      <c r="S6" s="105"/>
      <c r="T6" s="54"/>
      <c r="U6" s="90">
        <f>IF(DAY(Jan_Dim1)=1,IF(AND(YEAR(Jan_Dim1+8)=Année_Calendaire,MONTH(Jan_Dim1+8)=1),Jan_Dim1+8,""),IF(AND(YEAR(Jan_Dim1+15)=Année_Calendaire,MONTH(Jan_Dim1+15)=1),Jan_Dim1+15,""))</f>
        <v>42744</v>
      </c>
      <c r="V6" s="90">
        <f>IF(DAY(Jan_Dim1)=1,IF(AND(YEAR(Jan_Dim1+9)=Année_Calendaire,MONTH(Jan_Dim1+9)=1),Jan_Dim1+9,""),IF(AND(YEAR(Jan_Dim1+16)=Année_Calendaire,MONTH(Jan_Dim1+16)=1),Jan_Dim1+16,""))</f>
        <v>42745</v>
      </c>
      <c r="W6" s="90">
        <f>IF(DAY(Jan_Dim1)=1,IF(AND(YEAR(Jan_Dim1+10)=Année_Calendaire,MONTH(Jan_Dim1+10)=1),Jan_Dim1+10,""),IF(AND(YEAR(Jan_Dim1+17)=Année_Calendaire,MONTH(Jan_Dim1+17)=1),Jan_Dim1+17,""))</f>
        <v>42746</v>
      </c>
      <c r="X6" s="90">
        <f>IF(DAY(Jan_Dim1)=1,IF(AND(YEAR(Jan_Dim1+11)=Année_Calendaire,MONTH(Jan_Dim1+11)=1),Jan_Dim1+11,""),IF(AND(YEAR(Jan_Dim1+18)=Année_Calendaire,MONTH(Jan_Dim1+18)=1),Jan_Dim1+18,""))</f>
        <v>42747</v>
      </c>
      <c r="Y6" s="90">
        <f>IF(DAY(Jan_Dim1)=1,IF(AND(YEAR(Jan_Dim1+12)=Année_Calendaire,MONTH(Jan_Dim1+12)=1),Jan_Dim1+12,""),IF(AND(YEAR(Jan_Dim1+19)=Année_Calendaire,MONTH(Jan_Dim1+19)=1),Jan_Dim1+19,""))</f>
        <v>42748</v>
      </c>
      <c r="Z6" s="90">
        <f>IF(DAY(Jan_Dim1)=1,IF(AND(YEAR(Jan_Dim1+13)=Année_Calendaire,MONTH(Jan_Dim1+13)=1),Jan_Dim1+13,""),IF(AND(YEAR(Jan_Dim1+20)=Année_Calendaire,MONTH(Jan_Dim1+20)=1),Jan_Dim1+20,""))</f>
        <v>42749</v>
      </c>
      <c r="AA6" s="90">
        <f>IF(DAY(Jan_Dim1)=1,IF(AND(YEAR(Jan_Dim1+14)=Année_Calendaire,MONTH(Jan_Dim1+14)=1),Jan_Dim1+14,""),IF(AND(YEAR(Jan_Dim1+21)=Année_Calendaire,MONTH(Jan_Dim1+21)=1),Jan_Dim1+21,""))</f>
        <v>42750</v>
      </c>
      <c r="AB6" s="105"/>
      <c r="AC6" s="54"/>
      <c r="AD6" s="90">
        <f>IF(DAY(Jan_Dim1)=1,IF(AND(YEAR(Jan_Dim1+15)=Année_Calendaire,MONTH(Jan_Dim1+15)=1),Jan_Dim1+15,""),IF(AND(YEAR(Jan_Dim1+22)=Année_Calendaire,MONTH(Jan_Dim1+22)=1),Jan_Dim1+22,""))</f>
        <v>42751</v>
      </c>
      <c r="AE6" s="90">
        <f>IF(DAY(Jan_Dim1)=1,IF(AND(YEAR(Jan_Dim1+16)=Année_Calendaire,MONTH(Jan_Dim1+16)=1),Jan_Dim1+16,""),IF(AND(YEAR(Jan_Dim1+23)=Année_Calendaire,MONTH(Jan_Dim1+23)=1),Jan_Dim1+23,""))</f>
        <v>42752</v>
      </c>
      <c r="AF6" s="90">
        <f>IF(DAY(Jan_Dim1)=1,IF(AND(YEAR(Jan_Dim1+17)=Année_Calendaire,MONTH(Jan_Dim1+17)=1),Jan_Dim1+17,""),IF(AND(YEAR(Jan_Dim1+24)=Année_Calendaire,MONTH(Jan_Dim1+24)=1),Jan_Dim1+24,""))</f>
        <v>42753</v>
      </c>
      <c r="AG6" s="90">
        <f>IF(DAY(Jan_Dim1)=1,IF(AND(YEAR(Jan_Dim1+18)=Année_Calendaire,MONTH(Jan_Dim1+18)=1),Jan_Dim1+18,""),IF(AND(YEAR(Jan_Dim1+25)=Année_Calendaire,MONTH(Jan_Dim1+25)=1),Jan_Dim1+25,""))</f>
        <v>42754</v>
      </c>
      <c r="AH6" s="90">
        <f>IF(DAY(Jan_Dim1)=1,IF(AND(YEAR(Jan_Dim1+19)=Année_Calendaire,MONTH(Jan_Dim1+19)=1),Jan_Dim1+19,""),IF(AND(YEAR(Jan_Dim1+26)=Année_Calendaire,MONTH(Jan_Dim1+26)=1),Jan_Dim1+26,""))</f>
        <v>42755</v>
      </c>
      <c r="AI6" s="90">
        <f>IF(DAY(Jan_Dim1)=1,IF(AND(YEAR(Jan_Dim1+20)=Année_Calendaire,MONTH(Jan_Dim1+20)=1),Jan_Dim1+20,""),IF(AND(YEAR(Jan_Dim1+27)=Année_Calendaire,MONTH(Jan_Dim1+27)=1),Jan_Dim1+27,""))</f>
        <v>42756</v>
      </c>
      <c r="AJ6" s="90">
        <f>IF(DAY(Jan_Dim1)=1,IF(AND(YEAR(Jan_Dim1+21)=Année_Calendaire,MONTH(Jan_Dim1+21)=1),Jan_Dim1+21,""),IF(AND(YEAR(Jan_Dim1+28)=Année_Calendaire,MONTH(Jan_Dim1+28)=1),Jan_Dim1+28,""))</f>
        <v>42757</v>
      </c>
      <c r="AK6" s="105"/>
      <c r="AL6" s="54"/>
      <c r="AM6" s="90">
        <f>IF(DAY(Jan_Dim1)=1,IF(AND(YEAR(Jan_Dim1+22)=Année_Calendaire,MONTH(Jan_Dim1+22)=1),Jan_Dim1+22,""),IF(AND(YEAR(Jan_Dim1+29)=Année_Calendaire,MONTH(Jan_Dim1+29)=1),Jan_Dim1+29,""))</f>
        <v>42758</v>
      </c>
      <c r="AN6" s="90">
        <f>IF(DAY(Jan_Dim1)=1,IF(AND(YEAR(Jan_Dim1+23)=Année_Calendaire,MONTH(Jan_Dim1+23)=1),Jan_Dim1+23,""),IF(AND(YEAR(Jan_Dim1+30)=Année_Calendaire,MONTH(Jan_Dim1+30)=1),Jan_Dim1+30,""))</f>
        <v>42759</v>
      </c>
      <c r="AO6" s="90">
        <f>IF(DAY(Jan_Dim1)=1,IF(AND(YEAR(Jan_Dim1+24)=Année_Calendaire,MONTH(Jan_Dim1+24)=1),Jan_Dim1+24,""),IF(AND(YEAR(Jan_Dim1+31)=Année_Calendaire,MONTH(Jan_Dim1+31)=1),Jan_Dim1+31,""))</f>
        <v>42760</v>
      </c>
      <c r="AP6" s="90">
        <f>IF(DAY(Jan_Dim1)=1,IF(AND(YEAR(Jan_Dim1+25)=Année_Calendaire,MONTH(Jan_Dim1+25)=1),Jan_Dim1+25,""),IF(AND(YEAR(Jan_Dim1+32)=Année_Calendaire,MONTH(Jan_Dim1+32)=1),Jan_Dim1+32,""))</f>
        <v>42761</v>
      </c>
      <c r="AQ6" s="90">
        <f>IF(DAY(Jan_Dim1)=1,IF(AND(YEAR(Jan_Dim1+26)=Année_Calendaire,MONTH(Jan_Dim1+26)=1),Jan_Dim1+26,""),IF(AND(YEAR(Jan_Dim1+33)=Année_Calendaire,MONTH(Jan_Dim1+33)=1),Jan_Dim1+33,""))</f>
        <v>42762</v>
      </c>
      <c r="AR6" s="90">
        <f>IF(DAY(Jan_Dim1)=1,IF(AND(YEAR(Jan_Dim1+27)=Année_Calendaire,MONTH(Jan_Dim1+27)=1),Jan_Dim1+27,""),IF(AND(YEAR(Jan_Dim1+34)=Année_Calendaire,MONTH(Jan_Dim1+34)=1),Jan_Dim1+34,""))</f>
        <v>42763</v>
      </c>
      <c r="AS6" s="90">
        <f>IF(DAY(Jan_Dim1)=1,IF(AND(YEAR(Jan_Dim1+28)=Année_Calendaire,MONTH(Jan_Dim1+28)=1),Jan_Dim1+28,""),IF(AND(YEAR(Jan_Dim1+35)=Année_Calendaire,MONTH(Jan_Dim1+35)=1),Jan_Dim1+35,""))</f>
        <v>42764</v>
      </c>
      <c r="AT6" s="105"/>
      <c r="AU6" s="54"/>
      <c r="AV6" s="54">
        <f>IF(DAY(Jan_Dim1)=1,IF(AND(YEAR(Jan_Dim1+29)=Année_Calendaire,MONTH(Jan_Dim1+29)=1),Jan_Dim1+29,""),IF(AND(YEAR(Jan_Dim1+36)=Année_Calendaire,MONTH(Jan_Dim1+36)=1),Jan_Dim1+36,""))</f>
        <v>42765</v>
      </c>
      <c r="AW6" s="54">
        <f>IF(DAY(Jan_Dim1)=1,IF(AND(YEAR(Jan_Dim1+30)=Année_Calendaire,MONTH(Jan_Dim1+30)=1),Jan_Dim1+30,""),IF(AND(YEAR(Jan_Dim1+37)=Année_Calendaire,MONTH(Jan_Dim1+37)=1),Jan_Dim1+37,""))</f>
        <v>42766</v>
      </c>
      <c r="AX6" s="105"/>
      <c r="AY6" s="105"/>
      <c r="AZ6" s="108"/>
      <c r="BA6" s="108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/>
      <c r="D7" s="49"/>
      <c r="E7" s="49"/>
      <c r="F7" s="49"/>
      <c r="G7" s="49"/>
      <c r="H7" s="49"/>
      <c r="I7" s="49"/>
      <c r="J7" s="52"/>
      <c r="K7" s="48"/>
      <c r="L7" s="49" t="s">
        <v>49</v>
      </c>
      <c r="M7" s="49" t="s">
        <v>49</v>
      </c>
      <c r="N7" s="49" t="s">
        <v>49</v>
      </c>
      <c r="O7" s="49" t="s">
        <v>49</v>
      </c>
      <c r="P7" s="49" t="s">
        <v>49</v>
      </c>
      <c r="Q7" s="49"/>
      <c r="R7" s="49"/>
      <c r="S7" s="52"/>
      <c r="T7" s="48"/>
      <c r="U7" s="49" t="s">
        <v>48</v>
      </c>
      <c r="V7" s="49"/>
      <c r="W7" s="49"/>
      <c r="X7" s="49" t="s">
        <v>48</v>
      </c>
      <c r="Y7" s="49" t="s">
        <v>48</v>
      </c>
      <c r="Z7" s="49"/>
      <c r="AA7" s="49"/>
      <c r="AB7" s="52"/>
      <c r="AC7" s="48"/>
      <c r="AD7" s="49" t="s">
        <v>50</v>
      </c>
      <c r="AE7" s="49" t="s">
        <v>50</v>
      </c>
      <c r="AF7" s="49" t="s">
        <v>50</v>
      </c>
      <c r="AG7" s="49" t="s">
        <v>50</v>
      </c>
      <c r="AH7" s="49" t="s">
        <v>50</v>
      </c>
      <c r="AI7" s="49"/>
      <c r="AJ7" s="49"/>
      <c r="AK7" s="52"/>
      <c r="AL7" s="48"/>
      <c r="AM7" s="49" t="s">
        <v>48</v>
      </c>
      <c r="AN7" s="49" t="s">
        <v>48</v>
      </c>
      <c r="AO7" s="49" t="s">
        <v>48</v>
      </c>
      <c r="AP7" s="49"/>
      <c r="AQ7" s="49"/>
      <c r="AR7" s="49"/>
      <c r="AS7" s="49"/>
      <c r="AT7" s="52"/>
      <c r="AU7" s="48"/>
      <c r="AV7" s="49" t="s">
        <v>49</v>
      </c>
      <c r="AW7" s="49" t="s">
        <v>49</v>
      </c>
      <c r="AX7" s="52" t="s">
        <v>49</v>
      </c>
      <c r="AY7" s="50" t="s">
        <v>49</v>
      </c>
      <c r="AZ7" s="40" t="s">
        <v>49</v>
      </c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0</v>
      </c>
      <c r="D8" s="52">
        <f t="shared" ref="D8" si="0">IF(D7="Matin",1,IF(D7="AM",1,0))</f>
        <v>0</v>
      </c>
      <c r="E8" s="52">
        <f t="shared" ref="E8" si="1">IF(E7="Matin",1,IF(E7="AM",1,0))</f>
        <v>0</v>
      </c>
      <c r="F8" s="52">
        <f t="shared" ref="F8" si="2">IF(F7="Matin",1,IF(F7="AM",1,0))</f>
        <v>0</v>
      </c>
      <c r="G8" s="52">
        <f t="shared" ref="G8" si="3">IF(G7="Matin",1,IF(G7="AM",1,0))</f>
        <v>0</v>
      </c>
      <c r="H8" s="52">
        <f t="shared" ref="H8" si="4">IF(H7="Matin",1,IF(H7="AM",1,0))</f>
        <v>0</v>
      </c>
      <c r="I8" s="52">
        <f t="shared" ref="I8" si="5">IF(I7="Matin",1,IF(I7="AM",1,0))</f>
        <v>0</v>
      </c>
      <c r="J8" s="52">
        <f>SUM(C8:I8)</f>
        <v>0</v>
      </c>
      <c r="K8" s="51"/>
      <c r="L8" s="52">
        <f t="shared" ref="L8" si="6">IF(L7="Matin",1,IF(L7="AM",1,0))</f>
        <v>0</v>
      </c>
      <c r="M8" s="52">
        <f t="shared" ref="M8" si="7">IF(M7="Matin",1,IF(M7="AM",1,0))</f>
        <v>0</v>
      </c>
      <c r="N8" s="52">
        <f t="shared" ref="N8" si="8">IF(N7="Matin",1,IF(N7="AM",1,0))</f>
        <v>0</v>
      </c>
      <c r="O8" s="52">
        <f t="shared" ref="O8" si="9">IF(O7="Matin",1,IF(O7="AM",1,0))</f>
        <v>0</v>
      </c>
      <c r="P8" s="52">
        <f t="shared" ref="P8" si="10">IF(P7="Matin",1,IF(P7="AM",1,0))</f>
        <v>0</v>
      </c>
      <c r="Q8" s="52">
        <f t="shared" ref="Q8" si="11">IF(Q7="Matin",1,IF(Q7="AM",1,0))</f>
        <v>0</v>
      </c>
      <c r="R8" s="52">
        <f t="shared" ref="R8" si="12">IF(R7="Matin",1,IF(R7="AM",1,0))</f>
        <v>0</v>
      </c>
      <c r="S8" s="52">
        <f>SUM(L8:R8)</f>
        <v>0</v>
      </c>
      <c r="T8" s="51"/>
      <c r="U8" s="52">
        <f t="shared" ref="U8" si="13">IF(U7="Matin",1,IF(U7="AM",1,0))</f>
        <v>1</v>
      </c>
      <c r="V8" s="52">
        <f t="shared" ref="V8" si="14">IF(V7="Matin",1,IF(V7="AM",1,0))</f>
        <v>0</v>
      </c>
      <c r="W8" s="52">
        <f t="shared" ref="W8" si="15">IF(W7="Matin",1,IF(W7="AM",1,0))</f>
        <v>0</v>
      </c>
      <c r="X8" s="52">
        <f t="shared" ref="X8" si="16">IF(X7="Matin",1,IF(X7="AM",1,0))</f>
        <v>1</v>
      </c>
      <c r="Y8" s="52">
        <f t="shared" ref="Y8" si="17">IF(Y7="Matin",1,IF(Y7="AM",1,0))</f>
        <v>1</v>
      </c>
      <c r="Z8" s="52">
        <f t="shared" ref="Z8" si="18">IF(Z7="Matin",1,IF(Z7="AM",1,0))</f>
        <v>0</v>
      </c>
      <c r="AA8" s="52">
        <f t="shared" ref="AA8" si="19">IF(AA7="Matin",1,IF(AA7="AM",1,0))</f>
        <v>0</v>
      </c>
      <c r="AB8" s="52">
        <f>SUM(U8:AA8)</f>
        <v>3</v>
      </c>
      <c r="AC8" s="51"/>
      <c r="AD8" s="52">
        <f t="shared" ref="AD8" si="20">IF(AD7="Matin",1,IF(AD7="AM",1,0))</f>
        <v>1</v>
      </c>
      <c r="AE8" s="52">
        <f t="shared" ref="AE8" si="21">IF(AE7="Matin",1,IF(AE7="AM",1,0))</f>
        <v>1</v>
      </c>
      <c r="AF8" s="52">
        <f t="shared" ref="AF8" si="22">IF(AF7="Matin",1,IF(AF7="AM",1,0))</f>
        <v>1</v>
      </c>
      <c r="AG8" s="52">
        <f t="shared" ref="AG8" si="23">IF(AG7="Matin",1,IF(AG7="AM",1,0))</f>
        <v>1</v>
      </c>
      <c r="AH8" s="52">
        <f t="shared" ref="AH8" si="24">IF(AH7="Matin",1,IF(AH7="AM",1,0))</f>
        <v>1</v>
      </c>
      <c r="AI8" s="52">
        <f t="shared" ref="AI8" si="25">IF(AI7="Matin",1,IF(AI7="AM",1,0))</f>
        <v>0</v>
      </c>
      <c r="AJ8" s="52">
        <f t="shared" ref="AJ8" si="26">IF(AJ7="Matin",1,IF(AJ7="AM",1,0))</f>
        <v>0</v>
      </c>
      <c r="AK8" s="52">
        <f>SUM(AD8:AJ8)</f>
        <v>5</v>
      </c>
      <c r="AL8" s="51"/>
      <c r="AM8" s="52">
        <f t="shared" ref="AM8" si="27">IF(AM7="Matin",1,IF(AM7="AM",1,0))</f>
        <v>1</v>
      </c>
      <c r="AN8" s="52">
        <f t="shared" ref="AN8" si="28">IF(AN7="Matin",1,IF(AN7="AM",1,0))</f>
        <v>1</v>
      </c>
      <c r="AO8" s="52">
        <f t="shared" ref="AO8" si="29">IF(AO7="Matin",1,IF(AO7="AM",1,0))</f>
        <v>1</v>
      </c>
      <c r="AP8" s="52">
        <f t="shared" ref="AP8" si="30">IF(AP7="Matin",1,IF(AP7="AM",1,0))</f>
        <v>0</v>
      </c>
      <c r="AQ8" s="52">
        <f t="shared" ref="AQ8" si="31">IF(AQ7="Matin",1,IF(AQ7="AM",1,0))</f>
        <v>0</v>
      </c>
      <c r="AR8" s="52">
        <f t="shared" ref="AR8" si="32">IF(AR7="Matin",1,IF(AR7="AM",1,0))</f>
        <v>0</v>
      </c>
      <c r="AS8" s="52">
        <f t="shared" ref="AS8" si="33">IF(AS7="Matin",1,IF(AS7="AM",1,0))</f>
        <v>0</v>
      </c>
      <c r="AT8" s="52">
        <f>SUM(AM8:AS8)</f>
        <v>3</v>
      </c>
      <c r="AU8" s="51"/>
      <c r="AV8" s="52">
        <f t="shared" ref="AV8" si="34">IF(AV7="Matin",1,IF(AV7="AM",1,0))</f>
        <v>0</v>
      </c>
      <c r="AW8" s="52">
        <f t="shared" ref="AW8" si="35">IF(AW7="Matin",1,IF(AW7="AM",1,0))</f>
        <v>0</v>
      </c>
      <c r="AX8" s="52">
        <f t="shared" ref="AX8:AX15" si="36">SUM(AV8:AW8)</f>
        <v>0</v>
      </c>
      <c r="AY8" s="52">
        <f>J8+S8+AB8+AK8+AT8+AX8</f>
        <v>11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0</v>
      </c>
      <c r="D9" s="49">
        <f>IF(D10&gt;=1,1,0)</f>
        <v>0</v>
      </c>
      <c r="E9" s="49">
        <f t="shared" ref="E9:I9" si="37">IF(E10&gt;=1,1,0)</f>
        <v>0</v>
      </c>
      <c r="F9" s="49">
        <f t="shared" si="37"/>
        <v>0</v>
      </c>
      <c r="G9" s="49">
        <f t="shared" si="37"/>
        <v>0</v>
      </c>
      <c r="H9" s="49">
        <f t="shared" si="37"/>
        <v>0</v>
      </c>
      <c r="I9" s="49">
        <f t="shared" si="37"/>
        <v>0</v>
      </c>
      <c r="J9" s="52">
        <f t="shared" ref="J9:J19" si="38">SUM(C9:I9)</f>
        <v>0</v>
      </c>
      <c r="K9" s="48"/>
      <c r="L9" s="49">
        <f>IF(L10&gt;=1,1,0)</f>
        <v>1</v>
      </c>
      <c r="M9" s="49">
        <f t="shared" ref="M9" si="39">IF(M10&gt;=1,1,0)</f>
        <v>1</v>
      </c>
      <c r="N9" s="49">
        <f t="shared" ref="N9" si="40">IF(N10&gt;=1,1,0)</f>
        <v>1</v>
      </c>
      <c r="O9" s="49">
        <f t="shared" ref="O9" si="41">IF(O10&gt;=1,1,0)</f>
        <v>1</v>
      </c>
      <c r="P9" s="49">
        <f t="shared" ref="P9" si="42">IF(P10&gt;=1,1,0)</f>
        <v>1</v>
      </c>
      <c r="Q9" s="49">
        <f t="shared" ref="Q9" si="43">IF(Q10&gt;=1,1,0)</f>
        <v>0</v>
      </c>
      <c r="R9" s="49">
        <f t="shared" ref="R9" si="44">IF(R10&gt;=1,1,0)</f>
        <v>0</v>
      </c>
      <c r="S9" s="52">
        <f t="shared" ref="S9:S19" si="45">SUM(L9:R9)</f>
        <v>5</v>
      </c>
      <c r="T9" s="48"/>
      <c r="U9" s="49">
        <f>IF(U10&gt;=1,1,0)</f>
        <v>1</v>
      </c>
      <c r="V9" s="49">
        <f t="shared" ref="V9" si="46">IF(V10&gt;=1,1,0)</f>
        <v>0</v>
      </c>
      <c r="W9" s="49">
        <f t="shared" ref="W9" si="47">IF(W10&gt;=1,1,0)</f>
        <v>0</v>
      </c>
      <c r="X9" s="49">
        <f t="shared" ref="X9" si="48">IF(X10&gt;=1,1,0)</f>
        <v>1</v>
      </c>
      <c r="Y9" s="49">
        <f t="shared" ref="Y9" si="49">IF(Y10&gt;=1,1,0)</f>
        <v>1</v>
      </c>
      <c r="Z9" s="49">
        <f t="shared" ref="Z9" si="50">IF(Z10&gt;=1,1,0)</f>
        <v>0</v>
      </c>
      <c r="AA9" s="49">
        <f t="shared" ref="AA9" si="51">IF(AA10&gt;=1,1,0)</f>
        <v>0</v>
      </c>
      <c r="AB9" s="52">
        <f t="shared" ref="AB9:AB19" si="52">SUM(U9:AA9)</f>
        <v>3</v>
      </c>
      <c r="AC9" s="48"/>
      <c r="AD9" s="49">
        <f>IF(AD10&gt;=1,1,0)</f>
        <v>1</v>
      </c>
      <c r="AE9" s="49">
        <f t="shared" ref="AE9" si="53">IF(AE10&gt;=1,1,0)</f>
        <v>1</v>
      </c>
      <c r="AF9" s="49">
        <f t="shared" ref="AF9" si="54">IF(AF10&gt;=1,1,0)</f>
        <v>1</v>
      </c>
      <c r="AG9" s="49">
        <f t="shared" ref="AG9" si="55">IF(AG10&gt;=1,1,0)</f>
        <v>1</v>
      </c>
      <c r="AH9" s="49">
        <f t="shared" ref="AH9" si="56">IF(AH10&gt;=1,1,0)</f>
        <v>1</v>
      </c>
      <c r="AI9" s="49">
        <f t="shared" ref="AI9" si="57">IF(AI10&gt;=1,1,0)</f>
        <v>0</v>
      </c>
      <c r="AJ9" s="49">
        <f t="shared" ref="AJ9" si="58">IF(AJ10&gt;=1,1,0)</f>
        <v>0</v>
      </c>
      <c r="AK9" s="52">
        <f t="shared" ref="AK9:AK19" si="59">SUM(AD9:AJ9)</f>
        <v>5</v>
      </c>
      <c r="AL9" s="48"/>
      <c r="AM9" s="49">
        <f>IF(AM10&gt;=1,1,0)</f>
        <v>1</v>
      </c>
      <c r="AN9" s="49">
        <f t="shared" ref="AN9" si="60">IF(AN10&gt;=1,1,0)</f>
        <v>1</v>
      </c>
      <c r="AO9" s="49">
        <f t="shared" ref="AO9" si="61">IF(AO10&gt;=1,1,0)</f>
        <v>1</v>
      </c>
      <c r="AP9" s="49">
        <f t="shared" ref="AP9" si="62">IF(AP10&gt;=1,1,0)</f>
        <v>0</v>
      </c>
      <c r="AQ9" s="49">
        <f t="shared" ref="AQ9" si="63">IF(AQ10&gt;=1,1,0)</f>
        <v>0</v>
      </c>
      <c r="AR9" s="49">
        <f t="shared" ref="AR9" si="64">IF(AR10&gt;=1,1,0)</f>
        <v>0</v>
      </c>
      <c r="AS9" s="49">
        <f t="shared" ref="AS9" si="65">IF(AS10&gt;=1,1,0)</f>
        <v>0</v>
      </c>
      <c r="AT9" s="52">
        <f t="shared" ref="AT9:AT19" si="66">SUM(AM9:AS9)</f>
        <v>3</v>
      </c>
      <c r="AU9" s="48"/>
      <c r="AV9" s="49">
        <f>IF(AV10&gt;=1,1,0)</f>
        <v>1</v>
      </c>
      <c r="AW9" s="49">
        <f t="shared" ref="AW9" si="67">IF(AW10&gt;=1,1,0)</f>
        <v>1</v>
      </c>
      <c r="AX9" s="52">
        <f t="shared" si="36"/>
        <v>2</v>
      </c>
      <c r="AY9" s="49">
        <f t="shared" ref="AY9:AY18" si="68">J9+S9+AB9+AK9+AT9+AX9</f>
        <v>18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f>IF(C7="Matin",8,IF(C7="AM",8,IF(C7="nuit",8,0)))</f>
        <v>0</v>
      </c>
      <c r="D10" s="52">
        <f t="shared" ref="D10:I10" si="69">IF(D7="Matin",8,IF(D7="AM",8,IF(D7="nuit",8,0)))</f>
        <v>0</v>
      </c>
      <c r="E10" s="52">
        <f t="shared" si="69"/>
        <v>0</v>
      </c>
      <c r="F10" s="52">
        <f t="shared" si="69"/>
        <v>0</v>
      </c>
      <c r="G10" s="52">
        <f t="shared" si="69"/>
        <v>0</v>
      </c>
      <c r="H10" s="52">
        <f t="shared" si="69"/>
        <v>0</v>
      </c>
      <c r="I10" s="52">
        <f t="shared" si="69"/>
        <v>0</v>
      </c>
      <c r="J10" s="52">
        <f t="shared" si="38"/>
        <v>0</v>
      </c>
      <c r="K10" s="51"/>
      <c r="L10" s="52">
        <f>IF(L7="Matin",8,IF(L7="AM",8,IF(L7="nuit",8,0)))</f>
        <v>8</v>
      </c>
      <c r="M10" s="52">
        <f t="shared" ref="M10:R10" si="70">IF(M7="Matin",8,IF(M7="AM",8,IF(M7="nuit",8,0)))</f>
        <v>8</v>
      </c>
      <c r="N10" s="52">
        <f t="shared" si="70"/>
        <v>8</v>
      </c>
      <c r="O10" s="52">
        <f t="shared" si="70"/>
        <v>8</v>
      </c>
      <c r="P10" s="52">
        <f t="shared" si="70"/>
        <v>8</v>
      </c>
      <c r="Q10" s="52">
        <f t="shared" si="70"/>
        <v>0</v>
      </c>
      <c r="R10" s="52">
        <f t="shared" si="70"/>
        <v>0</v>
      </c>
      <c r="S10" s="52">
        <f t="shared" si="45"/>
        <v>40</v>
      </c>
      <c r="T10" s="51"/>
      <c r="U10" s="52">
        <f>IF(U7="Matin",8,IF(U7="AM",8,IF(U7="nuit",8,0)))</f>
        <v>8</v>
      </c>
      <c r="V10" s="52">
        <f t="shared" ref="V10:AA10" si="71">IF(V7="Matin",8,IF(V7="AM",8,IF(V7="nuit",8,0)))</f>
        <v>0</v>
      </c>
      <c r="W10" s="52">
        <f t="shared" si="71"/>
        <v>0</v>
      </c>
      <c r="X10" s="52">
        <f>IF(X7="Matin",8,IF(X7="AM",8,IF(X7="nuit",8,0)))</f>
        <v>8</v>
      </c>
      <c r="Y10" s="52">
        <f t="shared" si="71"/>
        <v>8</v>
      </c>
      <c r="Z10" s="52">
        <f t="shared" si="71"/>
        <v>0</v>
      </c>
      <c r="AA10" s="52">
        <f t="shared" si="71"/>
        <v>0</v>
      </c>
      <c r="AB10" s="52">
        <f t="shared" si="52"/>
        <v>24</v>
      </c>
      <c r="AC10" s="51"/>
      <c r="AD10" s="52">
        <f>IF(AD7="Matin",8,IF(AD7="AM",8,IF(AD7="nuit",8,0)))</f>
        <v>8</v>
      </c>
      <c r="AE10" s="52">
        <f t="shared" ref="AE10:AJ10" si="72">IF(AE7="Matin",8,IF(AE7="AM",8,IF(AE7="nuit",8,0)))</f>
        <v>8</v>
      </c>
      <c r="AF10" s="52">
        <f t="shared" si="72"/>
        <v>8</v>
      </c>
      <c r="AG10" s="52">
        <f t="shared" si="72"/>
        <v>8</v>
      </c>
      <c r="AH10" s="52">
        <f t="shared" si="72"/>
        <v>8</v>
      </c>
      <c r="AI10" s="52">
        <f t="shared" si="72"/>
        <v>0</v>
      </c>
      <c r="AJ10" s="52">
        <f t="shared" si="72"/>
        <v>0</v>
      </c>
      <c r="AK10" s="52">
        <f t="shared" si="59"/>
        <v>40</v>
      </c>
      <c r="AL10" s="51"/>
      <c r="AM10" s="52">
        <f>IF(AM7="Matin",8,IF(AM7="AM",8,IF(AM7="nuit",8,0)))</f>
        <v>8</v>
      </c>
      <c r="AN10" s="52">
        <f t="shared" ref="AN10:AS10" si="73">IF(AN7="Matin",8,IF(AN7="AM",8,IF(AN7="nuit",8,0)))</f>
        <v>8</v>
      </c>
      <c r="AO10" s="52">
        <f t="shared" si="73"/>
        <v>8</v>
      </c>
      <c r="AP10" s="52">
        <f t="shared" si="73"/>
        <v>0</v>
      </c>
      <c r="AQ10" s="52">
        <f t="shared" si="73"/>
        <v>0</v>
      </c>
      <c r="AR10" s="52">
        <f t="shared" si="73"/>
        <v>0</v>
      </c>
      <c r="AS10" s="52">
        <f t="shared" si="73"/>
        <v>0</v>
      </c>
      <c r="AT10" s="52">
        <f t="shared" si="66"/>
        <v>24</v>
      </c>
      <c r="AU10" s="51"/>
      <c r="AV10" s="52">
        <f>IF(AV7="Matin",8,IF(AV7="AM",8,IF(AV7="nuit",8,0)))</f>
        <v>8</v>
      </c>
      <c r="AW10" s="52">
        <f t="shared" ref="AW10" si="74">IF(AW7="Matin",8,IF(AW7="AM",8,IF(AW7="nuit",8,0)))</f>
        <v>8</v>
      </c>
      <c r="AX10" s="52">
        <f t="shared" si="36"/>
        <v>16</v>
      </c>
      <c r="AY10" s="52">
        <f t="shared" si="68"/>
        <v>144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13</v>
      </c>
      <c r="B11" s="48"/>
      <c r="C11" s="49">
        <f>IF(C5&lt;&gt;"Dim",IF(C10&gt;32,MIN(C10,35)-32,0),0)</f>
        <v>0</v>
      </c>
      <c r="D11" s="49">
        <f>IF(D5&lt;&gt;"Dim",IF(SUM($C10:D10)&gt;32,MIN(SUM($C10:D10),35)-32-SUM($C11:C11),0),0)</f>
        <v>0</v>
      </c>
      <c r="E11" s="49">
        <f>IF(E5&lt;&gt;"Dim",IF(SUM($C10:E10)&gt;32,MIN(SUM($C10:E10),35)-32-SUM($C11:D11),0),0)</f>
        <v>0</v>
      </c>
      <c r="F11" s="49">
        <f>IF(F5&lt;&gt;"Dim",IF(SUM($C10:F10)&gt;32,MIN(SUM($C10:F10),35)-32-SUM($C11:E11),0),0)</f>
        <v>0</v>
      </c>
      <c r="G11" s="49">
        <f>IF(G5&lt;&gt;"Dim",IF(SUM($C10:G10)&gt;32,MIN(SUM($C10:G10),35)-32-SUM($C11:F11),0),0)</f>
        <v>0</v>
      </c>
      <c r="H11" s="49">
        <f>IF(H5&lt;&gt;"Dim",IF(SUM($C10:H10)&gt;32,MIN(SUM($C10:H10),35)-32-SUM($C11:G11),0),0)</f>
        <v>0</v>
      </c>
      <c r="I11" s="49">
        <f>IF(I5&lt;&gt;"Dim",IF(SUM($C10:I10)&gt;32,MIN(SUM($C10:I10),35)-32-SUM($C11:H11),0),0)</f>
        <v>0</v>
      </c>
      <c r="J11" s="52">
        <f t="shared" si="38"/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3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5"/>
        <v>3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0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2"/>
        <v>0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3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9"/>
        <v>3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0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6"/>
        <v>0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6"/>
        <v>0</v>
      </c>
      <c r="AY11" s="50">
        <f t="shared" si="68"/>
        <v>6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>
        <f>IF(C5&lt;&gt;"Dim",IF(C10&gt;35,(MIN(C10,43)-35),0),0)</f>
        <v>0</v>
      </c>
      <c r="D12" s="52">
        <f>IF(D5&lt;&gt;"Dim",IF(SUM($C10:D10)&gt;35,(MIN(SUM($C10:D10),43)-35-SUM($C12:C12)),0),0)</f>
        <v>0</v>
      </c>
      <c r="E12" s="52">
        <f>IF(E5&lt;&gt;"Dim",IF(SUM($C10:E10)&gt;35,(MIN(SUM($C10:E10),43)-35-SUM($C12:D12)),0),0)</f>
        <v>0</v>
      </c>
      <c r="F12" s="52">
        <f>IF(F5&lt;&gt;"Dim",IF(SUM($C10:F10)&gt;35,(MIN(SUM($C10:F10),43)-35-SUM($C12:E12)),0),0)</f>
        <v>0</v>
      </c>
      <c r="G12" s="52">
        <f>IF(G5&lt;&gt;"Dim",IF(SUM($C10:G10)&gt;35,(MIN(SUM($C10:G10),43)-35-SUM($C12:F12)),0),0)</f>
        <v>0</v>
      </c>
      <c r="H12" s="52">
        <f>IF(H5&lt;&gt;"Dim",IF(SUM($C10:H10)&gt;35,(MIN(SUM($C10:H10),43)-35-SUM($C12:G12)),0),0)</f>
        <v>0</v>
      </c>
      <c r="I12" s="52">
        <f>IF(I5&lt;&gt;"Dim",IF(SUM($C10:I10)&gt;35,(MIN(SUM($C10:I10),43)-35-SUM($C12:H12)),0),0)</f>
        <v>0</v>
      </c>
      <c r="J12" s="52">
        <f t="shared" si="38"/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5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5"/>
        <v>5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0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2"/>
        <v>0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5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9"/>
        <v>5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0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6"/>
        <v>0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6"/>
        <v>0</v>
      </c>
      <c r="AY12" s="52">
        <f t="shared" si="68"/>
        <v>10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>
        <f>IF(C5&lt;&gt;"Dim",IF(C10&gt;43,(MIN(C10,48)-43),0),0)</f>
        <v>0</v>
      </c>
      <c r="D13" s="49">
        <f>IF(D5&lt;&gt;"Dim",IF(SUM($C10:D10)&gt;43,(MIN(SUM($C10:D10),48)-43-SUM($C13:C13)),0),0)</f>
        <v>0</v>
      </c>
      <c r="E13" s="49">
        <f>IF(E5&lt;&gt;"Dim",IF(SUM($C10:E10)&gt;43,(MIN(SUM($C10:E10),48)-43-SUM($C13:D13)),0),0)</f>
        <v>0</v>
      </c>
      <c r="F13" s="49">
        <f>IF(F5&lt;&gt;"Dim",IF(SUM($C10:F10)&gt;43,(MIN(SUM($C10:F10),48)-43-SUM($C13:E13)),0),0)</f>
        <v>0</v>
      </c>
      <c r="G13" s="49">
        <f>IF(G5&lt;&gt;"Dim",IF(SUM($C10:G10)&gt;43,(MIN(SUM($C10:G10),48)-43-SUM($C13:F13)),0),0)</f>
        <v>0</v>
      </c>
      <c r="H13" s="49">
        <f>IF(H5&lt;&gt;"Dim",IF(SUM($C10:H10)&gt;43,(MIN(SUM($C10:H10),48)-43-SUM($C13:G13)),0),0)</f>
        <v>0</v>
      </c>
      <c r="I13" s="49">
        <f>IF(I5&lt;&gt;"Dim",IF(SUM($C10:I10)&gt;43,(MIN(SUM($C10:I10),48)-43-SUM($C13:H13)),0),0)</f>
        <v>0</v>
      </c>
      <c r="J13" s="52">
        <f t="shared" si="38"/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5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2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9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6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6"/>
        <v>0</v>
      </c>
      <c r="AY13" s="50">
        <f t="shared" si="68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5">IF(C5="Dim",C10,IF(C20="ferie",C10,0))</f>
        <v>0</v>
      </c>
      <c r="D14" s="52">
        <f t="shared" si="75"/>
        <v>0</v>
      </c>
      <c r="E14" s="52">
        <f t="shared" si="75"/>
        <v>0</v>
      </c>
      <c r="F14" s="52">
        <f t="shared" si="75"/>
        <v>0</v>
      </c>
      <c r="G14" s="52">
        <f t="shared" si="75"/>
        <v>0</v>
      </c>
      <c r="H14" s="52">
        <f t="shared" si="75"/>
        <v>0</v>
      </c>
      <c r="I14" s="52">
        <f t="shared" si="75"/>
        <v>0</v>
      </c>
      <c r="J14" s="52">
        <f t="shared" si="38"/>
        <v>0</v>
      </c>
      <c r="K14" s="51"/>
      <c r="L14" s="52">
        <f>IF(L5="Dim",L10,IF(L20="ferie",L10,0))</f>
        <v>0</v>
      </c>
      <c r="M14" s="52">
        <f t="shared" ref="M14:R14" si="76">IF(M5="Dim",M10,IF(M20="ferie",M10,0))</f>
        <v>0</v>
      </c>
      <c r="N14" s="52">
        <f t="shared" si="76"/>
        <v>0</v>
      </c>
      <c r="O14" s="52">
        <f t="shared" si="76"/>
        <v>0</v>
      </c>
      <c r="P14" s="52">
        <f t="shared" si="76"/>
        <v>0</v>
      </c>
      <c r="Q14" s="52">
        <f t="shared" si="76"/>
        <v>0</v>
      </c>
      <c r="R14" s="52">
        <f t="shared" si="76"/>
        <v>0</v>
      </c>
      <c r="S14" s="52">
        <f t="shared" si="45"/>
        <v>0</v>
      </c>
      <c r="T14" s="51"/>
      <c r="U14" s="52">
        <f>IF(U5="Dim",U10,IF(U20="ferie",U10,0))</f>
        <v>0</v>
      </c>
      <c r="V14" s="52">
        <f t="shared" ref="V14:AA14" si="77">IF(V5="Dim",V10,IF(V20="ferie",V10,0))</f>
        <v>0</v>
      </c>
      <c r="W14" s="52">
        <f t="shared" si="77"/>
        <v>0</v>
      </c>
      <c r="X14" s="52">
        <f t="shared" si="77"/>
        <v>0</v>
      </c>
      <c r="Y14" s="52">
        <f t="shared" si="77"/>
        <v>0</v>
      </c>
      <c r="Z14" s="52">
        <f t="shared" si="77"/>
        <v>0</v>
      </c>
      <c r="AA14" s="52">
        <f t="shared" si="77"/>
        <v>0</v>
      </c>
      <c r="AB14" s="52">
        <f t="shared" si="52"/>
        <v>0</v>
      </c>
      <c r="AC14" s="51"/>
      <c r="AD14" s="52">
        <f>IF(AD5="Dim",AD10,IF(AD20="ferie",AD10,0))</f>
        <v>0</v>
      </c>
      <c r="AE14" s="52">
        <f t="shared" ref="AE14:AJ14" si="78">IF(AE5="Dim",AE10,IF(AE20="ferie",AE10,0))</f>
        <v>0</v>
      </c>
      <c r="AF14" s="52">
        <f t="shared" si="78"/>
        <v>0</v>
      </c>
      <c r="AG14" s="52">
        <f t="shared" si="78"/>
        <v>0</v>
      </c>
      <c r="AH14" s="52">
        <f t="shared" si="78"/>
        <v>0</v>
      </c>
      <c r="AI14" s="52">
        <f t="shared" si="78"/>
        <v>0</v>
      </c>
      <c r="AJ14" s="52">
        <f t="shared" si="78"/>
        <v>0</v>
      </c>
      <c r="AK14" s="52">
        <f t="shared" si="59"/>
        <v>0</v>
      </c>
      <c r="AL14" s="51"/>
      <c r="AM14" s="52">
        <f>IF(AM5="Dim",AM10,IF(AM20="ferie",AM10,0))</f>
        <v>0</v>
      </c>
      <c r="AN14" s="52">
        <f t="shared" ref="AN14:AW14" si="79">IF(AN5="Dim",AN10,IF(AN20="ferie",AN10,0))</f>
        <v>0</v>
      </c>
      <c r="AO14" s="52">
        <f t="shared" si="79"/>
        <v>0</v>
      </c>
      <c r="AP14" s="52">
        <f t="shared" si="79"/>
        <v>0</v>
      </c>
      <c r="AQ14" s="52">
        <f t="shared" si="79"/>
        <v>0</v>
      </c>
      <c r="AR14" s="52">
        <f t="shared" si="79"/>
        <v>0</v>
      </c>
      <c r="AS14" s="52">
        <f t="shared" si="79"/>
        <v>0</v>
      </c>
      <c r="AT14" s="52">
        <f t="shared" si="66"/>
        <v>0</v>
      </c>
      <c r="AU14" s="51"/>
      <c r="AV14" s="52">
        <f>IF(AV5="Dim",AV10,IF(AV20="ferie",AV10,0))</f>
        <v>0</v>
      </c>
      <c r="AW14" s="52">
        <f t="shared" si="79"/>
        <v>0</v>
      </c>
      <c r="AX14" s="52">
        <f t="shared" si="36"/>
        <v>0</v>
      </c>
      <c r="AY14" s="52">
        <f t="shared" si="68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8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5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2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9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6"/>
        <v>0</v>
      </c>
      <c r="AU15" s="48"/>
      <c r="AV15" s="49"/>
      <c r="AW15" s="49"/>
      <c r="AX15" s="52">
        <f t="shared" si="36"/>
        <v>0</v>
      </c>
      <c r="AY15" s="49">
        <f t="shared" si="68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8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5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2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9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6"/>
        <v>0</v>
      </c>
      <c r="AU16" s="51"/>
      <c r="AV16" s="52"/>
      <c r="AW16" s="52"/>
      <c r="AX16" s="52">
        <f t="shared" ref="AX16:AX18" si="80">SUM(AV16:AW16)</f>
        <v>0</v>
      </c>
      <c r="AY16" s="52">
        <f t="shared" si="68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8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5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2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9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6"/>
        <v>0</v>
      </c>
      <c r="AU17" s="48"/>
      <c r="AV17" s="49"/>
      <c r="AW17" s="49"/>
      <c r="AX17" s="52">
        <f t="shared" si="80"/>
        <v>0</v>
      </c>
      <c r="AY17" s="50">
        <f t="shared" si="68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8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5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2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9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6"/>
        <v>0</v>
      </c>
      <c r="AU18" s="51"/>
      <c r="AV18" s="52"/>
      <c r="AW18" s="52"/>
      <c r="AX18" s="52">
        <f t="shared" si="80"/>
        <v>0</v>
      </c>
      <c r="AY18" s="52">
        <f t="shared" si="68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37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81">IF(E7="nuit",E10*0.02,0)</f>
        <v>0</v>
      </c>
      <c r="F19" s="49">
        <f t="shared" si="81"/>
        <v>0</v>
      </c>
      <c r="G19" s="49">
        <f>IF(G7="nuit",G10*0.02,0)</f>
        <v>0</v>
      </c>
      <c r="H19" s="49">
        <f t="shared" si="81"/>
        <v>0</v>
      </c>
      <c r="I19" s="49">
        <f t="shared" si="81"/>
        <v>0</v>
      </c>
      <c r="J19" s="52">
        <f t="shared" si="38"/>
        <v>0</v>
      </c>
      <c r="K19" s="48"/>
      <c r="L19" s="49">
        <f>IF(L7="nuit",L10*0.02,0)</f>
        <v>0.16</v>
      </c>
      <c r="M19" s="49">
        <f>IF(M7="nuit",M10*0.02,0)</f>
        <v>0.16</v>
      </c>
      <c r="N19" s="49">
        <f t="shared" ref="N19:R19" si="82">IF(N7="nuit",N10*0.02,0)</f>
        <v>0.16</v>
      </c>
      <c r="O19" s="49">
        <f t="shared" si="82"/>
        <v>0.16</v>
      </c>
      <c r="P19" s="49">
        <f>IF(P7="nuit",P10*0.02,0)</f>
        <v>0.16</v>
      </c>
      <c r="Q19" s="49">
        <f t="shared" si="82"/>
        <v>0</v>
      </c>
      <c r="R19" s="49">
        <f t="shared" si="82"/>
        <v>0</v>
      </c>
      <c r="S19" s="52">
        <f t="shared" si="45"/>
        <v>0.8</v>
      </c>
      <c r="T19" s="48"/>
      <c r="U19" s="49">
        <f>IF(U7="nuit",U10*0.02,0)</f>
        <v>0</v>
      </c>
      <c r="V19" s="49">
        <f>IF(V7="nuit",V10*0.02,0)</f>
        <v>0</v>
      </c>
      <c r="W19" s="49">
        <f t="shared" ref="W19:AA19" si="83">IF(W7="nuit",W10*0.02,0)</f>
        <v>0</v>
      </c>
      <c r="X19" s="49">
        <f t="shared" si="83"/>
        <v>0</v>
      </c>
      <c r="Y19" s="49">
        <f>IF(Y7="nuit",Y10*0.02,0)</f>
        <v>0</v>
      </c>
      <c r="Z19" s="49">
        <f t="shared" si="83"/>
        <v>0</v>
      </c>
      <c r="AA19" s="49">
        <f t="shared" si="83"/>
        <v>0</v>
      </c>
      <c r="AB19" s="52">
        <f t="shared" si="52"/>
        <v>0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4">IF(AF7="nuit",AF10*0.02,0)</f>
        <v>0</v>
      </c>
      <c r="AG19" s="49">
        <f t="shared" si="84"/>
        <v>0</v>
      </c>
      <c r="AH19" s="49">
        <f>IF(AH7="nuit",AH10*0.02,0)</f>
        <v>0</v>
      </c>
      <c r="AI19" s="49">
        <f t="shared" si="84"/>
        <v>0</v>
      </c>
      <c r="AJ19" s="49">
        <f t="shared" si="84"/>
        <v>0</v>
      </c>
      <c r="AK19" s="52">
        <f t="shared" si="59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5">IF(AO7="nuit",AO10*0.02,0)</f>
        <v>0</v>
      </c>
      <c r="AP19" s="49">
        <f t="shared" si="85"/>
        <v>0</v>
      </c>
      <c r="AQ19" s="49">
        <f>IF(AQ7="nuit",AQ10*0.02,0)</f>
        <v>0</v>
      </c>
      <c r="AR19" s="49">
        <f t="shared" si="85"/>
        <v>0</v>
      </c>
      <c r="AS19" s="49">
        <f t="shared" si="85"/>
        <v>0</v>
      </c>
      <c r="AT19" s="52">
        <f t="shared" si="66"/>
        <v>0</v>
      </c>
      <c r="AU19" s="48"/>
      <c r="AV19" s="49">
        <f>IF(AV7="nuit",AV10*0.02,0)</f>
        <v>0.16</v>
      </c>
      <c r="AW19" s="49">
        <f>IF(AW7="nuit",AW10*0.02,0)</f>
        <v>0.16</v>
      </c>
      <c r="AX19" s="52">
        <f>SUM(AV19:AW19)</f>
        <v>0.32</v>
      </c>
      <c r="AY19" s="50">
        <f>J19+S19+AB19+AK19+AT19+AX19</f>
        <v>1.1200000000000001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24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102" t="s">
        <v>110</v>
      </c>
      <c r="B21" s="103"/>
      <c r="C21" s="104">
        <f>VLOOKUP($B$5,DATA!$A$12:$H$16,2)</f>
        <v>1</v>
      </c>
      <c r="D21" s="104">
        <f>VLOOKUP($B$5,DATA!$A$12:$H$16,3)</f>
        <v>1</v>
      </c>
      <c r="E21" s="104">
        <f>VLOOKUP($B$5,DATA!$A$12:$H$16,4)</f>
        <v>1</v>
      </c>
      <c r="F21" s="104">
        <f>VLOOKUP($B$5,DATA!$A$12:$H$16,5)</f>
        <v>0</v>
      </c>
      <c r="G21" s="104">
        <f>VLOOKUP($B$5,DATA!$A$12:$H$16,6)</f>
        <v>0</v>
      </c>
      <c r="H21" s="104">
        <f>VLOOKUP($B$5,DATA!$A$12:$H$16,7)</f>
        <v>0</v>
      </c>
      <c r="I21" s="104">
        <f>VLOOKUP($B$5,DATA!$A$12:$H$16,8)</f>
        <v>0</v>
      </c>
      <c r="J21" s="57"/>
      <c r="K21" s="57"/>
      <c r="L21" s="57">
        <f>VLOOKUP($K$5,DATA!$A$12:$H$16,2)</f>
        <v>1</v>
      </c>
      <c r="M21" s="57">
        <f>VLOOKUP($K$5,DATA!$A$12:$H$16,3)</f>
        <v>1</v>
      </c>
      <c r="N21" s="57">
        <f>VLOOKUP($K$5,DATA!$A$12:$H$16,4)</f>
        <v>1</v>
      </c>
      <c r="O21" s="57">
        <f>VLOOKUP($K$5,DATA!$A$12:$H$16,5)</f>
        <v>1</v>
      </c>
      <c r="P21" s="57">
        <f>VLOOKUP($K$5,DATA!$A$12:$H$16,6)</f>
        <v>1</v>
      </c>
      <c r="Q21" s="57">
        <f>VLOOKUP($K$5,DATA!$A$12:$H$16,7)</f>
        <v>0</v>
      </c>
      <c r="R21" s="57">
        <f>VLOOKUP($K$5,DATA!$A$12:$H$16,8)</f>
        <v>0</v>
      </c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.75" thickBot="1">
      <c r="A22" s="16"/>
      <c r="B22" s="16"/>
      <c r="C22" s="19" t="s">
        <v>1</v>
      </c>
      <c r="D22" s="19"/>
      <c r="E22" s="19"/>
      <c r="F22" s="19"/>
      <c r="G22" s="19"/>
      <c r="H22" s="106">
        <f>Année_Calendaire</f>
        <v>2017</v>
      </c>
      <c r="I22" s="106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106">
        <f>Année_Calendaire</f>
        <v>2017</v>
      </c>
      <c r="AA22" s="106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106">
        <f>Année_Calendaire</f>
        <v>2017</v>
      </c>
      <c r="AS22" s="106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 thickTop="1" thickBot="1">
      <c r="A23" s="36"/>
      <c r="B23" s="55" t="str">
        <f>IF(C23="",AU5,LEFT(AU5)&amp;MOD(RIGHT(AU5),4)+1)</f>
        <v>C2</v>
      </c>
      <c r="C23" s="91" t="str">
        <f>IF(C24&lt;&gt;"","Lun","")</f>
        <v/>
      </c>
      <c r="D23" s="91" t="str">
        <f>IF(D24&lt;&gt;"","Mar","")</f>
        <v/>
      </c>
      <c r="E23" s="91" t="str">
        <f>IF(E24&lt;&gt;"","Mer","")</f>
        <v>Mer</v>
      </c>
      <c r="F23" s="91" t="str">
        <f>IF(F24&lt;&gt;"","Jeu","")</f>
        <v>Jeu</v>
      </c>
      <c r="G23" s="91" t="str">
        <f>IF(G24&lt;&gt;"","Ven","")</f>
        <v>Ven</v>
      </c>
      <c r="H23" s="91" t="str">
        <f>IF(H24&lt;&gt;"","Sam","")</f>
        <v>Sam</v>
      </c>
      <c r="I23" s="91" t="str">
        <f>IF(I24&lt;&gt;"","Dim","")</f>
        <v>Dim</v>
      </c>
      <c r="J23" s="105" t="s">
        <v>25</v>
      </c>
      <c r="K23" s="55" t="str">
        <f>IF(L23="",LEFT(B23)&amp;MOD(RIGHT(B23),5),LEFT(B23)&amp;MOD(RIGHT(B23),4)+1)</f>
        <v>C3</v>
      </c>
      <c r="L23" s="91" t="str">
        <f>IF(L24&lt;&gt;"","Lun","")</f>
        <v>Lun</v>
      </c>
      <c r="M23" s="91" t="str">
        <f>IF(M24&lt;&gt;"","Mar","")</f>
        <v>Mar</v>
      </c>
      <c r="N23" s="91" t="str">
        <f>IF(N24&lt;&gt;"","Mer","")</f>
        <v>Mer</v>
      </c>
      <c r="O23" s="92" t="str">
        <f>IF(O24&lt;&gt;"","Jeu","")</f>
        <v>Jeu</v>
      </c>
      <c r="P23" s="91" t="str">
        <f>IF(P24&lt;&gt;"","Ven","")</f>
        <v>Ven</v>
      </c>
      <c r="Q23" s="91" t="str">
        <f>IF(Q24&lt;&gt;"","Sam","")</f>
        <v>Sam</v>
      </c>
      <c r="R23" s="91" t="str">
        <f>IF(R24&lt;&gt;"","Dim","")</f>
        <v>Dim</v>
      </c>
      <c r="S23" s="105" t="s">
        <v>25</v>
      </c>
      <c r="T23" s="55" t="str">
        <f>IF(U23="",LEFT(K23)&amp;MOD(RIGHT(K23),5),LEFT(K23)&amp;MOD(RIGHT(K23),4)+1)</f>
        <v>C4</v>
      </c>
      <c r="U23" s="91" t="str">
        <f>IF(U24&lt;&gt;"","Lun","")</f>
        <v>Lun</v>
      </c>
      <c r="V23" s="91" t="str">
        <f>IF(V24&lt;&gt;"","Mar","")</f>
        <v>Mar</v>
      </c>
      <c r="W23" s="91" t="str">
        <f>IF(W24&lt;&gt;"","Mer","")</f>
        <v>Mer</v>
      </c>
      <c r="X23" s="91" t="str">
        <f>IF(X24&lt;&gt;"","Jeu","")</f>
        <v>Jeu</v>
      </c>
      <c r="Y23" s="91" t="str">
        <f>IF(Y24&lt;&gt;"","Ven","")</f>
        <v>Ven</v>
      </c>
      <c r="Z23" s="100" t="str">
        <f>IF(Z24&lt;&gt;"","Sam","")</f>
        <v>Sam</v>
      </c>
      <c r="AA23" s="100" t="str">
        <f>IF(AA24&lt;&gt;"","Dim","")</f>
        <v>Dim</v>
      </c>
      <c r="AB23" s="105" t="s">
        <v>25</v>
      </c>
      <c r="AC23" s="55" t="str">
        <f>IF(AD23="",LEFT(T23)&amp;MOD(RIGHT(T23),5),LEFT(T23)&amp;MOD(RIGHT(T23),4)+1)</f>
        <v>C1</v>
      </c>
      <c r="AD23" s="100" t="str">
        <f>IF(AD24&lt;&gt;"","Lun","")</f>
        <v>Lun</v>
      </c>
      <c r="AE23" s="100" t="str">
        <f>IF(AE24&lt;&gt;"","Mar","")</f>
        <v>Mar</v>
      </c>
      <c r="AF23" s="100" t="str">
        <f>IF(AF24&lt;&gt;"","Mer","")</f>
        <v>Mer</v>
      </c>
      <c r="AG23" s="100" t="str">
        <f>IF(AG24&lt;&gt;"","Jeu","")</f>
        <v>Jeu</v>
      </c>
      <c r="AH23" s="100" t="str">
        <f>IF(AH24&lt;&gt;"","Ven","")</f>
        <v>Ven</v>
      </c>
      <c r="AI23" s="100" t="str">
        <f>IF(AI24&lt;&gt;"","Sam","")</f>
        <v>Sam</v>
      </c>
      <c r="AJ23" s="100" t="str">
        <f>IF(AJ24&lt;&gt;"","Dim","")</f>
        <v>Dim</v>
      </c>
      <c r="AK23" s="105" t="s">
        <v>25</v>
      </c>
      <c r="AL23" s="55" t="str">
        <f>IF(AM23="",LEFT(AC23)&amp;MOD(RIGHT(AC23),5),LEFT(AC23)&amp;MOD(RIGHT(AC23),4)+1)</f>
        <v>C2</v>
      </c>
      <c r="AM23" s="100" t="str">
        <f>IF(AM24&lt;&gt;"","Lun","")</f>
        <v>Lun</v>
      </c>
      <c r="AN23" s="100" t="str">
        <f>IF(AN24&lt;&gt;"","Mar","")</f>
        <v>Mar</v>
      </c>
      <c r="AO23" s="91" t="str">
        <f>IF(AO24&lt;&gt;"","Mer","")</f>
        <v/>
      </c>
      <c r="AP23" s="91" t="str">
        <f>IF(AP24&lt;&gt;"","Jeu","")</f>
        <v/>
      </c>
      <c r="AQ23" s="91" t="str">
        <f>IF(AQ24&lt;&gt;"","Ven","")</f>
        <v/>
      </c>
      <c r="AR23" s="91" t="str">
        <f>IF(AR24&lt;&gt;"","Sam","")</f>
        <v/>
      </c>
      <c r="AS23" s="91" t="str">
        <f>IF(AS24&lt;&gt;"","Dim","")</f>
        <v/>
      </c>
      <c r="AT23" s="105" t="s">
        <v>25</v>
      </c>
      <c r="AU23" s="55" t="str">
        <f>IF(AV23="",LEFT(AL23)&amp;MOD(RIGHT(AL23),5),LEFT(AL23)&amp;MOD(RIGHT(AL23),4)+1)</f>
        <v>C2</v>
      </c>
      <c r="AV23" s="53" t="str">
        <f>IF(AV24&lt;&gt;"","Lun","")</f>
        <v/>
      </c>
      <c r="AW23" s="53" t="str">
        <f>IF(AW24&lt;&gt;"","Mar","")</f>
        <v/>
      </c>
      <c r="AX23" s="105" t="s">
        <v>25</v>
      </c>
      <c r="AY23" s="105" t="s">
        <v>28</v>
      </c>
      <c r="AZ23" s="108">
        <f>AY30+AY31+AY32</f>
        <v>5</v>
      </c>
      <c r="BA23" s="108">
        <f>AZ23+BA5</f>
        <v>15</v>
      </c>
      <c r="BB23" s="39"/>
      <c r="BC23" s="39"/>
      <c r="BD23" s="39"/>
      <c r="BE23" s="39"/>
      <c r="BF23" s="34"/>
    </row>
    <row r="24" spans="1:59" s="25" customFormat="1" ht="15" customHeight="1" thickTop="1">
      <c r="A24" s="10"/>
      <c r="B24" s="54"/>
      <c r="C24" s="90" t="str">
        <f>IF(DAY(Fév_Dim1)=1,"",IF(AND(YEAR(Fév_Dim1+1)=Année_Calendaire,MONTH(Fév_Dim1+1)=2),Fév_Dim1+1,""))</f>
        <v/>
      </c>
      <c r="D24" s="90" t="str">
        <f>IF(DAY(Fév_Dim1)=1,"",IF(AND(YEAR(Fév_Dim1+2)=Année_Calendaire,MONTH(Fév_Dim1+2)=2),Fév_Dim1+2,""))</f>
        <v/>
      </c>
      <c r="E24" s="90">
        <f>IF(DAY(Fév_Dim1)=1,"",IF(AND(YEAR(Fév_Dim1+3)=Année_Calendaire,MONTH(Fév_Dim1+3)=2),Fév_Dim1+3,""))</f>
        <v>42767</v>
      </c>
      <c r="F24" s="90">
        <f>IF(DAY(Fév_Dim1)=1,"",IF(AND(YEAR(Fév_Dim1+4)=Année_Calendaire,MONTH(Fév_Dim1+4)=2),Fév_Dim1+4,""))</f>
        <v>42768</v>
      </c>
      <c r="G24" s="90">
        <f>IF(DAY(Fév_Dim1)=1,"",IF(AND(YEAR(Fév_Dim1+5)=Année_Calendaire,MONTH(Fév_Dim1+5)=2),Fév_Dim1+5,""))</f>
        <v>42769</v>
      </c>
      <c r="H24" s="90">
        <f>IF(DAY(Fév_Dim1)=1,"",IF(AND(YEAR(Fév_Dim1+6)=Année_Calendaire,MONTH(Fév_Dim1+6)=2),Fév_Dim1+6,""))</f>
        <v>42770</v>
      </c>
      <c r="I24" s="90">
        <f>IF(DAY(Fév_Dim1)=1,IF(AND(YEAR(Fév_Dim1)=Année_Calendaire,MONTH(Fév_Dim1)=2),Fév_Dim1,""),IF(AND(YEAR(Fév_Dim1+7)=Année_Calendaire,MONTH(Fév_Dim1+7)=2),Fév_Dim1+7,""))</f>
        <v>42771</v>
      </c>
      <c r="J24" s="105"/>
      <c r="K24" s="54"/>
      <c r="L24" s="90">
        <f>IF(DAY(Fév_Dim1)=1,IF(AND(YEAR(Fév_Dim1+1)=Année_Calendaire,MONTH(Fév_Dim1+1)=2),Fév_Dim1+1,""),IF(AND(YEAR(Fév_Dim1+8)=Année_Calendaire,MONTH(Fév_Dim1+8)=2),Fév_Dim1+8,""))</f>
        <v>42772</v>
      </c>
      <c r="M24" s="90">
        <f>IF(DAY(Fév_Dim1)=1,IF(AND(YEAR(Fév_Dim1+2)=Année_Calendaire,MONTH(Fév_Dim1+2)=2),Fév_Dim1+2,""),IF(AND(YEAR(Fév_Dim1+9)=Année_Calendaire,MONTH(Fév_Dim1+9)=2),Fév_Dim1+9,""))</f>
        <v>42773</v>
      </c>
      <c r="N24" s="90">
        <f>IF(DAY(Fév_Dim1)=1,IF(AND(YEAR(Fév_Dim1+3)=Année_Calendaire,MONTH(Fév_Dim1+3)=2),Fév_Dim1+3,""),IF(AND(YEAR(Fév_Dim1+10)=Année_Calendaire,MONTH(Fév_Dim1+10)=2),Fév_Dim1+10,""))</f>
        <v>42774</v>
      </c>
      <c r="O24" s="90">
        <f>IF(DAY(Fév_Dim1)=1,IF(AND(YEAR(Fév_Dim1+4)=Année_Calendaire,MONTH(Fév_Dim1+4)=2),Fév_Dim1+4,""),IF(AND(YEAR(Fév_Dim1+11)=Année_Calendaire,MONTH(Fév_Dim1+11)=2),Fév_Dim1+11,""))</f>
        <v>42775</v>
      </c>
      <c r="P24" s="90">
        <f>IF(DAY(Fév_Dim1)=1,IF(AND(YEAR(Fév_Dim1+5)=Année_Calendaire,MONTH(Fév_Dim1+5)=2),Fév_Dim1+5,""),IF(AND(YEAR(Fév_Dim1+12)=Année_Calendaire,MONTH(Fév_Dim1+12)=2),Fév_Dim1+12,""))</f>
        <v>42776</v>
      </c>
      <c r="Q24" s="90">
        <f>IF(DAY(Fév_Dim1)=1,IF(AND(YEAR(Fév_Dim1+6)=Année_Calendaire,MONTH(Fév_Dim1+6)=2),Fév_Dim1+6,""),IF(AND(YEAR(Fév_Dim1+13)=Année_Calendaire,MONTH(Fév_Dim1+13)=2),Fév_Dim1+13,""))</f>
        <v>42777</v>
      </c>
      <c r="R24" s="90">
        <f>IF(DAY(Fév_Dim1)=1,IF(AND(YEAR(Fév_Dim1+7)=Année_Calendaire,MONTH(Fév_Dim1+7)=2),Fév_Dim1+7,""),IF(AND(YEAR(Fév_Dim1+14)=Année_Calendaire,MONTH(Fév_Dim1+14)=2),Fév_Dim1+14,""))</f>
        <v>42778</v>
      </c>
      <c r="S24" s="105"/>
      <c r="T24" s="54"/>
      <c r="U24" s="90">
        <f>IF(DAY(Fév_Dim1)=1,IF(AND(YEAR(Fév_Dim1+8)=Année_Calendaire,MONTH(Fév_Dim1+8)=2),Fév_Dim1+8,""),IF(AND(YEAR(Fév_Dim1+15)=Année_Calendaire,MONTH(Fév_Dim1+15)=2),Fév_Dim1+15,""))</f>
        <v>42779</v>
      </c>
      <c r="V24" s="90">
        <f>IF(DAY(Fév_Dim1)=1,IF(AND(YEAR(Fév_Dim1+9)=Année_Calendaire,MONTH(Fév_Dim1+9)=2),Fév_Dim1+9,""),IF(AND(YEAR(Fév_Dim1+16)=Année_Calendaire,MONTH(Fév_Dim1+16)=2),Fév_Dim1+16,""))</f>
        <v>42780</v>
      </c>
      <c r="W24" s="90">
        <f>IF(DAY(Fév_Dim1)=1,IF(AND(YEAR(Fév_Dim1+10)=Année_Calendaire,MONTH(Fév_Dim1+10)=2),Fév_Dim1+10,""),IF(AND(YEAR(Fév_Dim1+17)=Année_Calendaire,MONTH(Fév_Dim1+17)=2),Fév_Dim1+17,""))</f>
        <v>42781</v>
      </c>
      <c r="X24" s="90">
        <f>IF(DAY(Fév_Dim1)=1,IF(AND(YEAR(Fév_Dim1+11)=Année_Calendaire,MONTH(Fév_Dim1+11)=2),Fév_Dim1+11,""),IF(AND(YEAR(Fév_Dim1+18)=Année_Calendaire,MONTH(Fév_Dim1+18)=2),Fév_Dim1+18,""))</f>
        <v>42782</v>
      </c>
      <c r="Y24" s="90">
        <f>IF(DAY(Fév_Dim1)=1,IF(AND(YEAR(Fév_Dim1+12)=Année_Calendaire,MONTH(Fév_Dim1+12)=2),Fév_Dim1+12,""),IF(AND(YEAR(Fév_Dim1+19)=Année_Calendaire,MONTH(Fév_Dim1+19)=2),Fév_Dim1+19,""))</f>
        <v>42783</v>
      </c>
      <c r="Z24" s="90">
        <f>IF(DAY(Fév_Dim1)=1,IF(AND(YEAR(Fév_Dim1+13)=Année_Calendaire,MONTH(Fév_Dim1+13)=2),Fév_Dim1+13,""),IF(AND(YEAR(Fév_Dim1+20)=Année_Calendaire,MONTH(Fév_Dim1+20)=2),Fév_Dim1+20,""))</f>
        <v>42784</v>
      </c>
      <c r="AA24" s="90">
        <f>IF(DAY(Fév_Dim1)=1,IF(AND(YEAR(Fév_Dim1+14)=Année_Calendaire,MONTH(Fév_Dim1+14)=2),Fév_Dim1+14,""),IF(AND(YEAR(Fév_Dim1+21)=Année_Calendaire,MONTH(Fév_Dim1+21)=2),Fév_Dim1+21,""))</f>
        <v>42785</v>
      </c>
      <c r="AB24" s="105"/>
      <c r="AC24" s="54"/>
      <c r="AD24" s="90">
        <f>IF(DAY(Fév_Dim1)=1,IF(AND(YEAR(Fév_Dim1+15)=Année_Calendaire,MONTH(Fév_Dim1+15)=2),Fév_Dim1+15,""),IF(AND(YEAR(Fév_Dim1+22)=Année_Calendaire,MONTH(Fév_Dim1+22)=2),Fév_Dim1+22,""))</f>
        <v>42786</v>
      </c>
      <c r="AE24" s="90">
        <f>IF(DAY(Fév_Dim1)=1,IF(AND(YEAR(Fév_Dim1+16)=Année_Calendaire,MONTH(Fév_Dim1+16)=2),Fév_Dim1+16,""),IF(AND(YEAR(Fév_Dim1+23)=Année_Calendaire,MONTH(Fév_Dim1+23)=2),Fév_Dim1+23,""))</f>
        <v>42787</v>
      </c>
      <c r="AF24" s="90">
        <f>IF(DAY(Fév_Dim1)=1,IF(AND(YEAR(Fév_Dim1+17)=Année_Calendaire,MONTH(Fév_Dim1+17)=2),Fév_Dim1+17,""),IF(AND(YEAR(Fév_Dim1+24)=Année_Calendaire,MONTH(Fév_Dim1+24)=2),Fév_Dim1+24,""))</f>
        <v>42788</v>
      </c>
      <c r="AG24" s="90">
        <f>IF(DAY(Fév_Dim1)=1,IF(AND(YEAR(Fév_Dim1+18)=Année_Calendaire,MONTH(Fév_Dim1+18)=2),Fév_Dim1+18,""),IF(AND(YEAR(Fév_Dim1+25)=Année_Calendaire,MONTH(Fév_Dim1+25)=2),Fév_Dim1+25,""))</f>
        <v>42789</v>
      </c>
      <c r="AH24" s="90">
        <f>IF(DAY(Fév_Dim1)=1,IF(AND(YEAR(Fév_Dim1+19)=Année_Calendaire,MONTH(Fév_Dim1+19)=2),Fév_Dim1+19,""),IF(AND(YEAR(Fév_Dim1+26)=Année_Calendaire,MONTH(Fév_Dim1+26)=2),Fév_Dim1+26,""))</f>
        <v>42790</v>
      </c>
      <c r="AI24" s="90">
        <f>IF(DAY(Fév_Dim1)=1,IF(AND(YEAR(Fév_Dim1+20)=Année_Calendaire,MONTH(Fév_Dim1+20)=2),Fév_Dim1+20,""),IF(AND(YEAR(Fév_Dim1+27)=Année_Calendaire,MONTH(Fév_Dim1+27)=2),Fév_Dim1+27,""))</f>
        <v>42791</v>
      </c>
      <c r="AJ24" s="90">
        <f>IF(DAY(Fév_Dim1)=1,IF(AND(YEAR(Fév_Dim1+21)=Année_Calendaire,MONTH(Fév_Dim1+21)=2),Fév_Dim1+21,""),IF(AND(YEAR(Fév_Dim1+28)=Année_Calendaire,MONTH(Fév_Dim1+28)=2),Fév_Dim1+28,""))</f>
        <v>42792</v>
      </c>
      <c r="AK24" s="105"/>
      <c r="AL24" s="54"/>
      <c r="AM24" s="90">
        <f>IF(DAY(Fév_Dim1)=1,IF(AND(YEAR(Fév_Dim1+22)=Année_Calendaire,MONTH(Fév_Dim1+22)=2),Fév_Dim1+22,""),IF(AND(YEAR(Fév_Dim1+29)=Année_Calendaire,MONTH(Fév_Dim1+29)=2),Fév_Dim1+29,""))</f>
        <v>42793</v>
      </c>
      <c r="AN24" s="90">
        <f>IF(DAY(Fév_Dim1)=1,IF(AND(YEAR(Fév_Dim1+23)=Année_Calendaire,MONTH(Fév_Dim1+23)=2),Fév_Dim1+23,""),IF(AND(YEAR(Fév_Dim1+30)=Année_Calendaire,MONTH(Fév_Dim1+30)=2),Fév_Dim1+30,""))</f>
        <v>42794</v>
      </c>
      <c r="AO24" s="90" t="str">
        <f>IF(DAY(Fév_Dim1)=1,IF(AND(YEAR(Fév_Dim1+24)=Année_Calendaire,MONTH(Fév_Dim1+24)=2),Fév_Dim1+24,""),IF(AND(YEAR(Fév_Dim1+31)=Année_Calendaire,MONTH(Fév_Dim1+31)=2),Fév_Dim1+31,""))</f>
        <v/>
      </c>
      <c r="AP24" s="90" t="str">
        <f>IF(DAY(Fév_Dim1)=1,IF(AND(YEAR(Fév_Dim1+25)=Année_Calendaire,MONTH(Fév_Dim1+25)=2),Fév_Dim1+25,""),IF(AND(YEAR(Fév_Dim1+32)=Année_Calendaire,MONTH(Fév_Dim1+32)=2),Fév_Dim1+32,""))</f>
        <v/>
      </c>
      <c r="AQ24" s="90" t="str">
        <f>IF(DAY(Fév_Dim1)=1,IF(AND(YEAR(Fév_Dim1+26)=Année_Calendaire,MONTH(Fév_Dim1+26)=2),Fév_Dim1+26,""),IF(AND(YEAR(Fév_Dim1+33)=Année_Calendaire,MONTH(Fév_Dim1+33)=2),Fév_Dim1+33,""))</f>
        <v/>
      </c>
      <c r="AR24" s="90" t="str">
        <f>IF(DAY(Fév_Dim1)=1,IF(AND(YEAR(Fév_Dim1+27)=Année_Calendaire,MONTH(Fév_Dim1+27)=2),Fév_Dim1+27,""),IF(AND(YEAR(Fév_Dim1+34)=Année_Calendaire,MONTH(Fév_Dim1+34)=2),Fév_Dim1+34,""))</f>
        <v/>
      </c>
      <c r="AS24" s="90" t="str">
        <f>IF(DAY(Fév_Dim1)=1,IF(AND(YEAR(Fév_Dim1+28)=Année_Calendaire,MONTH(Fév_Dim1+28)=2),Fév_Dim1+28,""),IF(AND(YEAR(Fév_Dim1+35)=Année_Calendaire,MONTH(Fév_Dim1+35)=2),Fév_Dim1+35,""))</f>
        <v/>
      </c>
      <c r="AT24" s="105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105"/>
      <c r="AY24" s="105"/>
      <c r="AZ24" s="108"/>
      <c r="BA24" s="108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/>
      <c r="D25" s="49"/>
      <c r="E25" s="49" t="s">
        <v>49</v>
      </c>
      <c r="F25" s="49" t="s">
        <v>49</v>
      </c>
      <c r="G25" s="49" t="s">
        <v>49</v>
      </c>
      <c r="H25" s="49"/>
      <c r="I25" s="49"/>
      <c r="J25" s="52"/>
      <c r="K25" s="48"/>
      <c r="L25" s="49" t="s">
        <v>48</v>
      </c>
      <c r="M25" s="49"/>
      <c r="N25" s="49"/>
      <c r="O25" s="49" t="s">
        <v>48</v>
      </c>
      <c r="P25" s="49" t="s">
        <v>48</v>
      </c>
      <c r="Q25" s="49"/>
      <c r="R25" s="49"/>
      <c r="S25" s="52"/>
      <c r="T25" s="48"/>
      <c r="U25" s="49" t="s">
        <v>50</v>
      </c>
      <c r="V25" s="49" t="s">
        <v>50</v>
      </c>
      <c r="W25" s="49" t="s">
        <v>50</v>
      </c>
      <c r="X25" s="49" t="s">
        <v>50</v>
      </c>
      <c r="Y25" s="49" t="s">
        <v>50</v>
      </c>
      <c r="Z25" s="49"/>
      <c r="AA25" s="49"/>
      <c r="AB25" s="52"/>
      <c r="AC25" s="48"/>
      <c r="AD25" s="49" t="s">
        <v>48</v>
      </c>
      <c r="AE25" s="49" t="s">
        <v>48</v>
      </c>
      <c r="AF25" s="49" t="s">
        <v>48</v>
      </c>
      <c r="AG25" s="49"/>
      <c r="AH25" s="49"/>
      <c r="AI25" s="49"/>
      <c r="AJ25" s="49"/>
      <c r="AK25" s="52"/>
      <c r="AL25" s="48"/>
      <c r="AM25" s="49" t="s">
        <v>49</v>
      </c>
      <c r="AN25" s="49" t="s">
        <v>49</v>
      </c>
      <c r="AO25" s="49"/>
      <c r="AP25" s="49"/>
      <c r="AQ25" s="49"/>
      <c r="AR25" s="49"/>
      <c r="AS25" s="49"/>
      <c r="AT25" s="52"/>
      <c r="AU25" s="48"/>
      <c r="AV25" s="49"/>
      <c r="AW25" s="49"/>
      <c r="AX25" s="52" t="s">
        <v>49</v>
      </c>
      <c r="AY25" s="50" t="s">
        <v>49</v>
      </c>
      <c r="AZ25" s="40" t="s">
        <v>49</v>
      </c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6">IF(C25="Matin",1,IF(C25="AM",1,0))</f>
        <v>0</v>
      </c>
      <c r="D26" s="52">
        <f t="shared" si="86"/>
        <v>0</v>
      </c>
      <c r="E26" s="52">
        <f t="shared" si="86"/>
        <v>0</v>
      </c>
      <c r="F26" s="52">
        <f t="shared" si="86"/>
        <v>0</v>
      </c>
      <c r="G26" s="52">
        <f t="shared" si="86"/>
        <v>0</v>
      </c>
      <c r="H26" s="52">
        <f t="shared" si="86"/>
        <v>0</v>
      </c>
      <c r="I26" s="52">
        <f t="shared" si="86"/>
        <v>0</v>
      </c>
      <c r="J26" s="52">
        <f>SUM(C26:I26)</f>
        <v>0</v>
      </c>
      <c r="K26" s="51"/>
      <c r="L26" s="52">
        <f t="shared" ref="L26:R26" si="87">IF(L25="Matin",1,IF(L25="AM",1,0))</f>
        <v>1</v>
      </c>
      <c r="M26" s="52">
        <f t="shared" si="87"/>
        <v>0</v>
      </c>
      <c r="N26" s="52">
        <f t="shared" si="87"/>
        <v>0</v>
      </c>
      <c r="O26" s="52">
        <f t="shared" si="87"/>
        <v>1</v>
      </c>
      <c r="P26" s="52">
        <f t="shared" si="87"/>
        <v>1</v>
      </c>
      <c r="Q26" s="52">
        <f t="shared" si="87"/>
        <v>0</v>
      </c>
      <c r="R26" s="52">
        <f t="shared" si="87"/>
        <v>0</v>
      </c>
      <c r="S26" s="52">
        <f>SUM(L26:R26)</f>
        <v>3</v>
      </c>
      <c r="T26" s="51"/>
      <c r="U26" s="52">
        <f t="shared" ref="U26:AA26" si="88">IF(U25="Matin",1,IF(U25="AM",1,0))</f>
        <v>1</v>
      </c>
      <c r="V26" s="52">
        <f t="shared" si="88"/>
        <v>1</v>
      </c>
      <c r="W26" s="52">
        <f t="shared" si="88"/>
        <v>1</v>
      </c>
      <c r="X26" s="52">
        <f t="shared" si="88"/>
        <v>1</v>
      </c>
      <c r="Y26" s="52">
        <f t="shared" si="88"/>
        <v>1</v>
      </c>
      <c r="Z26" s="52">
        <f t="shared" si="88"/>
        <v>0</v>
      </c>
      <c r="AA26" s="52">
        <f t="shared" si="88"/>
        <v>0</v>
      </c>
      <c r="AB26" s="52">
        <f>SUM(U26:AA26)</f>
        <v>5</v>
      </c>
      <c r="AC26" s="51"/>
      <c r="AD26" s="52">
        <f t="shared" ref="AD26:AJ26" si="89">IF(AD25="Matin",1,IF(AD25="AM",1,0))</f>
        <v>1</v>
      </c>
      <c r="AE26" s="52">
        <f t="shared" si="89"/>
        <v>1</v>
      </c>
      <c r="AF26" s="52">
        <f t="shared" si="89"/>
        <v>1</v>
      </c>
      <c r="AG26" s="52">
        <f t="shared" si="89"/>
        <v>0</v>
      </c>
      <c r="AH26" s="52">
        <f t="shared" si="89"/>
        <v>0</v>
      </c>
      <c r="AI26" s="52">
        <f t="shared" si="89"/>
        <v>0</v>
      </c>
      <c r="AJ26" s="52">
        <f t="shared" si="89"/>
        <v>0</v>
      </c>
      <c r="AK26" s="52">
        <f>SUM(AD26:AJ26)</f>
        <v>3</v>
      </c>
      <c r="AL26" s="51"/>
      <c r="AM26" s="52">
        <f t="shared" ref="AM26:AS26" si="90">IF(AM25="Matin",1,IF(AM25="AM",1,0))</f>
        <v>0</v>
      </c>
      <c r="AN26" s="52">
        <f t="shared" si="90"/>
        <v>0</v>
      </c>
      <c r="AO26" s="52">
        <f t="shared" si="90"/>
        <v>0</v>
      </c>
      <c r="AP26" s="52">
        <f t="shared" si="90"/>
        <v>0</v>
      </c>
      <c r="AQ26" s="52">
        <f t="shared" si="90"/>
        <v>0</v>
      </c>
      <c r="AR26" s="52">
        <f t="shared" si="90"/>
        <v>0</v>
      </c>
      <c r="AS26" s="52">
        <f t="shared" si="90"/>
        <v>0</v>
      </c>
      <c r="AT26" s="52">
        <f>SUM(AM26:AS26)</f>
        <v>0</v>
      </c>
      <c r="AU26" s="51"/>
      <c r="AV26" s="52">
        <f t="shared" ref="AV26:AW26" si="91">IF(AV25="Matin",1,IF(AV25="AM",1,0))</f>
        <v>0</v>
      </c>
      <c r="AW26" s="52">
        <f t="shared" si="91"/>
        <v>0</v>
      </c>
      <c r="AX26" s="52">
        <f t="shared" ref="AX26:AX33" si="92">SUM(AV26:AW26)</f>
        <v>0</v>
      </c>
      <c r="AY26" s="52">
        <f>J26+S26+AB26+AK26+AT26+AX26</f>
        <v>11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0</v>
      </c>
      <c r="D27" s="49">
        <f>IF(D28&gt;=1,1,0)</f>
        <v>0</v>
      </c>
      <c r="E27" s="49">
        <f t="shared" ref="E27:I27" si="93">IF(E28&gt;=1,1,0)</f>
        <v>1</v>
      </c>
      <c r="F27" s="49">
        <f t="shared" si="93"/>
        <v>1</v>
      </c>
      <c r="G27" s="49">
        <f t="shared" si="93"/>
        <v>1</v>
      </c>
      <c r="H27" s="49">
        <f t="shared" si="93"/>
        <v>0</v>
      </c>
      <c r="I27" s="49">
        <f t="shared" si="93"/>
        <v>0</v>
      </c>
      <c r="J27" s="52">
        <f t="shared" ref="J27:J37" si="94">SUM(C27:I27)</f>
        <v>3</v>
      </c>
      <c r="K27" s="48"/>
      <c r="L27" s="49">
        <f>IF(L28&gt;=1,1,0)</f>
        <v>1</v>
      </c>
      <c r="M27" s="49">
        <f t="shared" ref="M27:R27" si="95">IF(M28&gt;=1,1,0)</f>
        <v>0</v>
      </c>
      <c r="N27" s="49">
        <f t="shared" si="95"/>
        <v>0</v>
      </c>
      <c r="O27" s="49">
        <f t="shared" si="95"/>
        <v>1</v>
      </c>
      <c r="P27" s="49">
        <f t="shared" si="95"/>
        <v>1</v>
      </c>
      <c r="Q27" s="49">
        <f t="shared" si="95"/>
        <v>0</v>
      </c>
      <c r="R27" s="49">
        <f t="shared" si="95"/>
        <v>0</v>
      </c>
      <c r="S27" s="52">
        <f t="shared" ref="S27:S37" si="96">SUM(L27:R27)</f>
        <v>3</v>
      </c>
      <c r="T27" s="48"/>
      <c r="U27" s="49">
        <f>IF(U28&gt;=1,1,0)</f>
        <v>1</v>
      </c>
      <c r="V27" s="49">
        <f t="shared" ref="V27:AA27" si="97">IF(V28&gt;=1,1,0)</f>
        <v>1</v>
      </c>
      <c r="W27" s="49">
        <f t="shared" si="97"/>
        <v>1</v>
      </c>
      <c r="X27" s="49">
        <f t="shared" si="97"/>
        <v>1</v>
      </c>
      <c r="Y27" s="49">
        <f t="shared" si="97"/>
        <v>1</v>
      </c>
      <c r="Z27" s="49">
        <f t="shared" si="97"/>
        <v>0</v>
      </c>
      <c r="AA27" s="49">
        <f t="shared" si="97"/>
        <v>0</v>
      </c>
      <c r="AB27" s="52">
        <f t="shared" ref="AB27:AB37" si="98">SUM(U27:AA27)</f>
        <v>5</v>
      </c>
      <c r="AC27" s="48"/>
      <c r="AD27" s="49">
        <f>IF(AD28&gt;=1,1,0)</f>
        <v>1</v>
      </c>
      <c r="AE27" s="49">
        <f t="shared" ref="AE27:AJ27" si="99">IF(AE28&gt;=1,1,0)</f>
        <v>1</v>
      </c>
      <c r="AF27" s="49">
        <f t="shared" si="99"/>
        <v>1</v>
      </c>
      <c r="AG27" s="49">
        <f t="shared" si="99"/>
        <v>0</v>
      </c>
      <c r="AH27" s="49">
        <f t="shared" si="99"/>
        <v>0</v>
      </c>
      <c r="AI27" s="49">
        <f t="shared" si="99"/>
        <v>0</v>
      </c>
      <c r="AJ27" s="49">
        <f t="shared" si="99"/>
        <v>0</v>
      </c>
      <c r="AK27" s="52">
        <f t="shared" ref="AK27:AK37" si="100">SUM(AD27:AJ27)</f>
        <v>3</v>
      </c>
      <c r="AL27" s="48"/>
      <c r="AM27" s="49">
        <f>IF(AM28&gt;=1,1,0)</f>
        <v>1</v>
      </c>
      <c r="AN27" s="49">
        <f t="shared" ref="AN27:AS27" si="101">IF(AN28&gt;=1,1,0)</f>
        <v>1</v>
      </c>
      <c r="AO27" s="49">
        <f t="shared" si="101"/>
        <v>0</v>
      </c>
      <c r="AP27" s="49">
        <f t="shared" si="101"/>
        <v>0</v>
      </c>
      <c r="AQ27" s="49">
        <f t="shared" si="101"/>
        <v>0</v>
      </c>
      <c r="AR27" s="49">
        <f t="shared" si="101"/>
        <v>0</v>
      </c>
      <c r="AS27" s="49">
        <f t="shared" si="101"/>
        <v>0</v>
      </c>
      <c r="AT27" s="52">
        <f t="shared" ref="AT27:AT37" si="102">SUM(AM27:AS27)</f>
        <v>2</v>
      </c>
      <c r="AU27" s="48"/>
      <c r="AV27" s="49">
        <f>IF(AV28&gt;=1,1,0)</f>
        <v>0</v>
      </c>
      <c r="AW27" s="49">
        <f t="shared" ref="AW27" si="103">IF(AW28&gt;=1,1,0)</f>
        <v>0</v>
      </c>
      <c r="AX27" s="52">
        <f t="shared" si="92"/>
        <v>0</v>
      </c>
      <c r="AY27" s="49">
        <f t="shared" ref="AY27:AY36" si="104">J27+S27+AB27+AK27+AT27+AX27</f>
        <v>16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0</v>
      </c>
      <c r="D28" s="52">
        <f t="shared" ref="D28:I28" si="105">IF(D25="Matin",8,IF(D25="AM",8,IF(D25="nuit",8,0)))</f>
        <v>0</v>
      </c>
      <c r="E28" s="52">
        <f t="shared" si="105"/>
        <v>8</v>
      </c>
      <c r="F28" s="52">
        <f t="shared" si="105"/>
        <v>8</v>
      </c>
      <c r="G28" s="52">
        <f t="shared" si="105"/>
        <v>8</v>
      </c>
      <c r="H28" s="52">
        <f t="shared" si="105"/>
        <v>0</v>
      </c>
      <c r="I28" s="52">
        <f t="shared" si="105"/>
        <v>0</v>
      </c>
      <c r="J28" s="52">
        <f t="shared" si="94"/>
        <v>24</v>
      </c>
      <c r="K28" s="51"/>
      <c r="L28" s="52">
        <f>IF(L25="Matin",8,IF(L25="AM",8,IF(L25="nuit",8,0)))</f>
        <v>8</v>
      </c>
      <c r="M28" s="52">
        <f t="shared" ref="M28:R28" si="106">IF(M25="Matin",8,IF(M25="AM",8,IF(M25="nuit",8,0)))</f>
        <v>0</v>
      </c>
      <c r="N28" s="52">
        <f t="shared" si="106"/>
        <v>0</v>
      </c>
      <c r="O28" s="52">
        <f t="shared" si="106"/>
        <v>8</v>
      </c>
      <c r="P28" s="52">
        <f t="shared" si="106"/>
        <v>8</v>
      </c>
      <c r="Q28" s="52">
        <f t="shared" si="106"/>
        <v>0</v>
      </c>
      <c r="R28" s="52">
        <f t="shared" si="106"/>
        <v>0</v>
      </c>
      <c r="S28" s="52">
        <f t="shared" si="96"/>
        <v>24</v>
      </c>
      <c r="T28" s="51"/>
      <c r="U28" s="52">
        <f>IF(U25="Matin",8,IF(U25="AM",8,IF(U25="nuit",8,0)))</f>
        <v>8</v>
      </c>
      <c r="V28" s="52">
        <f t="shared" ref="V28:AA28" si="107">IF(V25="Matin",8,IF(V25="AM",8,IF(V25="nuit",8,0)))</f>
        <v>8</v>
      </c>
      <c r="W28" s="52">
        <f t="shared" si="107"/>
        <v>8</v>
      </c>
      <c r="X28" s="52">
        <f t="shared" si="107"/>
        <v>8</v>
      </c>
      <c r="Y28" s="52">
        <f t="shared" si="107"/>
        <v>8</v>
      </c>
      <c r="Z28" s="52">
        <f t="shared" si="107"/>
        <v>0</v>
      </c>
      <c r="AA28" s="52">
        <f t="shared" si="107"/>
        <v>0</v>
      </c>
      <c r="AB28" s="52">
        <f t="shared" si="98"/>
        <v>40</v>
      </c>
      <c r="AC28" s="51"/>
      <c r="AD28" s="52">
        <f>IF(AD25="Matin",8,IF(AD25="AM",8,IF(AD25="nuit",8,0)))</f>
        <v>8</v>
      </c>
      <c r="AE28" s="52">
        <f t="shared" ref="AE28:AJ28" si="108">IF(AE25="Matin",8,IF(AE25="AM",8,IF(AE25="nuit",8,0)))</f>
        <v>8</v>
      </c>
      <c r="AF28" s="52">
        <f t="shared" si="108"/>
        <v>8</v>
      </c>
      <c r="AG28" s="52">
        <f t="shared" si="108"/>
        <v>0</v>
      </c>
      <c r="AH28" s="52">
        <f t="shared" si="108"/>
        <v>0</v>
      </c>
      <c r="AI28" s="52">
        <f t="shared" si="108"/>
        <v>0</v>
      </c>
      <c r="AJ28" s="52">
        <f t="shared" si="108"/>
        <v>0</v>
      </c>
      <c r="AK28" s="52">
        <f t="shared" si="100"/>
        <v>24</v>
      </c>
      <c r="AL28" s="51"/>
      <c r="AM28" s="52">
        <f>IF(AM25="Matin",8,IF(AM25="AM",8,IF(AM25="nuit",8,0)))</f>
        <v>8</v>
      </c>
      <c r="AN28" s="52">
        <f t="shared" ref="AN28:AS28" si="109">IF(AN25="Matin",8,IF(AN25="AM",8,IF(AN25="nuit",8,0)))</f>
        <v>8</v>
      </c>
      <c r="AO28" s="52">
        <f t="shared" si="109"/>
        <v>0</v>
      </c>
      <c r="AP28" s="52">
        <f t="shared" si="109"/>
        <v>0</v>
      </c>
      <c r="AQ28" s="52">
        <f t="shared" si="109"/>
        <v>0</v>
      </c>
      <c r="AR28" s="52">
        <f t="shared" si="109"/>
        <v>0</v>
      </c>
      <c r="AS28" s="52">
        <f t="shared" si="109"/>
        <v>0</v>
      </c>
      <c r="AT28" s="52">
        <f t="shared" si="102"/>
        <v>16</v>
      </c>
      <c r="AU28" s="51"/>
      <c r="AV28" s="52">
        <f>IF(AV25="Matin",8,IF(AV25="AM",8,IF(AV25="nuit",8,0)))</f>
        <v>0</v>
      </c>
      <c r="AW28" s="52">
        <f t="shared" ref="AW28" si="110">IF(AW25="Matin",8,IF(AW25="AM",8,IF(AW25="nuit",8,0)))</f>
        <v>0</v>
      </c>
      <c r="AX28" s="52">
        <f t="shared" si="92"/>
        <v>0</v>
      </c>
      <c r="AY28" s="52">
        <f t="shared" si="104"/>
        <v>128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13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4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0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6"/>
        <v>0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3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8"/>
        <v>3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0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100"/>
        <v>0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2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2"/>
        <v>0</v>
      </c>
      <c r="AY29" s="50">
        <f t="shared" si="104"/>
        <v>3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4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0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6"/>
        <v>0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5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8"/>
        <v>5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0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100"/>
        <v>0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2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2"/>
        <v>0</v>
      </c>
      <c r="AY30" s="52">
        <f t="shared" si="104"/>
        <v>5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4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6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8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100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2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2"/>
        <v>0</v>
      </c>
      <c r="AY31" s="50">
        <f t="shared" si="104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11">IF(D23="Dim",D28,IF(D38="ferie",D28,0))</f>
        <v>0</v>
      </c>
      <c r="E32" s="52">
        <f t="shared" si="111"/>
        <v>0</v>
      </c>
      <c r="F32" s="52">
        <f t="shared" si="111"/>
        <v>0</v>
      </c>
      <c r="G32" s="52">
        <f t="shared" si="111"/>
        <v>0</v>
      </c>
      <c r="H32" s="52">
        <f t="shared" si="111"/>
        <v>0</v>
      </c>
      <c r="I32" s="52">
        <f t="shared" si="111"/>
        <v>0</v>
      </c>
      <c r="J32" s="52">
        <f t="shared" si="94"/>
        <v>0</v>
      </c>
      <c r="K32" s="51"/>
      <c r="L32" s="52">
        <f>IF(L23="Dim",L28,IF(L38="ferie",L28,0))</f>
        <v>0</v>
      </c>
      <c r="M32" s="52">
        <f t="shared" ref="M32:R32" si="112">IF(M23="Dim",M28,IF(M38="ferie",M28,0))</f>
        <v>0</v>
      </c>
      <c r="N32" s="52">
        <f t="shared" si="112"/>
        <v>0</v>
      </c>
      <c r="O32" s="52">
        <f t="shared" si="112"/>
        <v>0</v>
      </c>
      <c r="P32" s="52">
        <f t="shared" si="112"/>
        <v>0</v>
      </c>
      <c r="Q32" s="52">
        <f>IF(Q23="Dim",Q28,IF(Q38="ferie",Q28,0))</f>
        <v>0</v>
      </c>
      <c r="R32" s="52">
        <f t="shared" si="112"/>
        <v>0</v>
      </c>
      <c r="S32" s="52">
        <f t="shared" si="96"/>
        <v>0</v>
      </c>
      <c r="T32" s="51"/>
      <c r="U32" s="52">
        <f>IF(U23="Dim",U28,IF(U38="ferie",U28,0))</f>
        <v>0</v>
      </c>
      <c r="V32" s="52">
        <f t="shared" ref="V32:AA32" si="113">IF(V23="Dim",V28,IF(V38="ferie",V28,0))</f>
        <v>0</v>
      </c>
      <c r="W32" s="52">
        <f t="shared" si="113"/>
        <v>0</v>
      </c>
      <c r="X32" s="52">
        <f t="shared" si="113"/>
        <v>0</v>
      </c>
      <c r="Y32" s="52">
        <f t="shared" si="113"/>
        <v>0</v>
      </c>
      <c r="Z32" s="52">
        <f t="shared" si="113"/>
        <v>0</v>
      </c>
      <c r="AA32" s="52">
        <f t="shared" si="113"/>
        <v>0</v>
      </c>
      <c r="AB32" s="52">
        <f t="shared" si="98"/>
        <v>0</v>
      </c>
      <c r="AC32" s="51"/>
      <c r="AD32" s="52">
        <f>IF(AD23="Dim",AD28,IF(AD38="ferie",AD28,0))</f>
        <v>0</v>
      </c>
      <c r="AE32" s="52">
        <f t="shared" ref="AE32:AJ32" si="114">IF(AE23="Dim",AE28,IF(AE38="ferie",AE28,0))</f>
        <v>0</v>
      </c>
      <c r="AF32" s="52">
        <f t="shared" si="114"/>
        <v>0</v>
      </c>
      <c r="AG32" s="52">
        <f t="shared" si="114"/>
        <v>0</v>
      </c>
      <c r="AH32" s="52">
        <f t="shared" si="114"/>
        <v>0</v>
      </c>
      <c r="AI32" s="52">
        <f t="shared" si="114"/>
        <v>0</v>
      </c>
      <c r="AJ32" s="52">
        <f t="shared" si="114"/>
        <v>0</v>
      </c>
      <c r="AK32" s="52">
        <f t="shared" si="100"/>
        <v>0</v>
      </c>
      <c r="AL32" s="51"/>
      <c r="AM32" s="52">
        <f>IF(AM23="Dim",AM28,IF(AM38="ferie",AM28,0))</f>
        <v>0</v>
      </c>
      <c r="AN32" s="52">
        <f t="shared" ref="AN32:AW32" si="115">IF(AN23="Dim",AN28,IF(AN38="ferie",AN28,0))</f>
        <v>0</v>
      </c>
      <c r="AO32" s="52">
        <f t="shared" si="115"/>
        <v>0</v>
      </c>
      <c r="AP32" s="52">
        <f t="shared" si="115"/>
        <v>0</v>
      </c>
      <c r="AQ32" s="52">
        <f t="shared" si="115"/>
        <v>0</v>
      </c>
      <c r="AR32" s="52">
        <f t="shared" si="115"/>
        <v>0</v>
      </c>
      <c r="AS32" s="52">
        <f t="shared" si="115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5"/>
        <v>0</v>
      </c>
      <c r="AX32" s="52">
        <f>SUM(AV32:AW32)</f>
        <v>0</v>
      </c>
      <c r="AY32" s="52">
        <f t="shared" si="104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4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6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8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100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2"/>
        <v>0</v>
      </c>
      <c r="AU33" s="48"/>
      <c r="AV33" s="49"/>
      <c r="AW33" s="49"/>
      <c r="AX33" s="52">
        <f t="shared" si="92"/>
        <v>0</v>
      </c>
      <c r="AY33" s="49">
        <f t="shared" si="104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4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6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8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100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2"/>
        <v>0</v>
      </c>
      <c r="AU34" s="51"/>
      <c r="AV34" s="52"/>
      <c r="AW34" s="52"/>
      <c r="AX34" s="52">
        <f t="shared" ref="AX34:AX36" si="116">SUM(AV34:AW34)</f>
        <v>0</v>
      </c>
      <c r="AY34" s="52">
        <f t="shared" si="104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4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6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8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100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2"/>
        <v>0</v>
      </c>
      <c r="AU35" s="48"/>
      <c r="AV35" s="49"/>
      <c r="AW35" s="49"/>
      <c r="AX35" s="52">
        <f t="shared" si="116"/>
        <v>0</v>
      </c>
      <c r="AY35" s="50">
        <f t="shared" si="104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4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6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8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100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2"/>
        <v>0</v>
      </c>
      <c r="AU36" s="51"/>
      <c r="AV36" s="52"/>
      <c r="AW36" s="52"/>
      <c r="AX36" s="52">
        <f t="shared" si="116"/>
        <v>0</v>
      </c>
      <c r="AY36" s="52">
        <f t="shared" si="104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37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7">IF(E25="nuit",E28*0.02,0)</f>
        <v>0.16</v>
      </c>
      <c r="F37" s="49">
        <f t="shared" si="117"/>
        <v>0.16</v>
      </c>
      <c r="G37" s="49">
        <f>IF(G25="nuit",G28*0.02,0)</f>
        <v>0.16</v>
      </c>
      <c r="H37" s="49">
        <f t="shared" si="117"/>
        <v>0</v>
      </c>
      <c r="I37" s="49">
        <f t="shared" si="117"/>
        <v>0</v>
      </c>
      <c r="J37" s="52">
        <f t="shared" si="94"/>
        <v>0.48</v>
      </c>
      <c r="K37" s="48"/>
      <c r="L37" s="49">
        <f>IF(L25="nuit",L28*0.02,0)</f>
        <v>0</v>
      </c>
      <c r="M37" s="49">
        <f>IF(M25="nuit",M28*0.02,0)</f>
        <v>0</v>
      </c>
      <c r="N37" s="49">
        <f t="shared" ref="N37:R37" si="118">IF(N25="nuit",N28*0.02,0)</f>
        <v>0</v>
      </c>
      <c r="O37" s="49">
        <f t="shared" si="118"/>
        <v>0</v>
      </c>
      <c r="P37" s="49">
        <f>IF(P25="nuit",P28*0.02,0)</f>
        <v>0</v>
      </c>
      <c r="Q37" s="49">
        <f t="shared" si="118"/>
        <v>0</v>
      </c>
      <c r="R37" s="49">
        <f t="shared" si="118"/>
        <v>0</v>
      </c>
      <c r="S37" s="52">
        <f t="shared" si="96"/>
        <v>0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9">IF(W25="nuit",W28*0.02,0)</f>
        <v>0</v>
      </c>
      <c r="X37" s="49">
        <f t="shared" si="119"/>
        <v>0</v>
      </c>
      <c r="Y37" s="49">
        <f>IF(Y25="nuit",Y28*0.02,0)</f>
        <v>0</v>
      </c>
      <c r="Z37" s="49">
        <f t="shared" si="119"/>
        <v>0</v>
      </c>
      <c r="AA37" s="49">
        <f t="shared" si="119"/>
        <v>0</v>
      </c>
      <c r="AB37" s="52">
        <f t="shared" si="98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20">IF(AF25="nuit",AF28*0.02,0)</f>
        <v>0</v>
      </c>
      <c r="AG37" s="49">
        <f t="shared" si="120"/>
        <v>0</v>
      </c>
      <c r="AH37" s="49">
        <f>IF(AH25="nuit",AH28*0.02,0)</f>
        <v>0</v>
      </c>
      <c r="AI37" s="49">
        <f t="shared" si="120"/>
        <v>0</v>
      </c>
      <c r="AJ37" s="49">
        <f t="shared" si="120"/>
        <v>0</v>
      </c>
      <c r="AK37" s="52">
        <f t="shared" si="100"/>
        <v>0</v>
      </c>
      <c r="AL37" s="48"/>
      <c r="AM37" s="49">
        <f>IF(AM25="nuit",AM28*0.02,0)</f>
        <v>0.16</v>
      </c>
      <c r="AN37" s="49">
        <f>IF(AN25="nuit",AN28*0.02,0)</f>
        <v>0.16</v>
      </c>
      <c r="AO37" s="49">
        <f t="shared" ref="AO37:AS37" si="121">IF(AO25="nuit",AO28*0.02,0)</f>
        <v>0</v>
      </c>
      <c r="AP37" s="49">
        <f t="shared" si="121"/>
        <v>0</v>
      </c>
      <c r="AQ37" s="49">
        <f>IF(AQ25="nuit",AQ28*0.02,0)</f>
        <v>0</v>
      </c>
      <c r="AR37" s="49">
        <f t="shared" si="121"/>
        <v>0</v>
      </c>
      <c r="AS37" s="49">
        <f t="shared" si="121"/>
        <v>0</v>
      </c>
      <c r="AT37" s="52">
        <f t="shared" si="102"/>
        <v>0.32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24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56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.75" thickBot="1">
      <c r="A40" s="16"/>
      <c r="B40" s="16"/>
      <c r="C40" s="19" t="s">
        <v>14</v>
      </c>
      <c r="D40" s="19"/>
      <c r="E40" s="19"/>
      <c r="F40" s="19"/>
      <c r="G40" s="19"/>
      <c r="H40" s="106">
        <f>Année_Calendaire</f>
        <v>2017</v>
      </c>
      <c r="I40" s="106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14</v>
      </c>
      <c r="V40" s="19"/>
      <c r="W40" s="19"/>
      <c r="X40" s="19"/>
      <c r="Y40" s="19"/>
      <c r="Z40" s="106">
        <f>Année_Calendaire</f>
        <v>2017</v>
      </c>
      <c r="AA40" s="106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14</v>
      </c>
      <c r="AN40" s="19"/>
      <c r="AO40" s="19"/>
      <c r="AP40" s="19"/>
      <c r="AQ40" s="19"/>
      <c r="AR40" s="106">
        <f>Année_Calendaire</f>
        <v>2017</v>
      </c>
      <c r="AS40" s="106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 thickTop="1" thickBot="1">
      <c r="A41" s="36"/>
      <c r="B41" s="55" t="str">
        <f>IF(C41="",AU23,LEFT(AU23)&amp;MOD(RIGHT(AU23),4)+1)</f>
        <v>C2</v>
      </c>
      <c r="C41" s="91" t="str">
        <f>IF(C42&lt;&gt;"","Lun","")</f>
        <v/>
      </c>
      <c r="D41" s="91" t="str">
        <f>IF(D42&lt;&gt;"","Mar","")</f>
        <v/>
      </c>
      <c r="E41" s="100" t="str">
        <f>IF(E42&lt;&gt;"","Mer","")</f>
        <v>Mer</v>
      </c>
      <c r="F41" s="100" t="str">
        <f>IF(F42&lt;&gt;"","Jeu","")</f>
        <v>Jeu</v>
      </c>
      <c r="G41" s="100" t="str">
        <f>IF(G42&lt;&gt;"","Ven","")</f>
        <v>Ven</v>
      </c>
      <c r="H41" s="100" t="str">
        <f>IF(H42&lt;&gt;"","Sam","")</f>
        <v>Sam</v>
      </c>
      <c r="I41" s="100" t="str">
        <f>IF(I42&lt;&gt;"","Dim","")</f>
        <v>Dim</v>
      </c>
      <c r="J41" s="105" t="s">
        <v>25</v>
      </c>
      <c r="K41" s="55" t="str">
        <f>IF(L41="",LEFT(B41)&amp;MOD(RIGHT(B41),5),LEFT(B41)&amp;MOD(RIGHT(B41),4)+1)</f>
        <v>C3</v>
      </c>
      <c r="L41" s="100" t="str">
        <f>IF(L42&lt;&gt;"","Lun","")</f>
        <v>Lun</v>
      </c>
      <c r="M41" s="91" t="str">
        <f>IF(M42&lt;&gt;"","Mar","")</f>
        <v>Mar</v>
      </c>
      <c r="N41" s="91" t="str">
        <f>IF(N42&lt;&gt;"","Mer","")</f>
        <v>Mer</v>
      </c>
      <c r="O41" s="91" t="str">
        <f>IF(O42&lt;&gt;"","Jeu","")</f>
        <v>Jeu</v>
      </c>
      <c r="P41" s="91" t="str">
        <f>IF(P42&lt;&gt;"","Ven","")</f>
        <v>Ven</v>
      </c>
      <c r="Q41" s="91" t="str">
        <f>IF(Q42&lt;&gt;"","Sam","")</f>
        <v>Sam</v>
      </c>
      <c r="R41" s="91" t="str">
        <f>IF(R42&lt;&gt;"","Dim","")</f>
        <v>Dim</v>
      </c>
      <c r="S41" s="105" t="s">
        <v>25</v>
      </c>
      <c r="T41" s="55" t="str">
        <f>IF(U41="",LEFT(K41)&amp;MOD(RIGHT(K41),5),LEFT(K41)&amp;MOD(RIGHT(K41),4)+1)</f>
        <v>C4</v>
      </c>
      <c r="U41" s="91" t="str">
        <f>IF(U42&lt;&gt;"","Lun","")</f>
        <v>Lun</v>
      </c>
      <c r="V41" s="91" t="str">
        <f>IF(V42&lt;&gt;"","Mar","")</f>
        <v>Mar</v>
      </c>
      <c r="W41" s="91" t="str">
        <f>IF(W42&lt;&gt;"","Mer","")</f>
        <v>Mer</v>
      </c>
      <c r="X41" s="91" t="str">
        <f>IF(X42&lt;&gt;"","Jeu","")</f>
        <v>Jeu</v>
      </c>
      <c r="Y41" s="91" t="str">
        <f>IF(Y42&lt;&gt;"","Ven","")</f>
        <v>Ven</v>
      </c>
      <c r="Z41" s="91" t="str">
        <f>IF(Z42&lt;&gt;"","Sam","")</f>
        <v>Sam</v>
      </c>
      <c r="AA41" s="91" t="str">
        <f>IF(AA42&lt;&gt;"","Dim","")</f>
        <v>Dim</v>
      </c>
      <c r="AB41" s="105" t="s">
        <v>25</v>
      </c>
      <c r="AC41" s="55" t="str">
        <f>IF(AD41="",LEFT(T41)&amp;MOD(RIGHT(T41),5),LEFT(T41)&amp;MOD(RIGHT(T41),4)+1)</f>
        <v>C1</v>
      </c>
      <c r="AD41" s="91" t="str">
        <f>IF(AD42&lt;&gt;"","Lun","")</f>
        <v>Lun</v>
      </c>
      <c r="AE41" s="91" t="str">
        <f>IF(AE42&lt;&gt;"","Mar","")</f>
        <v>Mar</v>
      </c>
      <c r="AF41" s="91" t="str">
        <f>IF(AF42&lt;&gt;"","Mer","")</f>
        <v>Mer</v>
      </c>
      <c r="AG41" s="91" t="str">
        <f>IF(AG42&lt;&gt;"","Jeu","")</f>
        <v>Jeu</v>
      </c>
      <c r="AH41" s="91" t="str">
        <f>IF(AH42&lt;&gt;"","Ven","")</f>
        <v>Ven</v>
      </c>
      <c r="AI41" s="91" t="str">
        <f>IF(AI42&lt;&gt;"","Sam","")</f>
        <v>Sam</v>
      </c>
      <c r="AJ41" s="91" t="str">
        <f>IF(AJ42&lt;&gt;"","Dim","")</f>
        <v>Dim</v>
      </c>
      <c r="AK41" s="105" t="s">
        <v>25</v>
      </c>
      <c r="AL41" s="55" t="str">
        <f>IF(AM41="",LEFT(AC41)&amp;MOD(RIGHT(AC41),5),LEFT(AC41)&amp;MOD(RIGHT(AC41),4)+1)</f>
        <v>C2</v>
      </c>
      <c r="AM41" s="91" t="str">
        <f>IF(AM42&lt;&gt;"","Lun","")</f>
        <v>Lun</v>
      </c>
      <c r="AN41" s="91" t="str">
        <f>IF(AN42&lt;&gt;"","Mar","")</f>
        <v>Mar</v>
      </c>
      <c r="AO41" s="91" t="str">
        <f>IF(AO42&lt;&gt;"","Mer","")</f>
        <v>Mer</v>
      </c>
      <c r="AP41" s="91" t="str">
        <f>IF(AP42&lt;&gt;"","Jeu","")</f>
        <v>Jeu</v>
      </c>
      <c r="AQ41" s="91" t="str">
        <f>IF(AQ42&lt;&gt;"","Ven","")</f>
        <v>Ven</v>
      </c>
      <c r="AR41" s="91" t="str">
        <f>IF(AR42&lt;&gt;"","Sam","")</f>
        <v/>
      </c>
      <c r="AS41" s="91" t="str">
        <f>IF(AS42&lt;&gt;"","Dim","")</f>
        <v/>
      </c>
      <c r="AT41" s="105" t="s">
        <v>25</v>
      </c>
      <c r="AU41" s="55" t="str">
        <f>IF(AV41="",LEFT(AL41)&amp;MOD(RIGHT(AL41),5),LEFT(AL41)&amp;MOD(RIGHT(AL41),4)+1)</f>
        <v>C2</v>
      </c>
      <c r="AV41" s="53" t="str">
        <f>IF(AV42&lt;&gt;"","Lun","")</f>
        <v/>
      </c>
      <c r="AW41" s="53" t="str">
        <f>IF(AW42&lt;&gt;"","Mar","")</f>
        <v/>
      </c>
      <c r="AX41" s="105" t="s">
        <v>25</v>
      </c>
      <c r="AY41" s="105" t="s">
        <v>28</v>
      </c>
      <c r="AZ41" s="108">
        <f>AY48+AY49+AY50</f>
        <v>10</v>
      </c>
      <c r="BA41" s="108">
        <f>AZ41+BA23</f>
        <v>25</v>
      </c>
      <c r="BB41" s="39"/>
      <c r="BC41" s="39"/>
      <c r="BD41" s="39"/>
      <c r="BE41" s="39"/>
      <c r="BF41" s="34"/>
    </row>
    <row r="42" spans="1:59" s="25" customFormat="1" ht="15" customHeight="1" thickTop="1">
      <c r="A42" s="10"/>
      <c r="B42" s="54"/>
      <c r="C42" s="90" t="str">
        <f>IF(DAY(Mar_Dim1)=1,"",IF(AND(YEAR(Mar_Dim1+1)=Année_Calendaire,MONTH(Mar_Dim1+1)=3),Mar_Dim1+1,""))</f>
        <v/>
      </c>
      <c r="D42" s="90" t="str">
        <f>IF(DAY(Mar_Dim1)=1,"",IF(AND(YEAR(Mar_Dim1+2)=Année_Calendaire,MONTH(Mar_Dim1+2)=3),Mar_Dim1+2,""))</f>
        <v/>
      </c>
      <c r="E42" s="90">
        <f>IF(DAY(Mar_Dim1)=1,"",IF(AND(YEAR(Mar_Dim1+3)=Année_Calendaire,MONTH(Mar_Dim1+3)=3),Mar_Dim1+3,""))</f>
        <v>42795</v>
      </c>
      <c r="F42" s="90">
        <f>IF(DAY(Mar_Dim1)=1,"",IF(AND(YEAR(Mar_Dim1+4)=Année_Calendaire,MONTH(Mar_Dim1+4)=3),Mar_Dim1+4,""))</f>
        <v>42796</v>
      </c>
      <c r="G42" s="90">
        <f>IF(DAY(Mar_Dim1)=1,"",IF(AND(YEAR(Mar_Dim1+5)=Année_Calendaire,MONTH(Mar_Dim1+5)=3),Mar_Dim1+5,""))</f>
        <v>42797</v>
      </c>
      <c r="H42" s="90">
        <f>IF(DAY(Mar_Dim1)=1,"",IF(AND(YEAR(Mar_Dim1+6)=Année_Calendaire,MONTH(Mar_Dim1+6)=3),Mar_Dim1+6,""))</f>
        <v>42798</v>
      </c>
      <c r="I42" s="90">
        <f>IF(DAY(Mar_Dim1)=1,IF(AND(YEAR(Mar_Dim1)=Année_Calendaire,MONTH(Mar_Dim1)=3),Mar_Dim1,""),IF(AND(YEAR(Mar_Dim1+7)=Année_Calendaire,MONTH(Mar_Dim1+7)=3),Mar_Dim1+7,""))</f>
        <v>42799</v>
      </c>
      <c r="J42" s="105"/>
      <c r="K42" s="54"/>
      <c r="L42" s="90">
        <f>IF(DAY(Mar_Dim1)=1,IF(AND(YEAR(Mar_Dim1+1)=Année_Calendaire,MONTH(Mar_Dim1+1)=3),Mar_Dim1+1,""),IF(AND(YEAR(Mar_Dim1+8)=Année_Calendaire,MONTH(Mar_Dim1+8)=3),Mar_Dim1+8,""))</f>
        <v>42800</v>
      </c>
      <c r="M42" s="90">
        <f>IF(DAY(Mar_Dim1)=1,IF(AND(YEAR(Mar_Dim1+2)=Année_Calendaire,MONTH(Mar_Dim1+2)=3),Mar_Dim1+2,""),IF(AND(YEAR(Mar_Dim1+9)=Année_Calendaire,MONTH(Mar_Dim1+9)=3),Mar_Dim1+9,""))</f>
        <v>42801</v>
      </c>
      <c r="N42" s="90">
        <f>IF(DAY(Mar_Dim1)=1,IF(AND(YEAR(Mar_Dim1+3)=Année_Calendaire,MONTH(Mar_Dim1+3)=3),Mar_Dim1+3,""),IF(AND(YEAR(Mar_Dim1+10)=Année_Calendaire,MONTH(Mar_Dim1+10)=3),Mar_Dim1+10,""))</f>
        <v>42802</v>
      </c>
      <c r="O42" s="90">
        <f>IF(DAY(Mar_Dim1)=1,IF(AND(YEAR(Mar_Dim1+4)=Année_Calendaire,MONTH(Mar_Dim1+4)=3),Mar_Dim1+4,""),IF(AND(YEAR(Mar_Dim1+11)=Année_Calendaire,MONTH(Mar_Dim1+11)=3),Mar_Dim1+11,""))</f>
        <v>42803</v>
      </c>
      <c r="P42" s="90">
        <f>IF(DAY(Mar_Dim1)=1,IF(AND(YEAR(Mar_Dim1+5)=Année_Calendaire,MONTH(Mar_Dim1+5)=3),Mar_Dim1+5,""),IF(AND(YEAR(Mar_Dim1+12)=Année_Calendaire,MONTH(Mar_Dim1+12)=3),Mar_Dim1+12,""))</f>
        <v>42804</v>
      </c>
      <c r="Q42" s="90">
        <f>IF(DAY(Mar_Dim1)=1,IF(AND(YEAR(Mar_Dim1+6)=Année_Calendaire,MONTH(Mar_Dim1+6)=3),Mar_Dim1+6,""),IF(AND(YEAR(Mar_Dim1+13)=Année_Calendaire,MONTH(Mar_Dim1+13)=3),Mar_Dim1+13,""))</f>
        <v>42805</v>
      </c>
      <c r="R42" s="90">
        <f>IF(DAY(Mar_Dim1)=1,IF(AND(YEAR(Mar_Dim1+7)=Année_Calendaire,MONTH(Mar_Dim1+7)=3),Mar_Dim1+7,""),IF(AND(YEAR(Mar_Dim1+14)=Année_Calendaire,MONTH(Mar_Dim1+14)=3),Mar_Dim1+14,""))</f>
        <v>42806</v>
      </c>
      <c r="S42" s="105"/>
      <c r="T42" s="54"/>
      <c r="U42" s="90">
        <f>IF(DAY(Mar_Dim1)=1,IF(AND(YEAR(Mar_Dim1+8)=Année_Calendaire,MONTH(Mar_Dim1+8)=3),Mar_Dim1+8,""),IF(AND(YEAR(Mar_Dim1+15)=Année_Calendaire,MONTH(Mar_Dim1+15)=3),Mar_Dim1+15,""))</f>
        <v>42807</v>
      </c>
      <c r="V42" s="90">
        <f>IF(DAY(Mar_Dim1)=1,IF(AND(YEAR(Mar_Dim1+9)=Année_Calendaire,MONTH(Mar_Dim1+9)=3),Mar_Dim1+9,""),IF(AND(YEAR(Mar_Dim1+16)=Année_Calendaire,MONTH(Mar_Dim1+16)=3),Mar_Dim1+16,""))</f>
        <v>42808</v>
      </c>
      <c r="W42" s="90">
        <f>IF(DAY(Mar_Dim1)=1,IF(AND(YEAR(Mar_Dim1+10)=Année_Calendaire,MONTH(Mar_Dim1+10)=3),Mar_Dim1+10,""),IF(AND(YEAR(Mar_Dim1+17)=Année_Calendaire,MONTH(Mar_Dim1+17)=3),Mar_Dim1+17,""))</f>
        <v>42809</v>
      </c>
      <c r="X42" s="90">
        <f>IF(DAY(Mar_Dim1)=1,IF(AND(YEAR(Mar_Dim1+11)=Année_Calendaire,MONTH(Mar_Dim1+11)=3),Mar_Dim1+11,""),IF(AND(YEAR(Mar_Dim1+18)=Année_Calendaire,MONTH(Mar_Dim1+18)=3),Mar_Dim1+18,""))</f>
        <v>42810</v>
      </c>
      <c r="Y42" s="90">
        <f>IF(DAY(Mar_Dim1)=1,IF(AND(YEAR(Mar_Dim1+12)=Année_Calendaire,MONTH(Mar_Dim1+12)=3),Mar_Dim1+12,""),IF(AND(YEAR(Mar_Dim1+19)=Année_Calendaire,MONTH(Mar_Dim1+19)=3),Mar_Dim1+19,""))</f>
        <v>42811</v>
      </c>
      <c r="Z42" s="90">
        <f>IF(DAY(Mar_Dim1)=1,IF(AND(YEAR(Mar_Dim1+13)=Année_Calendaire,MONTH(Mar_Dim1+13)=3),Mar_Dim1+13,""),IF(AND(YEAR(Mar_Dim1+20)=Année_Calendaire,MONTH(Mar_Dim1+20)=3),Mar_Dim1+20,""))</f>
        <v>42812</v>
      </c>
      <c r="AA42" s="90">
        <f>IF(DAY(Mar_Dim1)=1,IF(AND(YEAR(Mar_Dim1+14)=Année_Calendaire,MONTH(Mar_Dim1+14)=3),Mar_Dim1+14,""),IF(AND(YEAR(Mar_Dim1+21)=Année_Calendaire,MONTH(Mar_Dim1+21)=3),Mar_Dim1+21,""))</f>
        <v>42813</v>
      </c>
      <c r="AB42" s="105"/>
      <c r="AC42" s="54"/>
      <c r="AD42" s="90">
        <f>IF(DAY(Mar_Dim1)=1,IF(AND(YEAR(Mar_Dim1+15)=Année_Calendaire,MONTH(Mar_Dim1+15)=3),Mar_Dim1+15,""),IF(AND(YEAR(Mar_Dim1+22)=Année_Calendaire,MONTH(Mar_Dim1+22)=3),Mar_Dim1+22,""))</f>
        <v>42814</v>
      </c>
      <c r="AE42" s="90">
        <f>IF(DAY(Mar_Dim1)=1,IF(AND(YEAR(Mar_Dim1+16)=Année_Calendaire,MONTH(Mar_Dim1+16)=3),Mar_Dim1+16,""),IF(AND(YEAR(Mar_Dim1+23)=Année_Calendaire,MONTH(Mar_Dim1+23)=3),Mar_Dim1+23,""))</f>
        <v>42815</v>
      </c>
      <c r="AF42" s="90">
        <f>IF(DAY(Mar_Dim1)=1,IF(AND(YEAR(Mar_Dim1+17)=Année_Calendaire,MONTH(Mar_Dim1+17)=3),Mar_Dim1+17,""),IF(AND(YEAR(Mar_Dim1+24)=Année_Calendaire,MONTH(Mar_Dim1+24)=3),Mar_Dim1+24,""))</f>
        <v>42816</v>
      </c>
      <c r="AG42" s="90">
        <f>IF(DAY(Mar_Dim1)=1,IF(AND(YEAR(Mar_Dim1+18)=Année_Calendaire,MONTH(Mar_Dim1+18)=3),Mar_Dim1+18,""),IF(AND(YEAR(Mar_Dim1+25)=Année_Calendaire,MONTH(Mar_Dim1+25)=3),Mar_Dim1+25,""))</f>
        <v>42817</v>
      </c>
      <c r="AH42" s="90">
        <f>IF(DAY(Mar_Dim1)=1,IF(AND(YEAR(Mar_Dim1+19)=Année_Calendaire,MONTH(Mar_Dim1+19)=3),Mar_Dim1+19,""),IF(AND(YEAR(Mar_Dim1+26)=Année_Calendaire,MONTH(Mar_Dim1+26)=3),Mar_Dim1+26,""))</f>
        <v>42818</v>
      </c>
      <c r="AI42" s="90">
        <f>IF(DAY(Mar_Dim1)=1,IF(AND(YEAR(Mar_Dim1+20)=Année_Calendaire,MONTH(Mar_Dim1+20)=3),Mar_Dim1+20,""),IF(AND(YEAR(Mar_Dim1+27)=Année_Calendaire,MONTH(Mar_Dim1+27)=3),Mar_Dim1+27,""))</f>
        <v>42819</v>
      </c>
      <c r="AJ42" s="90">
        <f>IF(DAY(Mar_Dim1)=1,IF(AND(YEAR(Mar_Dim1+21)=Année_Calendaire,MONTH(Mar_Dim1+21)=3),Mar_Dim1+21,""),IF(AND(YEAR(Mar_Dim1+28)=Année_Calendaire,MONTH(Mar_Dim1+28)=3),Mar_Dim1+28,""))</f>
        <v>42820</v>
      </c>
      <c r="AK42" s="105"/>
      <c r="AL42" s="54"/>
      <c r="AM42" s="90">
        <f>IF(DAY(Mar_Dim1)=1,IF(AND(YEAR(Mar_Dim1+22)=Année_Calendaire,MONTH(Mar_Dim1+22)=3),Mar_Dim1+22,""),IF(AND(YEAR(Mar_Dim1+29)=Année_Calendaire,MONTH(Mar_Dim1+29)=3),Mar_Dim1+29,""))</f>
        <v>42821</v>
      </c>
      <c r="AN42" s="90">
        <f>IF(DAY(Mar_Dim1)=1,IF(AND(YEAR(Mar_Dim1+23)=Année_Calendaire,MONTH(Mar_Dim1+23)=3),Mar_Dim1+23,""),IF(AND(YEAR(Mar_Dim1+30)=Année_Calendaire,MONTH(Mar_Dim1+30)=3),Mar_Dim1+30,""))</f>
        <v>42822</v>
      </c>
      <c r="AO42" s="90">
        <f>IF(DAY(Mar_Dim1)=1,IF(AND(YEAR(Mar_Dim1+24)=Année_Calendaire,MONTH(Mar_Dim1+24)=3),Mar_Dim1+24,""),IF(AND(YEAR(Mar_Dim1+31)=Année_Calendaire,MONTH(Mar_Dim1+31)=3),Mar_Dim1+31,""))</f>
        <v>42823</v>
      </c>
      <c r="AP42" s="90">
        <f>IF(DAY(Mar_Dim1)=1,IF(AND(YEAR(Mar_Dim1+25)=Année_Calendaire,MONTH(Mar_Dim1+25)=3),Mar_Dim1+25,""),IF(AND(YEAR(Mar_Dim1+32)=Année_Calendaire,MONTH(Mar_Dim1+32)=3),Mar_Dim1+32,""))</f>
        <v>42824</v>
      </c>
      <c r="AQ42" s="90">
        <f>IF(DAY(Mar_Dim1)=1,IF(AND(YEAR(Mar_Dim1+26)=Année_Calendaire,MONTH(Mar_Dim1+26)=3),Mar_Dim1+26,""),IF(AND(YEAR(Mar_Dim1+33)=Année_Calendaire,MONTH(Mar_Dim1+33)=3),Mar_Dim1+33,""))</f>
        <v>42825</v>
      </c>
      <c r="AR42" s="90" t="str">
        <f>IF(DAY(Mar_Dim1)=1,IF(AND(YEAR(Mar_Dim1+27)=Année_Calendaire,MONTH(Mar_Dim1+27)=3),Mar_Dim1+27,""),IF(AND(YEAR(Mar_Dim1+34)=Année_Calendaire,MONTH(Mar_Dim1+34)=3),Mar_Dim1+34,""))</f>
        <v/>
      </c>
      <c r="AS42" s="90" t="str">
        <f>IF(DAY(Mar_Dim1)=1,IF(AND(YEAR(Mar_Dim1+28)=Année_Calendaire,MONTH(Mar_Dim1+28)=3),Mar_Dim1+28,""),IF(AND(YEAR(Mar_Dim1+35)=Année_Calendaire,MONTH(Mar_Dim1+35)=3),Mar_Dim1+35,""))</f>
        <v/>
      </c>
      <c r="AT42" s="105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105"/>
      <c r="AY42" s="105"/>
      <c r="AZ42" s="108"/>
      <c r="BA42" s="108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/>
      <c r="D43" s="49"/>
      <c r="E43" s="49" t="s">
        <v>49</v>
      </c>
      <c r="F43" s="49" t="s">
        <v>49</v>
      </c>
      <c r="G43" s="49" t="s">
        <v>49</v>
      </c>
      <c r="H43" s="49"/>
      <c r="I43" s="49"/>
      <c r="J43" s="52"/>
      <c r="K43" s="48"/>
      <c r="L43" s="49" t="s">
        <v>48</v>
      </c>
      <c r="M43" s="49"/>
      <c r="N43" s="49"/>
      <c r="O43" s="49" t="s">
        <v>48</v>
      </c>
      <c r="P43" s="49" t="s">
        <v>48</v>
      </c>
      <c r="Q43" s="49"/>
      <c r="R43" s="49"/>
      <c r="S43" s="52"/>
      <c r="T43" s="48"/>
      <c r="U43" s="49" t="s">
        <v>50</v>
      </c>
      <c r="V43" s="49" t="s">
        <v>50</v>
      </c>
      <c r="W43" s="49" t="s">
        <v>50</v>
      </c>
      <c r="X43" s="49" t="s">
        <v>50</v>
      </c>
      <c r="Y43" s="49" t="s">
        <v>50</v>
      </c>
      <c r="Z43" s="49"/>
      <c r="AA43" s="49"/>
      <c r="AB43" s="52"/>
      <c r="AC43" s="48"/>
      <c r="AD43" s="49" t="s">
        <v>48</v>
      </c>
      <c r="AE43" s="49" t="s">
        <v>48</v>
      </c>
      <c r="AF43" s="49" t="s">
        <v>48</v>
      </c>
      <c r="AG43" s="49"/>
      <c r="AH43" s="49"/>
      <c r="AI43" s="49"/>
      <c r="AJ43" s="49"/>
      <c r="AK43" s="52"/>
      <c r="AL43" s="48"/>
      <c r="AM43" s="49" t="s">
        <v>49</v>
      </c>
      <c r="AN43" s="49" t="s">
        <v>49</v>
      </c>
      <c r="AO43" s="49" t="s">
        <v>49</v>
      </c>
      <c r="AP43" s="49" t="s">
        <v>49</v>
      </c>
      <c r="AQ43" s="49" t="s">
        <v>49</v>
      </c>
      <c r="AR43" s="49"/>
      <c r="AS43" s="49"/>
      <c r="AT43" s="52"/>
      <c r="AU43" s="48"/>
      <c r="AV43" s="49"/>
      <c r="AW43" s="49"/>
      <c r="AX43" s="52" t="s">
        <v>49</v>
      </c>
      <c r="AY43" s="50" t="s">
        <v>49</v>
      </c>
      <c r="AZ43" s="40" t="s">
        <v>49</v>
      </c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2">IF(C43="Matin",1,IF(C43="AM",1,0))</f>
        <v>0</v>
      </c>
      <c r="D44" s="52">
        <f t="shared" si="122"/>
        <v>0</v>
      </c>
      <c r="E44" s="52">
        <f t="shared" si="122"/>
        <v>0</v>
      </c>
      <c r="F44" s="52">
        <f t="shared" si="122"/>
        <v>0</v>
      </c>
      <c r="G44" s="52">
        <f t="shared" si="122"/>
        <v>0</v>
      </c>
      <c r="H44" s="52">
        <f t="shared" si="122"/>
        <v>0</v>
      </c>
      <c r="I44" s="52">
        <f t="shared" si="122"/>
        <v>0</v>
      </c>
      <c r="J44" s="52">
        <f>SUM(C44:I44)</f>
        <v>0</v>
      </c>
      <c r="K44" s="51"/>
      <c r="L44" s="52">
        <f t="shared" ref="L44:R44" si="123">IF(L43="Matin",1,IF(L43="AM",1,0))</f>
        <v>1</v>
      </c>
      <c r="M44" s="52">
        <f t="shared" si="123"/>
        <v>0</v>
      </c>
      <c r="N44" s="52">
        <f t="shared" si="123"/>
        <v>0</v>
      </c>
      <c r="O44" s="52">
        <f t="shared" si="123"/>
        <v>1</v>
      </c>
      <c r="P44" s="52">
        <f t="shared" si="123"/>
        <v>1</v>
      </c>
      <c r="Q44" s="52">
        <f t="shared" si="123"/>
        <v>0</v>
      </c>
      <c r="R44" s="52">
        <f t="shared" si="123"/>
        <v>0</v>
      </c>
      <c r="S44" s="52">
        <f>SUM(L44:R44)</f>
        <v>3</v>
      </c>
      <c r="T44" s="51"/>
      <c r="U44" s="52">
        <f t="shared" ref="U44:AA44" si="124">IF(U43="Matin",1,IF(U43="AM",1,0))</f>
        <v>1</v>
      </c>
      <c r="V44" s="52">
        <f t="shared" si="124"/>
        <v>1</v>
      </c>
      <c r="W44" s="52">
        <f t="shared" si="124"/>
        <v>1</v>
      </c>
      <c r="X44" s="52">
        <f t="shared" si="124"/>
        <v>1</v>
      </c>
      <c r="Y44" s="52">
        <f t="shared" si="124"/>
        <v>1</v>
      </c>
      <c r="Z44" s="52">
        <f t="shared" si="124"/>
        <v>0</v>
      </c>
      <c r="AA44" s="52">
        <f t="shared" si="124"/>
        <v>0</v>
      </c>
      <c r="AB44" s="52">
        <f>SUM(U44:AA44)</f>
        <v>5</v>
      </c>
      <c r="AC44" s="51"/>
      <c r="AD44" s="52">
        <f t="shared" ref="AD44:AJ44" si="125">IF(AD43="Matin",1,IF(AD43="AM",1,0))</f>
        <v>1</v>
      </c>
      <c r="AE44" s="52">
        <f t="shared" si="125"/>
        <v>1</v>
      </c>
      <c r="AF44" s="52">
        <f t="shared" si="125"/>
        <v>1</v>
      </c>
      <c r="AG44" s="52">
        <f t="shared" si="125"/>
        <v>0</v>
      </c>
      <c r="AH44" s="52">
        <f t="shared" si="125"/>
        <v>0</v>
      </c>
      <c r="AI44" s="52">
        <f t="shared" si="125"/>
        <v>0</v>
      </c>
      <c r="AJ44" s="52">
        <f t="shared" si="125"/>
        <v>0</v>
      </c>
      <c r="AK44" s="52">
        <f>SUM(AD44:AJ44)</f>
        <v>3</v>
      </c>
      <c r="AL44" s="51"/>
      <c r="AM44" s="52">
        <f t="shared" ref="AM44:AS44" si="126">IF(AM43="Matin",1,IF(AM43="AM",1,0))</f>
        <v>0</v>
      </c>
      <c r="AN44" s="52">
        <f t="shared" si="126"/>
        <v>0</v>
      </c>
      <c r="AO44" s="52">
        <f t="shared" si="126"/>
        <v>0</v>
      </c>
      <c r="AP44" s="52">
        <f t="shared" si="126"/>
        <v>0</v>
      </c>
      <c r="AQ44" s="52">
        <f t="shared" si="126"/>
        <v>0</v>
      </c>
      <c r="AR44" s="52">
        <f t="shared" si="126"/>
        <v>0</v>
      </c>
      <c r="AS44" s="52">
        <f t="shared" si="126"/>
        <v>0</v>
      </c>
      <c r="AT44" s="52">
        <f>SUM(AM44:AS44)</f>
        <v>0</v>
      </c>
      <c r="AU44" s="51"/>
      <c r="AV44" s="52">
        <f t="shared" ref="AV44:AW44" si="127">IF(AV43="Matin",1,IF(AV43="AM",1,0))</f>
        <v>0</v>
      </c>
      <c r="AW44" s="52">
        <f t="shared" si="127"/>
        <v>0</v>
      </c>
      <c r="AX44" s="52">
        <f t="shared" ref="AX44:AX51" si="128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0</v>
      </c>
      <c r="E45" s="49">
        <f t="shared" ref="E45:I45" si="129">IF(E46&gt;=1,1,0)</f>
        <v>1</v>
      </c>
      <c r="F45" s="49">
        <f t="shared" si="129"/>
        <v>1</v>
      </c>
      <c r="G45" s="49">
        <f t="shared" si="129"/>
        <v>1</v>
      </c>
      <c r="H45" s="49">
        <f t="shared" si="129"/>
        <v>0</v>
      </c>
      <c r="I45" s="49">
        <f t="shared" si="129"/>
        <v>0</v>
      </c>
      <c r="J45" s="52">
        <f t="shared" ref="J45:J55" si="130">SUM(C45:I45)</f>
        <v>3</v>
      </c>
      <c r="K45" s="48"/>
      <c r="L45" s="49">
        <f>IF(L46&gt;=1,1,0)</f>
        <v>1</v>
      </c>
      <c r="M45" s="49">
        <f t="shared" ref="M45:R45" si="131">IF(M46&gt;=1,1,0)</f>
        <v>0</v>
      </c>
      <c r="N45" s="49">
        <f t="shared" si="131"/>
        <v>0</v>
      </c>
      <c r="O45" s="49">
        <f t="shared" si="131"/>
        <v>1</v>
      </c>
      <c r="P45" s="49">
        <f t="shared" si="131"/>
        <v>1</v>
      </c>
      <c r="Q45" s="49">
        <f t="shared" si="131"/>
        <v>0</v>
      </c>
      <c r="R45" s="49">
        <f t="shared" si="131"/>
        <v>0</v>
      </c>
      <c r="S45" s="52">
        <f t="shared" ref="S45:S55" si="132">SUM(L45:R45)</f>
        <v>3</v>
      </c>
      <c r="T45" s="48"/>
      <c r="U45" s="49">
        <f>IF(U46&gt;=1,1,0)</f>
        <v>1</v>
      </c>
      <c r="V45" s="49">
        <f t="shared" ref="V45:AA45" si="133">IF(V46&gt;=1,1,0)</f>
        <v>1</v>
      </c>
      <c r="W45" s="49">
        <f t="shared" si="133"/>
        <v>1</v>
      </c>
      <c r="X45" s="49">
        <f t="shared" si="133"/>
        <v>1</v>
      </c>
      <c r="Y45" s="49">
        <f t="shared" si="133"/>
        <v>1</v>
      </c>
      <c r="Z45" s="49">
        <f t="shared" si="133"/>
        <v>0</v>
      </c>
      <c r="AA45" s="49">
        <f t="shared" si="133"/>
        <v>0</v>
      </c>
      <c r="AB45" s="52">
        <f t="shared" ref="AB45:AB55" si="134">SUM(U45:AA45)</f>
        <v>5</v>
      </c>
      <c r="AC45" s="48"/>
      <c r="AD45" s="49">
        <f>IF(AD46&gt;=1,1,0)</f>
        <v>1</v>
      </c>
      <c r="AE45" s="49">
        <f t="shared" ref="AE45:AJ45" si="135">IF(AE46&gt;=1,1,0)</f>
        <v>1</v>
      </c>
      <c r="AF45" s="49">
        <f t="shared" si="135"/>
        <v>1</v>
      </c>
      <c r="AG45" s="49">
        <f t="shared" si="135"/>
        <v>0</v>
      </c>
      <c r="AH45" s="49">
        <f t="shared" si="135"/>
        <v>0</v>
      </c>
      <c r="AI45" s="49">
        <f t="shared" si="135"/>
        <v>0</v>
      </c>
      <c r="AJ45" s="49">
        <f t="shared" si="135"/>
        <v>0</v>
      </c>
      <c r="AK45" s="52">
        <f t="shared" ref="AK45:AK55" si="136">SUM(AD45:AJ45)</f>
        <v>3</v>
      </c>
      <c r="AL45" s="48"/>
      <c r="AM45" s="49">
        <f>IF(AM46&gt;=1,1,0)</f>
        <v>1</v>
      </c>
      <c r="AN45" s="49">
        <f t="shared" ref="AN45:AS45" si="137">IF(AN46&gt;=1,1,0)</f>
        <v>1</v>
      </c>
      <c r="AO45" s="49">
        <f t="shared" si="137"/>
        <v>1</v>
      </c>
      <c r="AP45" s="49">
        <f t="shared" si="137"/>
        <v>1</v>
      </c>
      <c r="AQ45" s="49">
        <f t="shared" si="137"/>
        <v>1</v>
      </c>
      <c r="AR45" s="49">
        <f t="shared" si="137"/>
        <v>0</v>
      </c>
      <c r="AS45" s="49">
        <f t="shared" si="137"/>
        <v>0</v>
      </c>
      <c r="AT45" s="52">
        <f t="shared" ref="AT45:AT55" si="138">SUM(AM45:AS45)</f>
        <v>5</v>
      </c>
      <c r="AU45" s="48"/>
      <c r="AV45" s="49">
        <f>IF(AV46&gt;=1,1,0)</f>
        <v>0</v>
      </c>
      <c r="AW45" s="49">
        <f t="shared" ref="AW45" si="139">IF(AW46&gt;=1,1,0)</f>
        <v>0</v>
      </c>
      <c r="AX45" s="52">
        <f t="shared" si="128"/>
        <v>0</v>
      </c>
      <c r="AY45" s="49">
        <f t="shared" ref="AY45:AY54" si="140">J45+S45+AB45+AK45+AT45+AX45</f>
        <v>19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41">IF(D43="Matin",8,IF(D43="AM",8,IF(D43="nuit",8,0)))</f>
        <v>0</v>
      </c>
      <c r="E46" s="52">
        <f t="shared" si="141"/>
        <v>8</v>
      </c>
      <c r="F46" s="52">
        <f t="shared" si="141"/>
        <v>8</v>
      </c>
      <c r="G46" s="52">
        <f t="shared" si="141"/>
        <v>8</v>
      </c>
      <c r="H46" s="52">
        <f t="shared" si="141"/>
        <v>0</v>
      </c>
      <c r="I46" s="52">
        <f t="shared" si="141"/>
        <v>0</v>
      </c>
      <c r="J46" s="52">
        <f t="shared" si="130"/>
        <v>24</v>
      </c>
      <c r="K46" s="51"/>
      <c r="L46" s="52">
        <f>IF(L43="Matin",8,IF(L43="AM",8,IF(L43="nuit",8,0)))</f>
        <v>8</v>
      </c>
      <c r="M46" s="52">
        <f t="shared" ref="M46:R46" si="142">IF(M43="Matin",8,IF(M43="AM",8,IF(M43="nuit",8,0)))</f>
        <v>0</v>
      </c>
      <c r="N46" s="52">
        <f t="shared" si="142"/>
        <v>0</v>
      </c>
      <c r="O46" s="52">
        <f t="shared" si="142"/>
        <v>8</v>
      </c>
      <c r="P46" s="52">
        <f t="shared" si="142"/>
        <v>8</v>
      </c>
      <c r="Q46" s="52">
        <f t="shared" si="142"/>
        <v>0</v>
      </c>
      <c r="R46" s="52">
        <f t="shared" si="142"/>
        <v>0</v>
      </c>
      <c r="S46" s="52">
        <f t="shared" si="132"/>
        <v>24</v>
      </c>
      <c r="T46" s="51"/>
      <c r="U46" s="52">
        <f>IF(U43="Matin",8,IF(U43="AM",8,IF(U43="nuit",8,0)))</f>
        <v>8</v>
      </c>
      <c r="V46" s="52">
        <f t="shared" ref="V46:AA46" si="143">IF(V43="Matin",8,IF(V43="AM",8,IF(V43="nuit",8,0)))</f>
        <v>8</v>
      </c>
      <c r="W46" s="52">
        <f t="shared" si="143"/>
        <v>8</v>
      </c>
      <c r="X46" s="52">
        <f t="shared" si="143"/>
        <v>8</v>
      </c>
      <c r="Y46" s="52">
        <f t="shared" si="143"/>
        <v>8</v>
      </c>
      <c r="Z46" s="52">
        <f t="shared" si="143"/>
        <v>0</v>
      </c>
      <c r="AA46" s="52">
        <f t="shared" si="143"/>
        <v>0</v>
      </c>
      <c r="AB46" s="52">
        <f t="shared" si="134"/>
        <v>40</v>
      </c>
      <c r="AC46" s="51"/>
      <c r="AD46" s="52">
        <f>IF(AD43="Matin",8,IF(AD43="AM",8,IF(AD43="nuit",8,0)))</f>
        <v>8</v>
      </c>
      <c r="AE46" s="52">
        <f t="shared" ref="AE46:AJ46" si="144">IF(AE43="Matin",8,IF(AE43="AM",8,IF(AE43="nuit",8,0)))</f>
        <v>8</v>
      </c>
      <c r="AF46" s="52">
        <f t="shared" si="144"/>
        <v>8</v>
      </c>
      <c r="AG46" s="52">
        <f t="shared" si="144"/>
        <v>0</v>
      </c>
      <c r="AH46" s="52">
        <f t="shared" si="144"/>
        <v>0</v>
      </c>
      <c r="AI46" s="52">
        <f t="shared" si="144"/>
        <v>0</v>
      </c>
      <c r="AJ46" s="52">
        <f t="shared" si="144"/>
        <v>0</v>
      </c>
      <c r="AK46" s="52">
        <f t="shared" si="136"/>
        <v>24</v>
      </c>
      <c r="AL46" s="51"/>
      <c r="AM46" s="52">
        <f>IF(AM43="Matin",8,IF(AM43="AM",8,IF(AM43="nuit",8,0)))</f>
        <v>8</v>
      </c>
      <c r="AN46" s="52">
        <f t="shared" ref="AN46:AS46" si="145">IF(AN43="Matin",8,IF(AN43="AM",8,IF(AN43="nuit",8,0)))</f>
        <v>8</v>
      </c>
      <c r="AO46" s="52">
        <f t="shared" si="145"/>
        <v>8</v>
      </c>
      <c r="AP46" s="52">
        <f t="shared" si="145"/>
        <v>8</v>
      </c>
      <c r="AQ46" s="52">
        <f t="shared" si="145"/>
        <v>8</v>
      </c>
      <c r="AR46" s="52">
        <f t="shared" si="145"/>
        <v>0</v>
      </c>
      <c r="AS46" s="52">
        <f t="shared" si="145"/>
        <v>0</v>
      </c>
      <c r="AT46" s="52">
        <f t="shared" si="138"/>
        <v>40</v>
      </c>
      <c r="AU46" s="51"/>
      <c r="AV46" s="52">
        <f>IF(AV43="Matin",8,IF(AV43="AM",8,IF(AV43="nuit",8,0)))</f>
        <v>0</v>
      </c>
      <c r="AW46" s="52">
        <f t="shared" ref="AW46" si="146">IF(AW43="Matin",8,IF(AW43="AM",8,IF(AW43="nuit",8,0)))</f>
        <v>0</v>
      </c>
      <c r="AX46" s="52">
        <f t="shared" si="128"/>
        <v>0</v>
      </c>
      <c r="AY46" s="52">
        <f t="shared" si="140"/>
        <v>152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13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30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2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4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6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3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8"/>
        <v>3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8"/>
        <v>0</v>
      </c>
      <c r="AY47" s="50">
        <f t="shared" si="140"/>
        <v>6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30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2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4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6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5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8"/>
        <v>5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8"/>
        <v>0</v>
      </c>
      <c r="AY48" s="52">
        <f t="shared" si="140"/>
        <v>10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30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2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4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6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8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8"/>
        <v>0</v>
      </c>
      <c r="AY49" s="50">
        <f t="shared" si="140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7">IF(D41="Dim",D46,IF(D56="ferie",D46,0))</f>
        <v>0</v>
      </c>
      <c r="E50" s="52">
        <f t="shared" si="147"/>
        <v>0</v>
      </c>
      <c r="F50" s="52">
        <f t="shared" si="147"/>
        <v>0</v>
      </c>
      <c r="G50" s="52">
        <f t="shared" si="147"/>
        <v>0</v>
      </c>
      <c r="H50" s="52">
        <f t="shared" si="147"/>
        <v>0</v>
      </c>
      <c r="I50" s="52">
        <f t="shared" si="147"/>
        <v>0</v>
      </c>
      <c r="J50" s="52">
        <f t="shared" si="130"/>
        <v>0</v>
      </c>
      <c r="K50" s="51"/>
      <c r="L50" s="52">
        <f>IF(L41="Dim",L46,IF(L56="ferie",L46,0))</f>
        <v>0</v>
      </c>
      <c r="M50" s="52">
        <f t="shared" ref="M50:R50" si="148">IF(M41="Dim",M46,IF(M56="ferie",M46,0))</f>
        <v>0</v>
      </c>
      <c r="N50" s="52">
        <f t="shared" si="148"/>
        <v>0</v>
      </c>
      <c r="O50" s="52">
        <f t="shared" si="148"/>
        <v>0</v>
      </c>
      <c r="P50" s="52">
        <f t="shared" si="148"/>
        <v>0</v>
      </c>
      <c r="Q50" s="52">
        <f>IF(Q41="Dim",Q46,IF(Q56="ferie",Q46,0))</f>
        <v>0</v>
      </c>
      <c r="R50" s="52">
        <f t="shared" si="148"/>
        <v>0</v>
      </c>
      <c r="S50" s="52">
        <f t="shared" si="132"/>
        <v>0</v>
      </c>
      <c r="T50" s="51"/>
      <c r="U50" s="52">
        <f>IF(U41="Dim",U46,IF(U56="ferie",U46,0))</f>
        <v>0</v>
      </c>
      <c r="V50" s="52">
        <f t="shared" ref="V50:AA50" si="149">IF(V41="Dim",V46,IF(V56="ferie",V46,0))</f>
        <v>0</v>
      </c>
      <c r="W50" s="52">
        <f t="shared" si="149"/>
        <v>0</v>
      </c>
      <c r="X50" s="52">
        <f t="shared" si="149"/>
        <v>0</v>
      </c>
      <c r="Y50" s="52">
        <f t="shared" si="149"/>
        <v>0</v>
      </c>
      <c r="Z50" s="52">
        <f t="shared" si="149"/>
        <v>0</v>
      </c>
      <c r="AA50" s="52">
        <f t="shared" si="149"/>
        <v>0</v>
      </c>
      <c r="AB50" s="52">
        <f t="shared" si="134"/>
        <v>0</v>
      </c>
      <c r="AC50" s="51"/>
      <c r="AD50" s="52">
        <f>IF(AD41="Dim",AD46,IF(AD56="ferie",AD46,0))</f>
        <v>0</v>
      </c>
      <c r="AE50" s="52">
        <f t="shared" ref="AE50:AJ50" si="150">IF(AE41="Dim",AE46,IF(AE56="ferie",AE46,0))</f>
        <v>0</v>
      </c>
      <c r="AF50" s="52">
        <f t="shared" si="150"/>
        <v>0</v>
      </c>
      <c r="AG50" s="52">
        <f t="shared" si="150"/>
        <v>0</v>
      </c>
      <c r="AH50" s="52">
        <f t="shared" si="150"/>
        <v>0</v>
      </c>
      <c r="AI50" s="52">
        <f t="shared" si="150"/>
        <v>0</v>
      </c>
      <c r="AJ50" s="52">
        <f t="shared" si="150"/>
        <v>0</v>
      </c>
      <c r="AK50" s="52">
        <f t="shared" si="136"/>
        <v>0</v>
      </c>
      <c r="AL50" s="51"/>
      <c r="AM50" s="52">
        <f>IF(AM41="Dim",AM46,IF(AM56="ferie",AM46,0))</f>
        <v>0</v>
      </c>
      <c r="AN50" s="52">
        <f t="shared" ref="AN50:AW50" si="151">IF(AN41="Dim",AN46,IF(AN56="ferie",AN46,0))</f>
        <v>0</v>
      </c>
      <c r="AO50" s="52">
        <f t="shared" si="151"/>
        <v>0</v>
      </c>
      <c r="AP50" s="52">
        <f t="shared" si="151"/>
        <v>0</v>
      </c>
      <c r="AQ50" s="52">
        <f t="shared" si="151"/>
        <v>0</v>
      </c>
      <c r="AR50" s="52">
        <f t="shared" si="151"/>
        <v>0</v>
      </c>
      <c r="AS50" s="52">
        <f t="shared" si="151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51"/>
        <v>0</v>
      </c>
      <c r="AX50" s="52">
        <f t="shared" si="128"/>
        <v>0</v>
      </c>
      <c r="AY50" s="52">
        <f t="shared" si="140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30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2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4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6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8"/>
        <v>0</v>
      </c>
      <c r="AU51" s="48"/>
      <c r="AV51" s="49"/>
      <c r="AW51" s="49"/>
      <c r="AX51" s="52">
        <f t="shared" si="128"/>
        <v>0</v>
      </c>
      <c r="AY51" s="49">
        <f t="shared" si="140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30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2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4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6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8"/>
        <v>0</v>
      </c>
      <c r="AU52" s="51"/>
      <c r="AV52" s="52"/>
      <c r="AW52" s="52"/>
      <c r="AX52" s="52">
        <f t="shared" ref="AX52:AX54" si="152">SUM(AV52:AW52)</f>
        <v>0</v>
      </c>
      <c r="AY52" s="52">
        <f t="shared" si="140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30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2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4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6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8"/>
        <v>0</v>
      </c>
      <c r="AU53" s="48"/>
      <c r="AV53" s="49"/>
      <c r="AW53" s="49"/>
      <c r="AX53" s="52">
        <f t="shared" si="152"/>
        <v>0</v>
      </c>
      <c r="AY53" s="50">
        <f t="shared" si="140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30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2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4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6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8"/>
        <v>0</v>
      </c>
      <c r="AU54" s="51"/>
      <c r="AV54" s="52"/>
      <c r="AW54" s="52"/>
      <c r="AX54" s="52">
        <f t="shared" si="152"/>
        <v>0</v>
      </c>
      <c r="AY54" s="52">
        <f t="shared" si="140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37</v>
      </c>
      <c r="B55" s="48"/>
      <c r="C55" s="49">
        <f>IF(C43="nuit",C46*0.02,0)</f>
        <v>0</v>
      </c>
      <c r="D55" s="49">
        <f>IF(D43="nuit",D46*0.02,0)</f>
        <v>0</v>
      </c>
      <c r="E55" s="49">
        <f t="shared" ref="E55:I55" si="153">IF(E43="nuit",E46*0.02,0)</f>
        <v>0.16</v>
      </c>
      <c r="F55" s="49">
        <f t="shared" si="153"/>
        <v>0.16</v>
      </c>
      <c r="G55" s="49">
        <f>IF(G43="nuit",G46*0.02,0)</f>
        <v>0.16</v>
      </c>
      <c r="H55" s="49">
        <f t="shared" si="153"/>
        <v>0</v>
      </c>
      <c r="I55" s="49">
        <f t="shared" si="153"/>
        <v>0</v>
      </c>
      <c r="J55" s="52">
        <f t="shared" si="130"/>
        <v>0.48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4">IF(N43="nuit",N46*0.02,0)</f>
        <v>0</v>
      </c>
      <c r="O55" s="49">
        <f t="shared" si="154"/>
        <v>0</v>
      </c>
      <c r="P55" s="49">
        <f>IF(P43="nuit",P46*0.02,0)</f>
        <v>0</v>
      </c>
      <c r="Q55" s="49">
        <f t="shared" si="154"/>
        <v>0</v>
      </c>
      <c r="R55" s="49">
        <f t="shared" si="154"/>
        <v>0</v>
      </c>
      <c r="S55" s="52">
        <f t="shared" si="132"/>
        <v>0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5">IF(W43="nuit",W46*0.02,0)</f>
        <v>0</v>
      </c>
      <c r="X55" s="49">
        <f t="shared" si="155"/>
        <v>0</v>
      </c>
      <c r="Y55" s="49">
        <f>IF(Y43="nuit",Y46*0.02,0)</f>
        <v>0</v>
      </c>
      <c r="Z55" s="49">
        <f t="shared" si="155"/>
        <v>0</v>
      </c>
      <c r="AA55" s="49">
        <f t="shared" si="155"/>
        <v>0</v>
      </c>
      <c r="AB55" s="52">
        <f t="shared" si="134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6">IF(AF43="nuit",AF46*0.02,0)</f>
        <v>0</v>
      </c>
      <c r="AG55" s="49">
        <f t="shared" si="156"/>
        <v>0</v>
      </c>
      <c r="AH55" s="49">
        <f>IF(AH43="nuit",AH46*0.02,0)</f>
        <v>0</v>
      </c>
      <c r="AI55" s="49">
        <f t="shared" si="156"/>
        <v>0</v>
      </c>
      <c r="AJ55" s="49">
        <f t="shared" si="156"/>
        <v>0</v>
      </c>
      <c r="AK55" s="52">
        <f t="shared" si="136"/>
        <v>0</v>
      </c>
      <c r="AL55" s="48"/>
      <c r="AM55" s="49">
        <f>IF(AM43="nuit",AM46*0.02,0)</f>
        <v>0.16</v>
      </c>
      <c r="AN55" s="49">
        <f>IF(AN43="nuit",AN46*0.02,0)</f>
        <v>0.16</v>
      </c>
      <c r="AO55" s="49">
        <f t="shared" ref="AO55:AS55" si="157">IF(AO43="nuit",AO46*0.02,0)</f>
        <v>0.16</v>
      </c>
      <c r="AP55" s="49">
        <f t="shared" si="157"/>
        <v>0.16</v>
      </c>
      <c r="AQ55" s="49">
        <f>IF(AQ43="nuit",AQ46*0.02,0)</f>
        <v>0.16</v>
      </c>
      <c r="AR55" s="49">
        <f t="shared" si="157"/>
        <v>0</v>
      </c>
      <c r="AS55" s="49">
        <f t="shared" si="157"/>
        <v>0</v>
      </c>
      <c r="AT55" s="52">
        <f t="shared" si="138"/>
        <v>0.8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1.28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24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56"/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.75" thickBot="1">
      <c r="A58" s="16"/>
      <c r="B58" s="16"/>
      <c r="C58" s="19" t="s">
        <v>15</v>
      </c>
      <c r="D58" s="19"/>
      <c r="E58" s="19"/>
      <c r="F58" s="19"/>
      <c r="G58" s="19"/>
      <c r="H58" s="106">
        <f>Année_Calendaire</f>
        <v>2017</v>
      </c>
      <c r="I58" s="106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15</v>
      </c>
      <c r="V58" s="19"/>
      <c r="W58" s="19"/>
      <c r="X58" s="19"/>
      <c r="Y58" s="19"/>
      <c r="Z58" s="106">
        <f>Année_Calendaire</f>
        <v>2017</v>
      </c>
      <c r="AA58" s="106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15</v>
      </c>
      <c r="AN58" s="19"/>
      <c r="AO58" s="19"/>
      <c r="AP58" s="19"/>
      <c r="AQ58" s="19"/>
      <c r="AR58" s="106">
        <f>Année_Calendaire</f>
        <v>2017</v>
      </c>
      <c r="AS58" s="106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 thickTop="1" thickBot="1">
      <c r="A59" s="36"/>
      <c r="B59" s="55" t="str">
        <f>IF(C59="",AU41,LEFT(AU41)&amp;MOD(RIGHT(AU41),4)+1)</f>
        <v>C2</v>
      </c>
      <c r="C59" s="91" t="str">
        <f>IF(C60&lt;&gt;"","Lun","")</f>
        <v/>
      </c>
      <c r="D59" s="91" t="str">
        <f>IF(D60&lt;&gt;"","Mar","")</f>
        <v/>
      </c>
      <c r="E59" s="91" t="str">
        <f>IF(E60&lt;&gt;"","Mer","")</f>
        <v/>
      </c>
      <c r="F59" s="91" t="str">
        <f>IF(F60&lt;&gt;"","Jeu","")</f>
        <v/>
      </c>
      <c r="G59" s="91" t="str">
        <f>IF(G60&lt;&gt;"","Ven","")</f>
        <v/>
      </c>
      <c r="H59" s="91" t="str">
        <f>IF(H60&lt;&gt;"","Sam","")</f>
        <v>Sam</v>
      </c>
      <c r="I59" s="91" t="str">
        <f>IF(I60&lt;&gt;"","Dim","")</f>
        <v>Dim</v>
      </c>
      <c r="J59" s="105" t="s">
        <v>25</v>
      </c>
      <c r="K59" s="55" t="str">
        <f>IF(L59="",LEFT(B59)&amp;MOD(RIGHT(B59),5),LEFT(B59)&amp;MOD(RIGHT(B59),4)+1)</f>
        <v>C3</v>
      </c>
      <c r="L59" s="91" t="str">
        <f>IF(L60&lt;&gt;"","Lun","")</f>
        <v>Lun</v>
      </c>
      <c r="M59" s="91" t="str">
        <f>IF(M60&lt;&gt;"","Mar","")</f>
        <v>Mar</v>
      </c>
      <c r="N59" s="91" t="str">
        <f>IF(N60&lt;&gt;"","Mer","")</f>
        <v>Mer</v>
      </c>
      <c r="O59" s="91" t="str">
        <f>IF(O60&lt;&gt;"","Jeu","")</f>
        <v>Jeu</v>
      </c>
      <c r="P59" s="91" t="str">
        <f>IF(P60&lt;&gt;"","Ven","")</f>
        <v>Ven</v>
      </c>
      <c r="Q59" s="91" t="str">
        <f>IF(Q60&lt;&gt;"","Sam","")</f>
        <v>Sam</v>
      </c>
      <c r="R59" s="91" t="str">
        <f>IF(R60&lt;&gt;"","Dim","")</f>
        <v>Dim</v>
      </c>
      <c r="S59" s="105" t="s">
        <v>25</v>
      </c>
      <c r="T59" s="55" t="str">
        <f>IF(U59="",LEFT(K59)&amp;MOD(RIGHT(K59),5),LEFT(K59)&amp;MOD(RIGHT(K59),4)+1)</f>
        <v>C4</v>
      </c>
      <c r="U59" s="91" t="str">
        <f>IF(U60&lt;&gt;"","Lun","")</f>
        <v>Lun</v>
      </c>
      <c r="V59" s="91" t="str">
        <f>IF(V60&lt;&gt;"","Mar","")</f>
        <v>Mar</v>
      </c>
      <c r="W59" s="91" t="str">
        <f>IF(W60&lt;&gt;"","Mer","")</f>
        <v>Mer</v>
      </c>
      <c r="X59" s="91" t="str">
        <f>IF(X60&lt;&gt;"","Jeu","")</f>
        <v>Jeu</v>
      </c>
      <c r="Y59" s="91" t="str">
        <f>IF(Y60&lt;&gt;"","Ven","")</f>
        <v>Ven</v>
      </c>
      <c r="Z59" s="91" t="str">
        <f>IF(Z60&lt;&gt;"","Sam","")</f>
        <v>Sam</v>
      </c>
      <c r="AA59" s="91" t="str">
        <f>IF(AA60&lt;&gt;"","Dim","")</f>
        <v>Dim</v>
      </c>
      <c r="AB59" s="105" t="s">
        <v>25</v>
      </c>
      <c r="AC59" s="55" t="str">
        <f>IF(AD59="",LEFT(T59)&amp;MOD(RIGHT(T59),5),LEFT(T59)&amp;MOD(RIGHT(T59),4)+1)</f>
        <v>C1</v>
      </c>
      <c r="AD59" s="91" t="str">
        <f>IF(AD60&lt;&gt;"","Lun","")</f>
        <v>Lun</v>
      </c>
      <c r="AE59" s="91" t="str">
        <f>IF(AE60&lt;&gt;"","Mar","")</f>
        <v>Mar</v>
      </c>
      <c r="AF59" s="91" t="str">
        <f>IF(AF60&lt;&gt;"","Mer","")</f>
        <v>Mer</v>
      </c>
      <c r="AG59" s="91" t="str">
        <f>IF(AG60&lt;&gt;"","Jeu","")</f>
        <v>Jeu</v>
      </c>
      <c r="AH59" s="91" t="str">
        <f>IF(AH60&lt;&gt;"","Ven","")</f>
        <v>Ven</v>
      </c>
      <c r="AI59" s="100" t="str">
        <f>IF(AI60&lt;&gt;"","Sam","")</f>
        <v>Sam</v>
      </c>
      <c r="AJ59" s="100" t="str">
        <f>IF(AJ60&lt;&gt;"","Dim","")</f>
        <v>Dim</v>
      </c>
      <c r="AK59" s="105" t="s">
        <v>25</v>
      </c>
      <c r="AL59" s="55" t="str">
        <f>IF(AM59="",LEFT(AC59)&amp;MOD(RIGHT(AC59),5),LEFT(AC59)&amp;MOD(RIGHT(AC59),4)+1)</f>
        <v>C2</v>
      </c>
      <c r="AM59" s="100" t="str">
        <f>IF(AM60&lt;&gt;"","Lun","")</f>
        <v>Lun</v>
      </c>
      <c r="AN59" s="100" t="str">
        <f>IF(AN60&lt;&gt;"","Mar","")</f>
        <v>Mar</v>
      </c>
      <c r="AO59" s="100" t="str">
        <f>IF(AO60&lt;&gt;"","Mer","")</f>
        <v>Mer</v>
      </c>
      <c r="AP59" s="100" t="str">
        <f>IF(AP60&lt;&gt;"","Jeu","")</f>
        <v>Jeu</v>
      </c>
      <c r="AQ59" s="100" t="str">
        <f>IF(AQ60&lt;&gt;"","Ven","")</f>
        <v>Ven</v>
      </c>
      <c r="AR59" s="100" t="str">
        <f>IF(AR60&lt;&gt;"","Sam","")</f>
        <v>Sam</v>
      </c>
      <c r="AS59" s="100" t="str">
        <f>IF(AS60&lt;&gt;"","Dim","")</f>
        <v>Dim</v>
      </c>
      <c r="AT59" s="105" t="s">
        <v>25</v>
      </c>
      <c r="AU59" s="55" t="str">
        <f>IF(AV59="",LEFT(AL59)&amp;MOD(RIGHT(AL59),5),LEFT(AL59)&amp;MOD(RIGHT(AL59),4)+1)</f>
        <v>C2</v>
      </c>
      <c r="AV59" s="53" t="str">
        <f>IF(AV60&lt;&gt;"","Lun","")</f>
        <v/>
      </c>
      <c r="AW59" s="53" t="str">
        <f>IF(AW60&lt;&gt;"","Mar","")</f>
        <v/>
      </c>
      <c r="AX59" s="105" t="s">
        <v>25</v>
      </c>
      <c r="AY59" s="105" t="s">
        <v>28</v>
      </c>
      <c r="AZ59" s="108">
        <f>AY66+AY67+AY68</f>
        <v>10</v>
      </c>
      <c r="BA59" s="108">
        <f>AZ59+BA41</f>
        <v>35</v>
      </c>
      <c r="BB59" s="39"/>
      <c r="BC59" s="39"/>
      <c r="BD59" s="39"/>
      <c r="BE59" s="39"/>
      <c r="BF59" s="34"/>
    </row>
    <row r="60" spans="1:59" s="25" customFormat="1" ht="15" customHeight="1" thickTop="1">
      <c r="A60" s="10"/>
      <c r="B60" s="54"/>
      <c r="C60" s="90" t="str">
        <f>IF(DAY(Avr_Dim1)=1,"",IF(AND(YEAR(Avr_Dim1+1)=Année_Calendaire,MONTH(Avr_Dim1+1)=4),Avr_Dim1+1,""))</f>
        <v/>
      </c>
      <c r="D60" s="90" t="str">
        <f>IF(DAY(Avr_Dim1)=1,"",IF(AND(YEAR(Avr_Dim1+2)=Année_Calendaire,MONTH(Avr_Dim1+2)=4),Avr_Dim1+2,""))</f>
        <v/>
      </c>
      <c r="E60" s="90" t="str">
        <f>IF(DAY(Avr_Dim1)=1,"",IF(AND(YEAR(Avr_Dim1+3)=Année_Calendaire,MONTH(Avr_Dim1+3)=4),Avr_Dim1+3,""))</f>
        <v/>
      </c>
      <c r="F60" s="90" t="str">
        <f>IF(DAY(Avr_Dim1)=1,"",IF(AND(YEAR(Avr_Dim1+4)=Année_Calendaire,MONTH(Avr_Dim1+4)=4),Avr_Dim1+4,""))</f>
        <v/>
      </c>
      <c r="G60" s="90" t="str">
        <f>IF(DAY(Avr_Dim1)=1,"",IF(AND(YEAR(Avr_Dim1+5)=Année_Calendaire,MONTH(Avr_Dim1+5)=4),Avr_Dim1+5,""))</f>
        <v/>
      </c>
      <c r="H60" s="90">
        <f>IF(DAY(Avr_Dim1)=1,"",IF(AND(YEAR(Avr_Dim1+6)=Année_Calendaire,MONTH(Avr_Dim1+6)=4),Avr_Dim1+6,""))</f>
        <v>42826</v>
      </c>
      <c r="I60" s="90">
        <f>IF(DAY(Avr_Dim1)=1,IF(AND(YEAR(Avr_Dim1)=Année_Calendaire,MONTH(Avr_Dim1)=4),Avr_Dim1,""),IF(AND(YEAR(Avr_Dim1+7)=Année_Calendaire,MONTH(Avr_Dim1+7)=4),Avr_Dim1+7,""))</f>
        <v>42827</v>
      </c>
      <c r="J60" s="105"/>
      <c r="K60" s="54"/>
      <c r="L60" s="90">
        <f>IF(DAY(Avr_Dim1)=1,IF(AND(YEAR(Avr_Dim1+1)=Année_Calendaire,MONTH(Avr_Dim1+1)=4),Avr_Dim1+1,""),IF(AND(YEAR(Avr_Dim1+8)=Année_Calendaire,MONTH(Avr_Dim1+8)=4),Avr_Dim1+8,""))</f>
        <v>42828</v>
      </c>
      <c r="M60" s="90">
        <f>IF(DAY(Avr_Dim1)=1,IF(AND(YEAR(Avr_Dim1+2)=Année_Calendaire,MONTH(Avr_Dim1+2)=4),Avr_Dim1+2,""),IF(AND(YEAR(Avr_Dim1+9)=Année_Calendaire,MONTH(Avr_Dim1+9)=4),Avr_Dim1+9,""))</f>
        <v>42829</v>
      </c>
      <c r="N60" s="90">
        <f>IF(DAY(Avr_Dim1)=1,IF(AND(YEAR(Avr_Dim1+3)=Année_Calendaire,MONTH(Avr_Dim1+3)=4),Avr_Dim1+3,""),IF(AND(YEAR(Avr_Dim1+10)=Année_Calendaire,MONTH(Avr_Dim1+10)=4),Avr_Dim1+10,""))</f>
        <v>42830</v>
      </c>
      <c r="O60" s="90">
        <f>IF(DAY(Avr_Dim1)=1,IF(AND(YEAR(Avr_Dim1+4)=Année_Calendaire,MONTH(Avr_Dim1+4)=4),Avr_Dim1+4,""),IF(AND(YEAR(Avr_Dim1+11)=Année_Calendaire,MONTH(Avr_Dim1+11)=4),Avr_Dim1+11,""))</f>
        <v>42831</v>
      </c>
      <c r="P60" s="90">
        <f>IF(DAY(Avr_Dim1)=1,IF(AND(YEAR(Avr_Dim1+5)=Année_Calendaire,MONTH(Avr_Dim1+5)=4),Avr_Dim1+5,""),IF(AND(YEAR(Avr_Dim1+12)=Année_Calendaire,MONTH(Avr_Dim1+12)=4),Avr_Dim1+12,""))</f>
        <v>42832</v>
      </c>
      <c r="Q60" s="90">
        <f>IF(DAY(Avr_Dim1)=1,IF(AND(YEAR(Avr_Dim1+6)=Année_Calendaire,MONTH(Avr_Dim1+6)=4),Avr_Dim1+6,""),IF(AND(YEAR(Avr_Dim1+13)=Année_Calendaire,MONTH(Avr_Dim1+13)=4),Avr_Dim1+13,""))</f>
        <v>42833</v>
      </c>
      <c r="R60" s="90">
        <f>IF(DAY(Avr_Dim1)=1,IF(AND(YEAR(Avr_Dim1+7)=Année_Calendaire,MONTH(Avr_Dim1+7)=4),Avr_Dim1+7,""),IF(AND(YEAR(Avr_Dim1+14)=Année_Calendaire,MONTH(Avr_Dim1+14)=4),Avr_Dim1+14,""))</f>
        <v>42834</v>
      </c>
      <c r="S60" s="105"/>
      <c r="T60" s="54"/>
      <c r="U60" s="90">
        <f>IF(DAY(Avr_Dim1)=1,IF(AND(YEAR(Avr_Dim1+8)=Année_Calendaire,MONTH(Avr_Dim1+8)=4),Avr_Dim1+8,""),IF(AND(YEAR(Avr_Dim1+15)=Année_Calendaire,MONTH(Avr_Dim1+15)=4),Avr_Dim1+15,""))</f>
        <v>42835</v>
      </c>
      <c r="V60" s="90">
        <f>IF(DAY(Avr_Dim1)=1,IF(AND(YEAR(Avr_Dim1+9)=Année_Calendaire,MONTH(Avr_Dim1+9)=4),Avr_Dim1+9,""),IF(AND(YEAR(Avr_Dim1+16)=Année_Calendaire,MONTH(Avr_Dim1+16)=4),Avr_Dim1+16,""))</f>
        <v>42836</v>
      </c>
      <c r="W60" s="90">
        <f>IF(DAY(Avr_Dim1)=1,IF(AND(YEAR(Avr_Dim1+10)=Année_Calendaire,MONTH(Avr_Dim1+10)=4),Avr_Dim1+10,""),IF(AND(YEAR(Avr_Dim1+17)=Année_Calendaire,MONTH(Avr_Dim1+17)=4),Avr_Dim1+17,""))</f>
        <v>42837</v>
      </c>
      <c r="X60" s="90">
        <f>IF(DAY(Avr_Dim1)=1,IF(AND(YEAR(Avr_Dim1+11)=Année_Calendaire,MONTH(Avr_Dim1+11)=4),Avr_Dim1+11,""),IF(AND(YEAR(Avr_Dim1+18)=Année_Calendaire,MONTH(Avr_Dim1+18)=4),Avr_Dim1+18,""))</f>
        <v>42838</v>
      </c>
      <c r="Y60" s="90">
        <f>IF(DAY(Avr_Dim1)=1,IF(AND(YEAR(Avr_Dim1+12)=Année_Calendaire,MONTH(Avr_Dim1+12)=4),Avr_Dim1+12,""),IF(AND(YEAR(Avr_Dim1+19)=Année_Calendaire,MONTH(Avr_Dim1+19)=4),Avr_Dim1+19,""))</f>
        <v>42839</v>
      </c>
      <c r="Z60" s="90">
        <f>IF(DAY(Avr_Dim1)=1,IF(AND(YEAR(Avr_Dim1+13)=Année_Calendaire,MONTH(Avr_Dim1+13)=4),Avr_Dim1+13,""),IF(AND(YEAR(Avr_Dim1+20)=Année_Calendaire,MONTH(Avr_Dim1+20)=4),Avr_Dim1+20,""))</f>
        <v>42840</v>
      </c>
      <c r="AA60" s="90">
        <f>IF(DAY(Avr_Dim1)=1,IF(AND(YEAR(Avr_Dim1+14)=Année_Calendaire,MONTH(Avr_Dim1+14)=4),Avr_Dim1+14,""),IF(AND(YEAR(Avr_Dim1+21)=Année_Calendaire,MONTH(Avr_Dim1+21)=4),Avr_Dim1+21,""))</f>
        <v>42841</v>
      </c>
      <c r="AB60" s="105"/>
      <c r="AC60" s="54"/>
      <c r="AD60" s="93">
        <f>IF(DAY(Avr_Dim1)=1,IF(AND(YEAR(Avr_Dim1+15)=Année_Calendaire,MONTH(Avr_Dim1+15)=4),Avr_Dim1+15,""),IF(AND(YEAR(Avr_Dim1+22)=Année_Calendaire,MONTH(Avr_Dim1+22)=4),Avr_Dim1+22,""))</f>
        <v>42842</v>
      </c>
      <c r="AE60" s="90">
        <f>IF(DAY(Avr_Dim1)=1,IF(AND(YEAR(Avr_Dim1+16)=Année_Calendaire,MONTH(Avr_Dim1+16)=4),Avr_Dim1+16,""),IF(AND(YEAR(Avr_Dim1+23)=Année_Calendaire,MONTH(Avr_Dim1+23)=4),Avr_Dim1+23,""))</f>
        <v>42843</v>
      </c>
      <c r="AF60" s="90">
        <f>IF(DAY(Avr_Dim1)=1,IF(AND(YEAR(Avr_Dim1+17)=Année_Calendaire,MONTH(Avr_Dim1+17)=4),Avr_Dim1+17,""),IF(AND(YEAR(Avr_Dim1+24)=Année_Calendaire,MONTH(Avr_Dim1+24)=4),Avr_Dim1+24,""))</f>
        <v>42844</v>
      </c>
      <c r="AG60" s="90">
        <f>IF(DAY(Avr_Dim1)=1,IF(AND(YEAR(Avr_Dim1+18)=Année_Calendaire,MONTH(Avr_Dim1+18)=4),Avr_Dim1+18,""),IF(AND(YEAR(Avr_Dim1+25)=Année_Calendaire,MONTH(Avr_Dim1+25)=4),Avr_Dim1+25,""))</f>
        <v>42845</v>
      </c>
      <c r="AH60" s="90">
        <f>IF(DAY(Avr_Dim1)=1,IF(AND(YEAR(Avr_Dim1+19)=Année_Calendaire,MONTH(Avr_Dim1+19)=4),Avr_Dim1+19,""),IF(AND(YEAR(Avr_Dim1+26)=Année_Calendaire,MONTH(Avr_Dim1+26)=4),Avr_Dim1+26,""))</f>
        <v>42846</v>
      </c>
      <c r="AI60" s="90">
        <f>IF(DAY(Avr_Dim1)=1,IF(AND(YEAR(Avr_Dim1+20)=Année_Calendaire,MONTH(Avr_Dim1+20)=4),Avr_Dim1+20,""),IF(AND(YEAR(Avr_Dim1+27)=Année_Calendaire,MONTH(Avr_Dim1+27)=4),Avr_Dim1+27,""))</f>
        <v>42847</v>
      </c>
      <c r="AJ60" s="90">
        <f>IF(DAY(Avr_Dim1)=1,IF(AND(YEAR(Avr_Dim1+21)=Année_Calendaire,MONTH(Avr_Dim1+21)=4),Avr_Dim1+21,""),IF(AND(YEAR(Avr_Dim1+28)=Année_Calendaire,MONTH(Avr_Dim1+28)=4),Avr_Dim1+28,""))</f>
        <v>42848</v>
      </c>
      <c r="AK60" s="105"/>
      <c r="AL60" s="54"/>
      <c r="AM60" s="90">
        <f>IF(DAY(Avr_Dim1)=1,IF(AND(YEAR(Avr_Dim1+22)=Année_Calendaire,MONTH(Avr_Dim1+22)=4),Avr_Dim1+22,""),IF(AND(YEAR(Avr_Dim1+29)=Année_Calendaire,MONTH(Avr_Dim1+29)=4),Avr_Dim1+29,""))</f>
        <v>42849</v>
      </c>
      <c r="AN60" s="90">
        <f>IF(DAY(Avr_Dim1)=1,IF(AND(YEAR(Avr_Dim1+23)=Année_Calendaire,MONTH(Avr_Dim1+23)=4),Avr_Dim1+23,""),IF(AND(YEAR(Avr_Dim1+30)=Année_Calendaire,MONTH(Avr_Dim1+30)=4),Avr_Dim1+30,""))</f>
        <v>42850</v>
      </c>
      <c r="AO60" s="90">
        <f>IF(DAY(Avr_Dim1)=1,IF(AND(YEAR(Avr_Dim1+24)=Année_Calendaire,MONTH(Avr_Dim1+24)=4),Avr_Dim1+24,""),IF(AND(YEAR(Avr_Dim1+31)=Année_Calendaire,MONTH(Avr_Dim1+31)=4),Avr_Dim1+31,""))</f>
        <v>42851</v>
      </c>
      <c r="AP60" s="90">
        <f>IF(DAY(Avr_Dim1)=1,IF(AND(YEAR(Avr_Dim1+25)=Année_Calendaire,MONTH(Avr_Dim1+25)=4),Avr_Dim1+25,""),IF(AND(YEAR(Avr_Dim1+32)=Année_Calendaire,MONTH(Avr_Dim1+32)=4),Avr_Dim1+32,""))</f>
        <v>42852</v>
      </c>
      <c r="AQ60" s="90">
        <f>IF(DAY(Avr_Dim1)=1,IF(AND(YEAR(Avr_Dim1+26)=Année_Calendaire,MONTH(Avr_Dim1+26)=4),Avr_Dim1+26,""),IF(AND(YEAR(Avr_Dim1+33)=Année_Calendaire,MONTH(Avr_Dim1+33)=4),Avr_Dim1+33,""))</f>
        <v>42853</v>
      </c>
      <c r="AR60" s="90">
        <f>IF(DAY(Avr_Dim1)=1,IF(AND(YEAR(Avr_Dim1+27)=Année_Calendaire,MONTH(Avr_Dim1+27)=4),Avr_Dim1+27,""),IF(AND(YEAR(Avr_Dim1+34)=Année_Calendaire,MONTH(Avr_Dim1+34)=4),Avr_Dim1+34,""))</f>
        <v>42854</v>
      </c>
      <c r="AS60" s="90">
        <f>IF(DAY(Avr_Dim1)=1,IF(AND(YEAR(Avr_Dim1+28)=Année_Calendaire,MONTH(Avr_Dim1+28)=4),Avr_Dim1+28,""),IF(AND(YEAR(Avr_Dim1+35)=Année_Calendaire,MONTH(Avr_Dim1+35)=4),Avr_Dim1+35,""))</f>
        <v>42855</v>
      </c>
      <c r="AT60" s="105"/>
      <c r="AU60" s="54"/>
      <c r="AV60" s="54" t="str">
        <f>IF(DAY(Avr_Dim1)=1,IF(AND(YEAR(Avr_Dim1+29)=Année_Calendaire,MONTH(Avr_Dim1+29)=4),Avr_Dim1+29,""),IF(AND(YEAR(Avr_Dim1+36)=Année_Calendaire,MONTH(Avr_Dim1+36)=4),Avr_Dim1+36,""))</f>
        <v/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105"/>
      <c r="AY60" s="105"/>
      <c r="AZ60" s="108"/>
      <c r="BA60" s="108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/>
      <c r="D61" s="49"/>
      <c r="E61" s="49"/>
      <c r="F61" s="49"/>
      <c r="G61" s="49"/>
      <c r="H61" s="49"/>
      <c r="I61" s="49"/>
      <c r="J61" s="52"/>
      <c r="K61" s="48"/>
      <c r="L61" s="49" t="s">
        <v>48</v>
      </c>
      <c r="M61" s="49"/>
      <c r="N61" s="49"/>
      <c r="O61" s="49" t="s">
        <v>48</v>
      </c>
      <c r="P61" s="49" t="s">
        <v>48</v>
      </c>
      <c r="Q61" s="49"/>
      <c r="R61" s="49"/>
      <c r="S61" s="52"/>
      <c r="T61" s="48"/>
      <c r="U61" s="49" t="s">
        <v>50</v>
      </c>
      <c r="V61" s="49" t="s">
        <v>50</v>
      </c>
      <c r="W61" s="49" t="s">
        <v>50</v>
      </c>
      <c r="X61" s="49" t="s">
        <v>50</v>
      </c>
      <c r="Y61" s="49" t="s">
        <v>50</v>
      </c>
      <c r="Z61" s="49"/>
      <c r="AA61" s="49"/>
      <c r="AB61" s="52"/>
      <c r="AC61" s="48"/>
      <c r="AD61" s="49" t="s">
        <v>48</v>
      </c>
      <c r="AE61" s="49" t="s">
        <v>48</v>
      </c>
      <c r="AF61" s="49" t="s">
        <v>48</v>
      </c>
      <c r="AG61" s="49"/>
      <c r="AH61" s="49"/>
      <c r="AI61" s="49"/>
      <c r="AJ61" s="49"/>
      <c r="AK61" s="52"/>
      <c r="AL61" s="48"/>
      <c r="AM61" s="49" t="s">
        <v>49</v>
      </c>
      <c r="AN61" s="49" t="s">
        <v>49</v>
      </c>
      <c r="AO61" s="49" t="s">
        <v>49</v>
      </c>
      <c r="AP61" s="49" t="s">
        <v>49</v>
      </c>
      <c r="AQ61" s="49" t="s">
        <v>49</v>
      </c>
      <c r="AR61" s="49"/>
      <c r="AS61" s="49"/>
      <c r="AT61" s="52"/>
      <c r="AU61" s="48"/>
      <c r="AV61" s="49"/>
      <c r="AW61" s="49"/>
      <c r="AX61" s="52" t="s">
        <v>49</v>
      </c>
      <c r="AY61" s="50" t="s">
        <v>49</v>
      </c>
      <c r="AZ61" s="40" t="s">
        <v>49</v>
      </c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8">IF(C61="Matin",1,IF(C61="AM",1,0))</f>
        <v>0</v>
      </c>
      <c r="D62" s="52">
        <f t="shared" si="158"/>
        <v>0</v>
      </c>
      <c r="E62" s="52">
        <f t="shared" si="158"/>
        <v>0</v>
      </c>
      <c r="F62" s="52">
        <f t="shared" si="158"/>
        <v>0</v>
      </c>
      <c r="G62" s="52">
        <f t="shared" si="158"/>
        <v>0</v>
      </c>
      <c r="H62" s="52">
        <f t="shared" si="158"/>
        <v>0</v>
      </c>
      <c r="I62" s="52">
        <f t="shared" si="158"/>
        <v>0</v>
      </c>
      <c r="J62" s="52">
        <f>SUM(C62:I62)</f>
        <v>0</v>
      </c>
      <c r="K62" s="51"/>
      <c r="L62" s="52">
        <f t="shared" ref="L62:R62" si="159">IF(L61="Matin",1,IF(L61="AM",1,0))</f>
        <v>1</v>
      </c>
      <c r="M62" s="52">
        <f t="shared" si="159"/>
        <v>0</v>
      </c>
      <c r="N62" s="52">
        <f t="shared" si="159"/>
        <v>0</v>
      </c>
      <c r="O62" s="52">
        <f t="shared" si="159"/>
        <v>1</v>
      </c>
      <c r="P62" s="52">
        <f t="shared" si="159"/>
        <v>1</v>
      </c>
      <c r="Q62" s="52">
        <f t="shared" si="159"/>
        <v>0</v>
      </c>
      <c r="R62" s="52">
        <f t="shared" si="159"/>
        <v>0</v>
      </c>
      <c r="S62" s="52">
        <f>SUM(L62:R62)</f>
        <v>3</v>
      </c>
      <c r="T62" s="51"/>
      <c r="U62" s="52">
        <f t="shared" ref="U62:AA62" si="160">IF(U61="Matin",1,IF(U61="AM",1,0))</f>
        <v>1</v>
      </c>
      <c r="V62" s="52">
        <f t="shared" si="160"/>
        <v>1</v>
      </c>
      <c r="W62" s="52">
        <f t="shared" si="160"/>
        <v>1</v>
      </c>
      <c r="X62" s="52">
        <f t="shared" si="160"/>
        <v>1</v>
      </c>
      <c r="Y62" s="52">
        <f t="shared" si="160"/>
        <v>1</v>
      </c>
      <c r="Z62" s="52">
        <f t="shared" si="160"/>
        <v>0</v>
      </c>
      <c r="AA62" s="52">
        <f t="shared" si="160"/>
        <v>0</v>
      </c>
      <c r="AB62" s="52">
        <f>SUM(U62:AA62)</f>
        <v>5</v>
      </c>
      <c r="AC62" s="51"/>
      <c r="AD62" s="52">
        <f t="shared" ref="AD62:AJ62" si="161">IF(AD61="Matin",1,IF(AD61="AM",1,0))</f>
        <v>1</v>
      </c>
      <c r="AE62" s="52">
        <f t="shared" si="161"/>
        <v>1</v>
      </c>
      <c r="AF62" s="52">
        <f t="shared" si="161"/>
        <v>1</v>
      </c>
      <c r="AG62" s="52">
        <f t="shared" si="161"/>
        <v>0</v>
      </c>
      <c r="AH62" s="52">
        <f t="shared" si="161"/>
        <v>0</v>
      </c>
      <c r="AI62" s="52">
        <f t="shared" si="161"/>
        <v>0</v>
      </c>
      <c r="AJ62" s="52">
        <f t="shared" si="161"/>
        <v>0</v>
      </c>
      <c r="AK62" s="52">
        <f>SUM(AD62:AJ62)</f>
        <v>3</v>
      </c>
      <c r="AL62" s="51"/>
      <c r="AM62" s="52">
        <f t="shared" ref="AM62:AS62" si="162">IF(AM61="Matin",1,IF(AM61="AM",1,0))</f>
        <v>0</v>
      </c>
      <c r="AN62" s="52">
        <f t="shared" si="162"/>
        <v>0</v>
      </c>
      <c r="AO62" s="52">
        <f t="shared" si="162"/>
        <v>0</v>
      </c>
      <c r="AP62" s="52">
        <f t="shared" si="162"/>
        <v>0</v>
      </c>
      <c r="AQ62" s="52">
        <f t="shared" si="162"/>
        <v>0</v>
      </c>
      <c r="AR62" s="52">
        <f t="shared" si="162"/>
        <v>0</v>
      </c>
      <c r="AS62" s="52">
        <f t="shared" si="162"/>
        <v>0</v>
      </c>
      <c r="AT62" s="52">
        <f>SUM(AM62:AS62)</f>
        <v>0</v>
      </c>
      <c r="AU62" s="51"/>
      <c r="AV62" s="52">
        <f t="shared" ref="AV62:AW62" si="163">IF(AV61="Matin",1,IF(AV61="AM",1,0))</f>
        <v>0</v>
      </c>
      <c r="AW62" s="52">
        <f t="shared" si="163"/>
        <v>0</v>
      </c>
      <c r="AX62" s="52">
        <f t="shared" ref="AX62:AX69" si="164">SUM(AV62:AW62)</f>
        <v>0</v>
      </c>
      <c r="AY62" s="52">
        <f>J62+S62+AB62+AK62+AT62+AX62</f>
        <v>11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5">IF(E64&gt;=1,1,0)</f>
        <v>0</v>
      </c>
      <c r="F63" s="49">
        <f t="shared" si="165"/>
        <v>0</v>
      </c>
      <c r="G63" s="49">
        <f t="shared" si="165"/>
        <v>0</v>
      </c>
      <c r="H63" s="49">
        <f t="shared" si="165"/>
        <v>0</v>
      </c>
      <c r="I63" s="49">
        <f t="shared" si="165"/>
        <v>0</v>
      </c>
      <c r="J63" s="52">
        <f t="shared" ref="J63:J73" si="166">SUM(C63:I63)</f>
        <v>0</v>
      </c>
      <c r="K63" s="48"/>
      <c r="L63" s="49">
        <f>IF(L64&gt;=1,1,0)</f>
        <v>1</v>
      </c>
      <c r="M63" s="49">
        <f t="shared" ref="M63:R63" si="167">IF(M64&gt;=1,1,0)</f>
        <v>0</v>
      </c>
      <c r="N63" s="49">
        <f t="shared" si="167"/>
        <v>0</v>
      </c>
      <c r="O63" s="49">
        <f t="shared" si="167"/>
        <v>1</v>
      </c>
      <c r="P63" s="49">
        <f t="shared" si="167"/>
        <v>1</v>
      </c>
      <c r="Q63" s="49">
        <f t="shared" si="167"/>
        <v>0</v>
      </c>
      <c r="R63" s="49">
        <f t="shared" si="167"/>
        <v>0</v>
      </c>
      <c r="S63" s="52">
        <f t="shared" ref="S63:S73" si="168">SUM(L63:R63)</f>
        <v>3</v>
      </c>
      <c r="T63" s="48"/>
      <c r="U63" s="49">
        <f>IF(U64&gt;=1,1,0)</f>
        <v>1</v>
      </c>
      <c r="V63" s="49">
        <f t="shared" ref="V63:AA63" si="169">IF(V64&gt;=1,1,0)</f>
        <v>1</v>
      </c>
      <c r="W63" s="49">
        <f t="shared" si="169"/>
        <v>1</v>
      </c>
      <c r="X63" s="49">
        <f t="shared" si="169"/>
        <v>1</v>
      </c>
      <c r="Y63" s="49">
        <f t="shared" si="169"/>
        <v>1</v>
      </c>
      <c r="Z63" s="49">
        <f t="shared" si="169"/>
        <v>0</v>
      </c>
      <c r="AA63" s="49">
        <f t="shared" si="169"/>
        <v>0</v>
      </c>
      <c r="AB63" s="52">
        <f t="shared" ref="AB63:AB73" si="170">SUM(U63:AA63)</f>
        <v>5</v>
      </c>
      <c r="AC63" s="48"/>
      <c r="AD63" s="49">
        <f>IF(AD64&gt;=1,1,0)</f>
        <v>1</v>
      </c>
      <c r="AE63" s="49">
        <f t="shared" ref="AE63:AJ63" si="171">IF(AE64&gt;=1,1,0)</f>
        <v>1</v>
      </c>
      <c r="AF63" s="49">
        <f t="shared" si="171"/>
        <v>1</v>
      </c>
      <c r="AG63" s="49">
        <f t="shared" si="171"/>
        <v>0</v>
      </c>
      <c r="AH63" s="49">
        <f t="shared" si="171"/>
        <v>0</v>
      </c>
      <c r="AI63" s="49">
        <f t="shared" si="171"/>
        <v>0</v>
      </c>
      <c r="AJ63" s="49">
        <f t="shared" si="171"/>
        <v>0</v>
      </c>
      <c r="AK63" s="52">
        <f t="shared" ref="AK63:AK73" si="172">SUM(AD63:AJ63)</f>
        <v>3</v>
      </c>
      <c r="AL63" s="48"/>
      <c r="AM63" s="49">
        <f>IF(AM64&gt;=1,1,0)</f>
        <v>1</v>
      </c>
      <c r="AN63" s="49">
        <f t="shared" ref="AN63:AS63" si="173">IF(AN64&gt;=1,1,0)</f>
        <v>1</v>
      </c>
      <c r="AO63" s="49">
        <f t="shared" si="173"/>
        <v>1</v>
      </c>
      <c r="AP63" s="49">
        <f t="shared" si="173"/>
        <v>1</v>
      </c>
      <c r="AQ63" s="49">
        <f t="shared" si="173"/>
        <v>1</v>
      </c>
      <c r="AR63" s="49">
        <f t="shared" si="173"/>
        <v>0</v>
      </c>
      <c r="AS63" s="49">
        <f t="shared" si="173"/>
        <v>0</v>
      </c>
      <c r="AT63" s="52">
        <f t="shared" ref="AT63:AT73" si="174">SUM(AM63:AS63)</f>
        <v>5</v>
      </c>
      <c r="AU63" s="48"/>
      <c r="AV63" s="49">
        <f>IF(AV64&gt;=1,1,0)</f>
        <v>0</v>
      </c>
      <c r="AW63" s="49">
        <f t="shared" ref="AW63" si="175">IF(AW64&gt;=1,1,0)</f>
        <v>0</v>
      </c>
      <c r="AX63" s="52">
        <f t="shared" si="164"/>
        <v>0</v>
      </c>
      <c r="AY63" s="49">
        <f t="shared" ref="AY63:AY72" si="176">J63+S63+AB63+AK63+AT63+AX63</f>
        <v>16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7">IF(D61="Matin",8,IF(D61="AM",8,IF(D61="nuit",8,0)))</f>
        <v>0</v>
      </c>
      <c r="E64" s="52">
        <f t="shared" si="177"/>
        <v>0</v>
      </c>
      <c r="F64" s="52">
        <f t="shared" si="177"/>
        <v>0</v>
      </c>
      <c r="G64" s="52">
        <f t="shared" si="177"/>
        <v>0</v>
      </c>
      <c r="H64" s="52">
        <f t="shared" si="177"/>
        <v>0</v>
      </c>
      <c r="I64" s="52">
        <f t="shared" si="177"/>
        <v>0</v>
      </c>
      <c r="J64" s="52">
        <f t="shared" si="166"/>
        <v>0</v>
      </c>
      <c r="K64" s="51"/>
      <c r="L64" s="52">
        <f>IF(L61="Matin",8,IF(L61="AM",8,IF(L61="nuit",8,0)))</f>
        <v>8</v>
      </c>
      <c r="M64" s="52">
        <f t="shared" ref="M64:R64" si="178">IF(M61="Matin",8,IF(M61="AM",8,IF(M61="nuit",8,0)))</f>
        <v>0</v>
      </c>
      <c r="N64" s="52">
        <f t="shared" si="178"/>
        <v>0</v>
      </c>
      <c r="O64" s="52">
        <f t="shared" si="178"/>
        <v>8</v>
      </c>
      <c r="P64" s="52">
        <f t="shared" si="178"/>
        <v>8</v>
      </c>
      <c r="Q64" s="52">
        <f t="shared" si="178"/>
        <v>0</v>
      </c>
      <c r="R64" s="52">
        <f t="shared" si="178"/>
        <v>0</v>
      </c>
      <c r="S64" s="52">
        <f t="shared" si="168"/>
        <v>24</v>
      </c>
      <c r="T64" s="51"/>
      <c r="U64" s="52">
        <f>IF(U61="Matin",8,IF(U61="AM",8,IF(U61="nuit",8,0)))</f>
        <v>8</v>
      </c>
      <c r="V64" s="52">
        <f t="shared" ref="V64:AA64" si="179">IF(V61="Matin",8,IF(V61="AM",8,IF(V61="nuit",8,0)))</f>
        <v>8</v>
      </c>
      <c r="W64" s="52">
        <f t="shared" si="179"/>
        <v>8</v>
      </c>
      <c r="X64" s="52">
        <f t="shared" si="179"/>
        <v>8</v>
      </c>
      <c r="Y64" s="52">
        <f t="shared" si="179"/>
        <v>8</v>
      </c>
      <c r="Z64" s="52">
        <f t="shared" si="179"/>
        <v>0</v>
      </c>
      <c r="AA64" s="52">
        <f t="shared" si="179"/>
        <v>0</v>
      </c>
      <c r="AB64" s="52">
        <f t="shared" si="170"/>
        <v>40</v>
      </c>
      <c r="AC64" s="51"/>
      <c r="AD64" s="52">
        <f>IF(AD61="Matin",8,IF(AD61="AM",8,IF(AD61="nuit",8,0)))</f>
        <v>8</v>
      </c>
      <c r="AE64" s="52">
        <f t="shared" ref="AE64:AJ64" si="180">IF(AE61="Matin",8,IF(AE61="AM",8,IF(AE61="nuit",8,0)))</f>
        <v>8</v>
      </c>
      <c r="AF64" s="52">
        <f t="shared" si="180"/>
        <v>8</v>
      </c>
      <c r="AG64" s="52">
        <f t="shared" si="180"/>
        <v>0</v>
      </c>
      <c r="AH64" s="52">
        <f t="shared" si="180"/>
        <v>0</v>
      </c>
      <c r="AI64" s="52">
        <f t="shared" si="180"/>
        <v>0</v>
      </c>
      <c r="AJ64" s="52">
        <f t="shared" si="180"/>
        <v>0</v>
      </c>
      <c r="AK64" s="52">
        <f t="shared" si="172"/>
        <v>24</v>
      </c>
      <c r="AL64" s="51"/>
      <c r="AM64" s="52">
        <f>IF(AM61="Matin",8,IF(AM61="AM",8,IF(AM61="nuit",8,0)))</f>
        <v>8</v>
      </c>
      <c r="AN64" s="52">
        <f t="shared" ref="AN64:AS64" si="181">IF(AN61="Matin",8,IF(AN61="AM",8,IF(AN61="nuit",8,0)))</f>
        <v>8</v>
      </c>
      <c r="AO64" s="52">
        <f t="shared" si="181"/>
        <v>8</v>
      </c>
      <c r="AP64" s="52">
        <f t="shared" si="181"/>
        <v>8</v>
      </c>
      <c r="AQ64" s="52">
        <f t="shared" si="181"/>
        <v>8</v>
      </c>
      <c r="AR64" s="52">
        <f t="shared" si="181"/>
        <v>0</v>
      </c>
      <c r="AS64" s="52">
        <f t="shared" si="181"/>
        <v>0</v>
      </c>
      <c r="AT64" s="52">
        <f t="shared" si="174"/>
        <v>40</v>
      </c>
      <c r="AU64" s="51"/>
      <c r="AV64" s="52">
        <f>IF(AV61="Matin",8,IF(AV61="AM",8,IF(AV61="nuit",8,0)))</f>
        <v>0</v>
      </c>
      <c r="AW64" s="52">
        <f t="shared" ref="AW64" si="182">IF(AW61="Matin",8,IF(AW61="AM",8,IF(AW61="nuit",8,0)))</f>
        <v>0</v>
      </c>
      <c r="AX64" s="52">
        <f t="shared" si="164"/>
        <v>0</v>
      </c>
      <c r="AY64" s="52">
        <f t="shared" si="176"/>
        <v>128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13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6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0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8"/>
        <v>0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3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70"/>
        <v>3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0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2"/>
        <v>0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3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4"/>
        <v>3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4"/>
        <v>0</v>
      </c>
      <c r="AY65" s="50">
        <f t="shared" si="176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6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0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8"/>
        <v>0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5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70"/>
        <v>5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0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2"/>
        <v>0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5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4"/>
        <v>5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4"/>
        <v>0</v>
      </c>
      <c r="AY66" s="52">
        <f t="shared" si="176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6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8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70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2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4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4"/>
        <v>0</v>
      </c>
      <c r="AY67" s="50">
        <f t="shared" si="176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3">IF(D59="Dim",D64,IF(D74="ferie",D64,0))</f>
        <v>0</v>
      </c>
      <c r="E68" s="52">
        <f t="shared" si="183"/>
        <v>0</v>
      </c>
      <c r="F68" s="52">
        <f t="shared" si="183"/>
        <v>0</v>
      </c>
      <c r="G68" s="52">
        <f t="shared" si="183"/>
        <v>0</v>
      </c>
      <c r="H68" s="52">
        <f t="shared" si="183"/>
        <v>0</v>
      </c>
      <c r="I68" s="52">
        <f t="shared" si="183"/>
        <v>0</v>
      </c>
      <c r="J68" s="52">
        <f t="shared" si="166"/>
        <v>0</v>
      </c>
      <c r="K68" s="51"/>
      <c r="L68" s="52">
        <f>IF(L59="Dim",L64,IF(L74="ferie",L64,0))</f>
        <v>0</v>
      </c>
      <c r="M68" s="52">
        <f t="shared" ref="M68:R68" si="184">IF(M59="Dim",M64,IF(M74="ferie",M64,0))</f>
        <v>0</v>
      </c>
      <c r="N68" s="52">
        <f t="shared" si="184"/>
        <v>0</v>
      </c>
      <c r="O68" s="52">
        <f t="shared" si="184"/>
        <v>0</v>
      </c>
      <c r="P68" s="52">
        <f t="shared" si="184"/>
        <v>0</v>
      </c>
      <c r="Q68" s="52">
        <f>IF(Q59="Dim",Q64,IF(Q74="ferie",Q64,0))</f>
        <v>0</v>
      </c>
      <c r="R68" s="52">
        <f t="shared" si="184"/>
        <v>0</v>
      </c>
      <c r="S68" s="52">
        <f t="shared" si="168"/>
        <v>0</v>
      </c>
      <c r="T68" s="51"/>
      <c r="U68" s="52">
        <f>IF(U59="Dim",U64,IF(U74="ferie",U64,0))</f>
        <v>0</v>
      </c>
      <c r="V68" s="52">
        <f t="shared" ref="V68:AA68" si="185">IF(V59="Dim",V64,IF(V74="ferie",V64,0))</f>
        <v>0</v>
      </c>
      <c r="W68" s="52">
        <f t="shared" si="185"/>
        <v>0</v>
      </c>
      <c r="X68" s="52">
        <f t="shared" si="185"/>
        <v>0</v>
      </c>
      <c r="Y68" s="52">
        <f t="shared" si="185"/>
        <v>0</v>
      </c>
      <c r="Z68" s="52">
        <f t="shared" si="185"/>
        <v>0</v>
      </c>
      <c r="AA68" s="52">
        <f t="shared" si="185"/>
        <v>0</v>
      </c>
      <c r="AB68" s="52">
        <f t="shared" si="170"/>
        <v>0</v>
      </c>
      <c r="AC68" s="51"/>
      <c r="AD68" s="52">
        <f>IF(AD59="Dim",AD64,IF(AD74="ferie",AD64,0))</f>
        <v>0</v>
      </c>
      <c r="AE68" s="52">
        <f t="shared" ref="AE68:AJ68" si="186">IF(AE59="Dim",AE64,IF(AE74="ferie",AE64,0))</f>
        <v>0</v>
      </c>
      <c r="AF68" s="52">
        <f t="shared" si="186"/>
        <v>0</v>
      </c>
      <c r="AG68" s="52">
        <f t="shared" si="186"/>
        <v>0</v>
      </c>
      <c r="AH68" s="52">
        <f t="shared" si="186"/>
        <v>0</v>
      </c>
      <c r="AI68" s="52">
        <f t="shared" si="186"/>
        <v>0</v>
      </c>
      <c r="AJ68" s="52">
        <f t="shared" si="186"/>
        <v>0</v>
      </c>
      <c r="AK68" s="52">
        <f t="shared" ref="AK68" si="187">SUM(AD68:AJ68)</f>
        <v>0</v>
      </c>
      <c r="AL68" s="51"/>
      <c r="AM68" s="52">
        <f>IF(AM59="Dim",AM64,IF(AM74="ferie",AM64,0))</f>
        <v>0</v>
      </c>
      <c r="AN68" s="52">
        <f t="shared" ref="AN68:AW68" si="188">IF(AN59="Dim",AN64,IF(AN74="ferie",AN64,0))</f>
        <v>0</v>
      </c>
      <c r="AO68" s="52">
        <f t="shared" si="188"/>
        <v>0</v>
      </c>
      <c r="AP68" s="52">
        <f t="shared" si="188"/>
        <v>0</v>
      </c>
      <c r="AQ68" s="52">
        <f t="shared" si="188"/>
        <v>0</v>
      </c>
      <c r="AR68" s="52">
        <f t="shared" si="188"/>
        <v>0</v>
      </c>
      <c r="AS68" s="52">
        <f t="shared" si="188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8"/>
        <v>0</v>
      </c>
      <c r="AX68" s="52">
        <f t="shared" si="164"/>
        <v>0</v>
      </c>
      <c r="AY68" s="52">
        <f t="shared" si="176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6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8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70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2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4"/>
        <v>0</v>
      </c>
      <c r="AU69" s="48"/>
      <c r="AV69" s="49"/>
      <c r="AW69" s="49"/>
      <c r="AX69" s="52">
        <f t="shared" si="164"/>
        <v>0</v>
      </c>
      <c r="AY69" s="49">
        <f t="shared" si="176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6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8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70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2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4"/>
        <v>0</v>
      </c>
      <c r="AU70" s="51"/>
      <c r="AV70" s="52"/>
      <c r="AW70" s="52"/>
      <c r="AX70" s="52">
        <f t="shared" ref="AX70:AX72" si="189">SUM(AV70:AW70)</f>
        <v>0</v>
      </c>
      <c r="AY70" s="52">
        <f t="shared" si="176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6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8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70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2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4"/>
        <v>0</v>
      </c>
      <c r="AU71" s="48"/>
      <c r="AV71" s="49"/>
      <c r="AW71" s="49"/>
      <c r="AX71" s="52">
        <f t="shared" si="189"/>
        <v>0</v>
      </c>
      <c r="AY71" s="50">
        <f t="shared" si="176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6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8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70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2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4"/>
        <v>0</v>
      </c>
      <c r="AU72" s="51"/>
      <c r="AV72" s="52"/>
      <c r="AW72" s="52"/>
      <c r="AX72" s="52">
        <f t="shared" si="189"/>
        <v>0</v>
      </c>
      <c r="AY72" s="52">
        <f t="shared" si="176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37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90">IF(E61="nuit",E64*0.02,0)</f>
        <v>0</v>
      </c>
      <c r="F73" s="49">
        <f t="shared" si="190"/>
        <v>0</v>
      </c>
      <c r="G73" s="49">
        <f>IF(G61="nuit",G64*0.02,0)</f>
        <v>0</v>
      </c>
      <c r="H73" s="49">
        <f t="shared" si="190"/>
        <v>0</v>
      </c>
      <c r="I73" s="49">
        <f t="shared" si="190"/>
        <v>0</v>
      </c>
      <c r="J73" s="52">
        <f t="shared" si="166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91">IF(N61="nuit",N64*0.02,0)</f>
        <v>0</v>
      </c>
      <c r="O73" s="49">
        <f t="shared" si="191"/>
        <v>0</v>
      </c>
      <c r="P73" s="49">
        <f>IF(P61="nuit",P64*0.02,0)</f>
        <v>0</v>
      </c>
      <c r="Q73" s="49">
        <f t="shared" si="191"/>
        <v>0</v>
      </c>
      <c r="R73" s="49">
        <f t="shared" si="191"/>
        <v>0</v>
      </c>
      <c r="S73" s="52">
        <f t="shared" si="168"/>
        <v>0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2">IF(W61="nuit",W64*0.02,0)</f>
        <v>0</v>
      </c>
      <c r="X73" s="49">
        <f t="shared" si="192"/>
        <v>0</v>
      </c>
      <c r="Y73" s="49">
        <f>IF(Y61="nuit",Y64*0.02,0)</f>
        <v>0</v>
      </c>
      <c r="Z73" s="49">
        <f t="shared" si="192"/>
        <v>0</v>
      </c>
      <c r="AA73" s="49">
        <f t="shared" si="192"/>
        <v>0</v>
      </c>
      <c r="AB73" s="52">
        <f t="shared" si="170"/>
        <v>0</v>
      </c>
      <c r="AC73" s="48"/>
      <c r="AD73" s="49">
        <f>IF(AD61="nuit",AD64*0.02,0)</f>
        <v>0</v>
      </c>
      <c r="AE73" s="49">
        <f>IF(AE61="nuit",AE64*0.02,0)</f>
        <v>0</v>
      </c>
      <c r="AF73" s="49">
        <f t="shared" ref="AF73:AJ73" si="193">IF(AF61="nuit",AF64*0.02,0)</f>
        <v>0</v>
      </c>
      <c r="AG73" s="49">
        <f t="shared" si="193"/>
        <v>0</v>
      </c>
      <c r="AH73" s="49">
        <f>IF(AH61="nuit",AH64*0.02,0)</f>
        <v>0</v>
      </c>
      <c r="AI73" s="49">
        <f t="shared" si="193"/>
        <v>0</v>
      </c>
      <c r="AJ73" s="49">
        <f t="shared" si="193"/>
        <v>0</v>
      </c>
      <c r="AK73" s="52">
        <f t="shared" si="172"/>
        <v>0</v>
      </c>
      <c r="AL73" s="48"/>
      <c r="AM73" s="49">
        <f>IF(AM61="nuit",AM64*0.02,0)</f>
        <v>0.16</v>
      </c>
      <c r="AN73" s="49">
        <f>IF(AN61="nuit",AN64*0.02,0)</f>
        <v>0.16</v>
      </c>
      <c r="AO73" s="49">
        <f t="shared" ref="AO73:AS73" si="194">IF(AO61="nuit",AO64*0.02,0)</f>
        <v>0.16</v>
      </c>
      <c r="AP73" s="49">
        <f t="shared" si="194"/>
        <v>0.16</v>
      </c>
      <c r="AQ73" s="49">
        <f>IF(AQ61="nuit",AQ64*0.02,0)</f>
        <v>0.16</v>
      </c>
      <c r="AR73" s="49">
        <f t="shared" si="194"/>
        <v>0</v>
      </c>
      <c r="AS73" s="49">
        <f t="shared" si="194"/>
        <v>0</v>
      </c>
      <c r="AT73" s="52">
        <f t="shared" si="174"/>
        <v>0.8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24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56"/>
      <c r="B75" s="56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.75" thickBot="1">
      <c r="A76" s="16"/>
      <c r="B76" s="16"/>
      <c r="C76" s="19" t="s">
        <v>16</v>
      </c>
      <c r="D76" s="19"/>
      <c r="E76" s="19"/>
      <c r="F76" s="19"/>
      <c r="G76" s="19"/>
      <c r="H76" s="106">
        <f>Année_Calendaire</f>
        <v>2017</v>
      </c>
      <c r="I76" s="106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16</v>
      </c>
      <c r="V76" s="19"/>
      <c r="W76" s="19"/>
      <c r="X76" s="19"/>
      <c r="Y76" s="19"/>
      <c r="Z76" s="106">
        <f>Année_Calendaire</f>
        <v>2017</v>
      </c>
      <c r="AA76" s="106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16</v>
      </c>
      <c r="AN76" s="19"/>
      <c r="AO76" s="19"/>
      <c r="AP76" s="19"/>
      <c r="AQ76" s="19"/>
      <c r="AR76" s="106">
        <f>Année_Calendaire</f>
        <v>2017</v>
      </c>
      <c r="AS76" s="106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 thickTop="1" thickBot="1">
      <c r="A77" s="63"/>
      <c r="B77" s="55" t="str">
        <f>IF(C77="",AU59,LEFT(AU59)&amp;MOD(RIGHT(AU59),4)+1)</f>
        <v>C3</v>
      </c>
      <c r="C77" s="100" t="str">
        <f>IF(C78&lt;&gt;"","Lun","")</f>
        <v>Lun</v>
      </c>
      <c r="D77" s="100" t="str">
        <f>IF(D78&lt;&gt;"","Mar","")</f>
        <v>Mar</v>
      </c>
      <c r="E77" s="100" t="str">
        <f>IF(E78&lt;&gt;"","Mer","")</f>
        <v>Mer</v>
      </c>
      <c r="F77" s="100" t="str">
        <f>IF(F78&lt;&gt;"","Jeu","")</f>
        <v>Jeu</v>
      </c>
      <c r="G77" s="100" t="str">
        <f>IF(G78&lt;&gt;"","Ven","")</f>
        <v>Ven</v>
      </c>
      <c r="H77" s="100" t="str">
        <f>IF(H78&lt;&gt;"","Sam","")</f>
        <v>Sam</v>
      </c>
      <c r="I77" s="100" t="str">
        <f>IF(I78&lt;&gt;"","Dim","")</f>
        <v>Dim</v>
      </c>
      <c r="J77" s="105" t="s">
        <v>25</v>
      </c>
      <c r="K77" s="55" t="str">
        <f>IF(L77="",LEFT(B77)&amp;MOD(RIGHT(B77),5),LEFT(B77)&amp;MOD(RIGHT(B77),4)+1)</f>
        <v>C4</v>
      </c>
      <c r="L77" s="100" t="str">
        <f>IF(L78&lt;&gt;"","Lun","")</f>
        <v>Lun</v>
      </c>
      <c r="M77" s="101" t="str">
        <f>IF(M78&lt;&gt;"","Mar","")</f>
        <v>Mar</v>
      </c>
      <c r="N77" s="91" t="str">
        <f>IF(N78&lt;&gt;"","Mer","")</f>
        <v>Mer</v>
      </c>
      <c r="O77" s="91" t="str">
        <f>IF(O78&lt;&gt;"","Jeu","")</f>
        <v>Jeu</v>
      </c>
      <c r="P77" s="91" t="str">
        <f>IF(P78&lt;&gt;"","Ven","")</f>
        <v>Ven</v>
      </c>
      <c r="Q77" s="91" t="str">
        <f>IF(Q78&lt;&gt;"","Sam","")</f>
        <v>Sam</v>
      </c>
      <c r="R77" s="91" t="str">
        <f>IF(R78&lt;&gt;"","Dim","")</f>
        <v>Dim</v>
      </c>
      <c r="S77" s="105" t="s">
        <v>25</v>
      </c>
      <c r="T77" s="55" t="str">
        <f>IF(U77="",LEFT(K77)&amp;MOD(RIGHT(K77),5),LEFT(K77)&amp;MOD(RIGHT(K77),4)+1)</f>
        <v>C1</v>
      </c>
      <c r="U77" s="91" t="str">
        <f>IF(U78&lt;&gt;"","Lun","")</f>
        <v>Lun</v>
      </c>
      <c r="V77" s="91" t="str">
        <f>IF(V78&lt;&gt;"","Mar","")</f>
        <v>Mar</v>
      </c>
      <c r="W77" s="91" t="str">
        <f>IF(W78&lt;&gt;"","Mer","")</f>
        <v>Mer</v>
      </c>
      <c r="X77" s="91" t="str">
        <f>IF(X78&lt;&gt;"","Jeu","")</f>
        <v>Jeu</v>
      </c>
      <c r="Y77" s="91" t="str">
        <f>IF(Y78&lt;&gt;"","Ven","")</f>
        <v>Ven</v>
      </c>
      <c r="Z77" s="91" t="str">
        <f>IF(Z78&lt;&gt;"","Sam","")</f>
        <v>Sam</v>
      </c>
      <c r="AA77" s="91" t="str">
        <f>IF(AA78&lt;&gt;"","Dim","")</f>
        <v>Dim</v>
      </c>
      <c r="AB77" s="105" t="s">
        <v>25</v>
      </c>
      <c r="AC77" s="55" t="str">
        <f>IF(AD77="",LEFT(T77)&amp;MOD(RIGHT(T77),5),LEFT(T77)&amp;MOD(RIGHT(T77),4)+1)</f>
        <v>C2</v>
      </c>
      <c r="AD77" s="91" t="str">
        <f>IF(AD78&lt;&gt;"","Lun","")</f>
        <v>Lun</v>
      </c>
      <c r="AE77" s="91" t="str">
        <f>IF(AE78&lt;&gt;"","Mar","")</f>
        <v>Mar</v>
      </c>
      <c r="AF77" s="91" t="str">
        <f>IF(AF78&lt;&gt;"","Mer","")</f>
        <v>Mer</v>
      </c>
      <c r="AG77" s="91" t="str">
        <f>IF(AG78&lt;&gt;"","Jeu","")</f>
        <v>Jeu</v>
      </c>
      <c r="AH77" s="91" t="str">
        <f>IF(AH78&lt;&gt;"","Ven","")</f>
        <v>Ven</v>
      </c>
      <c r="AI77" s="91" t="str">
        <f>IF(AI78&lt;&gt;"","Sam","")</f>
        <v>Sam</v>
      </c>
      <c r="AJ77" s="91" t="str">
        <f>IF(AJ78&lt;&gt;"","Dim","")</f>
        <v>Dim</v>
      </c>
      <c r="AK77" s="105" t="s">
        <v>25</v>
      </c>
      <c r="AL77" s="55" t="str">
        <f>IF(AM77="",LEFT(AC77)&amp;MOD(RIGHT(AC77),5),LEFT(AC77)&amp;MOD(RIGHT(AC77),4)+1)</f>
        <v>C3</v>
      </c>
      <c r="AM77" s="91" t="str">
        <f>IF(AM78&lt;&gt;"","Lun","")</f>
        <v>Lun</v>
      </c>
      <c r="AN77" s="91" t="str">
        <f>IF(AN78&lt;&gt;"","Mar","")</f>
        <v>Mar</v>
      </c>
      <c r="AO77" s="91" t="str">
        <f>IF(AO78&lt;&gt;"","Mer","")</f>
        <v>Mer</v>
      </c>
      <c r="AP77" s="91" t="str">
        <f>IF(AP78&lt;&gt;"","Jeu","")</f>
        <v/>
      </c>
      <c r="AQ77" s="91" t="str">
        <f>IF(AQ78&lt;&gt;"","Ven","")</f>
        <v/>
      </c>
      <c r="AR77" s="91" t="str">
        <f>IF(AR78&lt;&gt;"","Sam","")</f>
        <v/>
      </c>
      <c r="AS77" s="91" t="str">
        <f>IF(AS78&lt;&gt;"","Dim","")</f>
        <v/>
      </c>
      <c r="AT77" s="105" t="s">
        <v>25</v>
      </c>
      <c r="AU77" s="55" t="str">
        <f>IF(AV77="",LEFT(AL77)&amp;MOD(RIGHT(AL77),5),LEFT(AL77)&amp;MOD(RIGHT(AL77),4)+1)</f>
        <v>C3</v>
      </c>
      <c r="AV77" s="53" t="str">
        <f>IF(AV78&lt;&gt;"","Lun","")</f>
        <v/>
      </c>
      <c r="AW77" s="53" t="str">
        <f>IF(AW78&lt;&gt;"","Mar","")</f>
        <v/>
      </c>
      <c r="AX77" s="105" t="s">
        <v>25</v>
      </c>
      <c r="AY77" s="105" t="s">
        <v>28</v>
      </c>
      <c r="AZ77" s="108">
        <f>AY84+AY85+AY86</f>
        <v>10</v>
      </c>
      <c r="BA77" s="108">
        <f>AZ77+BA59</f>
        <v>45</v>
      </c>
      <c r="BB77" s="39"/>
      <c r="BC77" s="39"/>
      <c r="BD77" s="39"/>
      <c r="BE77" s="39"/>
      <c r="BF77" s="34"/>
    </row>
    <row r="78" spans="1:59" s="25" customFormat="1" ht="15" customHeight="1" thickTop="1">
      <c r="A78" s="10"/>
      <c r="B78" s="54"/>
      <c r="C78" s="93">
        <f>IF(DAY(Mai_Dim1)=1,"",IF(AND(YEAR(Mai_Dim1+1)=Année_Calendaire,MONTH(Mai_Dim1+1)=5),Mai_Dim1+1,""))</f>
        <v>42856</v>
      </c>
      <c r="D78" s="90">
        <f>IF(DAY(Mai_Dim1)=1,"",IF(AND(YEAR(Mai_Dim1+2)=Année_Calendaire,MONTH(Mai_Dim1+2)=5),Mai_Dim1+2,""))</f>
        <v>42857</v>
      </c>
      <c r="E78" s="90">
        <f>IF(DAY(Mai_Dim1)=1,"",IF(AND(YEAR(Mai_Dim1+3)=Année_Calendaire,MONTH(Mai_Dim1+3)=5),Mai_Dim1+3,""))</f>
        <v>42858</v>
      </c>
      <c r="F78" s="90">
        <f>IF(DAY(Mai_Dim1)=1,"",IF(AND(YEAR(Mai_Dim1+4)=Année_Calendaire,MONTH(Mai_Dim1+4)=5),Mai_Dim1+4,""))</f>
        <v>42859</v>
      </c>
      <c r="G78" s="90">
        <f>IF(DAY(Mai_Dim1)=1,"",IF(AND(YEAR(Mai_Dim1+5)=Année_Calendaire,MONTH(Mai_Dim1+5)=5),Mai_Dim1+5,""))</f>
        <v>42860</v>
      </c>
      <c r="H78" s="90">
        <f>IF(DAY(Mai_Dim1)=1,"",IF(AND(YEAR(Mai_Dim1+6)=Année_Calendaire,MONTH(Mai_Dim1+6)=5),Mai_Dim1+6,""))</f>
        <v>42861</v>
      </c>
      <c r="I78" s="90">
        <f>IF(DAY(Mai_Dim1)=1,IF(AND(YEAR(Mai_Dim1)=Année_Calendaire,MONTH(Mai_Dim1)=5),Mai_Dim1,""),IF(AND(YEAR(Mai_Dim1+7)=Année_Calendaire,MONTH(Mai_Dim1+7)=5),Mai_Dim1+7,""))</f>
        <v>42862</v>
      </c>
      <c r="J78" s="105"/>
      <c r="K78" s="54"/>
      <c r="L78" s="93">
        <f>IF(DAY(Mai_Dim1)=1,IF(AND(YEAR(Mai_Dim1+1)=Année_Calendaire,MONTH(Mai_Dim1+1)=5),Mai_Dim1+1,""),IF(AND(YEAR(Mai_Dim1+8)=Année_Calendaire,MONTH(Mai_Dim1+8)=5),Mai_Dim1+8,""))</f>
        <v>42863</v>
      </c>
      <c r="M78" s="90">
        <f>IF(DAY(Mai_Dim1)=1,IF(AND(YEAR(Mai_Dim1+2)=Année_Calendaire,MONTH(Mai_Dim1+2)=5),Mai_Dim1+2,""),IF(AND(YEAR(Mai_Dim1+9)=Année_Calendaire,MONTH(Mai_Dim1+9)=5),Mai_Dim1+9,""))</f>
        <v>42864</v>
      </c>
      <c r="N78" s="90">
        <f>IF(DAY(Mai_Dim1)=1,IF(AND(YEAR(Mai_Dim1+3)=Année_Calendaire,MONTH(Mai_Dim1+3)=5),Mai_Dim1+3,""),IF(AND(YEAR(Mai_Dim1+10)=Année_Calendaire,MONTH(Mai_Dim1+10)=5),Mai_Dim1+10,""))</f>
        <v>42865</v>
      </c>
      <c r="O78" s="90">
        <f>IF(DAY(Mai_Dim1)=1,IF(AND(YEAR(Mai_Dim1+4)=Année_Calendaire,MONTH(Mai_Dim1+4)=5),Mai_Dim1+4,""),IF(AND(YEAR(Mai_Dim1+11)=Année_Calendaire,MONTH(Mai_Dim1+11)=5),Mai_Dim1+11,""))</f>
        <v>42866</v>
      </c>
      <c r="P78" s="90">
        <f>IF(DAY(Mai_Dim1)=1,IF(AND(YEAR(Mai_Dim1+5)=Année_Calendaire,MONTH(Mai_Dim1+5)=5),Mai_Dim1+5,""),IF(AND(YEAR(Mai_Dim1+12)=Année_Calendaire,MONTH(Mai_Dim1+12)=5),Mai_Dim1+12,""))</f>
        <v>42867</v>
      </c>
      <c r="Q78" s="90">
        <f>IF(DAY(Mai_Dim1)=1,IF(AND(YEAR(Mai_Dim1+6)=Année_Calendaire,MONTH(Mai_Dim1+6)=5),Mai_Dim1+6,""),IF(AND(YEAR(Mai_Dim1+13)=Année_Calendaire,MONTH(Mai_Dim1+13)=5),Mai_Dim1+13,""))</f>
        <v>42868</v>
      </c>
      <c r="R78" s="90">
        <f>IF(DAY(Mai_Dim1)=1,IF(AND(YEAR(Mai_Dim1+7)=Année_Calendaire,MONTH(Mai_Dim1+7)=5),Mai_Dim1+7,""),IF(AND(YEAR(Mai_Dim1+14)=Année_Calendaire,MONTH(Mai_Dim1+14)=5),Mai_Dim1+14,""))</f>
        <v>42869</v>
      </c>
      <c r="S78" s="105"/>
      <c r="T78" s="54"/>
      <c r="U78" s="90">
        <f>IF(DAY(Mai_Dim1)=1,IF(AND(YEAR(Mai_Dim1+8)=Année_Calendaire,MONTH(Mai_Dim1+8)=5),Mai_Dim1+8,""),IF(AND(YEAR(Mai_Dim1+15)=Année_Calendaire,MONTH(Mai_Dim1+15)=5),Mai_Dim1+15,""))</f>
        <v>42870</v>
      </c>
      <c r="V78" s="90">
        <f>IF(DAY(Mai_Dim1)=1,IF(AND(YEAR(Mai_Dim1+9)=Année_Calendaire,MONTH(Mai_Dim1+9)=5),Mai_Dim1+9,""),IF(AND(YEAR(Mai_Dim1+16)=Année_Calendaire,MONTH(Mai_Dim1+16)=5),Mai_Dim1+16,""))</f>
        <v>42871</v>
      </c>
      <c r="W78" s="90">
        <f>IF(DAY(Mai_Dim1)=1,IF(AND(YEAR(Mai_Dim1+10)=Année_Calendaire,MONTH(Mai_Dim1+10)=5),Mai_Dim1+10,""),IF(AND(YEAR(Mai_Dim1+17)=Année_Calendaire,MONTH(Mai_Dim1+17)=5),Mai_Dim1+17,""))</f>
        <v>42872</v>
      </c>
      <c r="X78" s="90">
        <f>IF(DAY(Mai_Dim1)=1,IF(AND(YEAR(Mai_Dim1+11)=Année_Calendaire,MONTH(Mai_Dim1+11)=5),Mai_Dim1+11,""),IF(AND(YEAR(Mai_Dim1+18)=Année_Calendaire,MONTH(Mai_Dim1+18)=5),Mai_Dim1+18,""))</f>
        <v>42873</v>
      </c>
      <c r="Y78" s="90">
        <f>IF(DAY(Mai_Dim1)=1,IF(AND(YEAR(Mai_Dim1+12)=Année_Calendaire,MONTH(Mai_Dim1+12)=5),Mai_Dim1+12,""),IF(AND(YEAR(Mai_Dim1+19)=Année_Calendaire,MONTH(Mai_Dim1+19)=5),Mai_Dim1+19,""))</f>
        <v>42874</v>
      </c>
      <c r="Z78" s="90">
        <f>IF(DAY(Mai_Dim1)=1,IF(AND(YEAR(Mai_Dim1+13)=Année_Calendaire,MONTH(Mai_Dim1+13)=5),Mai_Dim1+13,""),IF(AND(YEAR(Mai_Dim1+20)=Année_Calendaire,MONTH(Mai_Dim1+20)=5),Mai_Dim1+20,""))</f>
        <v>42875</v>
      </c>
      <c r="AA78" s="90">
        <f>IF(DAY(Mai_Dim1)=1,IF(AND(YEAR(Mai_Dim1+14)=Année_Calendaire,MONTH(Mai_Dim1+14)=5),Mai_Dim1+14,""),IF(AND(YEAR(Mai_Dim1+21)=Année_Calendaire,MONTH(Mai_Dim1+21)=5),Mai_Dim1+21,""))</f>
        <v>42876</v>
      </c>
      <c r="AB78" s="105"/>
      <c r="AC78" s="54"/>
      <c r="AD78" s="90">
        <f>IF(DAY(Mai_Dim1)=1,IF(AND(YEAR(Mai_Dim1+15)=Année_Calendaire,MONTH(Mai_Dim1+15)=5),Mai_Dim1+15,""),IF(AND(YEAR(Mai_Dim1+22)=Année_Calendaire,MONTH(Mai_Dim1+22)=5),Mai_Dim1+22,""))</f>
        <v>42877</v>
      </c>
      <c r="AE78" s="90">
        <f>IF(DAY(Mai_Dim1)=1,IF(AND(YEAR(Mai_Dim1+16)=Année_Calendaire,MONTH(Mai_Dim1+16)=5),Mai_Dim1+16,""),IF(AND(YEAR(Mai_Dim1+23)=Année_Calendaire,MONTH(Mai_Dim1+23)=5),Mai_Dim1+23,""))</f>
        <v>42878</v>
      </c>
      <c r="AF78" s="90">
        <f>IF(DAY(Mai_Dim1)=1,IF(AND(YEAR(Mai_Dim1+17)=Année_Calendaire,MONTH(Mai_Dim1+17)=5),Mai_Dim1+17,""),IF(AND(YEAR(Mai_Dim1+24)=Année_Calendaire,MONTH(Mai_Dim1+24)=5),Mai_Dim1+24,""))</f>
        <v>42879</v>
      </c>
      <c r="AG78" s="93">
        <f>IF(DAY(Mai_Dim1)=1,IF(AND(YEAR(Mai_Dim1+18)=Année_Calendaire,MONTH(Mai_Dim1+18)=5),Mai_Dim1+18,""),IF(AND(YEAR(Mai_Dim1+25)=Année_Calendaire,MONTH(Mai_Dim1+25)=5),Mai_Dim1+25,""))</f>
        <v>42880</v>
      </c>
      <c r="AH78" s="90">
        <f>IF(DAY(Mai_Dim1)=1,IF(AND(YEAR(Mai_Dim1+19)=Année_Calendaire,MONTH(Mai_Dim1+19)=5),Mai_Dim1+19,""),IF(AND(YEAR(Mai_Dim1+26)=Année_Calendaire,MONTH(Mai_Dim1+26)=5),Mai_Dim1+26,""))</f>
        <v>42881</v>
      </c>
      <c r="AI78" s="90">
        <f>IF(DAY(Mai_Dim1)=1,IF(AND(YEAR(Mai_Dim1+20)=Année_Calendaire,MONTH(Mai_Dim1+20)=5),Mai_Dim1+20,""),IF(AND(YEAR(Mai_Dim1+27)=Année_Calendaire,MONTH(Mai_Dim1+27)=5),Mai_Dim1+27,""))</f>
        <v>42882</v>
      </c>
      <c r="AJ78" s="90">
        <f>IF(DAY(Mai_Dim1)=1,IF(AND(YEAR(Mai_Dim1+21)=Année_Calendaire,MONTH(Mai_Dim1+21)=5),Mai_Dim1+21,""),IF(AND(YEAR(Mai_Dim1+28)=Année_Calendaire,MONTH(Mai_Dim1+28)=5),Mai_Dim1+28,""))</f>
        <v>42883</v>
      </c>
      <c r="AK78" s="105"/>
      <c r="AL78" s="54"/>
      <c r="AM78" s="90">
        <f>IF(DAY(Mai_Dim1)=1,IF(AND(YEAR(Mai_Dim1+22)=Année_Calendaire,MONTH(Mai_Dim1+22)=5),Mai_Dim1+22,""),IF(AND(YEAR(Mai_Dim1+29)=Année_Calendaire,MONTH(Mai_Dim1+29)=5),Mai_Dim1+29,""))</f>
        <v>42884</v>
      </c>
      <c r="AN78" s="90">
        <f>IF(DAY(Mai_Dim1)=1,IF(AND(YEAR(Mai_Dim1+23)=Année_Calendaire,MONTH(Mai_Dim1+23)=5),Mai_Dim1+23,""),IF(AND(YEAR(Mai_Dim1+30)=Année_Calendaire,MONTH(Mai_Dim1+30)=5),Mai_Dim1+30,""))</f>
        <v>42885</v>
      </c>
      <c r="AO78" s="90">
        <f>IF(DAY(Mai_Dim1)=1,IF(AND(YEAR(Mai_Dim1+24)=Année_Calendaire,MONTH(Mai_Dim1+24)=5),Mai_Dim1+24,""),IF(AND(YEAR(Mai_Dim1+31)=Année_Calendaire,MONTH(Mai_Dim1+31)=5),Mai_Dim1+31,""))</f>
        <v>42886</v>
      </c>
      <c r="AP78" s="90" t="str">
        <f>IF(DAY(Mai_Dim1)=1,IF(AND(YEAR(Mai_Dim1+25)=Année_Calendaire,MONTH(Mai_Dim1+25)=5),Mai_Dim1+25,""),IF(AND(YEAR(Mai_Dim1+32)=Année_Calendaire,MONTH(Mai_Dim1+32)=5),Mai_Dim1+32,""))</f>
        <v/>
      </c>
      <c r="AQ78" s="90" t="str">
        <f>IF(DAY(Mai_Dim1)=1,IF(AND(YEAR(Mai_Dim1+26)=Année_Calendaire,MONTH(Mai_Dim1+26)=5),Mai_Dim1+26,""),IF(AND(YEAR(Mai_Dim1+33)=Année_Calendaire,MONTH(Mai_Dim1+33)=5),Mai_Dim1+33,""))</f>
        <v/>
      </c>
      <c r="AR78" s="90" t="str">
        <f>IF(DAY(Mai_Dim1)=1,IF(AND(YEAR(Mai_Dim1+27)=Année_Calendaire,MONTH(Mai_Dim1+27)=5),Mai_Dim1+27,""),IF(AND(YEAR(Mai_Dim1+34)=Année_Calendaire,MONTH(Mai_Dim1+34)=5),Mai_Dim1+34,""))</f>
        <v/>
      </c>
      <c r="AS78" s="90" t="str">
        <f>IF(DAY(Mai_Dim1)=1,IF(AND(YEAR(Mai_Dim1+28)=Année_Calendaire,MONTH(Mai_Dim1+28)=5),Mai_Dim1+28,""),IF(AND(YEAR(Mai_Dim1+35)=Année_Calendaire,MONTH(Mai_Dim1+35)=5),Mai_Dim1+35,""))</f>
        <v/>
      </c>
      <c r="AT78" s="105"/>
      <c r="AU78" s="54"/>
      <c r="AV78" s="54" t="str">
        <f>IF(DAY(Mai_Dim1)=1,IF(AND(YEAR(Mai_Dim1+29)=Année_Calendaire,MONTH(Mai_Dim1+29)=5),Mai_Dim1+29,""),IF(AND(YEAR(Mai_Dim1+36)=Année_Calendaire,MONTH(Mai_Dim1+36)=5),Mai_Dim1+36,""))</f>
        <v/>
      </c>
      <c r="AW78" s="54" t="str">
        <f>IF(DAY(Mai_Dim1)=1,IF(AND(YEAR(Mai_Dim1+30)=Année_Calendaire,MONTH(Mai_Dim1+30)=5),Mai_Dim1+30,""),IF(AND(YEAR(Mai_Dim1+37)=Année_Calendaire,MONTH(Mai_Dim1+37)=5),Mai_Dim1+37,""))</f>
        <v/>
      </c>
      <c r="AX78" s="105"/>
      <c r="AY78" s="105"/>
      <c r="AZ78" s="108"/>
      <c r="BA78" s="108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">
        <v>48</v>
      </c>
      <c r="D79" s="49"/>
      <c r="E79" s="49"/>
      <c r="F79" s="49" t="s">
        <v>48</v>
      </c>
      <c r="G79" s="49" t="s">
        <v>48</v>
      </c>
      <c r="H79" s="49"/>
      <c r="I79" s="49"/>
      <c r="J79" s="52"/>
      <c r="K79" s="48"/>
      <c r="L79" s="49" t="s">
        <v>50</v>
      </c>
      <c r="M79" s="49" t="s">
        <v>50</v>
      </c>
      <c r="N79" s="49" t="s">
        <v>50</v>
      </c>
      <c r="O79" s="49" t="s">
        <v>50</v>
      </c>
      <c r="P79" s="49" t="s">
        <v>50</v>
      </c>
      <c r="Q79" s="49"/>
      <c r="R79" s="49"/>
      <c r="S79" s="52"/>
      <c r="T79" s="48"/>
      <c r="U79" s="49" t="s">
        <v>48</v>
      </c>
      <c r="V79" s="49" t="s">
        <v>48</v>
      </c>
      <c r="W79" s="49" t="s">
        <v>48</v>
      </c>
      <c r="X79" s="49"/>
      <c r="Y79" s="49"/>
      <c r="Z79" s="49"/>
      <c r="AA79" s="49"/>
      <c r="AB79" s="52"/>
      <c r="AC79" s="48"/>
      <c r="AD79" s="49" t="s">
        <v>49</v>
      </c>
      <c r="AE79" s="49" t="s">
        <v>49</v>
      </c>
      <c r="AF79" s="49" t="s">
        <v>49</v>
      </c>
      <c r="AG79" s="49" t="s">
        <v>49</v>
      </c>
      <c r="AH79" s="49" t="s">
        <v>49</v>
      </c>
      <c r="AI79" s="49"/>
      <c r="AJ79" s="49"/>
      <c r="AK79" s="52"/>
      <c r="AL79" s="48"/>
      <c r="AM79" s="49" t="s">
        <v>48</v>
      </c>
      <c r="AN79" s="49"/>
      <c r="AO79" s="49"/>
      <c r="AP79" s="49"/>
      <c r="AQ79" s="49"/>
      <c r="AR79" s="49"/>
      <c r="AS79" s="49"/>
      <c r="AT79" s="52"/>
      <c r="AU79" s="48"/>
      <c r="AV79" s="49"/>
      <c r="AW79" s="49"/>
      <c r="AX79" s="52"/>
      <c r="AY79" s="50" t="s">
        <v>48</v>
      </c>
      <c r="AZ79" s="40" t="s">
        <v>48</v>
      </c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5">IF(C79="Matin",1,IF(C79="AM",1,0))</f>
        <v>1</v>
      </c>
      <c r="D80" s="52">
        <f t="shared" si="195"/>
        <v>0</v>
      </c>
      <c r="E80" s="52">
        <f t="shared" si="195"/>
        <v>0</v>
      </c>
      <c r="F80" s="52">
        <f t="shared" si="195"/>
        <v>1</v>
      </c>
      <c r="G80" s="52">
        <f t="shared" si="195"/>
        <v>1</v>
      </c>
      <c r="H80" s="52">
        <f t="shared" si="195"/>
        <v>0</v>
      </c>
      <c r="I80" s="52">
        <f t="shared" si="195"/>
        <v>0</v>
      </c>
      <c r="J80" s="52">
        <f>SUM(C80:I80)</f>
        <v>3</v>
      </c>
      <c r="K80" s="51"/>
      <c r="L80" s="52">
        <f t="shared" ref="L80:R80" si="196">IF(L79="Matin",1,IF(L79="AM",1,0))</f>
        <v>1</v>
      </c>
      <c r="M80" s="52">
        <f t="shared" si="196"/>
        <v>1</v>
      </c>
      <c r="N80" s="52">
        <f t="shared" si="196"/>
        <v>1</v>
      </c>
      <c r="O80" s="52">
        <f t="shared" si="196"/>
        <v>1</v>
      </c>
      <c r="P80" s="52">
        <f t="shared" si="196"/>
        <v>1</v>
      </c>
      <c r="Q80" s="52">
        <f t="shared" si="196"/>
        <v>0</v>
      </c>
      <c r="R80" s="52">
        <f t="shared" si="196"/>
        <v>0</v>
      </c>
      <c r="S80" s="52">
        <f>SUM(L80:R80)</f>
        <v>5</v>
      </c>
      <c r="T80" s="51"/>
      <c r="U80" s="52">
        <f t="shared" ref="U80:AA80" si="197">IF(U79="Matin",1,IF(U79="AM",1,0))</f>
        <v>1</v>
      </c>
      <c r="V80" s="52">
        <f t="shared" si="197"/>
        <v>1</v>
      </c>
      <c r="W80" s="52">
        <f t="shared" si="197"/>
        <v>1</v>
      </c>
      <c r="X80" s="52">
        <f t="shared" si="197"/>
        <v>0</v>
      </c>
      <c r="Y80" s="52">
        <f t="shared" si="197"/>
        <v>0</v>
      </c>
      <c r="Z80" s="52">
        <f t="shared" si="197"/>
        <v>0</v>
      </c>
      <c r="AA80" s="52">
        <f t="shared" si="197"/>
        <v>0</v>
      </c>
      <c r="AB80" s="52">
        <f>SUM(U80:AA80)</f>
        <v>3</v>
      </c>
      <c r="AC80" s="51"/>
      <c r="AD80" s="52">
        <f t="shared" ref="AD80:AJ80" si="198">IF(AD79="Matin",1,IF(AD79="AM",1,0))</f>
        <v>0</v>
      </c>
      <c r="AE80" s="52">
        <f t="shared" si="198"/>
        <v>0</v>
      </c>
      <c r="AF80" s="52">
        <f t="shared" si="198"/>
        <v>0</v>
      </c>
      <c r="AG80" s="52">
        <f t="shared" si="198"/>
        <v>0</v>
      </c>
      <c r="AH80" s="52">
        <f t="shared" si="198"/>
        <v>0</v>
      </c>
      <c r="AI80" s="52">
        <f t="shared" si="198"/>
        <v>0</v>
      </c>
      <c r="AJ80" s="52">
        <f t="shared" si="198"/>
        <v>0</v>
      </c>
      <c r="AK80" s="52">
        <f>SUM(AD80:AJ80)</f>
        <v>0</v>
      </c>
      <c r="AL80" s="51"/>
      <c r="AM80" s="52">
        <f t="shared" ref="AM80:AS80" si="199">IF(AM79="Matin",1,IF(AM79="AM",1,0))</f>
        <v>1</v>
      </c>
      <c r="AN80" s="52">
        <f t="shared" si="199"/>
        <v>0</v>
      </c>
      <c r="AO80" s="52">
        <f t="shared" si="199"/>
        <v>0</v>
      </c>
      <c r="AP80" s="52">
        <f t="shared" si="199"/>
        <v>0</v>
      </c>
      <c r="AQ80" s="52">
        <f t="shared" si="199"/>
        <v>0</v>
      </c>
      <c r="AR80" s="52">
        <f t="shared" si="199"/>
        <v>0</v>
      </c>
      <c r="AS80" s="52">
        <f t="shared" si="199"/>
        <v>0</v>
      </c>
      <c r="AT80" s="52">
        <f>SUM(AM80:AS80)</f>
        <v>1</v>
      </c>
      <c r="AU80" s="51"/>
      <c r="AV80" s="52">
        <f t="shared" ref="AV80:AW80" si="200">IF(AV79="Matin",1,IF(AV79="AM",1,0))</f>
        <v>0</v>
      </c>
      <c r="AW80" s="52">
        <f t="shared" si="200"/>
        <v>0</v>
      </c>
      <c r="AX80" s="52">
        <f t="shared" ref="AX80:AX87" si="201">SUM(AV80:AW80)</f>
        <v>0</v>
      </c>
      <c r="AY80" s="52">
        <f>J80+S80+AB80+AK80+AT80+AX80</f>
        <v>12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1</v>
      </c>
      <c r="D81" s="49">
        <f>IF(D82&gt;=1,1,0)</f>
        <v>0</v>
      </c>
      <c r="E81" s="49">
        <f t="shared" ref="E81:I81" si="202">IF(E82&gt;=1,1,0)</f>
        <v>0</v>
      </c>
      <c r="F81" s="49">
        <f t="shared" si="202"/>
        <v>1</v>
      </c>
      <c r="G81" s="49">
        <f t="shared" si="202"/>
        <v>1</v>
      </c>
      <c r="H81" s="49">
        <f t="shared" si="202"/>
        <v>0</v>
      </c>
      <c r="I81" s="49">
        <f t="shared" si="202"/>
        <v>0</v>
      </c>
      <c r="J81" s="52">
        <f t="shared" ref="J81:J91" si="203">SUM(C81:I81)</f>
        <v>3</v>
      </c>
      <c r="K81" s="48"/>
      <c r="L81" s="49">
        <f>IF(L82&gt;=1,1,0)</f>
        <v>1</v>
      </c>
      <c r="M81" s="49">
        <f t="shared" ref="M81:R81" si="204">IF(M82&gt;=1,1,0)</f>
        <v>1</v>
      </c>
      <c r="N81" s="49">
        <f t="shared" si="204"/>
        <v>1</v>
      </c>
      <c r="O81" s="49">
        <f t="shared" si="204"/>
        <v>1</v>
      </c>
      <c r="P81" s="49">
        <f t="shared" si="204"/>
        <v>1</v>
      </c>
      <c r="Q81" s="49">
        <f t="shared" si="204"/>
        <v>0</v>
      </c>
      <c r="R81" s="49">
        <f t="shared" si="204"/>
        <v>0</v>
      </c>
      <c r="S81" s="52">
        <f t="shared" ref="S81:S91" si="205">SUM(L81:R81)</f>
        <v>5</v>
      </c>
      <c r="T81" s="48"/>
      <c r="U81" s="49">
        <f>IF(U82&gt;=1,1,0)</f>
        <v>1</v>
      </c>
      <c r="V81" s="49">
        <f t="shared" ref="V81:AA81" si="206">IF(V82&gt;=1,1,0)</f>
        <v>1</v>
      </c>
      <c r="W81" s="49">
        <f t="shared" si="206"/>
        <v>1</v>
      </c>
      <c r="X81" s="49">
        <f t="shared" si="206"/>
        <v>0</v>
      </c>
      <c r="Y81" s="49">
        <f t="shared" si="206"/>
        <v>0</v>
      </c>
      <c r="Z81" s="49">
        <f t="shared" si="206"/>
        <v>0</v>
      </c>
      <c r="AA81" s="49">
        <f t="shared" si="206"/>
        <v>0</v>
      </c>
      <c r="AB81" s="52">
        <f t="shared" ref="AB81:AB91" si="207">SUM(U81:AA81)</f>
        <v>3</v>
      </c>
      <c r="AC81" s="48"/>
      <c r="AD81" s="49">
        <f>IF(AD82&gt;=1,1,0)</f>
        <v>1</v>
      </c>
      <c r="AE81" s="49">
        <f t="shared" ref="AE81:AJ81" si="208">IF(AE82&gt;=1,1,0)</f>
        <v>1</v>
      </c>
      <c r="AF81" s="49">
        <f t="shared" si="208"/>
        <v>1</v>
      </c>
      <c r="AG81" s="49">
        <f t="shared" si="208"/>
        <v>1</v>
      </c>
      <c r="AH81" s="49">
        <f t="shared" si="208"/>
        <v>1</v>
      </c>
      <c r="AI81" s="49">
        <f t="shared" si="208"/>
        <v>0</v>
      </c>
      <c r="AJ81" s="49">
        <f t="shared" si="208"/>
        <v>0</v>
      </c>
      <c r="AK81" s="52">
        <f t="shared" ref="AK81:AK91" si="209">SUM(AD81:AJ81)</f>
        <v>5</v>
      </c>
      <c r="AL81" s="48"/>
      <c r="AM81" s="49">
        <f>IF(AM82&gt;=1,1,0)</f>
        <v>1</v>
      </c>
      <c r="AN81" s="49">
        <f t="shared" ref="AN81:AS81" si="210">IF(AN82&gt;=1,1,0)</f>
        <v>0</v>
      </c>
      <c r="AO81" s="49">
        <f t="shared" si="210"/>
        <v>0</v>
      </c>
      <c r="AP81" s="49">
        <f t="shared" si="210"/>
        <v>0</v>
      </c>
      <c r="AQ81" s="49">
        <f t="shared" si="210"/>
        <v>0</v>
      </c>
      <c r="AR81" s="49">
        <f t="shared" si="210"/>
        <v>0</v>
      </c>
      <c r="AS81" s="49">
        <f t="shared" si="210"/>
        <v>0</v>
      </c>
      <c r="AT81" s="52">
        <f t="shared" ref="AT81:AT91" si="211">SUM(AM81:AS81)</f>
        <v>1</v>
      </c>
      <c r="AU81" s="48"/>
      <c r="AV81" s="49">
        <f>IF(AV82&gt;=1,1,0)</f>
        <v>0</v>
      </c>
      <c r="AW81" s="49">
        <f t="shared" ref="AW81" si="212">IF(AW82&gt;=1,1,0)</f>
        <v>0</v>
      </c>
      <c r="AX81" s="52">
        <f t="shared" si="201"/>
        <v>0</v>
      </c>
      <c r="AY81" s="49">
        <f t="shared" ref="AY81:AY90" si="213">J81+S81+AB81+AK81+AT81+AX81</f>
        <v>17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8</v>
      </c>
      <c r="D82" s="52">
        <f t="shared" ref="D82:I82" si="214">IF(D79="Matin",8,IF(D79="AM",8,IF(D79="nuit",8,0)))</f>
        <v>0</v>
      </c>
      <c r="E82" s="52">
        <f t="shared" si="214"/>
        <v>0</v>
      </c>
      <c r="F82" s="52">
        <f t="shared" si="214"/>
        <v>8</v>
      </c>
      <c r="G82" s="52">
        <f t="shared" si="214"/>
        <v>8</v>
      </c>
      <c r="H82" s="52">
        <f t="shared" si="214"/>
        <v>0</v>
      </c>
      <c r="I82" s="52">
        <f t="shared" si="214"/>
        <v>0</v>
      </c>
      <c r="J82" s="52">
        <f t="shared" si="203"/>
        <v>24</v>
      </c>
      <c r="K82" s="51"/>
      <c r="L82" s="52">
        <f>IF(L79="Matin",8,IF(L79="AM",8,IF(L79="nuit",8,0)))</f>
        <v>8</v>
      </c>
      <c r="M82" s="52">
        <f t="shared" ref="M82:R82" si="215">IF(M79="Matin",8,IF(M79="AM",8,IF(M79="nuit",8,0)))</f>
        <v>8</v>
      </c>
      <c r="N82" s="52">
        <f t="shared" si="215"/>
        <v>8</v>
      </c>
      <c r="O82" s="52">
        <f t="shared" si="215"/>
        <v>8</v>
      </c>
      <c r="P82" s="52">
        <f t="shared" si="215"/>
        <v>8</v>
      </c>
      <c r="Q82" s="52">
        <f t="shared" si="215"/>
        <v>0</v>
      </c>
      <c r="R82" s="52">
        <f t="shared" si="215"/>
        <v>0</v>
      </c>
      <c r="S82" s="52">
        <f t="shared" si="205"/>
        <v>40</v>
      </c>
      <c r="T82" s="51"/>
      <c r="U82" s="52">
        <f>IF(U79="Matin",8,IF(U79="AM",8,IF(U79="nuit",8,0)))</f>
        <v>8</v>
      </c>
      <c r="V82" s="52">
        <f t="shared" ref="V82:AA82" si="216">IF(V79="Matin",8,IF(V79="AM",8,IF(V79="nuit",8,0)))</f>
        <v>8</v>
      </c>
      <c r="W82" s="52">
        <f t="shared" si="216"/>
        <v>8</v>
      </c>
      <c r="X82" s="52">
        <f t="shared" si="216"/>
        <v>0</v>
      </c>
      <c r="Y82" s="52">
        <f t="shared" si="216"/>
        <v>0</v>
      </c>
      <c r="Z82" s="52">
        <f t="shared" si="216"/>
        <v>0</v>
      </c>
      <c r="AA82" s="52">
        <f t="shared" si="216"/>
        <v>0</v>
      </c>
      <c r="AB82" s="52">
        <f t="shared" si="207"/>
        <v>24</v>
      </c>
      <c r="AC82" s="51"/>
      <c r="AD82" s="52">
        <f>IF(AD79="Matin",8,IF(AD79="AM",8,IF(AD79="nuit",8,0)))</f>
        <v>8</v>
      </c>
      <c r="AE82" s="52">
        <f t="shared" ref="AE82:AJ82" si="217">IF(AE79="Matin",8,IF(AE79="AM",8,IF(AE79="nuit",8,0)))</f>
        <v>8</v>
      </c>
      <c r="AF82" s="52">
        <f t="shared" si="217"/>
        <v>8</v>
      </c>
      <c r="AG82" s="52">
        <f t="shared" si="217"/>
        <v>8</v>
      </c>
      <c r="AH82" s="52">
        <f t="shared" si="217"/>
        <v>8</v>
      </c>
      <c r="AI82" s="52">
        <f t="shared" si="217"/>
        <v>0</v>
      </c>
      <c r="AJ82" s="52">
        <f t="shared" si="217"/>
        <v>0</v>
      </c>
      <c r="AK82" s="52">
        <f t="shared" si="209"/>
        <v>40</v>
      </c>
      <c r="AL82" s="51"/>
      <c r="AM82" s="52">
        <f>IF(AM79="Matin",8,IF(AM79="AM",8,IF(AM79="nuit",8,0)))</f>
        <v>8</v>
      </c>
      <c r="AN82" s="52">
        <f t="shared" ref="AN82:AS82" si="218">IF(AN79="Matin",8,IF(AN79="AM",8,IF(AN79="nuit",8,0)))</f>
        <v>0</v>
      </c>
      <c r="AO82" s="52">
        <f t="shared" si="218"/>
        <v>0</v>
      </c>
      <c r="AP82" s="52">
        <f t="shared" si="218"/>
        <v>0</v>
      </c>
      <c r="AQ82" s="52">
        <f t="shared" si="218"/>
        <v>0</v>
      </c>
      <c r="AR82" s="52">
        <f t="shared" si="218"/>
        <v>0</v>
      </c>
      <c r="AS82" s="52">
        <f t="shared" si="218"/>
        <v>0</v>
      </c>
      <c r="AT82" s="52">
        <f t="shared" si="211"/>
        <v>8</v>
      </c>
      <c r="AU82" s="51"/>
      <c r="AV82" s="52">
        <f>IF(AV79="Matin",8,IF(AV79="AM",8,IF(AV79="nuit",8,0)))</f>
        <v>0</v>
      </c>
      <c r="AW82" s="52">
        <f t="shared" ref="AW82" si="219">IF(AW79="Matin",8,IF(AW79="AM",8,IF(AW79="nuit",8,0)))</f>
        <v>0</v>
      </c>
      <c r="AX82" s="52">
        <f t="shared" si="201"/>
        <v>0</v>
      </c>
      <c r="AY82" s="52">
        <f t="shared" si="213"/>
        <v>136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13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3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3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5"/>
        <v>3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0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7"/>
        <v>0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3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9"/>
        <v>3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0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11"/>
        <v>0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201"/>
        <v>0</v>
      </c>
      <c r="AY83" s="50">
        <f t="shared" si="213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3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5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5"/>
        <v>5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0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7"/>
        <v>0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5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9"/>
        <v>5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0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11"/>
        <v>0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201"/>
        <v>0</v>
      </c>
      <c r="AY84" s="52">
        <f t="shared" si="213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3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5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7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9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11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201"/>
        <v>0</v>
      </c>
      <c r="AY85" s="50">
        <f t="shared" si="213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20">IF(D77="Dim",D82,IF(D92="ferie",D82,0))</f>
        <v>0</v>
      </c>
      <c r="E86" s="52">
        <f t="shared" si="220"/>
        <v>0</v>
      </c>
      <c r="F86" s="52">
        <f t="shared" si="220"/>
        <v>0</v>
      </c>
      <c r="G86" s="52">
        <f t="shared" si="220"/>
        <v>0</v>
      </c>
      <c r="H86" s="52">
        <f t="shared" si="220"/>
        <v>0</v>
      </c>
      <c r="I86" s="52">
        <f t="shared" si="220"/>
        <v>0</v>
      </c>
      <c r="J86" s="52">
        <f t="shared" si="203"/>
        <v>0</v>
      </c>
      <c r="K86" s="51"/>
      <c r="L86" s="52">
        <f>IF(L77="Dim",L82,IF(L92="ferie",L82,0))</f>
        <v>0</v>
      </c>
      <c r="M86" s="52">
        <f t="shared" ref="M86:R86" si="221">IF(M77="Dim",M82,IF(M92="ferie",M82,0))</f>
        <v>0</v>
      </c>
      <c r="N86" s="52">
        <f t="shared" si="221"/>
        <v>0</v>
      </c>
      <c r="O86" s="52">
        <f t="shared" si="221"/>
        <v>0</v>
      </c>
      <c r="P86" s="52">
        <f t="shared" si="221"/>
        <v>0</v>
      </c>
      <c r="Q86" s="52">
        <f>IF(Q77="Dim",Q82,IF(Q92="ferie",Q82,0))</f>
        <v>0</v>
      </c>
      <c r="R86" s="52">
        <f t="shared" si="221"/>
        <v>0</v>
      </c>
      <c r="S86" s="52">
        <f t="shared" si="205"/>
        <v>0</v>
      </c>
      <c r="T86" s="51"/>
      <c r="U86" s="52">
        <f>IF(U77="Dim",U82,IF(U92="ferie",U82,0))</f>
        <v>0</v>
      </c>
      <c r="V86" s="52">
        <f t="shared" ref="V86:AA86" si="222">IF(V77="Dim",V82,IF(V92="ferie",V82,0))</f>
        <v>0</v>
      </c>
      <c r="W86" s="52">
        <f t="shared" si="222"/>
        <v>0</v>
      </c>
      <c r="X86" s="52">
        <f t="shared" si="222"/>
        <v>0</v>
      </c>
      <c r="Y86" s="52">
        <f t="shared" si="222"/>
        <v>0</v>
      </c>
      <c r="Z86" s="52">
        <f t="shared" si="222"/>
        <v>0</v>
      </c>
      <c r="AA86" s="52">
        <f t="shared" si="222"/>
        <v>0</v>
      </c>
      <c r="AB86" s="52">
        <f t="shared" si="207"/>
        <v>0</v>
      </c>
      <c r="AC86" s="51"/>
      <c r="AD86" s="52">
        <f>IF(AD77="Dim",AD82,IF(AD92="ferie",AD82,0))</f>
        <v>0</v>
      </c>
      <c r="AE86" s="52">
        <f t="shared" ref="AE86:AJ86" si="223">IF(AE77="Dim",AE82,IF(AE92="ferie",AE82,0))</f>
        <v>0</v>
      </c>
      <c r="AF86" s="52">
        <f t="shared" si="223"/>
        <v>0</v>
      </c>
      <c r="AG86" s="52">
        <f t="shared" si="223"/>
        <v>0</v>
      </c>
      <c r="AH86" s="52">
        <f t="shared" si="223"/>
        <v>0</v>
      </c>
      <c r="AI86" s="52">
        <f t="shared" si="223"/>
        <v>0</v>
      </c>
      <c r="AJ86" s="52">
        <f t="shared" si="223"/>
        <v>0</v>
      </c>
      <c r="AK86" s="52">
        <f t="shared" si="209"/>
        <v>0</v>
      </c>
      <c r="AL86" s="51"/>
      <c r="AM86" s="52">
        <f>IF(AM77="Dim",AM82,IF(AM92="ferie",AM82,0))</f>
        <v>0</v>
      </c>
      <c r="AN86" s="52">
        <f t="shared" ref="AN86:AW86" si="224">IF(AN77="Dim",AN82,IF(AN92="ferie",AN82,0))</f>
        <v>0</v>
      </c>
      <c r="AO86" s="52">
        <f t="shared" si="224"/>
        <v>0</v>
      </c>
      <c r="AP86" s="52">
        <f t="shared" si="224"/>
        <v>0</v>
      </c>
      <c r="AQ86" s="52">
        <f t="shared" si="224"/>
        <v>0</v>
      </c>
      <c r="AR86" s="52">
        <f t="shared" si="224"/>
        <v>0</v>
      </c>
      <c r="AS86" s="52">
        <f t="shared" si="224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4"/>
        <v>0</v>
      </c>
      <c r="AX86" s="52">
        <f t="shared" si="201"/>
        <v>0</v>
      </c>
      <c r="AY86" s="52">
        <f t="shared" si="213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3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5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7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9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11"/>
        <v>0</v>
      </c>
      <c r="AU87" s="48"/>
      <c r="AV87" s="49"/>
      <c r="AW87" s="49"/>
      <c r="AX87" s="52">
        <f t="shared" si="201"/>
        <v>0</v>
      </c>
      <c r="AY87" s="49">
        <f t="shared" si="213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3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5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7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9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11"/>
        <v>0</v>
      </c>
      <c r="AU88" s="51"/>
      <c r="AV88" s="52"/>
      <c r="AW88" s="52"/>
      <c r="AX88" s="52">
        <f t="shared" ref="AX88:AX90" si="225">SUM(AV88:AW88)</f>
        <v>0</v>
      </c>
      <c r="AY88" s="52">
        <f t="shared" si="213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3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5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7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9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11"/>
        <v>0</v>
      </c>
      <c r="AU89" s="48"/>
      <c r="AV89" s="49"/>
      <c r="AW89" s="49"/>
      <c r="AX89" s="52">
        <f t="shared" si="225"/>
        <v>0</v>
      </c>
      <c r="AY89" s="50">
        <f t="shared" si="213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3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5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7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9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11"/>
        <v>0</v>
      </c>
      <c r="AU90" s="51"/>
      <c r="AV90" s="52"/>
      <c r="AW90" s="52"/>
      <c r="AX90" s="52">
        <f t="shared" si="225"/>
        <v>0</v>
      </c>
      <c r="AY90" s="52">
        <f t="shared" si="213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37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6">IF(E79="nuit",E82*0.02,0)</f>
        <v>0</v>
      </c>
      <c r="F91" s="49">
        <f t="shared" si="226"/>
        <v>0</v>
      </c>
      <c r="G91" s="49">
        <f>IF(G79="nuit",G82*0.02,0)</f>
        <v>0</v>
      </c>
      <c r="H91" s="49">
        <f t="shared" si="226"/>
        <v>0</v>
      </c>
      <c r="I91" s="49">
        <f t="shared" si="226"/>
        <v>0</v>
      </c>
      <c r="J91" s="52">
        <f t="shared" si="203"/>
        <v>0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7">IF(N79="nuit",N82*0.02,0)</f>
        <v>0</v>
      </c>
      <c r="O91" s="49">
        <f t="shared" si="227"/>
        <v>0</v>
      </c>
      <c r="P91" s="49">
        <f>IF(P79="nuit",P82*0.02,0)</f>
        <v>0</v>
      </c>
      <c r="Q91" s="49">
        <f t="shared" si="227"/>
        <v>0</v>
      </c>
      <c r="R91" s="49">
        <f t="shared" si="227"/>
        <v>0</v>
      </c>
      <c r="S91" s="52">
        <f t="shared" si="205"/>
        <v>0</v>
      </c>
      <c r="T91" s="48"/>
      <c r="U91" s="49">
        <f>IF(U79="nuit",U82*0.02,0)</f>
        <v>0</v>
      </c>
      <c r="V91" s="49">
        <f>IF(V79="nuit",V82*0.02,0)</f>
        <v>0</v>
      </c>
      <c r="W91" s="49">
        <f t="shared" ref="W91:AA91" si="228">IF(W79="nuit",W82*0.02,0)</f>
        <v>0</v>
      </c>
      <c r="X91" s="49">
        <f t="shared" si="228"/>
        <v>0</v>
      </c>
      <c r="Y91" s="49">
        <f>IF(Y79="nuit",Y82*0.02,0)</f>
        <v>0</v>
      </c>
      <c r="Z91" s="49">
        <f t="shared" si="228"/>
        <v>0</v>
      </c>
      <c r="AA91" s="49">
        <f t="shared" si="228"/>
        <v>0</v>
      </c>
      <c r="AB91" s="52">
        <f t="shared" si="207"/>
        <v>0</v>
      </c>
      <c r="AC91" s="48"/>
      <c r="AD91" s="49">
        <f>IF(AD79="nuit",AD82*0.02,0)</f>
        <v>0.16</v>
      </c>
      <c r="AE91" s="49">
        <f>IF(AE79="nuit",AE82*0.02,0)</f>
        <v>0.16</v>
      </c>
      <c r="AF91" s="49">
        <f t="shared" ref="AF91:AJ91" si="229">IF(AF79="nuit",AF82*0.02,0)</f>
        <v>0.16</v>
      </c>
      <c r="AG91" s="49">
        <f t="shared" si="229"/>
        <v>0.16</v>
      </c>
      <c r="AH91" s="49">
        <f>IF(AH79="nuit",AH82*0.02,0)</f>
        <v>0.16</v>
      </c>
      <c r="AI91" s="49">
        <f t="shared" si="229"/>
        <v>0</v>
      </c>
      <c r="AJ91" s="49">
        <f t="shared" si="229"/>
        <v>0</v>
      </c>
      <c r="AK91" s="52">
        <f t="shared" si="209"/>
        <v>0.8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30">IF(AO79="nuit",AO82*0.02,0)</f>
        <v>0</v>
      </c>
      <c r="AP91" s="49">
        <f t="shared" si="230"/>
        <v>0</v>
      </c>
      <c r="AQ91" s="49">
        <f>IF(AQ79="nuit",AQ82*0.02,0)</f>
        <v>0</v>
      </c>
      <c r="AR91" s="49">
        <f t="shared" si="230"/>
        <v>0</v>
      </c>
      <c r="AS91" s="49">
        <f t="shared" si="230"/>
        <v>0</v>
      </c>
      <c r="AT91" s="52">
        <f t="shared" si="211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24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56"/>
      <c r="B93" s="56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>
      <c r="A94" s="16"/>
      <c r="B94" s="16"/>
      <c r="C94" s="19" t="s">
        <v>17</v>
      </c>
      <c r="D94" s="19"/>
      <c r="E94" s="19"/>
      <c r="F94" s="19"/>
      <c r="G94" s="19"/>
      <c r="H94" s="106">
        <f>Année_Calendaire</f>
        <v>2017</v>
      </c>
      <c r="I94" s="106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17</v>
      </c>
      <c r="V94" s="19"/>
      <c r="W94" s="19"/>
      <c r="X94" s="19"/>
      <c r="Y94" s="19"/>
      <c r="Z94" s="106">
        <f>Année_Calendaire</f>
        <v>2017</v>
      </c>
      <c r="AA94" s="106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17</v>
      </c>
      <c r="AN94" s="19"/>
      <c r="AO94" s="19"/>
      <c r="AP94" s="19"/>
      <c r="AQ94" s="19"/>
      <c r="AR94" s="106">
        <f>Année_Calendaire</f>
        <v>2017</v>
      </c>
      <c r="AS94" s="106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IF(C95="",AU77,LEFT(AU77)&amp;MOD(RIGHT(AU77),4)+1)</f>
        <v>C3</v>
      </c>
      <c r="C95" s="91" t="str">
        <f>IF(C96&lt;&gt;"","Lun","")</f>
        <v/>
      </c>
      <c r="D95" s="91" t="str">
        <f>IF(D96&lt;&gt;"","Mar","")</f>
        <v/>
      </c>
      <c r="E95" s="91" t="str">
        <f>IF(E96&lt;&gt;"","Mer","")</f>
        <v/>
      </c>
      <c r="F95" s="91" t="str">
        <f>IF(F96&lt;&gt;"","Jeu","")</f>
        <v>Jeu</v>
      </c>
      <c r="G95" s="91" t="str">
        <f>IF(G96&lt;&gt;"","Ven","")</f>
        <v>Ven</v>
      </c>
      <c r="H95" s="91" t="str">
        <f>IF(H96&lt;&gt;"","Sam","")</f>
        <v>Sam</v>
      </c>
      <c r="I95" s="92" t="str">
        <f>IF(I96&lt;&gt;"","Dim","")</f>
        <v>Dim</v>
      </c>
      <c r="J95" s="105" t="s">
        <v>25</v>
      </c>
      <c r="K95" s="55" t="str">
        <f>IF(L95="",LEFT(B95)&amp;MOD(RIGHT(B95),5),LEFT(B95)&amp;MOD(RIGHT(B95),4)+1)</f>
        <v>C4</v>
      </c>
      <c r="L95" s="91" t="str">
        <f>IF(L96&lt;&gt;"","Lun","")</f>
        <v>Lun</v>
      </c>
      <c r="M95" s="91" t="str">
        <f>IF(M96&lt;&gt;"","Mar","")</f>
        <v>Mar</v>
      </c>
      <c r="N95" s="91" t="str">
        <f>IF(N96&lt;&gt;"","Mer","")</f>
        <v>Mer</v>
      </c>
      <c r="O95" s="91" t="str">
        <f>IF(O96&lt;&gt;"","Jeu","")</f>
        <v>Jeu</v>
      </c>
      <c r="P95" s="91" t="str">
        <f>IF(P96&lt;&gt;"","Ven","")</f>
        <v>Ven</v>
      </c>
      <c r="Q95" s="91" t="str">
        <f>IF(Q96&lt;&gt;"","Sam","")</f>
        <v>Sam</v>
      </c>
      <c r="R95" s="91" t="str">
        <f>IF(R96&lt;&gt;"","Dim","")</f>
        <v>Dim</v>
      </c>
      <c r="S95" s="105" t="s">
        <v>25</v>
      </c>
      <c r="T95" s="55" t="str">
        <f>IF(U95="",LEFT(K95)&amp;MOD(RIGHT(K95),5),LEFT(K95)&amp;MOD(RIGHT(K95),4)+1)</f>
        <v>C1</v>
      </c>
      <c r="U95" s="91" t="str">
        <f>IF(U96&lt;&gt;"","Lun","")</f>
        <v>Lun</v>
      </c>
      <c r="V95" s="91" t="str">
        <f>IF(V96&lt;&gt;"","Mar","")</f>
        <v>Mar</v>
      </c>
      <c r="W95" s="91" t="str">
        <f>IF(W96&lt;&gt;"","Mer","")</f>
        <v>Mer</v>
      </c>
      <c r="X95" s="91" t="str">
        <f>IF(X96&lt;&gt;"","Jeu","")</f>
        <v>Jeu</v>
      </c>
      <c r="Y95" s="91" t="str">
        <f>IF(Y96&lt;&gt;"","Ven","")</f>
        <v>Ven</v>
      </c>
      <c r="Z95" s="91" t="str">
        <f>IF(Z96&lt;&gt;"","Sam","")</f>
        <v>Sam</v>
      </c>
      <c r="AA95" s="91" t="str">
        <f>IF(AA96&lt;&gt;"","Dim","")</f>
        <v>Dim</v>
      </c>
      <c r="AB95" s="105" t="s">
        <v>25</v>
      </c>
      <c r="AC95" s="55" t="str">
        <f>IF(AD95="",LEFT(T95)&amp;MOD(RIGHT(T95),5),LEFT(T95)&amp;MOD(RIGHT(T95),4)+1)</f>
        <v>C2</v>
      </c>
      <c r="AD95" s="91" t="str">
        <f>IF(AD96&lt;&gt;"","Lun","")</f>
        <v>Lun</v>
      </c>
      <c r="AE95" s="91" t="str">
        <f>IF(AE96&lt;&gt;"","Mar","")</f>
        <v>Mar</v>
      </c>
      <c r="AF95" s="91" t="str">
        <f>IF(AF96&lt;&gt;"","Mer","")</f>
        <v>Mer</v>
      </c>
      <c r="AG95" s="91" t="str">
        <f>IF(AG96&lt;&gt;"","Jeu","")</f>
        <v>Jeu</v>
      </c>
      <c r="AH95" s="91" t="str">
        <f>IF(AH96&lt;&gt;"","Ven","")</f>
        <v>Ven</v>
      </c>
      <c r="AI95" s="91" t="str">
        <f>IF(AI96&lt;&gt;"","Sam","")</f>
        <v>Sam</v>
      </c>
      <c r="AJ95" s="91" t="str">
        <f>IF(AJ96&lt;&gt;"","Dim","")</f>
        <v>Dim</v>
      </c>
      <c r="AK95" s="105" t="s">
        <v>25</v>
      </c>
      <c r="AL95" s="55" t="str">
        <f>IF(AM95="",LEFT(AC95)&amp;MOD(RIGHT(AC95),5),LEFT(AC95)&amp;MOD(RIGHT(AC95),4)+1)</f>
        <v>C3</v>
      </c>
      <c r="AM95" s="91" t="str">
        <f>IF(AM96&lt;&gt;"","Lun","")</f>
        <v>Lun</v>
      </c>
      <c r="AN95" s="91" t="str">
        <f>IF(AN96&lt;&gt;"","Mar","")</f>
        <v>Mar</v>
      </c>
      <c r="AO95" s="91" t="str">
        <f>IF(AO96&lt;&gt;"","Mer","")</f>
        <v>Mer</v>
      </c>
      <c r="AP95" s="91" t="str">
        <f>IF(AP96&lt;&gt;"","Jeu","")</f>
        <v>Jeu</v>
      </c>
      <c r="AQ95" s="91" t="str">
        <f>IF(AQ96&lt;&gt;"","Ven","")</f>
        <v>Ven</v>
      </c>
      <c r="AR95" s="91" t="str">
        <f>IF(AR96&lt;&gt;"","Sam","")</f>
        <v/>
      </c>
      <c r="AS95" s="91" t="str">
        <f>IF(AS96&lt;&gt;"","Dim","")</f>
        <v/>
      </c>
      <c r="AT95" s="105" t="s">
        <v>25</v>
      </c>
      <c r="AU95" s="55" t="str">
        <f>IF(AV95="",LEFT(AL95)&amp;MOD(RIGHT(AL95),5),LEFT(AL95)&amp;MOD(RIGHT(AL95),4)+1)</f>
        <v>C3</v>
      </c>
      <c r="AV95" s="53" t="str">
        <f>IF(AV96&lt;&gt;"","Lun","")</f>
        <v/>
      </c>
      <c r="AW95" s="53" t="str">
        <f>IF(AW96&lt;&gt;"","Mar","")</f>
        <v/>
      </c>
      <c r="AX95" s="105" t="s">
        <v>25</v>
      </c>
      <c r="AY95" s="105" t="s">
        <v>28</v>
      </c>
      <c r="AZ95" s="108">
        <f>AY102+AY103+AY104</f>
        <v>10</v>
      </c>
      <c r="BA95" s="108">
        <f>AZ95+BA77</f>
        <v>55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90" t="str">
        <f>IF(DAY(Juin_Dim1)=1,"",IF(AND(YEAR(Juin_Dim1+1)=Année_Calendaire,MONTH(Juin_Dim1+1)=6),Juin_Dim1+1,""))</f>
        <v/>
      </c>
      <c r="D96" s="90" t="str">
        <f>IF(DAY(Juin_Dim1)=1,"",IF(AND(YEAR(Juin_Dim1+2)=Année_Calendaire,MONTH(Juin_Dim1+2)=6),Juin_Dim1+2,""))</f>
        <v/>
      </c>
      <c r="E96" s="90" t="str">
        <f>IF(DAY(Juin_Dim1)=1,"",IF(AND(YEAR(Juin_Dim1+3)=Année_Calendaire,MONTH(Juin_Dim1+3)=6),Juin_Dim1+3,""))</f>
        <v/>
      </c>
      <c r="F96" s="90">
        <f>IF(DAY(Juin_Dim1)=1,"",IF(AND(YEAR(Juin_Dim1+4)=Année_Calendaire,MONTH(Juin_Dim1+4)=6),Juin_Dim1+4,""))</f>
        <v>42887</v>
      </c>
      <c r="G96" s="90">
        <f>IF(DAY(Juin_Dim1)=1,"",IF(AND(YEAR(Juin_Dim1+5)=Année_Calendaire,MONTH(Juin_Dim1+5)=6),Juin_Dim1+5,""))</f>
        <v>42888</v>
      </c>
      <c r="H96" s="90">
        <f>IF(DAY(Juin_Dim1)=1,"",IF(AND(YEAR(Juin_Dim1+6)=Année_Calendaire,MONTH(Juin_Dim1+6)=6),Juin_Dim1+6,""))</f>
        <v>42889</v>
      </c>
      <c r="I96" s="90">
        <f>IF(DAY(Juin_Dim1)=1,IF(AND(YEAR(Juin_Dim1)=Année_Calendaire,MONTH(Juin_Dim1)=6),Juin_Dim1,""),IF(AND(YEAR(Juin_Dim1+7)=Année_Calendaire,MONTH(Juin_Dim1+7)=6),Juin_Dim1+7,""))</f>
        <v>42890</v>
      </c>
      <c r="J96" s="105"/>
      <c r="K96" s="54"/>
      <c r="L96" s="93">
        <f>IF(DAY(Juin_Dim1)=1,IF(AND(YEAR(Juin_Dim1+1)=Année_Calendaire,MONTH(Juin_Dim1+1)=6),Juin_Dim1+1,""),IF(AND(YEAR(Juin_Dim1+8)=Année_Calendaire,MONTH(Juin_Dim1+8)=6),Juin_Dim1+8,""))</f>
        <v>42891</v>
      </c>
      <c r="M96" s="90">
        <f>IF(DAY(Juin_Dim1)=1,IF(AND(YEAR(Juin_Dim1+2)=Année_Calendaire,MONTH(Juin_Dim1+2)=6),Juin_Dim1+2,""),IF(AND(YEAR(Juin_Dim1+9)=Année_Calendaire,MONTH(Juin_Dim1+9)=6),Juin_Dim1+9,""))</f>
        <v>42892</v>
      </c>
      <c r="N96" s="90">
        <f>IF(DAY(Juin_Dim1)=1,IF(AND(YEAR(Juin_Dim1+3)=Année_Calendaire,MONTH(Juin_Dim1+3)=6),Juin_Dim1+3,""),IF(AND(YEAR(Juin_Dim1+10)=Année_Calendaire,MONTH(Juin_Dim1+10)=6),Juin_Dim1+10,""))</f>
        <v>42893</v>
      </c>
      <c r="O96" s="90">
        <f>IF(DAY(Juin_Dim1)=1,IF(AND(YEAR(Juin_Dim1+4)=Année_Calendaire,MONTH(Juin_Dim1+4)=6),Juin_Dim1+4,""),IF(AND(YEAR(Juin_Dim1+11)=Année_Calendaire,MONTH(Juin_Dim1+11)=6),Juin_Dim1+11,""))</f>
        <v>42894</v>
      </c>
      <c r="P96" s="90">
        <f>IF(DAY(Juin_Dim1)=1,IF(AND(YEAR(Juin_Dim1+5)=Année_Calendaire,MONTH(Juin_Dim1+5)=6),Juin_Dim1+5,""),IF(AND(YEAR(Juin_Dim1+12)=Année_Calendaire,MONTH(Juin_Dim1+12)=6),Juin_Dim1+12,""))</f>
        <v>42895</v>
      </c>
      <c r="Q96" s="90">
        <f>IF(DAY(Juin_Dim1)=1,IF(AND(YEAR(Juin_Dim1+6)=Année_Calendaire,MONTH(Juin_Dim1+6)=6),Juin_Dim1+6,""),IF(AND(YEAR(Juin_Dim1+13)=Année_Calendaire,MONTH(Juin_Dim1+13)=6),Juin_Dim1+13,""))</f>
        <v>42896</v>
      </c>
      <c r="R96" s="90">
        <f>IF(DAY(Juin_Dim1)=1,IF(AND(YEAR(Juin_Dim1+7)=Année_Calendaire,MONTH(Juin_Dim1+7)=6),Juin_Dim1+7,""),IF(AND(YEAR(Juin_Dim1+14)=Année_Calendaire,MONTH(Juin_Dim1+14)=6),Juin_Dim1+14,""))</f>
        <v>42897</v>
      </c>
      <c r="S96" s="105"/>
      <c r="T96" s="54"/>
      <c r="U96" s="90">
        <f>IF(DAY(Juin_Dim1)=1,IF(AND(YEAR(Juin_Dim1+8)=Année_Calendaire,MONTH(Juin_Dim1+8)=6),Juin_Dim1+8,""),IF(AND(YEAR(Juin_Dim1+15)=Année_Calendaire,MONTH(Juin_Dim1+15)=6),Juin_Dim1+15,""))</f>
        <v>42898</v>
      </c>
      <c r="V96" s="90">
        <f>IF(DAY(Juin_Dim1)=1,IF(AND(YEAR(Juin_Dim1+9)=Année_Calendaire,MONTH(Juin_Dim1+9)=6),Juin_Dim1+9,""),IF(AND(YEAR(Juin_Dim1+16)=Année_Calendaire,MONTH(Juin_Dim1+16)=6),Juin_Dim1+16,""))</f>
        <v>42899</v>
      </c>
      <c r="W96" s="90">
        <f>IF(DAY(Juin_Dim1)=1,IF(AND(YEAR(Juin_Dim1+10)=Année_Calendaire,MONTH(Juin_Dim1+10)=6),Juin_Dim1+10,""),IF(AND(YEAR(Juin_Dim1+17)=Année_Calendaire,MONTH(Juin_Dim1+17)=6),Juin_Dim1+17,""))</f>
        <v>42900</v>
      </c>
      <c r="X96" s="90">
        <f>IF(DAY(Juin_Dim1)=1,IF(AND(YEAR(Juin_Dim1+11)=Année_Calendaire,MONTH(Juin_Dim1+11)=6),Juin_Dim1+11,""),IF(AND(YEAR(Juin_Dim1+18)=Année_Calendaire,MONTH(Juin_Dim1+18)=6),Juin_Dim1+18,""))</f>
        <v>42901</v>
      </c>
      <c r="Y96" s="90">
        <f>IF(DAY(Juin_Dim1)=1,IF(AND(YEAR(Juin_Dim1+12)=Année_Calendaire,MONTH(Juin_Dim1+12)=6),Juin_Dim1+12,""),IF(AND(YEAR(Juin_Dim1+19)=Année_Calendaire,MONTH(Juin_Dim1+19)=6),Juin_Dim1+19,""))</f>
        <v>42902</v>
      </c>
      <c r="Z96" s="90">
        <f>IF(DAY(Juin_Dim1)=1,IF(AND(YEAR(Juin_Dim1+13)=Année_Calendaire,MONTH(Juin_Dim1+13)=6),Juin_Dim1+13,""),IF(AND(YEAR(Juin_Dim1+20)=Année_Calendaire,MONTH(Juin_Dim1+20)=6),Juin_Dim1+20,""))</f>
        <v>42903</v>
      </c>
      <c r="AA96" s="90">
        <f>IF(DAY(Juin_Dim1)=1,IF(AND(YEAR(Juin_Dim1+14)=Année_Calendaire,MONTH(Juin_Dim1+14)=6),Juin_Dim1+14,""),IF(AND(YEAR(Juin_Dim1+21)=Année_Calendaire,MONTH(Juin_Dim1+21)=6),Juin_Dim1+21,""))</f>
        <v>42904</v>
      </c>
      <c r="AB96" s="105"/>
      <c r="AC96" s="54"/>
      <c r="AD96" s="90">
        <f>IF(DAY(Juin_Dim1)=1,IF(AND(YEAR(Juin_Dim1+15)=Année_Calendaire,MONTH(Juin_Dim1+15)=6),Juin_Dim1+15,""),IF(AND(YEAR(Juin_Dim1+22)=Année_Calendaire,MONTH(Juin_Dim1+22)=6),Juin_Dim1+22,""))</f>
        <v>42905</v>
      </c>
      <c r="AE96" s="90">
        <f>IF(DAY(Juin_Dim1)=1,IF(AND(YEAR(Juin_Dim1+16)=Année_Calendaire,MONTH(Juin_Dim1+16)=6),Juin_Dim1+16,""),IF(AND(YEAR(Juin_Dim1+23)=Année_Calendaire,MONTH(Juin_Dim1+23)=6),Juin_Dim1+23,""))</f>
        <v>42906</v>
      </c>
      <c r="AF96" s="90">
        <f>IF(DAY(Juin_Dim1)=1,IF(AND(YEAR(Juin_Dim1+17)=Année_Calendaire,MONTH(Juin_Dim1+17)=6),Juin_Dim1+17,""),IF(AND(YEAR(Juin_Dim1+24)=Année_Calendaire,MONTH(Juin_Dim1+24)=6),Juin_Dim1+24,""))</f>
        <v>42907</v>
      </c>
      <c r="AG96" s="90">
        <f>IF(DAY(Juin_Dim1)=1,IF(AND(YEAR(Juin_Dim1+18)=Année_Calendaire,MONTH(Juin_Dim1+18)=6),Juin_Dim1+18,""),IF(AND(YEAR(Juin_Dim1+25)=Année_Calendaire,MONTH(Juin_Dim1+25)=6),Juin_Dim1+25,""))</f>
        <v>42908</v>
      </c>
      <c r="AH96" s="90">
        <f>IF(DAY(Juin_Dim1)=1,IF(AND(YEAR(Juin_Dim1+19)=Année_Calendaire,MONTH(Juin_Dim1+19)=6),Juin_Dim1+19,""),IF(AND(YEAR(Juin_Dim1+26)=Année_Calendaire,MONTH(Juin_Dim1+26)=6),Juin_Dim1+26,""))</f>
        <v>42909</v>
      </c>
      <c r="AI96" s="90">
        <f>IF(DAY(Juin_Dim1)=1,IF(AND(YEAR(Juin_Dim1+20)=Année_Calendaire,MONTH(Juin_Dim1+20)=6),Juin_Dim1+20,""),IF(AND(YEAR(Juin_Dim1+27)=Année_Calendaire,MONTH(Juin_Dim1+27)=6),Juin_Dim1+27,""))</f>
        <v>42910</v>
      </c>
      <c r="AJ96" s="90">
        <f>IF(DAY(Juin_Dim1)=1,IF(AND(YEAR(Juin_Dim1+21)=Année_Calendaire,MONTH(Juin_Dim1+21)=6),Juin_Dim1+21,""),IF(AND(YEAR(Juin_Dim1+28)=Année_Calendaire,MONTH(Juin_Dim1+28)=6),Juin_Dim1+28,""))</f>
        <v>42911</v>
      </c>
      <c r="AK96" s="105"/>
      <c r="AL96" s="54"/>
      <c r="AM96" s="90">
        <f>IF(DAY(Juin_Dim1)=1,IF(AND(YEAR(Juin_Dim1+22)=Année_Calendaire,MONTH(Juin_Dim1+22)=6),Juin_Dim1+22,""),IF(AND(YEAR(Juin_Dim1+29)=Année_Calendaire,MONTH(Juin_Dim1+29)=6),Juin_Dim1+29,""))</f>
        <v>42912</v>
      </c>
      <c r="AN96" s="90">
        <f>IF(DAY(Juin_Dim1)=1,IF(AND(YEAR(Juin_Dim1+23)=Année_Calendaire,MONTH(Juin_Dim1+23)=6),Juin_Dim1+23,""),IF(AND(YEAR(Juin_Dim1+30)=Année_Calendaire,MONTH(Juin_Dim1+30)=6),Juin_Dim1+30,""))</f>
        <v>42913</v>
      </c>
      <c r="AO96" s="90">
        <f>IF(DAY(Juin_Dim1)=1,IF(AND(YEAR(Juin_Dim1+24)=Année_Calendaire,MONTH(Juin_Dim1+24)=6),Juin_Dim1+24,""),IF(AND(YEAR(Juin_Dim1+31)=Année_Calendaire,MONTH(Juin_Dim1+31)=6),Juin_Dim1+31,""))</f>
        <v>42914</v>
      </c>
      <c r="AP96" s="90">
        <f>IF(DAY(Juin_Dim1)=1,IF(AND(YEAR(Juin_Dim1+25)=Année_Calendaire,MONTH(Juin_Dim1+25)=6),Juin_Dim1+25,""),IF(AND(YEAR(Juin_Dim1+32)=Année_Calendaire,MONTH(Juin_Dim1+32)=6),Juin_Dim1+32,""))</f>
        <v>42915</v>
      </c>
      <c r="AQ96" s="90">
        <f>IF(DAY(Juin_Dim1)=1,IF(AND(YEAR(Juin_Dim1+26)=Année_Calendaire,MONTH(Juin_Dim1+26)=6),Juin_Dim1+26,""),IF(AND(YEAR(Juin_Dim1+33)=Année_Calendaire,MONTH(Juin_Dim1+33)=6),Juin_Dim1+33,""))</f>
        <v>42916</v>
      </c>
      <c r="AR96" s="90" t="str">
        <f>IF(DAY(Juin_Dim1)=1,IF(AND(YEAR(Juin_Dim1+27)=Année_Calendaire,MONTH(Juin_Dim1+27)=6),Juin_Dim1+27,""),IF(AND(YEAR(Juin_Dim1+34)=Année_Calendaire,MONTH(Juin_Dim1+34)=6),Juin_Dim1+34,""))</f>
        <v/>
      </c>
      <c r="AS96" s="90" t="str">
        <f>IF(DAY(Juin_Dim1)=1,IF(AND(YEAR(Juin_Dim1+28)=Année_Calendaire,MONTH(Juin_Dim1+28)=6),Juin_Dim1+28,""),IF(AND(YEAR(Juin_Dim1+35)=Année_Calendaire,MONTH(Juin_Dim1+35)=6),Juin_Dim1+35,""))</f>
        <v/>
      </c>
      <c r="AT96" s="105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105"/>
      <c r="AY96" s="105"/>
      <c r="AZ96" s="108"/>
      <c r="BA96" s="108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/>
      <c r="D97" s="49"/>
      <c r="E97" s="49"/>
      <c r="F97" s="49" t="s">
        <v>48</v>
      </c>
      <c r="G97" s="49" t="s">
        <v>48</v>
      </c>
      <c r="H97" s="49"/>
      <c r="I97" s="49"/>
      <c r="J97" s="52"/>
      <c r="K97" s="48"/>
      <c r="L97" s="49" t="s">
        <v>50</v>
      </c>
      <c r="M97" s="49" t="s">
        <v>50</v>
      </c>
      <c r="N97" s="49" t="s">
        <v>50</v>
      </c>
      <c r="O97" s="49" t="s">
        <v>50</v>
      </c>
      <c r="P97" s="49" t="s">
        <v>50</v>
      </c>
      <c r="Q97" s="49"/>
      <c r="R97" s="49"/>
      <c r="S97" s="52"/>
      <c r="T97" s="48"/>
      <c r="U97" s="49" t="s">
        <v>48</v>
      </c>
      <c r="V97" s="49" t="s">
        <v>48</v>
      </c>
      <c r="W97" s="49" t="s">
        <v>48</v>
      </c>
      <c r="X97" s="49"/>
      <c r="Y97" s="49"/>
      <c r="Z97" s="49"/>
      <c r="AA97" s="49"/>
      <c r="AB97" s="52"/>
      <c r="AC97" s="48"/>
      <c r="AD97" s="49" t="s">
        <v>49</v>
      </c>
      <c r="AE97" s="49" t="s">
        <v>49</v>
      </c>
      <c r="AF97" s="49" t="s">
        <v>49</v>
      </c>
      <c r="AG97" s="49" t="s">
        <v>49</v>
      </c>
      <c r="AH97" s="49" t="s">
        <v>49</v>
      </c>
      <c r="AI97" s="49"/>
      <c r="AJ97" s="49"/>
      <c r="AK97" s="52"/>
      <c r="AL97" s="48"/>
      <c r="AM97" s="49" t="s">
        <v>48</v>
      </c>
      <c r="AN97" s="49"/>
      <c r="AO97" s="49"/>
      <c r="AP97" s="49" t="s">
        <v>48</v>
      </c>
      <c r="AQ97" s="49" t="s">
        <v>48</v>
      </c>
      <c r="AR97" s="49"/>
      <c r="AS97" s="49"/>
      <c r="AT97" s="52"/>
      <c r="AU97" s="48"/>
      <c r="AV97" s="49"/>
      <c r="AW97" s="49"/>
      <c r="AX97" s="52"/>
      <c r="AY97" s="50" t="s">
        <v>48</v>
      </c>
      <c r="AZ97" s="40" t="s">
        <v>48</v>
      </c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31">IF(C97="Matin",1,IF(C97="AM",1,0))</f>
        <v>0</v>
      </c>
      <c r="D98" s="52">
        <f t="shared" si="231"/>
        <v>0</v>
      </c>
      <c r="E98" s="52">
        <f t="shared" si="231"/>
        <v>0</v>
      </c>
      <c r="F98" s="52">
        <f t="shared" si="231"/>
        <v>1</v>
      </c>
      <c r="G98" s="52">
        <f t="shared" si="231"/>
        <v>1</v>
      </c>
      <c r="H98" s="52">
        <f t="shared" si="231"/>
        <v>0</v>
      </c>
      <c r="I98" s="52">
        <f t="shared" si="231"/>
        <v>0</v>
      </c>
      <c r="J98" s="52">
        <f>SUM(C98:I98)</f>
        <v>2</v>
      </c>
      <c r="K98" s="51"/>
      <c r="L98" s="52">
        <f t="shared" ref="L98:R98" si="232">IF(L97="Matin",1,IF(L97="AM",1,0))</f>
        <v>1</v>
      </c>
      <c r="M98" s="52">
        <f t="shared" si="232"/>
        <v>1</v>
      </c>
      <c r="N98" s="52">
        <f t="shared" si="232"/>
        <v>1</v>
      </c>
      <c r="O98" s="52">
        <f t="shared" si="232"/>
        <v>1</v>
      </c>
      <c r="P98" s="52">
        <f t="shared" si="232"/>
        <v>1</v>
      </c>
      <c r="Q98" s="52">
        <f t="shared" si="232"/>
        <v>0</v>
      </c>
      <c r="R98" s="52">
        <f t="shared" si="232"/>
        <v>0</v>
      </c>
      <c r="S98" s="52">
        <f>SUM(L98:R98)</f>
        <v>5</v>
      </c>
      <c r="T98" s="51"/>
      <c r="U98" s="52">
        <f t="shared" ref="U98:AA98" si="233">IF(U97="Matin",1,IF(U97="AM",1,0))</f>
        <v>1</v>
      </c>
      <c r="V98" s="52">
        <f t="shared" si="233"/>
        <v>1</v>
      </c>
      <c r="W98" s="52">
        <f t="shared" si="233"/>
        <v>1</v>
      </c>
      <c r="X98" s="52">
        <f t="shared" si="233"/>
        <v>0</v>
      </c>
      <c r="Y98" s="52">
        <f t="shared" si="233"/>
        <v>0</v>
      </c>
      <c r="Z98" s="52">
        <f t="shared" si="233"/>
        <v>0</v>
      </c>
      <c r="AA98" s="52">
        <f t="shared" si="233"/>
        <v>0</v>
      </c>
      <c r="AB98" s="52">
        <f>SUM(U98:AA98)</f>
        <v>3</v>
      </c>
      <c r="AC98" s="51"/>
      <c r="AD98" s="52">
        <f t="shared" ref="AD98:AJ98" si="234">IF(AD97="Matin",1,IF(AD97="AM",1,0))</f>
        <v>0</v>
      </c>
      <c r="AE98" s="52">
        <f t="shared" si="234"/>
        <v>0</v>
      </c>
      <c r="AF98" s="52">
        <f t="shared" si="234"/>
        <v>0</v>
      </c>
      <c r="AG98" s="52">
        <f t="shared" si="234"/>
        <v>0</v>
      </c>
      <c r="AH98" s="52">
        <f t="shared" si="234"/>
        <v>0</v>
      </c>
      <c r="AI98" s="52">
        <f t="shared" si="234"/>
        <v>0</v>
      </c>
      <c r="AJ98" s="52">
        <f t="shared" si="234"/>
        <v>0</v>
      </c>
      <c r="AK98" s="52">
        <f>SUM(AD98:AJ98)</f>
        <v>0</v>
      </c>
      <c r="AL98" s="51"/>
      <c r="AM98" s="52">
        <f t="shared" ref="AM98:AS98" si="235">IF(AM97="Matin",1,IF(AM97="AM",1,0))</f>
        <v>1</v>
      </c>
      <c r="AN98" s="52">
        <f t="shared" si="235"/>
        <v>0</v>
      </c>
      <c r="AO98" s="52">
        <f t="shared" si="235"/>
        <v>0</v>
      </c>
      <c r="AP98" s="52">
        <f t="shared" si="235"/>
        <v>1</v>
      </c>
      <c r="AQ98" s="52">
        <f t="shared" si="235"/>
        <v>1</v>
      </c>
      <c r="AR98" s="52">
        <f t="shared" si="235"/>
        <v>0</v>
      </c>
      <c r="AS98" s="52">
        <f t="shared" si="235"/>
        <v>0</v>
      </c>
      <c r="AT98" s="52">
        <f>SUM(AM98:AS98)</f>
        <v>3</v>
      </c>
      <c r="AU98" s="51"/>
      <c r="AV98" s="52">
        <f t="shared" ref="AV98:AW98" si="236">IF(AV97="Matin",1,IF(AV97="AM",1,0))</f>
        <v>0</v>
      </c>
      <c r="AW98" s="52">
        <f t="shared" si="236"/>
        <v>0</v>
      </c>
      <c r="AX98" s="52">
        <f t="shared" ref="AX98:AX105" si="237">SUM(AV98:AW98)</f>
        <v>0</v>
      </c>
      <c r="AY98" s="52">
        <f>J98+S98+AB98+AK98+AT98+AX98</f>
        <v>13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8">IF(E100&gt;=1,1,0)</f>
        <v>0</v>
      </c>
      <c r="F99" s="49">
        <f t="shared" si="238"/>
        <v>1</v>
      </c>
      <c r="G99" s="49">
        <f t="shared" si="238"/>
        <v>1</v>
      </c>
      <c r="H99" s="49">
        <f t="shared" si="238"/>
        <v>0</v>
      </c>
      <c r="I99" s="49">
        <f t="shared" si="238"/>
        <v>0</v>
      </c>
      <c r="J99" s="52">
        <f t="shared" ref="J99:J109" si="239">SUM(C99:I99)</f>
        <v>2</v>
      </c>
      <c r="K99" s="48"/>
      <c r="L99" s="49">
        <f>IF(L100&gt;=1,1,0)</f>
        <v>1</v>
      </c>
      <c r="M99" s="49">
        <f t="shared" ref="M99:R99" si="240">IF(M100&gt;=1,1,0)</f>
        <v>1</v>
      </c>
      <c r="N99" s="49">
        <f t="shared" si="240"/>
        <v>1</v>
      </c>
      <c r="O99" s="49">
        <f t="shared" si="240"/>
        <v>1</v>
      </c>
      <c r="P99" s="49">
        <f t="shared" si="240"/>
        <v>1</v>
      </c>
      <c r="Q99" s="49">
        <f t="shared" si="240"/>
        <v>0</v>
      </c>
      <c r="R99" s="49">
        <f t="shared" si="240"/>
        <v>0</v>
      </c>
      <c r="S99" s="52">
        <f t="shared" ref="S99:S109" si="241">SUM(L99:R99)</f>
        <v>5</v>
      </c>
      <c r="T99" s="48"/>
      <c r="U99" s="49">
        <f>IF(U100&gt;=1,1,0)</f>
        <v>1</v>
      </c>
      <c r="V99" s="49">
        <f t="shared" ref="V99:AA99" si="242">IF(V100&gt;=1,1,0)</f>
        <v>1</v>
      </c>
      <c r="W99" s="49">
        <f t="shared" si="242"/>
        <v>1</v>
      </c>
      <c r="X99" s="49">
        <f t="shared" si="242"/>
        <v>0</v>
      </c>
      <c r="Y99" s="49">
        <f t="shared" si="242"/>
        <v>0</v>
      </c>
      <c r="Z99" s="49">
        <f t="shared" si="242"/>
        <v>0</v>
      </c>
      <c r="AA99" s="49">
        <f t="shared" si="242"/>
        <v>0</v>
      </c>
      <c r="AB99" s="52">
        <f t="shared" ref="AB99:AB109" si="243">SUM(U99:AA99)</f>
        <v>3</v>
      </c>
      <c r="AC99" s="48"/>
      <c r="AD99" s="49">
        <f>IF(AD100&gt;=1,1,0)</f>
        <v>1</v>
      </c>
      <c r="AE99" s="49">
        <f t="shared" ref="AE99:AJ99" si="244">IF(AE100&gt;=1,1,0)</f>
        <v>1</v>
      </c>
      <c r="AF99" s="49">
        <f t="shared" si="244"/>
        <v>1</v>
      </c>
      <c r="AG99" s="49">
        <f t="shared" si="244"/>
        <v>1</v>
      </c>
      <c r="AH99" s="49">
        <f t="shared" si="244"/>
        <v>1</v>
      </c>
      <c r="AI99" s="49">
        <f t="shared" si="244"/>
        <v>0</v>
      </c>
      <c r="AJ99" s="49">
        <f t="shared" si="244"/>
        <v>0</v>
      </c>
      <c r="AK99" s="52">
        <f t="shared" ref="AK99:AK109" si="245">SUM(AD99:AJ99)</f>
        <v>5</v>
      </c>
      <c r="AL99" s="48"/>
      <c r="AM99" s="49">
        <f>IF(AM100&gt;=1,1,0)</f>
        <v>1</v>
      </c>
      <c r="AN99" s="49">
        <f t="shared" ref="AN99:AS99" si="246">IF(AN100&gt;=1,1,0)</f>
        <v>0</v>
      </c>
      <c r="AO99" s="49">
        <f t="shared" si="246"/>
        <v>0</v>
      </c>
      <c r="AP99" s="49">
        <f t="shared" si="246"/>
        <v>1</v>
      </c>
      <c r="AQ99" s="49">
        <f t="shared" si="246"/>
        <v>1</v>
      </c>
      <c r="AR99" s="49">
        <f t="shared" si="246"/>
        <v>0</v>
      </c>
      <c r="AS99" s="49">
        <f t="shared" si="246"/>
        <v>0</v>
      </c>
      <c r="AT99" s="52">
        <f t="shared" ref="AT99:AT109" si="247">SUM(AM99:AS99)</f>
        <v>3</v>
      </c>
      <c r="AU99" s="48"/>
      <c r="AV99" s="49">
        <f>IF(AV100&gt;=1,1,0)</f>
        <v>0</v>
      </c>
      <c r="AW99" s="49">
        <f t="shared" ref="AW99" si="248">IF(AW100&gt;=1,1,0)</f>
        <v>0</v>
      </c>
      <c r="AX99" s="52">
        <f t="shared" si="237"/>
        <v>0</v>
      </c>
      <c r="AY99" s="49">
        <f t="shared" ref="AY99:AY108" si="249">J99+S99+AB99+AK99+AT99+AX99</f>
        <v>18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50">IF(D97="Matin",8,IF(D97="AM",8,IF(D97="nuit",8,0)))</f>
        <v>0</v>
      </c>
      <c r="E100" s="52">
        <f t="shared" si="250"/>
        <v>0</v>
      </c>
      <c r="F100" s="52">
        <f t="shared" si="250"/>
        <v>8</v>
      </c>
      <c r="G100" s="52">
        <f t="shared" si="250"/>
        <v>8</v>
      </c>
      <c r="H100" s="52">
        <f t="shared" si="250"/>
        <v>0</v>
      </c>
      <c r="I100" s="52">
        <f t="shared" si="250"/>
        <v>0</v>
      </c>
      <c r="J100" s="52">
        <f t="shared" si="239"/>
        <v>16</v>
      </c>
      <c r="K100" s="51"/>
      <c r="L100" s="52">
        <f>IF(L97="Matin",8,IF(L97="AM",8,IF(L97="nuit",8,0)))</f>
        <v>8</v>
      </c>
      <c r="M100" s="52">
        <f t="shared" ref="M100:R100" si="251">IF(M97="Matin",8,IF(M97="AM",8,IF(M97="nuit",8,0)))</f>
        <v>8</v>
      </c>
      <c r="N100" s="52">
        <f t="shared" si="251"/>
        <v>8</v>
      </c>
      <c r="O100" s="52">
        <f t="shared" si="251"/>
        <v>8</v>
      </c>
      <c r="P100" s="52">
        <f t="shared" si="251"/>
        <v>8</v>
      </c>
      <c r="Q100" s="52">
        <f t="shared" si="251"/>
        <v>0</v>
      </c>
      <c r="R100" s="52">
        <f t="shared" si="251"/>
        <v>0</v>
      </c>
      <c r="S100" s="52">
        <f t="shared" si="241"/>
        <v>40</v>
      </c>
      <c r="T100" s="51"/>
      <c r="U100" s="52">
        <f>IF(U97="Matin",8,IF(U97="AM",8,IF(U97="nuit",8,0)))</f>
        <v>8</v>
      </c>
      <c r="V100" s="52">
        <f t="shared" ref="V100:AA100" si="252">IF(V97="Matin",8,IF(V97="AM",8,IF(V97="nuit",8,0)))</f>
        <v>8</v>
      </c>
      <c r="W100" s="52">
        <f t="shared" si="252"/>
        <v>8</v>
      </c>
      <c r="X100" s="52">
        <f t="shared" si="252"/>
        <v>0</v>
      </c>
      <c r="Y100" s="52">
        <f t="shared" si="252"/>
        <v>0</v>
      </c>
      <c r="Z100" s="52">
        <f t="shared" si="252"/>
        <v>0</v>
      </c>
      <c r="AA100" s="52">
        <f t="shared" si="252"/>
        <v>0</v>
      </c>
      <c r="AB100" s="52">
        <f t="shared" si="243"/>
        <v>24</v>
      </c>
      <c r="AC100" s="51"/>
      <c r="AD100" s="52">
        <f>IF(AD97="Matin",8,IF(AD97="AM",8,IF(AD97="nuit",8,0)))</f>
        <v>8</v>
      </c>
      <c r="AE100" s="52">
        <f t="shared" ref="AE100:AJ100" si="253">IF(AE97="Matin",8,IF(AE97="AM",8,IF(AE97="nuit",8,0)))</f>
        <v>8</v>
      </c>
      <c r="AF100" s="52">
        <f t="shared" si="253"/>
        <v>8</v>
      </c>
      <c r="AG100" s="52">
        <f t="shared" si="253"/>
        <v>8</v>
      </c>
      <c r="AH100" s="52">
        <f t="shared" si="253"/>
        <v>8</v>
      </c>
      <c r="AI100" s="52">
        <f t="shared" si="253"/>
        <v>0</v>
      </c>
      <c r="AJ100" s="52">
        <f t="shared" si="253"/>
        <v>0</v>
      </c>
      <c r="AK100" s="52">
        <f t="shared" si="245"/>
        <v>40</v>
      </c>
      <c r="AL100" s="51"/>
      <c r="AM100" s="52">
        <f>IF(AM97="Matin",8,IF(AM97="AM",8,IF(AM97="nuit",8,0)))</f>
        <v>8</v>
      </c>
      <c r="AN100" s="52">
        <f t="shared" ref="AN100:AS100" si="254">IF(AN97="Matin",8,IF(AN97="AM",8,IF(AN97="nuit",8,0)))</f>
        <v>0</v>
      </c>
      <c r="AO100" s="52">
        <f t="shared" si="254"/>
        <v>0</v>
      </c>
      <c r="AP100" s="52">
        <f t="shared" si="254"/>
        <v>8</v>
      </c>
      <c r="AQ100" s="52">
        <f t="shared" si="254"/>
        <v>8</v>
      </c>
      <c r="AR100" s="52">
        <f t="shared" si="254"/>
        <v>0</v>
      </c>
      <c r="AS100" s="52">
        <f t="shared" si="254"/>
        <v>0</v>
      </c>
      <c r="AT100" s="52">
        <f t="shared" si="247"/>
        <v>24</v>
      </c>
      <c r="AU100" s="51"/>
      <c r="AV100" s="52">
        <f>IF(AV97="Matin",8,IF(AV97="AM",8,IF(AV97="nuit",8,0)))</f>
        <v>0</v>
      </c>
      <c r="AW100" s="52">
        <f t="shared" ref="AW100" si="255">IF(AW97="Matin",8,IF(AW97="AM",8,IF(AW97="nuit",8,0)))</f>
        <v>0</v>
      </c>
      <c r="AX100" s="52">
        <f t="shared" si="237"/>
        <v>0</v>
      </c>
      <c r="AY100" s="52">
        <f t="shared" si="249"/>
        <v>144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13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9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41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3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5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7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7"/>
        <v>0</v>
      </c>
      <c r="AY101" s="50">
        <f t="shared" si="249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9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41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3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5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7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7"/>
        <v>0</v>
      </c>
      <c r="AY102" s="52">
        <f t="shared" si="249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9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41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3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5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7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7"/>
        <v>0</v>
      </c>
      <c r="AY103" s="50">
        <f t="shared" si="249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6">IF(D95="Dim",D100,IF(D110="ferie",D100,0))</f>
        <v>0</v>
      </c>
      <c r="E104" s="52">
        <f t="shared" si="256"/>
        <v>0</v>
      </c>
      <c r="F104" s="52">
        <f t="shared" si="256"/>
        <v>0</v>
      </c>
      <c r="G104" s="52">
        <f t="shared" si="256"/>
        <v>0</v>
      </c>
      <c r="H104" s="52">
        <f t="shared" si="256"/>
        <v>0</v>
      </c>
      <c r="I104" s="52">
        <f t="shared" si="256"/>
        <v>0</v>
      </c>
      <c r="J104" s="52">
        <f t="shared" si="239"/>
        <v>0</v>
      </c>
      <c r="K104" s="51"/>
      <c r="L104" s="52">
        <f>IF(L95="Dim",L100,IF(L110="ferie",L100,0))</f>
        <v>0</v>
      </c>
      <c r="M104" s="52">
        <f t="shared" ref="M104:R104" si="257">IF(M95="Dim",M100,IF(M110="ferie",M100,0))</f>
        <v>0</v>
      </c>
      <c r="N104" s="52">
        <f t="shared" si="257"/>
        <v>0</v>
      </c>
      <c r="O104" s="52">
        <f t="shared" si="257"/>
        <v>0</v>
      </c>
      <c r="P104" s="52">
        <f t="shared" si="257"/>
        <v>0</v>
      </c>
      <c r="Q104" s="52">
        <f>IF(Q95="Dim",Q100,IF(Q110="ferie",Q100,0))</f>
        <v>0</v>
      </c>
      <c r="R104" s="52">
        <f t="shared" si="257"/>
        <v>0</v>
      </c>
      <c r="S104" s="52">
        <f t="shared" si="241"/>
        <v>0</v>
      </c>
      <c r="T104" s="51"/>
      <c r="U104" s="52">
        <f>IF(U95="Dim",U100,IF(U110="ferie",U100,0))</f>
        <v>0</v>
      </c>
      <c r="V104" s="52">
        <f t="shared" ref="V104:AA104" si="258">IF(V95="Dim",V100,IF(V110="ferie",V100,0))</f>
        <v>0</v>
      </c>
      <c r="W104" s="52">
        <f t="shared" si="258"/>
        <v>0</v>
      </c>
      <c r="X104" s="52">
        <f t="shared" si="258"/>
        <v>0</v>
      </c>
      <c r="Y104" s="52">
        <f t="shared" si="258"/>
        <v>0</v>
      </c>
      <c r="Z104" s="52">
        <f t="shared" si="258"/>
        <v>0</v>
      </c>
      <c r="AA104" s="52">
        <f t="shared" si="258"/>
        <v>0</v>
      </c>
      <c r="AB104" s="52">
        <f t="shared" ref="AB104" si="259">SUM(U104:AA104)</f>
        <v>0</v>
      </c>
      <c r="AC104" s="51"/>
      <c r="AD104" s="52">
        <f>IF(AD95="Dim",AD100,IF(AD110="ferie",AD100,0))</f>
        <v>0</v>
      </c>
      <c r="AE104" s="52">
        <f t="shared" ref="AE104:AJ104" si="260">IF(AE95="Dim",AE100,IF(AE110="ferie",AE100,0))</f>
        <v>0</v>
      </c>
      <c r="AF104" s="52">
        <f t="shared" si="260"/>
        <v>0</v>
      </c>
      <c r="AG104" s="52">
        <f t="shared" si="260"/>
        <v>0</v>
      </c>
      <c r="AH104" s="52">
        <f t="shared" si="260"/>
        <v>0</v>
      </c>
      <c r="AI104" s="52">
        <f t="shared" si="260"/>
        <v>0</v>
      </c>
      <c r="AJ104" s="52">
        <f t="shared" si="260"/>
        <v>0</v>
      </c>
      <c r="AK104" s="52">
        <f t="shared" si="245"/>
        <v>0</v>
      </c>
      <c r="AL104" s="51"/>
      <c r="AM104" s="52">
        <f>IF(AM95="Dim",AM100,IF(AM110="ferie",AM100,0))</f>
        <v>0</v>
      </c>
      <c r="AN104" s="52">
        <f t="shared" ref="AN104:AW104" si="261">IF(AN95="Dim",AN100,IF(AN110="ferie",AN100,0))</f>
        <v>0</v>
      </c>
      <c r="AO104" s="52">
        <f t="shared" si="261"/>
        <v>0</v>
      </c>
      <c r="AP104" s="52">
        <f t="shared" si="261"/>
        <v>0</v>
      </c>
      <c r="AQ104" s="52">
        <f t="shared" si="261"/>
        <v>0</v>
      </c>
      <c r="AR104" s="52">
        <f t="shared" si="261"/>
        <v>0</v>
      </c>
      <c r="AS104" s="52">
        <f t="shared" si="261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61"/>
        <v>0</v>
      </c>
      <c r="AX104" s="52">
        <f t="shared" si="237"/>
        <v>0</v>
      </c>
      <c r="AY104" s="52">
        <f t="shared" si="249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9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41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3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5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7"/>
        <v>0</v>
      </c>
      <c r="AU105" s="48"/>
      <c r="AV105" s="49"/>
      <c r="AW105" s="49"/>
      <c r="AX105" s="52">
        <f t="shared" si="237"/>
        <v>0</v>
      </c>
      <c r="AY105" s="49">
        <f t="shared" si="249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9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41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3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5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7"/>
        <v>0</v>
      </c>
      <c r="AU106" s="51"/>
      <c r="AV106" s="52"/>
      <c r="AW106" s="52"/>
      <c r="AX106" s="52">
        <f t="shared" ref="AX106:AX108" si="262">SUM(AV106:AW106)</f>
        <v>0</v>
      </c>
      <c r="AY106" s="52">
        <f t="shared" si="249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9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41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3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5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7"/>
        <v>0</v>
      </c>
      <c r="AU107" s="48"/>
      <c r="AV107" s="49"/>
      <c r="AW107" s="49"/>
      <c r="AX107" s="52">
        <f t="shared" si="262"/>
        <v>0</v>
      </c>
      <c r="AY107" s="50">
        <f t="shared" si="249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9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41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3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5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7"/>
        <v>0</v>
      </c>
      <c r="AU108" s="51"/>
      <c r="AV108" s="52"/>
      <c r="AW108" s="52"/>
      <c r="AX108" s="52">
        <f t="shared" si="262"/>
        <v>0</v>
      </c>
      <c r="AY108" s="52">
        <f t="shared" si="249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37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3">IF(E97="nuit",E100*0.02,0)</f>
        <v>0</v>
      </c>
      <c r="F109" s="49">
        <f t="shared" si="263"/>
        <v>0</v>
      </c>
      <c r="G109" s="49">
        <f>IF(G97="nuit",G100*0.02,0)</f>
        <v>0</v>
      </c>
      <c r="H109" s="49">
        <f t="shared" si="263"/>
        <v>0</v>
      </c>
      <c r="I109" s="49">
        <f t="shared" si="263"/>
        <v>0</v>
      </c>
      <c r="J109" s="52">
        <f t="shared" si="239"/>
        <v>0</v>
      </c>
      <c r="K109" s="48"/>
      <c r="L109" s="49">
        <f>IF(L97="nuit",L100*0.02,0)</f>
        <v>0</v>
      </c>
      <c r="M109" s="49">
        <f>IF(M97="nuit",M100*0.02,0)</f>
        <v>0</v>
      </c>
      <c r="N109" s="49">
        <f t="shared" ref="N109:R109" si="264">IF(N97="nuit",N100*0.02,0)</f>
        <v>0</v>
      </c>
      <c r="O109" s="49">
        <f t="shared" si="264"/>
        <v>0</v>
      </c>
      <c r="P109" s="49">
        <f>IF(P97="nuit",P100*0.02,0)</f>
        <v>0</v>
      </c>
      <c r="Q109" s="49">
        <f t="shared" si="264"/>
        <v>0</v>
      </c>
      <c r="R109" s="49">
        <f t="shared" si="264"/>
        <v>0</v>
      </c>
      <c r="S109" s="52">
        <f t="shared" si="241"/>
        <v>0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5">IF(W97="nuit",W100*0.02,0)</f>
        <v>0</v>
      </c>
      <c r="X109" s="49">
        <f t="shared" si="265"/>
        <v>0</v>
      </c>
      <c r="Y109" s="49">
        <f>IF(Y97="nuit",Y100*0.02,0)</f>
        <v>0</v>
      </c>
      <c r="Z109" s="49">
        <f t="shared" si="265"/>
        <v>0</v>
      </c>
      <c r="AA109" s="49">
        <f t="shared" si="265"/>
        <v>0</v>
      </c>
      <c r="AB109" s="52">
        <f t="shared" si="243"/>
        <v>0</v>
      </c>
      <c r="AC109" s="48"/>
      <c r="AD109" s="49">
        <f>IF(AD97="nuit",AD100*0.02,0)</f>
        <v>0.16</v>
      </c>
      <c r="AE109" s="49">
        <f>IF(AE97="nuit",AE100*0.02,0)</f>
        <v>0.16</v>
      </c>
      <c r="AF109" s="49">
        <f t="shared" ref="AF109:AJ109" si="266">IF(AF97="nuit",AF100*0.02,0)</f>
        <v>0.16</v>
      </c>
      <c r="AG109" s="49">
        <f t="shared" si="266"/>
        <v>0.16</v>
      </c>
      <c r="AH109" s="49">
        <f>IF(AH97="nuit",AH100*0.02,0)</f>
        <v>0.16</v>
      </c>
      <c r="AI109" s="49">
        <f t="shared" si="266"/>
        <v>0</v>
      </c>
      <c r="AJ109" s="49">
        <f t="shared" si="266"/>
        <v>0</v>
      </c>
      <c r="AK109" s="52">
        <f t="shared" si="245"/>
        <v>0.8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7">IF(AO97="nuit",AO100*0.02,0)</f>
        <v>0</v>
      </c>
      <c r="AP109" s="49">
        <f t="shared" si="267"/>
        <v>0</v>
      </c>
      <c r="AQ109" s="49">
        <f>IF(AQ97="nuit",AQ100*0.02,0)</f>
        <v>0</v>
      </c>
      <c r="AR109" s="49">
        <f t="shared" si="267"/>
        <v>0</v>
      </c>
      <c r="AS109" s="49">
        <f t="shared" si="267"/>
        <v>0</v>
      </c>
      <c r="AT109" s="52">
        <f t="shared" si="247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24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56"/>
      <c r="B111" s="56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.75" thickBot="1">
      <c r="A112" s="16"/>
      <c r="B112" s="16"/>
      <c r="C112" s="19" t="s">
        <v>18</v>
      </c>
      <c r="D112" s="19"/>
      <c r="E112" s="19"/>
      <c r="F112" s="19"/>
      <c r="G112" s="19"/>
      <c r="H112" s="106">
        <f>Année_Calendaire</f>
        <v>2017</v>
      </c>
      <c r="I112" s="106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18</v>
      </c>
      <c r="V112" s="19"/>
      <c r="W112" s="19"/>
      <c r="X112" s="19"/>
      <c r="Y112" s="19"/>
      <c r="Z112" s="106">
        <f>Année_Calendaire</f>
        <v>2017</v>
      </c>
      <c r="AA112" s="106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18</v>
      </c>
      <c r="AN112" s="19"/>
      <c r="AO112" s="19"/>
      <c r="AP112" s="19"/>
      <c r="AQ112" s="19"/>
      <c r="AR112" s="106">
        <f>Année_Calendaire</f>
        <v>2017</v>
      </c>
      <c r="AS112" s="106"/>
      <c r="AT112" s="37"/>
      <c r="AU112" s="44"/>
      <c r="AV112" s="26"/>
      <c r="AW112" s="26"/>
      <c r="AX112" s="37"/>
    </row>
    <row r="113" spans="1:59" s="23" customFormat="1" ht="29.25" customHeight="1" thickTop="1" thickBot="1">
      <c r="A113" s="36"/>
      <c r="B113" s="55" t="str">
        <f>IF(C113="",AU95,LEFT(AU95)&amp;MOD(RIGHT(AU95),4)+1)</f>
        <v>C3</v>
      </c>
      <c r="C113" s="91" t="str">
        <f>IF(C114&lt;&gt;"","Lun","")</f>
        <v/>
      </c>
      <c r="D113" s="91" t="str">
        <f>IF(D114&lt;&gt;"","Mar","")</f>
        <v/>
      </c>
      <c r="E113" s="91" t="str">
        <f>IF(E114&lt;&gt;"","Mer","")</f>
        <v/>
      </c>
      <c r="F113" s="91" t="str">
        <f>IF(F114&lt;&gt;"","Jeu","")</f>
        <v/>
      </c>
      <c r="G113" s="91" t="str">
        <f>IF(G114&lt;&gt;"","Ven","")</f>
        <v/>
      </c>
      <c r="H113" s="91" t="str">
        <f>IF(H114&lt;&gt;"","Sam","")</f>
        <v>Sam</v>
      </c>
      <c r="I113" s="91" t="str">
        <f>IF(I114&lt;&gt;"","Dim","")</f>
        <v>Dim</v>
      </c>
      <c r="J113" s="105" t="s">
        <v>25</v>
      </c>
      <c r="K113" s="55" t="str">
        <f>IF(L113="",LEFT(B113)&amp;MOD(RIGHT(B113),5),LEFT(B113)&amp;MOD(RIGHT(B113),4)+1)</f>
        <v>C4</v>
      </c>
      <c r="L113" s="100" t="str">
        <f>IF(L114&lt;&gt;"","Lun","")</f>
        <v>Lun</v>
      </c>
      <c r="M113" s="100" t="str">
        <f>IF(M114&lt;&gt;"","Mar","")</f>
        <v>Mar</v>
      </c>
      <c r="N113" s="100" t="str">
        <f>IF(N114&lt;&gt;"","Mer","")</f>
        <v>Mer</v>
      </c>
      <c r="O113" s="100" t="str">
        <f>IF(O114&lt;&gt;"","Jeu","")</f>
        <v>Jeu</v>
      </c>
      <c r="P113" s="100" t="str">
        <f>IF(P114&lt;&gt;"","Ven","")</f>
        <v>Ven</v>
      </c>
      <c r="Q113" s="100" t="str">
        <f>IF(Q114&lt;&gt;"","Sam","")</f>
        <v>Sam</v>
      </c>
      <c r="R113" s="100" t="str">
        <f>IF(R114&lt;&gt;"","Dim","")</f>
        <v>Dim</v>
      </c>
      <c r="S113" s="105" t="s">
        <v>25</v>
      </c>
      <c r="T113" s="55" t="str">
        <f>IF(U113="",LEFT(K113)&amp;MOD(RIGHT(K113),5),LEFT(K113)&amp;MOD(RIGHT(K113),4)+1)</f>
        <v>C1</v>
      </c>
      <c r="U113" s="100" t="str">
        <f>IF(U114&lt;&gt;"","Lun","")</f>
        <v>Lun</v>
      </c>
      <c r="V113" s="100" t="str">
        <f>IF(V114&lt;&gt;"","Mar","")</f>
        <v>Mar</v>
      </c>
      <c r="W113" s="100" t="str">
        <f>IF(W114&lt;&gt;"","Mer","")</f>
        <v>Mer</v>
      </c>
      <c r="X113" s="100" t="str">
        <f>IF(X114&lt;&gt;"","Jeu","")</f>
        <v>Jeu</v>
      </c>
      <c r="Y113" s="100" t="str">
        <f>IF(Y114&lt;&gt;"","Ven","")</f>
        <v>Ven</v>
      </c>
      <c r="Z113" s="100" t="str">
        <f>IF(Z114&lt;&gt;"","Sam","")</f>
        <v>Sam</v>
      </c>
      <c r="AA113" s="100" t="str">
        <f>IF(AA114&lt;&gt;"","Dim","")</f>
        <v>Dim</v>
      </c>
      <c r="AB113" s="105" t="s">
        <v>25</v>
      </c>
      <c r="AC113" s="55" t="str">
        <f>IF(AD113="",LEFT(T113)&amp;MOD(RIGHT(T113),5),LEFT(T113)&amp;MOD(RIGHT(T113),4)+1)</f>
        <v>C2</v>
      </c>
      <c r="AD113" s="100" t="str">
        <f>IF(AD114&lt;&gt;"","Lun","")</f>
        <v>Lun</v>
      </c>
      <c r="AE113" s="100" t="str">
        <f>IF(AE114&lt;&gt;"","Mar","")</f>
        <v>Mar</v>
      </c>
      <c r="AF113" s="100" t="str">
        <f>IF(AF114&lt;&gt;"","Mer","")</f>
        <v>Mer</v>
      </c>
      <c r="AG113" s="100" t="str">
        <f>IF(AG114&lt;&gt;"","Jeu","")</f>
        <v>Jeu</v>
      </c>
      <c r="AH113" s="100" t="str">
        <f>IF(AH114&lt;&gt;"","Ven","")</f>
        <v>Ven</v>
      </c>
      <c r="AI113" s="100" t="str">
        <f>IF(AI114&lt;&gt;"","Sam","")</f>
        <v>Sam</v>
      </c>
      <c r="AJ113" s="100" t="str">
        <f>IF(AJ114&lt;&gt;"","Dim","")</f>
        <v>Dim</v>
      </c>
      <c r="AK113" s="105" t="s">
        <v>25</v>
      </c>
      <c r="AL113" s="55" t="str">
        <f>IF(AM113="",LEFT(AC113)&amp;MOD(RIGHT(AC113),5),LEFT(AC113)&amp;MOD(RIGHT(AC113),4)+1)</f>
        <v>C3</v>
      </c>
      <c r="AM113" s="100" t="str">
        <f>IF(AM114&lt;&gt;"","Lun","")</f>
        <v>Lun</v>
      </c>
      <c r="AN113" s="100" t="str">
        <f>IF(AN114&lt;&gt;"","Mar","")</f>
        <v>Mar</v>
      </c>
      <c r="AO113" s="100" t="str">
        <f>IF(AO114&lt;&gt;"","Mer","")</f>
        <v>Mer</v>
      </c>
      <c r="AP113" s="100" t="str">
        <f>IF(AP114&lt;&gt;"","Jeu","")</f>
        <v>Jeu</v>
      </c>
      <c r="AQ113" s="100" t="str">
        <f>IF(AQ114&lt;&gt;"","Ven","")</f>
        <v>Ven</v>
      </c>
      <c r="AR113" s="100" t="str">
        <f>IF(AR114&lt;&gt;"","Sam","")</f>
        <v>Sam</v>
      </c>
      <c r="AS113" s="100" t="str">
        <f>IF(AS114&lt;&gt;"","Dim","")</f>
        <v>Dim</v>
      </c>
      <c r="AT113" s="105" t="s">
        <v>25</v>
      </c>
      <c r="AU113" s="55" t="str">
        <f>IF(AV113="",LEFT(AL113)&amp;MOD(RIGHT(AL113),5),LEFT(AL113)&amp;MOD(RIGHT(AL113),4)+1)</f>
        <v>C4</v>
      </c>
      <c r="AV113" s="53" t="str">
        <f>IF(AV114&lt;&gt;"","Lun","")</f>
        <v>Lun</v>
      </c>
      <c r="AW113" s="53" t="str">
        <f>IF(AW114&lt;&gt;"","Mar","")</f>
        <v/>
      </c>
      <c r="AX113" s="105" t="s">
        <v>25</v>
      </c>
      <c r="AY113" s="105" t="s">
        <v>28</v>
      </c>
      <c r="AZ113" s="108">
        <f>AY120+AY121+AY122</f>
        <v>10</v>
      </c>
      <c r="BA113" s="108">
        <f>AZ113+BA95</f>
        <v>65</v>
      </c>
      <c r="BB113" s="39"/>
      <c r="BC113" s="39"/>
      <c r="BD113" s="39"/>
      <c r="BE113" s="39"/>
      <c r="BF113" s="34"/>
    </row>
    <row r="114" spans="1:59" s="25" customFormat="1" ht="15" customHeight="1" thickTop="1">
      <c r="A114" s="10"/>
      <c r="B114" s="54"/>
      <c r="C114" s="90" t="str">
        <f>IF(DAY(Juil_Dim1)=1,"",IF(AND(YEAR(Juil_Dim1+1)=Année_Calendaire,MONTH(Juil_Dim1+1)=7),Juil_Dim1+1,""))</f>
        <v/>
      </c>
      <c r="D114" s="90" t="str">
        <f>IF(DAY(Juil_Dim1)=1,"",IF(AND(YEAR(Juil_Dim1+2)=Année_Calendaire,MONTH(Juil_Dim1+2)=7),Juil_Dim1+2,""))</f>
        <v/>
      </c>
      <c r="E114" s="90" t="str">
        <f>IF(DAY(Juil_Dim1)=1,"",IF(AND(YEAR(Juil_Dim1+3)=Année_Calendaire,MONTH(Juil_Dim1+3)=7),Juil_Dim1+3,""))</f>
        <v/>
      </c>
      <c r="F114" s="90" t="str">
        <f>IF(DAY(Juil_Dim1)=1,"",IF(AND(YEAR(Juil_Dim1+4)=Année_Calendaire,MONTH(Juil_Dim1+4)=7),Juil_Dim1+4,""))</f>
        <v/>
      </c>
      <c r="G114" s="90" t="str">
        <f>IF(DAY(Juil_Dim1)=1,"",IF(AND(YEAR(Juil_Dim1+5)=Année_Calendaire,MONTH(Juil_Dim1+5)=7),Juil_Dim1+5,""))</f>
        <v/>
      </c>
      <c r="H114" s="90">
        <f>IF(DAY(Juil_Dim1)=1,"",IF(AND(YEAR(Juil_Dim1+6)=Année_Calendaire,MONTH(Juil_Dim1+6)=7),Juil_Dim1+6,""))</f>
        <v>42917</v>
      </c>
      <c r="I114" s="90">
        <f>IF(DAY(Juil_Dim1)=1,IF(AND(YEAR(Juil_Dim1)=Année_Calendaire,MONTH(Juil_Dim1)=7),Juil_Dim1,""),IF(AND(YEAR(Juil_Dim1+7)=Année_Calendaire,MONTH(Juil_Dim1+7)=7),Juil_Dim1+7,""))</f>
        <v>42918</v>
      </c>
      <c r="J114" s="105"/>
      <c r="K114" s="54"/>
      <c r="L114" s="90">
        <f>IF(DAY(Juil_Dim1)=1,IF(AND(YEAR(Juil_Dim1+1)=Année_Calendaire,MONTH(Juil_Dim1+1)=7),Juil_Dim1+1,""),IF(AND(YEAR(Juil_Dim1+8)=Année_Calendaire,MONTH(Juil_Dim1+8)=7),Juil_Dim1+8,""))</f>
        <v>42919</v>
      </c>
      <c r="M114" s="90">
        <f>IF(DAY(Juil_Dim1)=1,IF(AND(YEAR(Juil_Dim1+2)=Année_Calendaire,MONTH(Juil_Dim1+2)=7),Juil_Dim1+2,""),IF(AND(YEAR(Juil_Dim1+9)=Année_Calendaire,MONTH(Juil_Dim1+9)=7),Juil_Dim1+9,""))</f>
        <v>42920</v>
      </c>
      <c r="N114" s="90">
        <f>IF(DAY(Juil_Dim1)=1,IF(AND(YEAR(Juil_Dim1+3)=Année_Calendaire,MONTH(Juil_Dim1+3)=7),Juil_Dim1+3,""),IF(AND(YEAR(Juil_Dim1+10)=Année_Calendaire,MONTH(Juil_Dim1+10)=7),Juil_Dim1+10,""))</f>
        <v>42921</v>
      </c>
      <c r="O114" s="90">
        <f>IF(DAY(Juil_Dim1)=1,IF(AND(YEAR(Juil_Dim1+4)=Année_Calendaire,MONTH(Juil_Dim1+4)=7),Juil_Dim1+4,""),IF(AND(YEAR(Juil_Dim1+11)=Année_Calendaire,MONTH(Juil_Dim1+11)=7),Juil_Dim1+11,""))</f>
        <v>42922</v>
      </c>
      <c r="P114" s="90">
        <f>IF(DAY(Juil_Dim1)=1,IF(AND(YEAR(Juil_Dim1+5)=Année_Calendaire,MONTH(Juil_Dim1+5)=7),Juil_Dim1+5,""),IF(AND(YEAR(Juil_Dim1+12)=Année_Calendaire,MONTH(Juil_Dim1+12)=7),Juil_Dim1+12,""))</f>
        <v>42923</v>
      </c>
      <c r="Q114" s="90">
        <f>IF(DAY(Juil_Dim1)=1,IF(AND(YEAR(Juil_Dim1+6)=Année_Calendaire,MONTH(Juil_Dim1+6)=7),Juil_Dim1+6,""),IF(AND(YEAR(Juil_Dim1+13)=Année_Calendaire,MONTH(Juil_Dim1+13)=7),Juil_Dim1+13,""))</f>
        <v>42924</v>
      </c>
      <c r="R114" s="90">
        <f>IF(DAY(Juil_Dim1)=1,IF(AND(YEAR(Juil_Dim1+7)=Année_Calendaire,MONTH(Juil_Dim1+7)=7),Juil_Dim1+7,""),IF(AND(YEAR(Juil_Dim1+14)=Année_Calendaire,MONTH(Juil_Dim1+14)=7),Juil_Dim1+14,""))</f>
        <v>42925</v>
      </c>
      <c r="S114" s="105"/>
      <c r="T114" s="54"/>
      <c r="U114" s="90">
        <f>IF(DAY(Juil_Dim1)=1,IF(AND(YEAR(Juil_Dim1+8)=Année_Calendaire,MONTH(Juil_Dim1+8)=7),Juil_Dim1+8,""),IF(AND(YEAR(Juil_Dim1+15)=Année_Calendaire,MONTH(Juil_Dim1+15)=7),Juil_Dim1+15,""))</f>
        <v>42926</v>
      </c>
      <c r="V114" s="90">
        <f>IF(DAY(Juil_Dim1)=1,IF(AND(YEAR(Juil_Dim1+9)=Année_Calendaire,MONTH(Juil_Dim1+9)=7),Juil_Dim1+9,""),IF(AND(YEAR(Juil_Dim1+16)=Année_Calendaire,MONTH(Juil_Dim1+16)=7),Juil_Dim1+16,""))</f>
        <v>42927</v>
      </c>
      <c r="W114" s="90">
        <f>IF(DAY(Juil_Dim1)=1,IF(AND(YEAR(Juil_Dim1+10)=Année_Calendaire,MONTH(Juil_Dim1+10)=7),Juil_Dim1+10,""),IF(AND(YEAR(Juil_Dim1+17)=Année_Calendaire,MONTH(Juil_Dim1+17)=7),Juil_Dim1+17,""))</f>
        <v>42928</v>
      </c>
      <c r="X114" s="90">
        <f>IF(DAY(Juil_Dim1)=1,IF(AND(YEAR(Juil_Dim1+11)=Année_Calendaire,MONTH(Juil_Dim1+11)=7),Juil_Dim1+11,""),IF(AND(YEAR(Juil_Dim1+18)=Année_Calendaire,MONTH(Juil_Dim1+18)=7),Juil_Dim1+18,""))</f>
        <v>42929</v>
      </c>
      <c r="Y114" s="93">
        <f>IF(DAY(Juil_Dim1)=1,IF(AND(YEAR(Juil_Dim1+12)=Année_Calendaire,MONTH(Juil_Dim1+12)=7),Juil_Dim1+12,""),IF(AND(YEAR(Juil_Dim1+19)=Année_Calendaire,MONTH(Juil_Dim1+19)=7),Juil_Dim1+19,""))</f>
        <v>42930</v>
      </c>
      <c r="Z114" s="90">
        <f>IF(DAY(Juil_Dim1)=1,IF(AND(YEAR(Juil_Dim1+13)=Année_Calendaire,MONTH(Juil_Dim1+13)=7),Juil_Dim1+13,""),IF(AND(YEAR(Juil_Dim1+20)=Année_Calendaire,MONTH(Juil_Dim1+20)=7),Juil_Dim1+20,""))</f>
        <v>42931</v>
      </c>
      <c r="AA114" s="90">
        <f>IF(DAY(Juil_Dim1)=1,IF(AND(YEAR(Juil_Dim1+14)=Année_Calendaire,MONTH(Juil_Dim1+14)=7),Juil_Dim1+14,""),IF(AND(YEAR(Juil_Dim1+21)=Année_Calendaire,MONTH(Juil_Dim1+21)=7),Juil_Dim1+21,""))</f>
        <v>42932</v>
      </c>
      <c r="AB114" s="105"/>
      <c r="AC114" s="54"/>
      <c r="AD114" s="90">
        <f>IF(DAY(Juil_Dim1)=1,IF(AND(YEAR(Juil_Dim1+15)=Année_Calendaire,MONTH(Juil_Dim1+15)=7),Juil_Dim1+15,""),IF(AND(YEAR(Juil_Dim1+22)=Année_Calendaire,MONTH(Juil_Dim1+22)=7),Juil_Dim1+22,""))</f>
        <v>42933</v>
      </c>
      <c r="AE114" s="90">
        <f>IF(DAY(Juil_Dim1)=1,IF(AND(YEAR(Juil_Dim1+16)=Année_Calendaire,MONTH(Juil_Dim1+16)=7),Juil_Dim1+16,""),IF(AND(YEAR(Juil_Dim1+23)=Année_Calendaire,MONTH(Juil_Dim1+23)=7),Juil_Dim1+23,""))</f>
        <v>42934</v>
      </c>
      <c r="AF114" s="90">
        <f>IF(DAY(Juil_Dim1)=1,IF(AND(YEAR(Juil_Dim1+17)=Année_Calendaire,MONTH(Juil_Dim1+17)=7),Juil_Dim1+17,""),IF(AND(YEAR(Juil_Dim1+24)=Année_Calendaire,MONTH(Juil_Dim1+24)=7),Juil_Dim1+24,""))</f>
        <v>42935</v>
      </c>
      <c r="AG114" s="90">
        <f>IF(DAY(Juil_Dim1)=1,IF(AND(YEAR(Juil_Dim1+18)=Année_Calendaire,MONTH(Juil_Dim1+18)=7),Juil_Dim1+18,""),IF(AND(YEAR(Juil_Dim1+25)=Année_Calendaire,MONTH(Juil_Dim1+25)=7),Juil_Dim1+25,""))</f>
        <v>42936</v>
      </c>
      <c r="AH114" s="90">
        <f>IF(DAY(Juil_Dim1)=1,IF(AND(YEAR(Juil_Dim1+19)=Année_Calendaire,MONTH(Juil_Dim1+19)=7),Juil_Dim1+19,""),IF(AND(YEAR(Juil_Dim1+26)=Année_Calendaire,MONTH(Juil_Dim1+26)=7),Juil_Dim1+26,""))</f>
        <v>42937</v>
      </c>
      <c r="AI114" s="90">
        <f>IF(DAY(Juil_Dim1)=1,IF(AND(YEAR(Juil_Dim1+20)=Année_Calendaire,MONTH(Juil_Dim1+20)=7),Juil_Dim1+20,""),IF(AND(YEAR(Juil_Dim1+27)=Année_Calendaire,MONTH(Juil_Dim1+27)=7),Juil_Dim1+27,""))</f>
        <v>42938</v>
      </c>
      <c r="AJ114" s="90">
        <f>IF(DAY(Juil_Dim1)=1,IF(AND(YEAR(Juil_Dim1+21)=Année_Calendaire,MONTH(Juil_Dim1+21)=7),Juil_Dim1+21,""),IF(AND(YEAR(Juil_Dim1+28)=Année_Calendaire,MONTH(Juil_Dim1+28)=7),Juil_Dim1+28,""))</f>
        <v>42939</v>
      </c>
      <c r="AK114" s="105"/>
      <c r="AL114" s="54"/>
      <c r="AM114" s="90">
        <f>IF(DAY(Juil_Dim1)=1,IF(AND(YEAR(Juil_Dim1+22)=Année_Calendaire,MONTH(Juil_Dim1+22)=7),Juil_Dim1+22,""),IF(AND(YEAR(Juil_Dim1+29)=Année_Calendaire,MONTH(Juil_Dim1+29)=7),Juil_Dim1+29,""))</f>
        <v>42940</v>
      </c>
      <c r="AN114" s="90">
        <f>IF(DAY(Juil_Dim1)=1,IF(AND(YEAR(Juil_Dim1+23)=Année_Calendaire,MONTH(Juil_Dim1+23)=7),Juil_Dim1+23,""),IF(AND(YEAR(Juil_Dim1+30)=Année_Calendaire,MONTH(Juil_Dim1+30)=7),Juil_Dim1+30,""))</f>
        <v>42941</v>
      </c>
      <c r="AO114" s="90">
        <f>IF(DAY(Juil_Dim1)=1,IF(AND(YEAR(Juil_Dim1+24)=Année_Calendaire,MONTH(Juil_Dim1+24)=7),Juil_Dim1+24,""),IF(AND(YEAR(Juil_Dim1+31)=Année_Calendaire,MONTH(Juil_Dim1+31)=7),Juil_Dim1+31,""))</f>
        <v>42942</v>
      </c>
      <c r="AP114" s="90">
        <f>IF(DAY(Juil_Dim1)=1,IF(AND(YEAR(Juil_Dim1+25)=Année_Calendaire,MONTH(Juil_Dim1+25)=7),Juil_Dim1+25,""),IF(AND(YEAR(Juil_Dim1+32)=Année_Calendaire,MONTH(Juil_Dim1+32)=7),Juil_Dim1+32,""))</f>
        <v>42943</v>
      </c>
      <c r="AQ114" s="90">
        <f>IF(DAY(Juil_Dim1)=1,IF(AND(YEAR(Juil_Dim1+26)=Année_Calendaire,MONTH(Juil_Dim1+26)=7),Juil_Dim1+26,""),IF(AND(YEAR(Juil_Dim1+33)=Année_Calendaire,MONTH(Juil_Dim1+33)=7),Juil_Dim1+33,""))</f>
        <v>42944</v>
      </c>
      <c r="AR114" s="90">
        <f>IF(DAY(Juil_Dim1)=1,IF(AND(YEAR(Juil_Dim1+27)=Année_Calendaire,MONTH(Juil_Dim1+27)=7),Juil_Dim1+27,""),IF(AND(YEAR(Juil_Dim1+34)=Année_Calendaire,MONTH(Juil_Dim1+34)=7),Juil_Dim1+34,""))</f>
        <v>42945</v>
      </c>
      <c r="AS114" s="90">
        <f>IF(DAY(Juil_Dim1)=1,IF(AND(YEAR(Juil_Dim1+28)=Année_Calendaire,MONTH(Juil_Dim1+28)=7),Juil_Dim1+28,""),IF(AND(YEAR(Juil_Dim1+35)=Année_Calendaire,MONTH(Juil_Dim1+35)=7),Juil_Dim1+35,""))</f>
        <v>42946</v>
      </c>
      <c r="AT114" s="105"/>
      <c r="AU114" s="54"/>
      <c r="AV114" s="54">
        <f>IF(DAY(Juil_Dim1)=1,IF(AND(YEAR(Juil_Dim1+29)=Année_Calendaire,MONTH(Juil_Dim1+29)=7),Juil_Dim1+29,""),IF(AND(YEAR(Juil_Dim1+36)=Année_Calendaire,MONTH(Juil_Dim1+36)=7),Juil_Dim1+36,""))</f>
        <v>42947</v>
      </c>
      <c r="AW114" s="54" t="str">
        <f>IF(DAY(Juil_Dim1)=1,IF(AND(YEAR(Juil_Dim1+30)=Année_Calendaire,MONTH(Juil_Dim1+30)=7),Juil_Dim1+30,""),IF(AND(YEAR(Juil_Dim1+37)=Année_Calendaire,MONTH(Juil_Dim1+37)=7),Juil_Dim1+37,""))</f>
        <v/>
      </c>
      <c r="AX114" s="105"/>
      <c r="AY114" s="105"/>
      <c r="AZ114" s="108"/>
      <c r="BA114" s="108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/>
      <c r="D115" s="49"/>
      <c r="E115" s="49"/>
      <c r="F115" s="49"/>
      <c r="G115" s="49"/>
      <c r="H115" s="49"/>
      <c r="I115" s="49"/>
      <c r="J115" s="52"/>
      <c r="K115" s="48"/>
      <c r="L115" s="49" t="s">
        <v>50</v>
      </c>
      <c r="M115" s="49" t="s">
        <v>50</v>
      </c>
      <c r="N115" s="49" t="s">
        <v>50</v>
      </c>
      <c r="O115" s="49" t="s">
        <v>50</v>
      </c>
      <c r="P115" s="49" t="s">
        <v>50</v>
      </c>
      <c r="Q115" s="49"/>
      <c r="R115" s="49"/>
      <c r="S115" s="52"/>
      <c r="T115" s="48"/>
      <c r="U115" s="49" t="s">
        <v>48</v>
      </c>
      <c r="V115" s="49" t="s">
        <v>48</v>
      </c>
      <c r="W115" s="49" t="s">
        <v>48</v>
      </c>
      <c r="X115" s="49"/>
      <c r="Y115" s="49"/>
      <c r="Z115" s="49"/>
      <c r="AA115" s="49"/>
      <c r="AB115" s="52"/>
      <c r="AC115" s="48"/>
      <c r="AD115" s="49" t="s">
        <v>49</v>
      </c>
      <c r="AE115" s="49" t="s">
        <v>49</v>
      </c>
      <c r="AF115" s="49" t="s">
        <v>49</v>
      </c>
      <c r="AG115" s="49" t="s">
        <v>49</v>
      </c>
      <c r="AH115" s="49" t="s">
        <v>49</v>
      </c>
      <c r="AI115" s="49"/>
      <c r="AJ115" s="49"/>
      <c r="AK115" s="52"/>
      <c r="AL115" s="48"/>
      <c r="AM115" s="49" t="s">
        <v>48</v>
      </c>
      <c r="AN115" s="49"/>
      <c r="AO115" s="49"/>
      <c r="AP115" s="49" t="s">
        <v>48</v>
      </c>
      <c r="AQ115" s="49" t="s">
        <v>48</v>
      </c>
      <c r="AR115" s="49"/>
      <c r="AS115" s="49"/>
      <c r="AT115" s="52"/>
      <c r="AU115" s="48"/>
      <c r="AV115" s="49" t="s">
        <v>50</v>
      </c>
      <c r="AW115" s="49"/>
      <c r="AX115" s="52" t="s">
        <v>50</v>
      </c>
      <c r="AY115" s="50" t="s">
        <v>50</v>
      </c>
      <c r="AZ115" s="40" t="s">
        <v>50</v>
      </c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8">IF(C115="Matin",1,IF(C115="AM",1,0))</f>
        <v>0</v>
      </c>
      <c r="D116" s="52">
        <f t="shared" si="268"/>
        <v>0</v>
      </c>
      <c r="E116" s="52">
        <f t="shared" si="268"/>
        <v>0</v>
      </c>
      <c r="F116" s="52">
        <f t="shared" si="268"/>
        <v>0</v>
      </c>
      <c r="G116" s="52">
        <f t="shared" si="268"/>
        <v>0</v>
      </c>
      <c r="H116" s="52">
        <f t="shared" si="268"/>
        <v>0</v>
      </c>
      <c r="I116" s="52">
        <f t="shared" si="268"/>
        <v>0</v>
      </c>
      <c r="J116" s="52">
        <f>SUM(C116:I116)</f>
        <v>0</v>
      </c>
      <c r="K116" s="51"/>
      <c r="L116" s="52">
        <f t="shared" ref="L116:R116" si="269">IF(L115="Matin",1,IF(L115="AM",1,0))</f>
        <v>1</v>
      </c>
      <c r="M116" s="52">
        <f t="shared" si="269"/>
        <v>1</v>
      </c>
      <c r="N116" s="52">
        <f t="shared" si="269"/>
        <v>1</v>
      </c>
      <c r="O116" s="52">
        <f t="shared" si="269"/>
        <v>1</v>
      </c>
      <c r="P116" s="52">
        <f t="shared" si="269"/>
        <v>1</v>
      </c>
      <c r="Q116" s="52">
        <f t="shared" si="269"/>
        <v>0</v>
      </c>
      <c r="R116" s="52">
        <f t="shared" si="269"/>
        <v>0</v>
      </c>
      <c r="S116" s="52">
        <f>SUM(L116:R116)</f>
        <v>5</v>
      </c>
      <c r="T116" s="51"/>
      <c r="U116" s="52">
        <f t="shared" ref="U116:AA116" si="270">IF(U115="Matin",1,IF(U115="AM",1,0))</f>
        <v>1</v>
      </c>
      <c r="V116" s="52">
        <f t="shared" si="270"/>
        <v>1</v>
      </c>
      <c r="W116" s="52">
        <f t="shared" si="270"/>
        <v>1</v>
      </c>
      <c r="X116" s="52">
        <f t="shared" si="270"/>
        <v>0</v>
      </c>
      <c r="Y116" s="52">
        <f t="shared" si="270"/>
        <v>0</v>
      </c>
      <c r="Z116" s="52">
        <f t="shared" si="270"/>
        <v>0</v>
      </c>
      <c r="AA116" s="52">
        <f t="shared" si="270"/>
        <v>0</v>
      </c>
      <c r="AB116" s="52">
        <f>SUM(U116:AA116)</f>
        <v>3</v>
      </c>
      <c r="AC116" s="51"/>
      <c r="AD116" s="52">
        <f t="shared" ref="AD116:AJ116" si="271">IF(AD115="Matin",1,IF(AD115="AM",1,0))</f>
        <v>0</v>
      </c>
      <c r="AE116" s="52">
        <f t="shared" si="271"/>
        <v>0</v>
      </c>
      <c r="AF116" s="52">
        <f t="shared" si="271"/>
        <v>0</v>
      </c>
      <c r="AG116" s="52">
        <f t="shared" si="271"/>
        <v>0</v>
      </c>
      <c r="AH116" s="52">
        <f t="shared" si="271"/>
        <v>0</v>
      </c>
      <c r="AI116" s="52">
        <f t="shared" si="271"/>
        <v>0</v>
      </c>
      <c r="AJ116" s="52">
        <f t="shared" si="271"/>
        <v>0</v>
      </c>
      <c r="AK116" s="52">
        <f>SUM(AD116:AJ116)</f>
        <v>0</v>
      </c>
      <c r="AL116" s="51"/>
      <c r="AM116" s="52">
        <f t="shared" ref="AM116:AS116" si="272">IF(AM115="Matin",1,IF(AM115="AM",1,0))</f>
        <v>1</v>
      </c>
      <c r="AN116" s="52">
        <f t="shared" si="272"/>
        <v>0</v>
      </c>
      <c r="AO116" s="52">
        <f t="shared" si="272"/>
        <v>0</v>
      </c>
      <c r="AP116" s="52">
        <f t="shared" si="272"/>
        <v>1</v>
      </c>
      <c r="AQ116" s="52">
        <f t="shared" si="272"/>
        <v>1</v>
      </c>
      <c r="AR116" s="52">
        <f t="shared" si="272"/>
        <v>0</v>
      </c>
      <c r="AS116" s="52">
        <f t="shared" si="272"/>
        <v>0</v>
      </c>
      <c r="AT116" s="52">
        <f>SUM(AM116:AS116)</f>
        <v>3</v>
      </c>
      <c r="AU116" s="51"/>
      <c r="AV116" s="52">
        <f t="shared" ref="AV116:AW116" si="273">IF(AV115="Matin",1,IF(AV115="AM",1,0))</f>
        <v>1</v>
      </c>
      <c r="AW116" s="52">
        <f t="shared" si="273"/>
        <v>0</v>
      </c>
      <c r="AX116" s="52">
        <f t="shared" ref="AX116:AX123" si="274">SUM(AV116:AW116)</f>
        <v>1</v>
      </c>
      <c r="AY116" s="52">
        <f>J116+S116+AB116+AK116+AT116+AX116</f>
        <v>12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5">IF(E118&gt;=1,1,0)</f>
        <v>0</v>
      </c>
      <c r="F117" s="49">
        <f t="shared" si="275"/>
        <v>0</v>
      </c>
      <c r="G117" s="49">
        <f t="shared" si="275"/>
        <v>0</v>
      </c>
      <c r="H117" s="49">
        <f t="shared" si="275"/>
        <v>0</v>
      </c>
      <c r="I117" s="49">
        <f t="shared" si="275"/>
        <v>0</v>
      </c>
      <c r="J117" s="52">
        <f t="shared" ref="J117:J127" si="276">SUM(C117:I117)</f>
        <v>0</v>
      </c>
      <c r="K117" s="48"/>
      <c r="L117" s="49">
        <f>IF(L118&gt;=1,1,0)</f>
        <v>1</v>
      </c>
      <c r="M117" s="49">
        <f t="shared" ref="M117:R117" si="277">IF(M118&gt;=1,1,0)</f>
        <v>1</v>
      </c>
      <c r="N117" s="49">
        <f t="shared" si="277"/>
        <v>1</v>
      </c>
      <c r="O117" s="49">
        <f t="shared" si="277"/>
        <v>1</v>
      </c>
      <c r="P117" s="49">
        <f t="shared" si="277"/>
        <v>1</v>
      </c>
      <c r="Q117" s="49">
        <f t="shared" si="277"/>
        <v>0</v>
      </c>
      <c r="R117" s="49">
        <f t="shared" si="277"/>
        <v>0</v>
      </c>
      <c r="S117" s="52">
        <f t="shared" ref="S117:S127" si="278">SUM(L117:R117)</f>
        <v>5</v>
      </c>
      <c r="T117" s="48"/>
      <c r="U117" s="49">
        <f>IF(U118&gt;=1,1,0)</f>
        <v>1</v>
      </c>
      <c r="V117" s="49">
        <f t="shared" ref="V117:AA117" si="279">IF(V118&gt;=1,1,0)</f>
        <v>1</v>
      </c>
      <c r="W117" s="49">
        <f t="shared" si="279"/>
        <v>1</v>
      </c>
      <c r="X117" s="49">
        <f t="shared" si="279"/>
        <v>0</v>
      </c>
      <c r="Y117" s="49">
        <f t="shared" si="279"/>
        <v>0</v>
      </c>
      <c r="Z117" s="49">
        <f t="shared" si="279"/>
        <v>0</v>
      </c>
      <c r="AA117" s="49">
        <f t="shared" si="279"/>
        <v>0</v>
      </c>
      <c r="AB117" s="52">
        <f t="shared" ref="AB117:AB127" si="280">SUM(U117:AA117)</f>
        <v>3</v>
      </c>
      <c r="AC117" s="48"/>
      <c r="AD117" s="49">
        <f>IF(AD118&gt;=1,1,0)</f>
        <v>1</v>
      </c>
      <c r="AE117" s="49">
        <f t="shared" ref="AE117:AJ117" si="281">IF(AE118&gt;=1,1,0)</f>
        <v>1</v>
      </c>
      <c r="AF117" s="49">
        <f t="shared" si="281"/>
        <v>1</v>
      </c>
      <c r="AG117" s="49">
        <f t="shared" si="281"/>
        <v>1</v>
      </c>
      <c r="AH117" s="49">
        <f t="shared" si="281"/>
        <v>1</v>
      </c>
      <c r="AI117" s="49">
        <f t="shared" si="281"/>
        <v>0</v>
      </c>
      <c r="AJ117" s="49">
        <f t="shared" si="281"/>
        <v>0</v>
      </c>
      <c r="AK117" s="52">
        <f t="shared" ref="AK117:AK127" si="282">SUM(AD117:AJ117)</f>
        <v>5</v>
      </c>
      <c r="AL117" s="48"/>
      <c r="AM117" s="49">
        <f>IF(AM118&gt;=1,1,0)</f>
        <v>1</v>
      </c>
      <c r="AN117" s="49">
        <f t="shared" ref="AN117:AS117" si="283">IF(AN118&gt;=1,1,0)</f>
        <v>0</v>
      </c>
      <c r="AO117" s="49">
        <f t="shared" si="283"/>
        <v>0</v>
      </c>
      <c r="AP117" s="49">
        <f t="shared" si="283"/>
        <v>1</v>
      </c>
      <c r="AQ117" s="49">
        <f t="shared" si="283"/>
        <v>1</v>
      </c>
      <c r="AR117" s="49">
        <f t="shared" si="283"/>
        <v>0</v>
      </c>
      <c r="AS117" s="49">
        <f t="shared" si="283"/>
        <v>0</v>
      </c>
      <c r="AT117" s="52">
        <f t="shared" ref="AT117:AT127" si="284">SUM(AM117:AS117)</f>
        <v>3</v>
      </c>
      <c r="AU117" s="48"/>
      <c r="AV117" s="49">
        <f>IF(AV118&gt;=1,1,0)</f>
        <v>1</v>
      </c>
      <c r="AW117" s="49">
        <f t="shared" ref="AW117" si="285">IF(AW118&gt;=1,1,0)</f>
        <v>0</v>
      </c>
      <c r="AX117" s="52">
        <f t="shared" si="274"/>
        <v>1</v>
      </c>
      <c r="AY117" s="49">
        <f t="shared" ref="AY117:AY126" si="286">J117+S117+AB117+AK117+AT117+AX117</f>
        <v>17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7">IF(D115="Matin",8,IF(D115="AM",8,IF(D115="nuit",8,0)))</f>
        <v>0</v>
      </c>
      <c r="E118" s="52">
        <f t="shared" si="287"/>
        <v>0</v>
      </c>
      <c r="F118" s="52">
        <f t="shared" si="287"/>
        <v>0</v>
      </c>
      <c r="G118" s="52">
        <f t="shared" si="287"/>
        <v>0</v>
      </c>
      <c r="H118" s="52">
        <f t="shared" si="287"/>
        <v>0</v>
      </c>
      <c r="I118" s="52">
        <f t="shared" si="287"/>
        <v>0</v>
      </c>
      <c r="J118" s="52">
        <f t="shared" si="276"/>
        <v>0</v>
      </c>
      <c r="K118" s="51"/>
      <c r="L118" s="52">
        <f>IF(L115="Matin",8,IF(L115="AM",8,IF(L115="nuit",8,0)))</f>
        <v>8</v>
      </c>
      <c r="M118" s="52">
        <f t="shared" ref="M118:R118" si="288">IF(M115="Matin",8,IF(M115="AM",8,IF(M115="nuit",8,0)))</f>
        <v>8</v>
      </c>
      <c r="N118" s="52">
        <f t="shared" si="288"/>
        <v>8</v>
      </c>
      <c r="O118" s="52">
        <f t="shared" si="288"/>
        <v>8</v>
      </c>
      <c r="P118" s="52">
        <f t="shared" si="288"/>
        <v>8</v>
      </c>
      <c r="Q118" s="52">
        <f t="shared" si="288"/>
        <v>0</v>
      </c>
      <c r="R118" s="52">
        <f t="shared" si="288"/>
        <v>0</v>
      </c>
      <c r="S118" s="52">
        <f t="shared" si="278"/>
        <v>40</v>
      </c>
      <c r="T118" s="51"/>
      <c r="U118" s="52">
        <f>IF(U115="Matin",8,IF(U115="AM",8,IF(U115="nuit",8,0)))</f>
        <v>8</v>
      </c>
      <c r="V118" s="52">
        <f t="shared" ref="V118:AA118" si="289">IF(V115="Matin",8,IF(V115="AM",8,IF(V115="nuit",8,0)))</f>
        <v>8</v>
      </c>
      <c r="W118" s="52">
        <f t="shared" si="289"/>
        <v>8</v>
      </c>
      <c r="X118" s="52">
        <f t="shared" si="289"/>
        <v>0</v>
      </c>
      <c r="Y118" s="52">
        <f t="shared" si="289"/>
        <v>0</v>
      </c>
      <c r="Z118" s="52">
        <f t="shared" si="289"/>
        <v>0</v>
      </c>
      <c r="AA118" s="52">
        <f t="shared" si="289"/>
        <v>0</v>
      </c>
      <c r="AB118" s="52">
        <f t="shared" si="280"/>
        <v>24</v>
      </c>
      <c r="AC118" s="51"/>
      <c r="AD118" s="52">
        <f>IF(AD115="Matin",8,IF(AD115="AM",8,IF(AD115="nuit",8,0)))</f>
        <v>8</v>
      </c>
      <c r="AE118" s="52">
        <f t="shared" ref="AE118:AJ118" si="290">IF(AE115="Matin",8,IF(AE115="AM",8,IF(AE115="nuit",8,0)))</f>
        <v>8</v>
      </c>
      <c r="AF118" s="52">
        <f t="shared" si="290"/>
        <v>8</v>
      </c>
      <c r="AG118" s="52">
        <f t="shared" si="290"/>
        <v>8</v>
      </c>
      <c r="AH118" s="52">
        <f t="shared" si="290"/>
        <v>8</v>
      </c>
      <c r="AI118" s="52">
        <f t="shared" si="290"/>
        <v>0</v>
      </c>
      <c r="AJ118" s="52">
        <f t="shared" si="290"/>
        <v>0</v>
      </c>
      <c r="AK118" s="52">
        <f t="shared" si="282"/>
        <v>40</v>
      </c>
      <c r="AL118" s="51"/>
      <c r="AM118" s="52">
        <f>IF(AM115="Matin",8,IF(AM115="AM",8,IF(AM115="nuit",8,0)))</f>
        <v>8</v>
      </c>
      <c r="AN118" s="52">
        <f t="shared" ref="AN118:AS118" si="291">IF(AN115="Matin",8,IF(AN115="AM",8,IF(AN115="nuit",8,0)))</f>
        <v>0</v>
      </c>
      <c r="AO118" s="52">
        <f t="shared" si="291"/>
        <v>0</v>
      </c>
      <c r="AP118" s="52">
        <f t="shared" si="291"/>
        <v>8</v>
      </c>
      <c r="AQ118" s="52">
        <f t="shared" si="291"/>
        <v>8</v>
      </c>
      <c r="AR118" s="52">
        <f t="shared" si="291"/>
        <v>0</v>
      </c>
      <c r="AS118" s="52">
        <f t="shared" si="291"/>
        <v>0</v>
      </c>
      <c r="AT118" s="52">
        <f t="shared" si="284"/>
        <v>24</v>
      </c>
      <c r="AU118" s="51"/>
      <c r="AV118" s="52">
        <f>IF(AV115="Matin",8,IF(AV115="AM",8,IF(AV115="nuit",8,0)))</f>
        <v>8</v>
      </c>
      <c r="AW118" s="52">
        <f t="shared" ref="AW118" si="292">IF(AW115="Matin",8,IF(AW115="AM",8,IF(AW115="nuit",8,0)))</f>
        <v>0</v>
      </c>
      <c r="AX118" s="52">
        <f t="shared" si="274"/>
        <v>8</v>
      </c>
      <c r="AY118" s="52">
        <f t="shared" si="286"/>
        <v>136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13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6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3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8"/>
        <v>3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0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80"/>
        <v>0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3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2"/>
        <v>3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0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4"/>
        <v>0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4"/>
        <v>0</v>
      </c>
      <c r="AY119" s="50">
        <f t="shared" si="286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6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5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8"/>
        <v>5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0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80"/>
        <v>0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5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2"/>
        <v>5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0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4"/>
        <v>0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4"/>
        <v>0</v>
      </c>
      <c r="AY120" s="52">
        <f t="shared" si="286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6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8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80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2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4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4"/>
        <v>0</v>
      </c>
      <c r="AY121" s="50">
        <f t="shared" si="286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3">IF(D113="Dim",D118,IF(D128="ferie",D118,0))</f>
        <v>0</v>
      </c>
      <c r="E122" s="52">
        <f t="shared" si="293"/>
        <v>0</v>
      </c>
      <c r="F122" s="52">
        <f t="shared" si="293"/>
        <v>0</v>
      </c>
      <c r="G122" s="52">
        <f t="shared" si="293"/>
        <v>0</v>
      </c>
      <c r="H122" s="52">
        <f t="shared" si="293"/>
        <v>0</v>
      </c>
      <c r="I122" s="52">
        <f t="shared" si="293"/>
        <v>0</v>
      </c>
      <c r="J122" s="52">
        <f t="shared" si="276"/>
        <v>0</v>
      </c>
      <c r="K122" s="51"/>
      <c r="L122" s="52">
        <f>IF(L113="Dim",L118,IF(L128="ferie",L118,0))</f>
        <v>0</v>
      </c>
      <c r="M122" s="52">
        <f t="shared" ref="M122:R122" si="294">IF(M113="Dim",M118,IF(M128="ferie",M118,0))</f>
        <v>0</v>
      </c>
      <c r="N122" s="52">
        <f t="shared" si="294"/>
        <v>0</v>
      </c>
      <c r="O122" s="52">
        <f t="shared" si="294"/>
        <v>0</v>
      </c>
      <c r="P122" s="52">
        <f t="shared" si="294"/>
        <v>0</v>
      </c>
      <c r="Q122" s="52">
        <f>IF(Q113="Dim",Q118,IF(Q128="ferie",Q118,0))</f>
        <v>0</v>
      </c>
      <c r="R122" s="52">
        <f t="shared" si="294"/>
        <v>0</v>
      </c>
      <c r="S122" s="52">
        <f t="shared" si="278"/>
        <v>0</v>
      </c>
      <c r="T122" s="51"/>
      <c r="U122" s="52">
        <f>IF(U113="Dim",U118,IF(U128="ferie",U118,0))</f>
        <v>0</v>
      </c>
      <c r="V122" s="52">
        <f t="shared" ref="V122:AA122" si="295">IF(V113="Dim",V118,IF(V128="ferie",V118,0))</f>
        <v>0</v>
      </c>
      <c r="W122" s="52">
        <f t="shared" si="295"/>
        <v>0</v>
      </c>
      <c r="X122" s="52">
        <f t="shared" si="295"/>
        <v>0</v>
      </c>
      <c r="Y122" s="52">
        <f t="shared" si="295"/>
        <v>0</v>
      </c>
      <c r="Z122" s="52">
        <f t="shared" si="295"/>
        <v>0</v>
      </c>
      <c r="AA122" s="52">
        <f t="shared" si="295"/>
        <v>0</v>
      </c>
      <c r="AB122" s="52">
        <f t="shared" si="280"/>
        <v>0</v>
      </c>
      <c r="AC122" s="51"/>
      <c r="AD122" s="52">
        <f>IF(AD113="Dim",AD118,IF(AD128="ferie",AD118,0))</f>
        <v>0</v>
      </c>
      <c r="AE122" s="52">
        <f t="shared" ref="AE122:AJ122" si="296">IF(AE113="Dim",AE118,IF(AE128="ferie",AE118,0))</f>
        <v>0</v>
      </c>
      <c r="AF122" s="52">
        <f t="shared" si="296"/>
        <v>0</v>
      </c>
      <c r="AG122" s="52">
        <f t="shared" si="296"/>
        <v>0</v>
      </c>
      <c r="AH122" s="52">
        <f t="shared" si="296"/>
        <v>0</v>
      </c>
      <c r="AI122" s="52">
        <f t="shared" si="296"/>
        <v>0</v>
      </c>
      <c r="AJ122" s="52">
        <f t="shared" si="296"/>
        <v>0</v>
      </c>
      <c r="AK122" s="52">
        <f t="shared" si="282"/>
        <v>0</v>
      </c>
      <c r="AL122" s="51"/>
      <c r="AM122" s="52">
        <f>IF(AM113="Dim",AM118,IF(AM128="ferie",AM118,0))</f>
        <v>0</v>
      </c>
      <c r="AN122" s="52">
        <f t="shared" ref="AN122:AW122" si="297">IF(AN113="Dim",AN118,IF(AN128="ferie",AN118,0))</f>
        <v>0</v>
      </c>
      <c r="AO122" s="52">
        <f t="shared" si="297"/>
        <v>0</v>
      </c>
      <c r="AP122" s="52">
        <f t="shared" si="297"/>
        <v>0</v>
      </c>
      <c r="AQ122" s="52">
        <f t="shared" si="297"/>
        <v>0</v>
      </c>
      <c r="AR122" s="52">
        <f t="shared" si="297"/>
        <v>0</v>
      </c>
      <c r="AS122" s="52">
        <f t="shared" si="297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7"/>
        <v>0</v>
      </c>
      <c r="AX122" s="52">
        <f t="shared" si="274"/>
        <v>0</v>
      </c>
      <c r="AY122" s="52">
        <f t="shared" si="286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6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8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80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2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4"/>
        <v>0</v>
      </c>
      <c r="AU123" s="48"/>
      <c r="AV123" s="49"/>
      <c r="AW123" s="49"/>
      <c r="AX123" s="52">
        <f t="shared" si="274"/>
        <v>0</v>
      </c>
      <c r="AY123" s="49">
        <f t="shared" si="286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6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8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80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2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4"/>
        <v>0</v>
      </c>
      <c r="AU124" s="51"/>
      <c r="AV124" s="52"/>
      <c r="AW124" s="52"/>
      <c r="AX124" s="52">
        <f t="shared" ref="AX124:AX126" si="298">SUM(AV124:AW124)</f>
        <v>0</v>
      </c>
      <c r="AY124" s="52">
        <f t="shared" si="286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6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8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80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2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4"/>
        <v>0</v>
      </c>
      <c r="AU125" s="48"/>
      <c r="AV125" s="49"/>
      <c r="AW125" s="49"/>
      <c r="AX125" s="52">
        <f t="shared" si="298"/>
        <v>0</v>
      </c>
      <c r="AY125" s="50">
        <f t="shared" si="286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6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8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80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2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4"/>
        <v>0</v>
      </c>
      <c r="AU126" s="51"/>
      <c r="AV126" s="52"/>
      <c r="AW126" s="52"/>
      <c r="AX126" s="52">
        <f t="shared" si="298"/>
        <v>0</v>
      </c>
      <c r="AY126" s="52">
        <f t="shared" si="286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37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9">IF(E115="nuit",E118*0.02,0)</f>
        <v>0</v>
      </c>
      <c r="F127" s="49">
        <f t="shared" si="299"/>
        <v>0</v>
      </c>
      <c r="G127" s="49">
        <f>IF(G115="nuit",G118*0.02,0)</f>
        <v>0</v>
      </c>
      <c r="H127" s="49">
        <f t="shared" si="299"/>
        <v>0</v>
      </c>
      <c r="I127" s="49">
        <f t="shared" si="299"/>
        <v>0</v>
      </c>
      <c r="J127" s="52">
        <f t="shared" si="276"/>
        <v>0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300">IF(N115="nuit",N118*0.02,0)</f>
        <v>0</v>
      </c>
      <c r="O127" s="49">
        <f t="shared" si="300"/>
        <v>0</v>
      </c>
      <c r="P127" s="49">
        <f>IF(P115="nuit",P118*0.02,0)</f>
        <v>0</v>
      </c>
      <c r="Q127" s="49">
        <f t="shared" si="300"/>
        <v>0</v>
      </c>
      <c r="R127" s="49">
        <f t="shared" si="300"/>
        <v>0</v>
      </c>
      <c r="S127" s="52">
        <f t="shared" si="278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301">IF(W115="nuit",W118*0.02,0)</f>
        <v>0</v>
      </c>
      <c r="X127" s="49">
        <f t="shared" si="301"/>
        <v>0</v>
      </c>
      <c r="Y127" s="49">
        <f>IF(Y115="nuit",Y118*0.02,0)</f>
        <v>0</v>
      </c>
      <c r="Z127" s="49">
        <f t="shared" si="301"/>
        <v>0</v>
      </c>
      <c r="AA127" s="49">
        <f t="shared" si="301"/>
        <v>0</v>
      </c>
      <c r="AB127" s="52">
        <f t="shared" si="280"/>
        <v>0</v>
      </c>
      <c r="AC127" s="48"/>
      <c r="AD127" s="49">
        <f>IF(AD115="nuit",AD118*0.02,0)</f>
        <v>0.16</v>
      </c>
      <c r="AE127" s="49">
        <f>IF(AE115="nuit",AE118*0.02,0)</f>
        <v>0.16</v>
      </c>
      <c r="AF127" s="49">
        <f t="shared" ref="AF127:AJ127" si="302">IF(AF115="nuit",AF118*0.02,0)</f>
        <v>0.16</v>
      </c>
      <c r="AG127" s="49">
        <f t="shared" si="302"/>
        <v>0.16</v>
      </c>
      <c r="AH127" s="49">
        <f>IF(AH115="nuit",AH118*0.02,0)</f>
        <v>0.16</v>
      </c>
      <c r="AI127" s="49">
        <f t="shared" si="302"/>
        <v>0</v>
      </c>
      <c r="AJ127" s="49">
        <f t="shared" si="302"/>
        <v>0</v>
      </c>
      <c r="AK127" s="52">
        <f t="shared" si="282"/>
        <v>0.8</v>
      </c>
      <c r="AL127" s="48"/>
      <c r="AM127" s="49">
        <f>IF(AM115="nuit",AM118*0.02,0)</f>
        <v>0</v>
      </c>
      <c r="AN127" s="49">
        <f>IF(AN115="nuit",AN118*0.02,0)</f>
        <v>0</v>
      </c>
      <c r="AO127" s="49">
        <f t="shared" ref="AO127:AS127" si="303">IF(AO115="nuit",AO118*0.02,0)</f>
        <v>0</v>
      </c>
      <c r="AP127" s="49">
        <f t="shared" si="303"/>
        <v>0</v>
      </c>
      <c r="AQ127" s="49">
        <f>IF(AQ115="nuit",AQ118*0.02,0)</f>
        <v>0</v>
      </c>
      <c r="AR127" s="49">
        <f t="shared" si="303"/>
        <v>0</v>
      </c>
      <c r="AS127" s="49">
        <f t="shared" si="303"/>
        <v>0</v>
      </c>
      <c r="AT127" s="52">
        <f t="shared" si="284"/>
        <v>0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24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56"/>
      <c r="B129" s="56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.75" thickBot="1">
      <c r="A130" s="16"/>
      <c r="B130" s="16"/>
      <c r="C130" s="19" t="s">
        <v>19</v>
      </c>
      <c r="D130" s="19"/>
      <c r="E130" s="19"/>
      <c r="F130" s="19"/>
      <c r="G130" s="19"/>
      <c r="H130" s="106">
        <f>Année_Calendaire</f>
        <v>2017</v>
      </c>
      <c r="I130" s="106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19</v>
      </c>
      <c r="V130" s="19"/>
      <c r="W130" s="19"/>
      <c r="X130" s="19"/>
      <c r="Y130" s="19"/>
      <c r="Z130" s="106">
        <f>Année_Calendaire</f>
        <v>2017</v>
      </c>
      <c r="AA130" s="106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19</v>
      </c>
      <c r="AN130" s="19"/>
      <c r="AO130" s="19"/>
      <c r="AP130" s="19"/>
      <c r="AQ130" s="19"/>
      <c r="AR130" s="106">
        <f>Année_Calendaire</f>
        <v>2017</v>
      </c>
      <c r="AS130" s="106"/>
      <c r="AT130" s="37"/>
      <c r="AU130" s="44"/>
      <c r="AV130" s="26"/>
      <c r="AW130" s="26"/>
      <c r="AX130" s="37"/>
    </row>
    <row r="131" spans="1:59" s="23" customFormat="1" ht="29.25" customHeight="1" thickTop="1" thickBot="1">
      <c r="A131" s="36"/>
      <c r="B131" s="55" t="str">
        <f>IF(C131="",AU113,LEFT(AU113)&amp;MOD(RIGHT(AU113),4)+1)</f>
        <v>C4</v>
      </c>
      <c r="C131" s="91" t="str">
        <f>IF(C132&lt;&gt;"","Lun","")</f>
        <v/>
      </c>
      <c r="D131" s="100" t="str">
        <f>IF(D132&lt;&gt;"","Mar","")</f>
        <v>Mar</v>
      </c>
      <c r="E131" s="100" t="str">
        <f>IF(E132&lt;&gt;"","Mer","")</f>
        <v>Mer</v>
      </c>
      <c r="F131" s="100" t="str">
        <f>IF(F132&lt;&gt;"","Jeu","")</f>
        <v>Jeu</v>
      </c>
      <c r="G131" s="100" t="str">
        <f>IF(G132&lt;&gt;"","Ven","")</f>
        <v>Ven</v>
      </c>
      <c r="H131" s="100" t="str">
        <f>IF(H132&lt;&gt;"","Sam","")</f>
        <v>Sam</v>
      </c>
      <c r="I131" s="100" t="str">
        <f>IF(I132&lt;&gt;"","Dim","")</f>
        <v>Dim</v>
      </c>
      <c r="J131" s="105" t="s">
        <v>25</v>
      </c>
      <c r="K131" s="55" t="str">
        <f>IF(L131="",LEFT(B131)&amp;MOD(RIGHT(B131),5),LEFT(B131)&amp;MOD(RIGHT(B131),4)+1)</f>
        <v>C1</v>
      </c>
      <c r="L131" s="100" t="str">
        <f>IF(L132&lt;&gt;"","Lun","")</f>
        <v>Lun</v>
      </c>
      <c r="M131" s="100" t="str">
        <f>IF(M132&lt;&gt;"","Mar","")</f>
        <v>Mar</v>
      </c>
      <c r="N131" s="100" t="str">
        <f>IF(N132&lt;&gt;"","Mer","")</f>
        <v>Mer</v>
      </c>
      <c r="O131" s="100" t="str">
        <f>IF(O132&lt;&gt;"","Jeu","")</f>
        <v>Jeu</v>
      </c>
      <c r="P131" s="100" t="str">
        <f>IF(P132&lt;&gt;"","Ven","")</f>
        <v>Ven</v>
      </c>
      <c r="Q131" s="100" t="str">
        <f>IF(Q132&lt;&gt;"","Sam","")</f>
        <v>Sam</v>
      </c>
      <c r="R131" s="100" t="str">
        <f>IF(R132&lt;&gt;"","Dim","")</f>
        <v>Dim</v>
      </c>
      <c r="S131" s="105" t="s">
        <v>25</v>
      </c>
      <c r="T131" s="55" t="str">
        <f>IF(U131="",LEFT(K131)&amp;MOD(RIGHT(K131),5),LEFT(K131)&amp;MOD(RIGHT(K131),4)+1)</f>
        <v>C2</v>
      </c>
      <c r="U131" s="100" t="str">
        <f>IF(U132&lt;&gt;"","Lun","")</f>
        <v>Lun</v>
      </c>
      <c r="V131" s="100" t="str">
        <f>IF(V132&lt;&gt;"","Mar","")</f>
        <v>Mar</v>
      </c>
      <c r="W131" s="100" t="str">
        <f>IF(W132&lt;&gt;"","Mer","")</f>
        <v>Mer</v>
      </c>
      <c r="X131" s="100" t="str">
        <f>IF(X132&lt;&gt;"","Jeu","")</f>
        <v>Jeu</v>
      </c>
      <c r="Y131" s="100" t="str">
        <f>IF(Y132&lt;&gt;"","Ven","")</f>
        <v>Ven</v>
      </c>
      <c r="Z131" s="100" t="str">
        <f>IF(Z132&lt;&gt;"","Sam","")</f>
        <v>Sam</v>
      </c>
      <c r="AA131" s="100" t="str">
        <f>IF(AA132&lt;&gt;"","Dim","")</f>
        <v>Dim</v>
      </c>
      <c r="AB131" s="105" t="s">
        <v>25</v>
      </c>
      <c r="AC131" s="55" t="str">
        <f>IF(AD131="",LEFT(T131)&amp;MOD(RIGHT(T131),5),LEFT(T131)&amp;MOD(RIGHT(T131),4)+1)</f>
        <v>C3</v>
      </c>
      <c r="AD131" s="100" t="str">
        <f>IF(AD132&lt;&gt;"","Lun","")</f>
        <v>Lun</v>
      </c>
      <c r="AE131" s="100" t="str">
        <f>IF(AE132&lt;&gt;"","Mar","")</f>
        <v>Mar</v>
      </c>
      <c r="AF131" s="100" t="str">
        <f>IF(AF132&lt;&gt;"","Mer","")</f>
        <v>Mer</v>
      </c>
      <c r="AG131" s="100" t="str">
        <f>IF(AG132&lt;&gt;"","Jeu","")</f>
        <v>Jeu</v>
      </c>
      <c r="AH131" s="100" t="str">
        <f>IF(AH132&lt;&gt;"","Ven","")</f>
        <v>Ven</v>
      </c>
      <c r="AI131" s="100" t="str">
        <f>IF(AI132&lt;&gt;"","Sam","")</f>
        <v>Sam</v>
      </c>
      <c r="AJ131" s="100" t="str">
        <f>IF(AJ132&lt;&gt;"","Dim","")</f>
        <v>Dim</v>
      </c>
      <c r="AK131" s="105" t="s">
        <v>25</v>
      </c>
      <c r="AL131" s="55" t="str">
        <f>IF(AM131="",LEFT(AC131)&amp;MOD(RIGHT(AC131),5),LEFT(AC131)&amp;MOD(RIGHT(AC131),4)+1)</f>
        <v>C4</v>
      </c>
      <c r="AM131" s="100" t="str">
        <f>IF(AM132&lt;&gt;"","Lun","")</f>
        <v>Lun</v>
      </c>
      <c r="AN131" s="100" t="str">
        <f>IF(AN132&lt;&gt;"","Mar","")</f>
        <v>Mar</v>
      </c>
      <c r="AO131" s="100" t="str">
        <f>IF(AO132&lt;&gt;"","Mer","")</f>
        <v>Mer</v>
      </c>
      <c r="AP131" s="100" t="str">
        <f>IF(AP132&lt;&gt;"","Jeu","")</f>
        <v>Jeu</v>
      </c>
      <c r="AQ131" s="91" t="str">
        <f>IF(AQ132&lt;&gt;"","Ven","")</f>
        <v/>
      </c>
      <c r="AR131" s="91" t="str">
        <f>IF(AR132&lt;&gt;"","Sam","")</f>
        <v/>
      </c>
      <c r="AS131" s="91" t="str">
        <f>IF(AS132&lt;&gt;"","Dim","")</f>
        <v/>
      </c>
      <c r="AT131" s="105" t="s">
        <v>25</v>
      </c>
      <c r="AU131" s="55" t="str">
        <f>IF(AV131="",LEFT(AL131)&amp;MOD(RIGHT(AL131),5),LEFT(AL131)&amp;MOD(RIGHT(AL131),4)+1)</f>
        <v>C4</v>
      </c>
      <c r="AV131" s="53" t="str">
        <f>IF(AV132&lt;&gt;"","Lun","")</f>
        <v/>
      </c>
      <c r="AW131" s="53" t="str">
        <f>IF(AW132&lt;&gt;"","Mar","")</f>
        <v/>
      </c>
      <c r="AX131" s="105" t="s">
        <v>25</v>
      </c>
      <c r="AY131" s="105" t="s">
        <v>28</v>
      </c>
      <c r="AZ131" s="108">
        <f>AY138+AY139+AY140</f>
        <v>5</v>
      </c>
      <c r="BA131" s="108">
        <f>AZ131+BA113</f>
        <v>70</v>
      </c>
      <c r="BB131" s="39"/>
      <c r="BC131" s="39"/>
      <c r="BD131" s="39"/>
      <c r="BE131" s="39"/>
      <c r="BF131" s="34"/>
    </row>
    <row r="132" spans="1:59" s="25" customFormat="1" ht="15" customHeight="1" thickTop="1">
      <c r="A132" s="10"/>
      <c r="B132" s="54"/>
      <c r="C132" s="90" t="str">
        <f>IF(DAY(Aoû_Dim1)=1,"",IF(AND(YEAR(Aoû_Dim1+1)=Année_Calendaire,MONTH(Aoû_Dim1+1)=8),Aoû_Dim1+1,""))</f>
        <v/>
      </c>
      <c r="D132" s="90">
        <f>IF(DAY(Aoû_Dim1)=1,"",IF(AND(YEAR(Aoû_Dim1+2)=Année_Calendaire,MONTH(Aoû_Dim1+2)=8),Aoû_Dim1+2,""))</f>
        <v>42948</v>
      </c>
      <c r="E132" s="90">
        <f>IF(DAY(Aoû_Dim1)=1,"",IF(AND(YEAR(Aoû_Dim1+3)=Année_Calendaire,MONTH(Aoû_Dim1+3)=8),Aoû_Dim1+3,""))</f>
        <v>42949</v>
      </c>
      <c r="F132" s="90">
        <f>IF(DAY(Aoû_Dim1)=1,"",IF(AND(YEAR(Aoû_Dim1+4)=Année_Calendaire,MONTH(Aoû_Dim1+4)=8),Aoû_Dim1+4,""))</f>
        <v>42950</v>
      </c>
      <c r="G132" s="90">
        <f>IF(DAY(Aoû_Dim1)=1,"",IF(AND(YEAR(Aoû_Dim1+5)=Année_Calendaire,MONTH(Aoû_Dim1+5)=8),Aoû_Dim1+5,""))</f>
        <v>42951</v>
      </c>
      <c r="H132" s="90">
        <f>IF(DAY(Aoû_Dim1)=1,"",IF(AND(YEAR(Aoû_Dim1+6)=Année_Calendaire,MONTH(Aoû_Dim1+6)=8),Aoû_Dim1+6,""))</f>
        <v>42952</v>
      </c>
      <c r="I132" s="90">
        <f>IF(DAY(Aoû_Dim1)=1,IF(AND(YEAR(Aoû_Dim1)=Année_Calendaire,MONTH(Aoû_Dim1)=8),Aoû_Dim1,""),IF(AND(YEAR(Aoû_Dim1+7)=Année_Calendaire,MONTH(Aoû_Dim1+7)=8),Aoû_Dim1+7,""))</f>
        <v>42953</v>
      </c>
      <c r="J132" s="105"/>
      <c r="K132" s="54"/>
      <c r="L132" s="90">
        <f>IF(DAY(Aoû_Dim1)=1,IF(AND(YEAR(Aoû_Dim1+1)=Année_Calendaire,MONTH(Aoû_Dim1+1)=8),Aoû_Dim1+1,""),IF(AND(YEAR(Aoû_Dim1+8)=Année_Calendaire,MONTH(Aoû_Dim1+8)=8),Aoû_Dim1+8,""))</f>
        <v>42954</v>
      </c>
      <c r="M132" s="90">
        <f>IF(DAY(Aoû_Dim1)=1,IF(AND(YEAR(Aoû_Dim1+2)=Année_Calendaire,MONTH(Aoû_Dim1+2)=8),Aoû_Dim1+2,""),IF(AND(YEAR(Aoû_Dim1+9)=Année_Calendaire,MONTH(Aoû_Dim1+9)=8),Aoû_Dim1+9,""))</f>
        <v>42955</v>
      </c>
      <c r="N132" s="90">
        <f>IF(DAY(Aoû_Dim1)=1,IF(AND(YEAR(Aoû_Dim1+3)=Année_Calendaire,MONTH(Aoû_Dim1+3)=8),Aoû_Dim1+3,""),IF(AND(YEAR(Aoû_Dim1+10)=Année_Calendaire,MONTH(Aoû_Dim1+10)=8),Aoû_Dim1+10,""))</f>
        <v>42956</v>
      </c>
      <c r="O132" s="90">
        <f>IF(DAY(Aoû_Dim1)=1,IF(AND(YEAR(Aoû_Dim1+4)=Année_Calendaire,MONTH(Aoû_Dim1+4)=8),Aoû_Dim1+4,""),IF(AND(YEAR(Aoû_Dim1+11)=Année_Calendaire,MONTH(Aoû_Dim1+11)=8),Aoû_Dim1+11,""))</f>
        <v>42957</v>
      </c>
      <c r="P132" s="90">
        <f>IF(DAY(Aoû_Dim1)=1,IF(AND(YEAR(Aoû_Dim1+5)=Année_Calendaire,MONTH(Aoû_Dim1+5)=8),Aoû_Dim1+5,""),IF(AND(YEAR(Aoû_Dim1+12)=Année_Calendaire,MONTH(Aoû_Dim1+12)=8),Aoû_Dim1+12,""))</f>
        <v>42958</v>
      </c>
      <c r="Q132" s="90">
        <f>IF(DAY(Aoû_Dim1)=1,IF(AND(YEAR(Aoû_Dim1+6)=Année_Calendaire,MONTH(Aoû_Dim1+6)=8),Aoû_Dim1+6,""),IF(AND(YEAR(Aoû_Dim1+13)=Année_Calendaire,MONTH(Aoû_Dim1+13)=8),Aoû_Dim1+13,""))</f>
        <v>42959</v>
      </c>
      <c r="R132" s="90">
        <f>IF(DAY(Aoû_Dim1)=1,IF(AND(YEAR(Aoû_Dim1+7)=Année_Calendaire,MONTH(Aoû_Dim1+7)=8),Aoû_Dim1+7,""),IF(AND(YEAR(Aoû_Dim1+14)=Année_Calendaire,MONTH(Aoû_Dim1+14)=8),Aoû_Dim1+14,""))</f>
        <v>42960</v>
      </c>
      <c r="S132" s="105"/>
      <c r="T132" s="54"/>
      <c r="U132" s="90">
        <f>IF(DAY(Aoû_Dim1)=1,IF(AND(YEAR(Aoû_Dim1+8)=Année_Calendaire,MONTH(Aoû_Dim1+8)=8),Aoû_Dim1+8,""),IF(AND(YEAR(Aoû_Dim1+15)=Année_Calendaire,MONTH(Aoû_Dim1+15)=8),Aoû_Dim1+15,""))</f>
        <v>42961</v>
      </c>
      <c r="V132" s="90">
        <f>IF(DAY(Aoû_Dim1)=1,IF(AND(YEAR(Aoû_Dim1+9)=Année_Calendaire,MONTH(Aoû_Dim1+9)=8),Aoû_Dim1+9,""),IF(AND(YEAR(Aoû_Dim1+16)=Année_Calendaire,MONTH(Aoû_Dim1+16)=8),Aoû_Dim1+16,""))</f>
        <v>42962</v>
      </c>
      <c r="W132" s="90">
        <f>IF(DAY(Aoû_Dim1)=1,IF(AND(YEAR(Aoû_Dim1+10)=Année_Calendaire,MONTH(Aoû_Dim1+10)=8),Aoû_Dim1+10,""),IF(AND(YEAR(Aoû_Dim1+17)=Année_Calendaire,MONTH(Aoû_Dim1+17)=8),Aoû_Dim1+17,""))</f>
        <v>42963</v>
      </c>
      <c r="X132" s="90">
        <f>IF(DAY(Aoû_Dim1)=1,IF(AND(YEAR(Aoû_Dim1+11)=Année_Calendaire,MONTH(Aoû_Dim1+11)=8),Aoû_Dim1+11,""),IF(AND(YEAR(Aoû_Dim1+18)=Année_Calendaire,MONTH(Aoû_Dim1+18)=8),Aoû_Dim1+18,""))</f>
        <v>42964</v>
      </c>
      <c r="Y132" s="90">
        <f>IF(DAY(Aoû_Dim1)=1,IF(AND(YEAR(Aoû_Dim1+12)=Année_Calendaire,MONTH(Aoû_Dim1+12)=8),Aoû_Dim1+12,""),IF(AND(YEAR(Aoû_Dim1+19)=Année_Calendaire,MONTH(Aoû_Dim1+19)=8),Aoû_Dim1+19,""))</f>
        <v>42965</v>
      </c>
      <c r="Z132" s="90">
        <f>IF(DAY(Aoû_Dim1)=1,IF(AND(YEAR(Aoû_Dim1+13)=Année_Calendaire,MONTH(Aoû_Dim1+13)=8),Aoû_Dim1+13,""),IF(AND(YEAR(Aoû_Dim1+20)=Année_Calendaire,MONTH(Aoû_Dim1+20)=8),Aoû_Dim1+20,""))</f>
        <v>42966</v>
      </c>
      <c r="AA132" s="90">
        <f>IF(DAY(Aoû_Dim1)=1,IF(AND(YEAR(Aoû_Dim1+14)=Année_Calendaire,MONTH(Aoû_Dim1+14)=8),Aoû_Dim1+14,""),IF(AND(YEAR(Aoû_Dim1+21)=Année_Calendaire,MONTH(Aoû_Dim1+21)=8),Aoû_Dim1+21,""))</f>
        <v>42967</v>
      </c>
      <c r="AB132" s="105"/>
      <c r="AC132" s="54"/>
      <c r="AD132" s="90">
        <f>IF(DAY(Aoû_Dim1)=1,IF(AND(YEAR(Aoû_Dim1+15)=Année_Calendaire,MONTH(Aoû_Dim1+15)=8),Aoû_Dim1+15,""),IF(AND(YEAR(Aoû_Dim1+22)=Année_Calendaire,MONTH(Aoû_Dim1+22)=8),Aoû_Dim1+22,""))</f>
        <v>42968</v>
      </c>
      <c r="AE132" s="90">
        <f>IF(DAY(Aoû_Dim1)=1,IF(AND(YEAR(Aoû_Dim1+16)=Année_Calendaire,MONTH(Aoû_Dim1+16)=8),Aoû_Dim1+16,""),IF(AND(YEAR(Aoû_Dim1+23)=Année_Calendaire,MONTH(Aoû_Dim1+23)=8),Aoû_Dim1+23,""))</f>
        <v>42969</v>
      </c>
      <c r="AF132" s="90">
        <f>IF(DAY(Aoû_Dim1)=1,IF(AND(YEAR(Aoû_Dim1+17)=Année_Calendaire,MONTH(Aoû_Dim1+17)=8),Aoû_Dim1+17,""),IF(AND(YEAR(Aoû_Dim1+24)=Année_Calendaire,MONTH(Aoû_Dim1+24)=8),Aoû_Dim1+24,""))</f>
        <v>42970</v>
      </c>
      <c r="AG132" s="90">
        <f>IF(DAY(Aoû_Dim1)=1,IF(AND(YEAR(Aoû_Dim1+18)=Année_Calendaire,MONTH(Aoû_Dim1+18)=8),Aoû_Dim1+18,""),IF(AND(YEAR(Aoû_Dim1+25)=Année_Calendaire,MONTH(Aoû_Dim1+25)=8),Aoû_Dim1+25,""))</f>
        <v>42971</v>
      </c>
      <c r="AH132" s="93">
        <f>IF(DAY(Aoû_Dim1)=1,IF(AND(YEAR(Aoû_Dim1+19)=Année_Calendaire,MONTH(Aoû_Dim1+19)=8),Aoû_Dim1+19,""),IF(AND(YEAR(Aoû_Dim1+26)=Année_Calendaire,MONTH(Aoû_Dim1+26)=8),Aoû_Dim1+26,""))</f>
        <v>42972</v>
      </c>
      <c r="AI132" s="90">
        <f>IF(DAY(Aoû_Dim1)=1,IF(AND(YEAR(Aoû_Dim1+20)=Année_Calendaire,MONTH(Aoû_Dim1+20)=8),Aoû_Dim1+20,""),IF(AND(YEAR(Aoû_Dim1+27)=Année_Calendaire,MONTH(Aoû_Dim1+27)=8),Aoû_Dim1+27,""))</f>
        <v>42973</v>
      </c>
      <c r="AJ132" s="90">
        <f>IF(DAY(Aoû_Dim1)=1,IF(AND(YEAR(Aoû_Dim1+21)=Année_Calendaire,MONTH(Aoû_Dim1+21)=8),Aoû_Dim1+21,""),IF(AND(YEAR(Aoû_Dim1+28)=Année_Calendaire,MONTH(Aoû_Dim1+28)=8),Aoû_Dim1+28,""))</f>
        <v>42974</v>
      </c>
      <c r="AK132" s="105"/>
      <c r="AL132" s="54"/>
      <c r="AM132" s="90">
        <f>IF(DAY(Aoû_Dim1)=1,IF(AND(YEAR(Aoû_Dim1+22)=Année_Calendaire,MONTH(Aoû_Dim1+22)=8),Aoû_Dim1+22,""),IF(AND(YEAR(Aoû_Dim1+29)=Année_Calendaire,MONTH(Aoû_Dim1+29)=8),Aoû_Dim1+29,""))</f>
        <v>42975</v>
      </c>
      <c r="AN132" s="90">
        <f>IF(DAY(Aoû_Dim1)=1,IF(AND(YEAR(Aoû_Dim1+23)=Année_Calendaire,MONTH(Aoû_Dim1+23)=8),Aoû_Dim1+23,""),IF(AND(YEAR(Aoû_Dim1+30)=Année_Calendaire,MONTH(Aoû_Dim1+30)=8),Aoû_Dim1+30,""))</f>
        <v>42976</v>
      </c>
      <c r="AO132" s="90">
        <f>IF(DAY(Aoû_Dim1)=1,IF(AND(YEAR(Aoû_Dim1+24)=Année_Calendaire,MONTH(Aoû_Dim1+24)=8),Aoû_Dim1+24,""),IF(AND(YEAR(Aoû_Dim1+31)=Année_Calendaire,MONTH(Aoû_Dim1+31)=8),Aoû_Dim1+31,""))</f>
        <v>42977</v>
      </c>
      <c r="AP132" s="90">
        <f>IF(DAY(Aoû_Dim1)=1,IF(AND(YEAR(Aoû_Dim1+25)=Année_Calendaire,MONTH(Aoû_Dim1+25)=8),Aoû_Dim1+25,""),IF(AND(YEAR(Aoû_Dim1+32)=Année_Calendaire,MONTH(Aoû_Dim1+32)=8),Aoû_Dim1+32,""))</f>
        <v>42978</v>
      </c>
      <c r="AQ132" s="90" t="str">
        <f>IF(DAY(Aoû_Dim1)=1,IF(AND(YEAR(Aoû_Dim1+26)=Année_Calendaire,MONTH(Aoû_Dim1+26)=8),Aoû_Dim1+26,""),IF(AND(YEAR(Aoû_Dim1+33)=Année_Calendaire,MONTH(Aoû_Dim1+33)=8),Aoû_Dim1+33,""))</f>
        <v/>
      </c>
      <c r="AR132" s="90" t="str">
        <f>IF(DAY(Aoû_Dim1)=1,IF(AND(YEAR(Aoû_Dim1+27)=Année_Calendaire,MONTH(Aoû_Dim1+27)=8),Aoû_Dim1+27,""),IF(AND(YEAR(Aoû_Dim1+34)=Année_Calendaire,MONTH(Aoû_Dim1+34)=8),Aoû_Dim1+34,""))</f>
        <v/>
      </c>
      <c r="AS132" s="90" t="str">
        <f>IF(DAY(Aoû_Dim1)=1,IF(AND(YEAR(Aoû_Dim1+28)=Année_Calendaire,MONTH(Aoû_Dim1+28)=8),Aoû_Dim1+28,""),IF(AND(YEAR(Aoû_Dim1+35)=Année_Calendaire,MONTH(Aoû_Dim1+35)=8),Aoû_Dim1+35,""))</f>
        <v/>
      </c>
      <c r="AT132" s="105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105"/>
      <c r="AY132" s="105"/>
      <c r="AZ132" s="108"/>
      <c r="BA132" s="108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/>
      <c r="D133" s="49" t="s">
        <v>50</v>
      </c>
      <c r="E133" s="49" t="s">
        <v>50</v>
      </c>
      <c r="F133" s="49" t="s">
        <v>50</v>
      </c>
      <c r="G133" s="49" t="s">
        <v>50</v>
      </c>
      <c r="H133" s="49"/>
      <c r="I133" s="49"/>
      <c r="J133" s="52"/>
      <c r="K133" s="48"/>
      <c r="L133" s="49" t="s">
        <v>48</v>
      </c>
      <c r="M133" s="49" t="s">
        <v>48</v>
      </c>
      <c r="N133" s="49" t="s">
        <v>48</v>
      </c>
      <c r="O133" s="49"/>
      <c r="P133" s="49"/>
      <c r="Q133" s="49"/>
      <c r="R133" s="49"/>
      <c r="S133" s="52"/>
      <c r="T133" s="48"/>
      <c r="U133" s="49" t="s">
        <v>49</v>
      </c>
      <c r="V133" s="49" t="s">
        <v>49</v>
      </c>
      <c r="W133" s="49" t="s">
        <v>49</v>
      </c>
      <c r="X133" s="49" t="s">
        <v>49</v>
      </c>
      <c r="Y133" s="49" t="s">
        <v>49</v>
      </c>
      <c r="Z133" s="49"/>
      <c r="AA133" s="49"/>
      <c r="AB133" s="52"/>
      <c r="AC133" s="48"/>
      <c r="AD133" s="49" t="s">
        <v>48</v>
      </c>
      <c r="AE133" s="49"/>
      <c r="AF133" s="49"/>
      <c r="AG133" s="49" t="s">
        <v>48</v>
      </c>
      <c r="AH133" s="49" t="s">
        <v>48</v>
      </c>
      <c r="AI133" s="49"/>
      <c r="AJ133" s="49"/>
      <c r="AK133" s="52"/>
      <c r="AL133" s="48"/>
      <c r="AM133" s="49" t="s">
        <v>50</v>
      </c>
      <c r="AN133" s="49" t="s">
        <v>50</v>
      </c>
      <c r="AO133" s="49" t="s">
        <v>50</v>
      </c>
      <c r="AP133" s="49" t="s">
        <v>50</v>
      </c>
      <c r="AQ133" s="49"/>
      <c r="AR133" s="49"/>
      <c r="AS133" s="49"/>
      <c r="AT133" s="52"/>
      <c r="AU133" s="48"/>
      <c r="AV133" s="49"/>
      <c r="AW133" s="49"/>
      <c r="AX133" s="52" t="s">
        <v>50</v>
      </c>
      <c r="AY133" s="50" t="s">
        <v>50</v>
      </c>
      <c r="AZ133" s="40" t="s">
        <v>50</v>
      </c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4">IF(C133="Matin",1,IF(C133="AM",1,0))</f>
        <v>0</v>
      </c>
      <c r="D134" s="52">
        <f t="shared" si="304"/>
        <v>1</v>
      </c>
      <c r="E134" s="52">
        <f t="shared" si="304"/>
        <v>1</v>
      </c>
      <c r="F134" s="52">
        <f t="shared" si="304"/>
        <v>1</v>
      </c>
      <c r="G134" s="52">
        <f t="shared" si="304"/>
        <v>1</v>
      </c>
      <c r="H134" s="52">
        <f t="shared" si="304"/>
        <v>0</v>
      </c>
      <c r="I134" s="52">
        <f t="shared" si="304"/>
        <v>0</v>
      </c>
      <c r="J134" s="52">
        <f>SUM(C134:I134)</f>
        <v>4</v>
      </c>
      <c r="K134" s="51"/>
      <c r="L134" s="52">
        <f t="shared" ref="L134:R134" si="305">IF(L133="Matin",1,IF(L133="AM",1,0))</f>
        <v>1</v>
      </c>
      <c r="M134" s="52">
        <f t="shared" si="305"/>
        <v>1</v>
      </c>
      <c r="N134" s="52">
        <f t="shared" si="305"/>
        <v>1</v>
      </c>
      <c r="O134" s="52">
        <f t="shared" si="305"/>
        <v>0</v>
      </c>
      <c r="P134" s="52">
        <f t="shared" si="305"/>
        <v>0</v>
      </c>
      <c r="Q134" s="52">
        <f t="shared" si="305"/>
        <v>0</v>
      </c>
      <c r="R134" s="52">
        <f t="shared" si="305"/>
        <v>0</v>
      </c>
      <c r="S134" s="52">
        <f>SUM(L134:R134)</f>
        <v>3</v>
      </c>
      <c r="T134" s="51"/>
      <c r="U134" s="52">
        <f t="shared" ref="U134:AA134" si="306">IF(U133="Matin",1,IF(U133="AM",1,0))</f>
        <v>0</v>
      </c>
      <c r="V134" s="52">
        <f t="shared" si="306"/>
        <v>0</v>
      </c>
      <c r="W134" s="52">
        <f t="shared" si="306"/>
        <v>0</v>
      </c>
      <c r="X134" s="52">
        <f t="shared" si="306"/>
        <v>0</v>
      </c>
      <c r="Y134" s="52">
        <f t="shared" si="306"/>
        <v>0</v>
      </c>
      <c r="Z134" s="52">
        <f t="shared" si="306"/>
        <v>0</v>
      </c>
      <c r="AA134" s="52">
        <f t="shared" si="306"/>
        <v>0</v>
      </c>
      <c r="AB134" s="52">
        <f>SUM(U134:AA134)</f>
        <v>0</v>
      </c>
      <c r="AC134" s="51"/>
      <c r="AD134" s="52">
        <f t="shared" ref="AD134:AJ134" si="307">IF(AD133="Matin",1,IF(AD133="AM",1,0))</f>
        <v>1</v>
      </c>
      <c r="AE134" s="52">
        <f t="shared" si="307"/>
        <v>0</v>
      </c>
      <c r="AF134" s="52">
        <f t="shared" si="307"/>
        <v>0</v>
      </c>
      <c r="AG134" s="52">
        <f t="shared" si="307"/>
        <v>1</v>
      </c>
      <c r="AH134" s="52">
        <f t="shared" si="307"/>
        <v>1</v>
      </c>
      <c r="AI134" s="52">
        <f t="shared" si="307"/>
        <v>0</v>
      </c>
      <c r="AJ134" s="52">
        <f t="shared" si="307"/>
        <v>0</v>
      </c>
      <c r="AK134" s="52">
        <f>SUM(AD134:AJ134)</f>
        <v>3</v>
      </c>
      <c r="AL134" s="51"/>
      <c r="AM134" s="52">
        <f t="shared" ref="AM134:AS134" si="308">IF(AM133="Matin",1,IF(AM133="AM",1,0))</f>
        <v>1</v>
      </c>
      <c r="AN134" s="52">
        <f t="shared" si="308"/>
        <v>1</v>
      </c>
      <c r="AO134" s="52">
        <f t="shared" si="308"/>
        <v>1</v>
      </c>
      <c r="AP134" s="52">
        <f t="shared" si="308"/>
        <v>1</v>
      </c>
      <c r="AQ134" s="52">
        <f t="shared" si="308"/>
        <v>0</v>
      </c>
      <c r="AR134" s="52">
        <f t="shared" si="308"/>
        <v>0</v>
      </c>
      <c r="AS134" s="52">
        <f t="shared" si="308"/>
        <v>0</v>
      </c>
      <c r="AT134" s="52">
        <f>SUM(AM134:AS134)</f>
        <v>4</v>
      </c>
      <c r="AU134" s="51"/>
      <c r="AV134" s="52">
        <f t="shared" ref="AV134:AW134" si="309">IF(AV133="Matin",1,IF(AV133="AM",1,0))</f>
        <v>0</v>
      </c>
      <c r="AW134" s="52">
        <f t="shared" si="309"/>
        <v>0</v>
      </c>
      <c r="AX134" s="52">
        <f t="shared" ref="AX134:AX141" si="310">SUM(AV134:AW134)</f>
        <v>0</v>
      </c>
      <c r="AY134" s="52">
        <f>J134+S134+AB134+AK134+AT134+AX134</f>
        <v>14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0</v>
      </c>
      <c r="D135" s="49">
        <f>IF(D136&gt;=1,1,0)</f>
        <v>1</v>
      </c>
      <c r="E135" s="49">
        <f t="shared" ref="E135:I135" si="311">IF(E136&gt;=1,1,0)</f>
        <v>1</v>
      </c>
      <c r="F135" s="49">
        <f t="shared" si="311"/>
        <v>1</v>
      </c>
      <c r="G135" s="49">
        <f t="shared" si="311"/>
        <v>1</v>
      </c>
      <c r="H135" s="49">
        <f t="shared" si="311"/>
        <v>0</v>
      </c>
      <c r="I135" s="49">
        <f t="shared" si="311"/>
        <v>0</v>
      </c>
      <c r="J135" s="52">
        <f t="shared" ref="J135:J145" si="312">SUM(C135:I135)</f>
        <v>4</v>
      </c>
      <c r="K135" s="48"/>
      <c r="L135" s="49">
        <f>IF(L136&gt;=1,1,0)</f>
        <v>1</v>
      </c>
      <c r="M135" s="49">
        <f t="shared" ref="M135:R135" si="313">IF(M136&gt;=1,1,0)</f>
        <v>1</v>
      </c>
      <c r="N135" s="49">
        <f t="shared" si="313"/>
        <v>1</v>
      </c>
      <c r="O135" s="49">
        <f t="shared" si="313"/>
        <v>0</v>
      </c>
      <c r="P135" s="49">
        <f t="shared" si="313"/>
        <v>0</v>
      </c>
      <c r="Q135" s="49">
        <f t="shared" si="313"/>
        <v>0</v>
      </c>
      <c r="R135" s="49">
        <f t="shared" si="313"/>
        <v>0</v>
      </c>
      <c r="S135" s="52">
        <f t="shared" ref="S135:S145" si="314">SUM(L135:R135)</f>
        <v>3</v>
      </c>
      <c r="T135" s="48"/>
      <c r="U135" s="49">
        <f>IF(U136&gt;=1,1,0)</f>
        <v>1</v>
      </c>
      <c r="V135" s="49">
        <f t="shared" ref="V135:AA135" si="315">IF(V136&gt;=1,1,0)</f>
        <v>1</v>
      </c>
      <c r="W135" s="49">
        <f t="shared" si="315"/>
        <v>1</v>
      </c>
      <c r="X135" s="49">
        <f t="shared" si="315"/>
        <v>1</v>
      </c>
      <c r="Y135" s="49">
        <f t="shared" si="315"/>
        <v>1</v>
      </c>
      <c r="Z135" s="49">
        <f t="shared" si="315"/>
        <v>0</v>
      </c>
      <c r="AA135" s="49">
        <f t="shared" si="315"/>
        <v>0</v>
      </c>
      <c r="AB135" s="52">
        <f t="shared" ref="AB135:AB145" si="316">SUM(U135:AA135)</f>
        <v>5</v>
      </c>
      <c r="AC135" s="48"/>
      <c r="AD135" s="49">
        <f>IF(AD136&gt;=1,1,0)</f>
        <v>1</v>
      </c>
      <c r="AE135" s="49">
        <f t="shared" ref="AE135:AJ135" si="317">IF(AE136&gt;=1,1,0)</f>
        <v>0</v>
      </c>
      <c r="AF135" s="49">
        <f t="shared" si="317"/>
        <v>0</v>
      </c>
      <c r="AG135" s="49">
        <f t="shared" si="317"/>
        <v>1</v>
      </c>
      <c r="AH135" s="49">
        <f t="shared" si="317"/>
        <v>1</v>
      </c>
      <c r="AI135" s="49">
        <f t="shared" si="317"/>
        <v>0</v>
      </c>
      <c r="AJ135" s="49">
        <f t="shared" si="317"/>
        <v>0</v>
      </c>
      <c r="AK135" s="52">
        <f t="shared" ref="AK135:AK145" si="318">SUM(AD135:AJ135)</f>
        <v>3</v>
      </c>
      <c r="AL135" s="48"/>
      <c r="AM135" s="49">
        <f>IF(AM136&gt;=1,1,0)</f>
        <v>1</v>
      </c>
      <c r="AN135" s="49">
        <f t="shared" ref="AN135:AS135" si="319">IF(AN136&gt;=1,1,0)</f>
        <v>1</v>
      </c>
      <c r="AO135" s="49">
        <f t="shared" si="319"/>
        <v>1</v>
      </c>
      <c r="AP135" s="49">
        <f t="shared" si="319"/>
        <v>1</v>
      </c>
      <c r="AQ135" s="49">
        <f t="shared" si="319"/>
        <v>0</v>
      </c>
      <c r="AR135" s="49">
        <f t="shared" si="319"/>
        <v>0</v>
      </c>
      <c r="AS135" s="49">
        <f t="shared" si="319"/>
        <v>0</v>
      </c>
      <c r="AT135" s="52">
        <f t="shared" ref="AT135:AT145" si="320">SUM(AM135:AS135)</f>
        <v>4</v>
      </c>
      <c r="AU135" s="48"/>
      <c r="AV135" s="49">
        <f>IF(AV136&gt;=1,1,0)</f>
        <v>0</v>
      </c>
      <c r="AW135" s="49">
        <f t="shared" ref="AW135" si="321">IF(AW136&gt;=1,1,0)</f>
        <v>0</v>
      </c>
      <c r="AX135" s="52">
        <f t="shared" si="310"/>
        <v>0</v>
      </c>
      <c r="AY135" s="49">
        <f t="shared" ref="AY135:AY144" si="322">J135+S135+AB135+AK135+AT135+AX135</f>
        <v>19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0</v>
      </c>
      <c r="D136" s="52">
        <f t="shared" ref="D136:I136" si="323">IF(D133="Matin",8,IF(D133="AM",8,IF(D133="nuit",8,0)))</f>
        <v>8</v>
      </c>
      <c r="E136" s="52">
        <f t="shared" si="323"/>
        <v>8</v>
      </c>
      <c r="F136" s="52">
        <f t="shared" si="323"/>
        <v>8</v>
      </c>
      <c r="G136" s="52">
        <f t="shared" si="323"/>
        <v>8</v>
      </c>
      <c r="H136" s="52">
        <f t="shared" si="323"/>
        <v>0</v>
      </c>
      <c r="I136" s="52">
        <f t="shared" si="323"/>
        <v>0</v>
      </c>
      <c r="J136" s="52">
        <f t="shared" si="312"/>
        <v>32</v>
      </c>
      <c r="K136" s="51"/>
      <c r="L136" s="52">
        <f>IF(L133="Matin",8,IF(L133="AM",8,IF(L133="nuit",8,0)))</f>
        <v>8</v>
      </c>
      <c r="M136" s="52">
        <f t="shared" ref="M136:R136" si="324">IF(M133="Matin",8,IF(M133="AM",8,IF(M133="nuit",8,0)))</f>
        <v>8</v>
      </c>
      <c r="N136" s="52">
        <f t="shared" si="324"/>
        <v>8</v>
      </c>
      <c r="O136" s="52">
        <f t="shared" si="324"/>
        <v>0</v>
      </c>
      <c r="P136" s="52">
        <f t="shared" si="324"/>
        <v>0</v>
      </c>
      <c r="Q136" s="52">
        <f t="shared" si="324"/>
        <v>0</v>
      </c>
      <c r="R136" s="52">
        <f t="shared" si="324"/>
        <v>0</v>
      </c>
      <c r="S136" s="52">
        <f t="shared" si="314"/>
        <v>24</v>
      </c>
      <c r="T136" s="51"/>
      <c r="U136" s="52">
        <f>IF(U133="Matin",8,IF(U133="AM",8,IF(U133="nuit",8,0)))</f>
        <v>8</v>
      </c>
      <c r="V136" s="52">
        <f t="shared" ref="V136:AA136" si="325">IF(V133="Matin",8,IF(V133="AM",8,IF(V133="nuit",8,0)))</f>
        <v>8</v>
      </c>
      <c r="W136" s="52">
        <f t="shared" si="325"/>
        <v>8</v>
      </c>
      <c r="X136" s="52">
        <f t="shared" si="325"/>
        <v>8</v>
      </c>
      <c r="Y136" s="52">
        <f t="shared" si="325"/>
        <v>8</v>
      </c>
      <c r="Z136" s="52">
        <f t="shared" si="325"/>
        <v>0</v>
      </c>
      <c r="AA136" s="52">
        <f t="shared" si="325"/>
        <v>0</v>
      </c>
      <c r="AB136" s="52">
        <f t="shared" si="316"/>
        <v>40</v>
      </c>
      <c r="AC136" s="51"/>
      <c r="AD136" s="52">
        <f>IF(AD133="Matin",8,IF(AD133="AM",8,IF(AD133="nuit",8,0)))</f>
        <v>8</v>
      </c>
      <c r="AE136" s="52">
        <f t="shared" ref="AE136:AJ136" si="326">IF(AE133="Matin",8,IF(AE133="AM",8,IF(AE133="nuit",8,0)))</f>
        <v>0</v>
      </c>
      <c r="AF136" s="52">
        <f t="shared" si="326"/>
        <v>0</v>
      </c>
      <c r="AG136" s="52">
        <f t="shared" si="326"/>
        <v>8</v>
      </c>
      <c r="AH136" s="52">
        <f t="shared" si="326"/>
        <v>8</v>
      </c>
      <c r="AI136" s="52">
        <f t="shared" si="326"/>
        <v>0</v>
      </c>
      <c r="AJ136" s="52">
        <f t="shared" si="326"/>
        <v>0</v>
      </c>
      <c r="AK136" s="52">
        <f t="shared" si="318"/>
        <v>24</v>
      </c>
      <c r="AL136" s="51"/>
      <c r="AM136" s="52">
        <f>IF(AM133="Matin",8,IF(AM133="AM",8,IF(AM133="nuit",8,0)))</f>
        <v>8</v>
      </c>
      <c r="AN136" s="52">
        <f t="shared" ref="AN136:AS136" si="327">IF(AN133="Matin",8,IF(AN133="AM",8,IF(AN133="nuit",8,0)))</f>
        <v>8</v>
      </c>
      <c r="AO136" s="52">
        <f t="shared" si="327"/>
        <v>8</v>
      </c>
      <c r="AP136" s="52">
        <f t="shared" si="327"/>
        <v>8</v>
      </c>
      <c r="AQ136" s="52">
        <f t="shared" si="327"/>
        <v>0</v>
      </c>
      <c r="AR136" s="52">
        <f t="shared" si="327"/>
        <v>0</v>
      </c>
      <c r="AS136" s="52">
        <f t="shared" si="327"/>
        <v>0</v>
      </c>
      <c r="AT136" s="52">
        <f t="shared" si="320"/>
        <v>32</v>
      </c>
      <c r="AU136" s="51"/>
      <c r="AV136" s="52">
        <f>IF(AV133="Matin",8,IF(AV133="AM",8,IF(AV133="nuit",8,0)))</f>
        <v>0</v>
      </c>
      <c r="AW136" s="52">
        <f t="shared" ref="AW136" si="328">IF(AW133="Matin",8,IF(AW133="AM",8,IF(AW133="nuit",8,0)))</f>
        <v>0</v>
      </c>
      <c r="AX136" s="52">
        <f t="shared" si="310"/>
        <v>0</v>
      </c>
      <c r="AY136" s="52">
        <f t="shared" si="322"/>
        <v>152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13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2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0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4"/>
        <v>0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3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6"/>
        <v>3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0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8"/>
        <v>0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0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20"/>
        <v>0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10"/>
        <v>0</v>
      </c>
      <c r="AY137" s="50">
        <f t="shared" si="322"/>
        <v>3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2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0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4"/>
        <v>0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5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6"/>
        <v>5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0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8"/>
        <v>0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0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20"/>
        <v>0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10"/>
        <v>0</v>
      </c>
      <c r="AY138" s="52">
        <f t="shared" si="322"/>
        <v>5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2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4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6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8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20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10"/>
        <v>0</v>
      </c>
      <c r="AY139" s="50">
        <f t="shared" si="322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9">IF(D131="Dim",D136,IF(D146="ferie",D136,0))</f>
        <v>0</v>
      </c>
      <c r="E140" s="52">
        <f t="shared" si="329"/>
        <v>0</v>
      </c>
      <c r="F140" s="52">
        <f t="shared" si="329"/>
        <v>0</v>
      </c>
      <c r="G140" s="52">
        <f t="shared" si="329"/>
        <v>0</v>
      </c>
      <c r="H140" s="52">
        <f t="shared" si="329"/>
        <v>0</v>
      </c>
      <c r="I140" s="52">
        <f t="shared" si="329"/>
        <v>0</v>
      </c>
      <c r="J140" s="52">
        <f t="shared" si="312"/>
        <v>0</v>
      </c>
      <c r="K140" s="51"/>
      <c r="L140" s="52">
        <f>IF(L131="Dim",L136,IF(L146="ferie",L136,0))</f>
        <v>0</v>
      </c>
      <c r="M140" s="52">
        <f t="shared" ref="M140:R140" si="330">IF(M131="Dim",M136,IF(M146="ferie",M136,0))</f>
        <v>0</v>
      </c>
      <c r="N140" s="52">
        <f t="shared" si="330"/>
        <v>0</v>
      </c>
      <c r="O140" s="52">
        <f t="shared" si="330"/>
        <v>0</v>
      </c>
      <c r="P140" s="52">
        <f t="shared" si="330"/>
        <v>0</v>
      </c>
      <c r="Q140" s="52">
        <f>IF(Q131="Dim",Q136,IF(Q146="ferie",Q136,0))</f>
        <v>0</v>
      </c>
      <c r="R140" s="52">
        <f t="shared" si="330"/>
        <v>0</v>
      </c>
      <c r="S140" s="52">
        <f t="shared" si="314"/>
        <v>0</v>
      </c>
      <c r="T140" s="51"/>
      <c r="U140" s="52">
        <f>IF(U131="Dim",U136,IF(U146="ferie",U136,0))</f>
        <v>0</v>
      </c>
      <c r="V140" s="52">
        <f t="shared" ref="V140:AA140" si="331">IF(V131="Dim",V136,IF(V146="ferie",V136,0))</f>
        <v>0</v>
      </c>
      <c r="W140" s="52">
        <f t="shared" si="331"/>
        <v>0</v>
      </c>
      <c r="X140" s="52">
        <f t="shared" si="331"/>
        <v>0</v>
      </c>
      <c r="Y140" s="52">
        <f t="shared" si="331"/>
        <v>0</v>
      </c>
      <c r="Z140" s="52">
        <f t="shared" si="331"/>
        <v>0</v>
      </c>
      <c r="AA140" s="52">
        <f t="shared" si="331"/>
        <v>0</v>
      </c>
      <c r="AB140" s="52">
        <f t="shared" si="316"/>
        <v>0</v>
      </c>
      <c r="AC140" s="51"/>
      <c r="AD140" s="52">
        <f>IF(AD131="Dim",AD136,IF(AD146="ferie",AD136,0))</f>
        <v>0</v>
      </c>
      <c r="AE140" s="52">
        <f t="shared" ref="AE140:AJ140" si="332">IF(AE131="Dim",AE136,IF(AE146="ferie",AE136,0))</f>
        <v>0</v>
      </c>
      <c r="AF140" s="52">
        <f t="shared" si="332"/>
        <v>0</v>
      </c>
      <c r="AG140" s="52">
        <f t="shared" si="332"/>
        <v>0</v>
      </c>
      <c r="AH140" s="52">
        <f t="shared" si="332"/>
        <v>0</v>
      </c>
      <c r="AI140" s="52">
        <f t="shared" si="332"/>
        <v>0</v>
      </c>
      <c r="AJ140" s="52">
        <f t="shared" si="332"/>
        <v>0</v>
      </c>
      <c r="AK140" s="52">
        <f t="shared" si="318"/>
        <v>0</v>
      </c>
      <c r="AL140" s="51"/>
      <c r="AM140" s="52">
        <f>IF(AM131="Dim",AM136,IF(AM146="ferie",AM136,0))</f>
        <v>0</v>
      </c>
      <c r="AN140" s="52">
        <f t="shared" ref="AN140:AW140" si="333">IF(AN131="Dim",AN136,IF(AN146="ferie",AN136,0))</f>
        <v>0</v>
      </c>
      <c r="AO140" s="52">
        <f t="shared" si="333"/>
        <v>0</v>
      </c>
      <c r="AP140" s="52">
        <f t="shared" si="333"/>
        <v>0</v>
      </c>
      <c r="AQ140" s="52">
        <f t="shared" si="333"/>
        <v>0</v>
      </c>
      <c r="AR140" s="52">
        <f t="shared" si="333"/>
        <v>0</v>
      </c>
      <c r="AS140" s="52">
        <f t="shared" si="333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3"/>
        <v>0</v>
      </c>
      <c r="AX140" s="52">
        <f t="shared" si="310"/>
        <v>0</v>
      </c>
      <c r="AY140" s="52">
        <f t="shared" si="322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2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4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6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8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20"/>
        <v>0</v>
      </c>
      <c r="AU141" s="48"/>
      <c r="AV141" s="49"/>
      <c r="AW141" s="49"/>
      <c r="AX141" s="52">
        <f t="shared" si="310"/>
        <v>0</v>
      </c>
      <c r="AY141" s="49">
        <f t="shared" si="322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2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4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6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8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20"/>
        <v>0</v>
      </c>
      <c r="AU142" s="51"/>
      <c r="AV142" s="52"/>
      <c r="AW142" s="52"/>
      <c r="AX142" s="52">
        <f t="shared" ref="AX142:AX144" si="334">SUM(AV142:AW142)</f>
        <v>0</v>
      </c>
      <c r="AY142" s="52">
        <f t="shared" si="322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2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4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6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8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20"/>
        <v>0</v>
      </c>
      <c r="AU143" s="48"/>
      <c r="AV143" s="49"/>
      <c r="AW143" s="49"/>
      <c r="AX143" s="52">
        <f t="shared" si="334"/>
        <v>0</v>
      </c>
      <c r="AY143" s="50">
        <f t="shared" si="322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2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4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6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8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20"/>
        <v>0</v>
      </c>
      <c r="AU144" s="51"/>
      <c r="AV144" s="52"/>
      <c r="AW144" s="52"/>
      <c r="AX144" s="52">
        <f t="shared" si="334"/>
        <v>0</v>
      </c>
      <c r="AY144" s="52">
        <f t="shared" si="322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37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5">IF(E133="nuit",E136*0.02,0)</f>
        <v>0</v>
      </c>
      <c r="F145" s="49">
        <f t="shared" si="335"/>
        <v>0</v>
      </c>
      <c r="G145" s="49">
        <f>IF(G133="nuit",G136*0.02,0)</f>
        <v>0</v>
      </c>
      <c r="H145" s="49">
        <f t="shared" si="335"/>
        <v>0</v>
      </c>
      <c r="I145" s="49">
        <f t="shared" si="335"/>
        <v>0</v>
      </c>
      <c r="J145" s="52">
        <f t="shared" si="312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6">IF(N133="nuit",N136*0.02,0)</f>
        <v>0</v>
      </c>
      <c r="O145" s="49">
        <f t="shared" si="336"/>
        <v>0</v>
      </c>
      <c r="P145" s="49">
        <f>IF(P133="nuit",P136*0.02,0)</f>
        <v>0</v>
      </c>
      <c r="Q145" s="49">
        <f t="shared" si="336"/>
        <v>0</v>
      </c>
      <c r="R145" s="49">
        <f t="shared" si="336"/>
        <v>0</v>
      </c>
      <c r="S145" s="52">
        <f t="shared" si="314"/>
        <v>0</v>
      </c>
      <c r="T145" s="48"/>
      <c r="U145" s="49">
        <f>IF(U133="nuit",U136*0.02,0)</f>
        <v>0.16</v>
      </c>
      <c r="V145" s="49">
        <f>IF(V133="nuit",V136*0.02,0)</f>
        <v>0.16</v>
      </c>
      <c r="W145" s="49">
        <f t="shared" ref="W145:AA145" si="337">IF(W133="nuit",W136*0.02,0)</f>
        <v>0.16</v>
      </c>
      <c r="X145" s="49">
        <f t="shared" si="337"/>
        <v>0.16</v>
      </c>
      <c r="Y145" s="49">
        <f>IF(Y133="nuit",Y136*0.02,0)</f>
        <v>0.16</v>
      </c>
      <c r="Z145" s="49">
        <f t="shared" si="337"/>
        <v>0</v>
      </c>
      <c r="AA145" s="49">
        <f t="shared" si="337"/>
        <v>0</v>
      </c>
      <c r="AB145" s="52">
        <f t="shared" si="316"/>
        <v>0.8</v>
      </c>
      <c r="AC145" s="48"/>
      <c r="AD145" s="49">
        <f>IF(AD133="nuit",AD136*0.02,0)</f>
        <v>0</v>
      </c>
      <c r="AE145" s="49">
        <f>IF(AE133="nuit",AE136*0.02,0)</f>
        <v>0</v>
      </c>
      <c r="AF145" s="49">
        <f t="shared" ref="AF145:AJ145" si="338">IF(AF133="nuit",AF136*0.02,0)</f>
        <v>0</v>
      </c>
      <c r="AG145" s="49">
        <f t="shared" si="338"/>
        <v>0</v>
      </c>
      <c r="AH145" s="49">
        <f>IF(AH133="nuit",AH136*0.02,0)</f>
        <v>0</v>
      </c>
      <c r="AI145" s="49">
        <f t="shared" si="338"/>
        <v>0</v>
      </c>
      <c r="AJ145" s="49">
        <f t="shared" si="338"/>
        <v>0</v>
      </c>
      <c r="AK145" s="52">
        <f t="shared" si="318"/>
        <v>0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9">IF(AO133="nuit",AO136*0.02,0)</f>
        <v>0</v>
      </c>
      <c r="AP145" s="49">
        <f t="shared" si="339"/>
        <v>0</v>
      </c>
      <c r="AQ145" s="49">
        <f>IF(AQ133="nuit",AQ136*0.02,0)</f>
        <v>0</v>
      </c>
      <c r="AR145" s="49">
        <f t="shared" si="339"/>
        <v>0</v>
      </c>
      <c r="AS145" s="49">
        <f t="shared" si="339"/>
        <v>0</v>
      </c>
      <c r="AT145" s="52">
        <f t="shared" si="320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24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56"/>
      <c r="B147" s="56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>
      <c r="A148" s="16"/>
      <c r="B148" s="16"/>
      <c r="C148" s="19" t="s">
        <v>20</v>
      </c>
      <c r="D148" s="19"/>
      <c r="E148" s="19"/>
      <c r="F148" s="19"/>
      <c r="G148" s="19"/>
      <c r="H148" s="106">
        <f>Année_Calendaire</f>
        <v>2017</v>
      </c>
      <c r="I148" s="106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20</v>
      </c>
      <c r="V148" s="19"/>
      <c r="W148" s="19"/>
      <c r="X148" s="19"/>
      <c r="Y148" s="19"/>
      <c r="Z148" s="106">
        <f>Année_Calendaire</f>
        <v>2017</v>
      </c>
      <c r="AA148" s="106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20</v>
      </c>
      <c r="AN148" s="19"/>
      <c r="AO148" s="19"/>
      <c r="AP148" s="19"/>
      <c r="AQ148" s="19"/>
      <c r="AR148" s="106">
        <f>Année_Calendaire</f>
        <v>2017</v>
      </c>
      <c r="AS148" s="106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IF(C149="",AU131,LEFT(AU131)&amp;MOD(RIGHT(AU131),4)+1)</f>
        <v>C4</v>
      </c>
      <c r="C149" s="91" t="str">
        <f>IF(C150&lt;&gt;"","Lun","")</f>
        <v/>
      </c>
      <c r="D149" s="91" t="str">
        <f>IF(D150&lt;&gt;"","Mar","")</f>
        <v/>
      </c>
      <c r="E149" s="91" t="str">
        <f>IF(E150&lt;&gt;"","Mer","")</f>
        <v/>
      </c>
      <c r="F149" s="91" t="str">
        <f>IF(F150&lt;&gt;"","Jeu","")</f>
        <v/>
      </c>
      <c r="G149" s="91" t="str">
        <f>IF(G150&lt;&gt;"","Ven","")</f>
        <v>Ven</v>
      </c>
      <c r="H149" s="91" t="str">
        <f>IF(H150&lt;&gt;"","Sam","")</f>
        <v>Sam</v>
      </c>
      <c r="I149" s="91" t="str">
        <f>IF(I150&lt;&gt;"","Dim","")</f>
        <v>Dim</v>
      </c>
      <c r="J149" s="105" t="s">
        <v>25</v>
      </c>
      <c r="K149" s="55" t="str">
        <f>IF(L149="",LEFT(B149)&amp;MOD(RIGHT(B149),5),LEFT(B149)&amp;MOD(RIGHT(B149),4)+1)</f>
        <v>C1</v>
      </c>
      <c r="L149" s="91" t="str">
        <f>IF(L150&lt;&gt;"","Lun","")</f>
        <v>Lun</v>
      </c>
      <c r="M149" s="91" t="str">
        <f>IF(M150&lt;&gt;"","Mar","")</f>
        <v>Mar</v>
      </c>
      <c r="N149" s="91" t="str">
        <f>IF(N150&lt;&gt;"","Mer","")</f>
        <v>Mer</v>
      </c>
      <c r="O149" s="91" t="str">
        <f>IF(O150&lt;&gt;"","Jeu","")</f>
        <v>Jeu</v>
      </c>
      <c r="P149" s="91" t="str">
        <f>IF(P150&lt;&gt;"","Ven","")</f>
        <v>Ven</v>
      </c>
      <c r="Q149" s="91" t="str">
        <f>IF(Q150&lt;&gt;"","Sam","")</f>
        <v>Sam</v>
      </c>
      <c r="R149" s="91" t="str">
        <f>IF(R150&lt;&gt;"","Dim","")</f>
        <v>Dim</v>
      </c>
      <c r="S149" s="105" t="s">
        <v>25</v>
      </c>
      <c r="T149" s="55" t="str">
        <f>IF(U149="",LEFT(K149)&amp;MOD(RIGHT(K149),5),LEFT(K149)&amp;MOD(RIGHT(K149),4)+1)</f>
        <v>C2</v>
      </c>
      <c r="U149" s="91" t="str">
        <f>IF(U150&lt;&gt;"","Lun","")</f>
        <v>Lun</v>
      </c>
      <c r="V149" s="91" t="str">
        <f>IF(V150&lt;&gt;"","Mar","")</f>
        <v>Mar</v>
      </c>
      <c r="W149" s="91" t="str">
        <f>IF(W150&lt;&gt;"","Mer","")</f>
        <v>Mer</v>
      </c>
      <c r="X149" s="91" t="str">
        <f>IF(X150&lt;&gt;"","Jeu","")</f>
        <v>Jeu</v>
      </c>
      <c r="Y149" s="91" t="str">
        <f>IF(Y150&lt;&gt;"","Ven","")</f>
        <v>Ven</v>
      </c>
      <c r="Z149" s="91" t="str">
        <f>IF(Z150&lt;&gt;"","Sam","")</f>
        <v>Sam</v>
      </c>
      <c r="AA149" s="91" t="str">
        <f>IF(AA150&lt;&gt;"","Dim","")</f>
        <v>Dim</v>
      </c>
      <c r="AB149" s="105" t="s">
        <v>25</v>
      </c>
      <c r="AC149" s="55" t="str">
        <f>IF(AD149="",LEFT(T149)&amp;MOD(RIGHT(T149),5),LEFT(T149)&amp;MOD(RIGHT(T149),4)+1)</f>
        <v>C3</v>
      </c>
      <c r="AD149" s="91" t="str">
        <f>IF(AD150&lt;&gt;"","Lun","")</f>
        <v>Lun</v>
      </c>
      <c r="AE149" s="91" t="str">
        <f>IF(AE150&lt;&gt;"","Mar","")</f>
        <v>Mar</v>
      </c>
      <c r="AF149" s="91" t="str">
        <f>IF(AF150&lt;&gt;"","Mer","")</f>
        <v>Mer</v>
      </c>
      <c r="AG149" s="91" t="str">
        <f>IF(AG150&lt;&gt;"","Jeu","")</f>
        <v>Jeu</v>
      </c>
      <c r="AH149" s="91" t="str">
        <f>IF(AH150&lt;&gt;"","Ven","")</f>
        <v>Ven</v>
      </c>
      <c r="AI149" s="91" t="str">
        <f>IF(AI150&lt;&gt;"","Sam","")</f>
        <v>Sam</v>
      </c>
      <c r="AJ149" s="91" t="str">
        <f>IF(AJ150&lt;&gt;"","Dim","")</f>
        <v>Dim</v>
      </c>
      <c r="AK149" s="105" t="s">
        <v>25</v>
      </c>
      <c r="AL149" s="55" t="str">
        <f>IF(AM149="",LEFT(AC149)&amp;MOD(RIGHT(AC149),5),LEFT(AC149)&amp;MOD(RIGHT(AC149),4)+1)</f>
        <v>C4</v>
      </c>
      <c r="AM149" s="91" t="str">
        <f>IF(AM150&lt;&gt;"","Lun","")</f>
        <v>Lun</v>
      </c>
      <c r="AN149" s="91" t="str">
        <f>IF(AN150&lt;&gt;"","Mar","")</f>
        <v>Mar</v>
      </c>
      <c r="AO149" s="91" t="str">
        <f>IF(AO150&lt;&gt;"","Mer","")</f>
        <v>Mer</v>
      </c>
      <c r="AP149" s="91" t="str">
        <f>IF(AP150&lt;&gt;"","Jeu","")</f>
        <v>Jeu</v>
      </c>
      <c r="AQ149" s="91" t="str">
        <f>IF(AQ150&lt;&gt;"","Ven","")</f>
        <v>Ven</v>
      </c>
      <c r="AR149" s="91" t="str">
        <f>IF(AR150&lt;&gt;"","Sam","")</f>
        <v>Sam</v>
      </c>
      <c r="AS149" s="91" t="str">
        <f>IF(AS150&lt;&gt;"","Dim","")</f>
        <v/>
      </c>
      <c r="AT149" s="105" t="s">
        <v>25</v>
      </c>
      <c r="AU149" s="55" t="str">
        <f>IF(AV149="",LEFT(AL149)&amp;MOD(RIGHT(AL149),5),LEFT(AL149)&amp;MOD(RIGHT(AL149),4)+1)</f>
        <v>C4</v>
      </c>
      <c r="AV149" s="53" t="str">
        <f>IF(AV150&lt;&gt;"","Lun","")</f>
        <v/>
      </c>
      <c r="AW149" s="53" t="str">
        <f>IF(AW150&lt;&gt;"","Mar","")</f>
        <v/>
      </c>
      <c r="AX149" s="105" t="s">
        <v>25</v>
      </c>
      <c r="AY149" s="105" t="s">
        <v>28</v>
      </c>
      <c r="AZ149" s="108">
        <f>AY156+AY157+AY158</f>
        <v>10</v>
      </c>
      <c r="BA149" s="108">
        <f>AZ149+BA131</f>
        <v>80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90" t="str">
        <f>IF(DAY(Sep_Dim1)=1,"",IF(AND(YEAR(Sep_Dim1+1)=Année_Calendaire,MONTH(Sep_Dim1+1)=9),Sep_Dim1+1,""))</f>
        <v/>
      </c>
      <c r="D150" s="90" t="str">
        <f>IF(DAY(Sep_Dim1)=1,"",IF(AND(YEAR(Sep_Dim1+2)=Année_Calendaire,MONTH(Sep_Dim1+2)=9),Sep_Dim1+2,""))</f>
        <v/>
      </c>
      <c r="E150" s="90" t="str">
        <f>IF(DAY(Sep_Dim1)=1,"",IF(AND(YEAR(Sep_Dim1+3)=Année_Calendaire,MONTH(Sep_Dim1+3)=9),Sep_Dim1+3,""))</f>
        <v/>
      </c>
      <c r="F150" s="90" t="str">
        <f>IF(DAY(Sep_Dim1)=1,"",IF(AND(YEAR(Sep_Dim1+4)=Année_Calendaire,MONTH(Sep_Dim1+4)=9),Sep_Dim1+4,""))</f>
        <v/>
      </c>
      <c r="G150" s="90">
        <f>IF(DAY(Sep_Dim1)=1,"",IF(AND(YEAR(Sep_Dim1+5)=Année_Calendaire,MONTH(Sep_Dim1+5)=9),Sep_Dim1+5,""))</f>
        <v>42979</v>
      </c>
      <c r="H150" s="90">
        <f>IF(DAY(Sep_Dim1)=1,"",IF(AND(YEAR(Sep_Dim1+6)=Année_Calendaire,MONTH(Sep_Dim1+6)=9),Sep_Dim1+6,""))</f>
        <v>42980</v>
      </c>
      <c r="I150" s="90">
        <f>IF(DAY(Sep_Dim1)=1,IF(AND(YEAR(Sep_Dim1)=Année_Calendaire,MONTH(Sep_Dim1)=9),Sep_Dim1,""),IF(AND(YEAR(Sep_Dim1+7)=Année_Calendaire,MONTH(Sep_Dim1+7)=9),Sep_Dim1+7,""))</f>
        <v>42981</v>
      </c>
      <c r="J150" s="105"/>
      <c r="K150" s="54"/>
      <c r="L150" s="90">
        <f>IF(DAY(Sep_Dim1)=1,IF(AND(YEAR(Sep_Dim1+1)=Année_Calendaire,MONTH(Sep_Dim1+1)=9),Sep_Dim1+1,""),IF(AND(YEAR(Sep_Dim1+8)=Année_Calendaire,MONTH(Sep_Dim1+8)=9),Sep_Dim1+8,""))</f>
        <v>42982</v>
      </c>
      <c r="M150" s="90">
        <f>IF(DAY(Sep_Dim1)=1,IF(AND(YEAR(Sep_Dim1+2)=Année_Calendaire,MONTH(Sep_Dim1+2)=9),Sep_Dim1+2,""),IF(AND(YEAR(Sep_Dim1+9)=Année_Calendaire,MONTH(Sep_Dim1+9)=9),Sep_Dim1+9,""))</f>
        <v>42983</v>
      </c>
      <c r="N150" s="90">
        <f>IF(DAY(Sep_Dim1)=1,IF(AND(YEAR(Sep_Dim1+3)=Année_Calendaire,MONTH(Sep_Dim1+3)=9),Sep_Dim1+3,""),IF(AND(YEAR(Sep_Dim1+10)=Année_Calendaire,MONTH(Sep_Dim1+10)=9),Sep_Dim1+10,""))</f>
        <v>42984</v>
      </c>
      <c r="O150" s="90">
        <f>IF(DAY(Sep_Dim1)=1,IF(AND(YEAR(Sep_Dim1+4)=Année_Calendaire,MONTH(Sep_Dim1+4)=9),Sep_Dim1+4,""),IF(AND(YEAR(Sep_Dim1+11)=Année_Calendaire,MONTH(Sep_Dim1+11)=9),Sep_Dim1+11,""))</f>
        <v>42985</v>
      </c>
      <c r="P150" s="90">
        <f>IF(DAY(Sep_Dim1)=1,IF(AND(YEAR(Sep_Dim1+5)=Année_Calendaire,MONTH(Sep_Dim1+5)=9),Sep_Dim1+5,""),IF(AND(YEAR(Sep_Dim1+12)=Année_Calendaire,MONTH(Sep_Dim1+12)=9),Sep_Dim1+12,""))</f>
        <v>42986</v>
      </c>
      <c r="Q150" s="90">
        <f>IF(DAY(Sep_Dim1)=1,IF(AND(YEAR(Sep_Dim1+6)=Année_Calendaire,MONTH(Sep_Dim1+6)=9),Sep_Dim1+6,""),IF(AND(YEAR(Sep_Dim1+13)=Année_Calendaire,MONTH(Sep_Dim1+13)=9),Sep_Dim1+13,""))</f>
        <v>42987</v>
      </c>
      <c r="R150" s="90">
        <f>IF(DAY(Sep_Dim1)=1,IF(AND(YEAR(Sep_Dim1+7)=Année_Calendaire,MONTH(Sep_Dim1+7)=9),Sep_Dim1+7,""),IF(AND(YEAR(Sep_Dim1+14)=Année_Calendaire,MONTH(Sep_Dim1+14)=9),Sep_Dim1+14,""))</f>
        <v>42988</v>
      </c>
      <c r="S150" s="105"/>
      <c r="T150" s="54"/>
      <c r="U150" s="90">
        <f>IF(DAY(Sep_Dim1)=1,IF(AND(YEAR(Sep_Dim1+8)=Année_Calendaire,MONTH(Sep_Dim1+8)=9),Sep_Dim1+8,""),IF(AND(YEAR(Sep_Dim1+15)=Année_Calendaire,MONTH(Sep_Dim1+15)=9),Sep_Dim1+15,""))</f>
        <v>42989</v>
      </c>
      <c r="V150" s="90">
        <f>IF(DAY(Sep_Dim1)=1,IF(AND(YEAR(Sep_Dim1+9)=Année_Calendaire,MONTH(Sep_Dim1+9)=9),Sep_Dim1+9,""),IF(AND(YEAR(Sep_Dim1+16)=Année_Calendaire,MONTH(Sep_Dim1+16)=9),Sep_Dim1+16,""))</f>
        <v>42990</v>
      </c>
      <c r="W150" s="90">
        <f>IF(DAY(Sep_Dim1)=1,IF(AND(YEAR(Sep_Dim1+10)=Année_Calendaire,MONTH(Sep_Dim1+10)=9),Sep_Dim1+10,""),IF(AND(YEAR(Sep_Dim1+17)=Année_Calendaire,MONTH(Sep_Dim1+17)=9),Sep_Dim1+17,""))</f>
        <v>42991</v>
      </c>
      <c r="X150" s="90">
        <f>IF(DAY(Sep_Dim1)=1,IF(AND(YEAR(Sep_Dim1+11)=Année_Calendaire,MONTH(Sep_Dim1+11)=9),Sep_Dim1+11,""),IF(AND(YEAR(Sep_Dim1+18)=Année_Calendaire,MONTH(Sep_Dim1+18)=9),Sep_Dim1+18,""))</f>
        <v>42992</v>
      </c>
      <c r="Y150" s="90">
        <f>IF(DAY(Sep_Dim1)=1,IF(AND(YEAR(Sep_Dim1+12)=Année_Calendaire,MONTH(Sep_Dim1+12)=9),Sep_Dim1+12,""),IF(AND(YEAR(Sep_Dim1+19)=Année_Calendaire,MONTH(Sep_Dim1+19)=9),Sep_Dim1+19,""))</f>
        <v>42993</v>
      </c>
      <c r="Z150" s="90">
        <f>IF(DAY(Sep_Dim1)=1,IF(AND(YEAR(Sep_Dim1+13)=Année_Calendaire,MONTH(Sep_Dim1+13)=9),Sep_Dim1+13,""),IF(AND(YEAR(Sep_Dim1+20)=Année_Calendaire,MONTH(Sep_Dim1+20)=9),Sep_Dim1+20,""))</f>
        <v>42994</v>
      </c>
      <c r="AA150" s="90">
        <f>IF(DAY(Sep_Dim1)=1,IF(AND(YEAR(Sep_Dim1+14)=Année_Calendaire,MONTH(Sep_Dim1+14)=9),Sep_Dim1+14,""),IF(AND(YEAR(Sep_Dim1+21)=Année_Calendaire,MONTH(Sep_Dim1+21)=9),Sep_Dim1+21,""))</f>
        <v>42995</v>
      </c>
      <c r="AB150" s="105"/>
      <c r="AC150" s="54"/>
      <c r="AD150" s="90">
        <f>IF(DAY(Sep_Dim1)=1,IF(AND(YEAR(Sep_Dim1+15)=Année_Calendaire,MONTH(Sep_Dim1+15)=9),Sep_Dim1+15,""),IF(AND(YEAR(Sep_Dim1+22)=Année_Calendaire,MONTH(Sep_Dim1+22)=9),Sep_Dim1+22,""))</f>
        <v>42996</v>
      </c>
      <c r="AE150" s="90">
        <f>IF(DAY(Sep_Dim1)=1,IF(AND(YEAR(Sep_Dim1+16)=Année_Calendaire,MONTH(Sep_Dim1+16)=9),Sep_Dim1+16,""),IF(AND(YEAR(Sep_Dim1+23)=Année_Calendaire,MONTH(Sep_Dim1+23)=9),Sep_Dim1+23,""))</f>
        <v>42997</v>
      </c>
      <c r="AF150" s="90">
        <f>IF(DAY(Sep_Dim1)=1,IF(AND(YEAR(Sep_Dim1+17)=Année_Calendaire,MONTH(Sep_Dim1+17)=9),Sep_Dim1+17,""),IF(AND(YEAR(Sep_Dim1+24)=Année_Calendaire,MONTH(Sep_Dim1+24)=9),Sep_Dim1+24,""))</f>
        <v>42998</v>
      </c>
      <c r="AG150" s="90">
        <f>IF(DAY(Sep_Dim1)=1,IF(AND(YEAR(Sep_Dim1+18)=Année_Calendaire,MONTH(Sep_Dim1+18)=9),Sep_Dim1+18,""),IF(AND(YEAR(Sep_Dim1+25)=Année_Calendaire,MONTH(Sep_Dim1+25)=9),Sep_Dim1+25,""))</f>
        <v>42999</v>
      </c>
      <c r="AH150" s="90">
        <f>IF(DAY(Sep_Dim1)=1,IF(AND(YEAR(Sep_Dim1+19)=Année_Calendaire,MONTH(Sep_Dim1+19)=9),Sep_Dim1+19,""),IF(AND(YEAR(Sep_Dim1+26)=Année_Calendaire,MONTH(Sep_Dim1+26)=9),Sep_Dim1+26,""))</f>
        <v>43000</v>
      </c>
      <c r="AI150" s="90">
        <f>IF(DAY(Sep_Dim1)=1,IF(AND(YEAR(Sep_Dim1+20)=Année_Calendaire,MONTH(Sep_Dim1+20)=9),Sep_Dim1+20,""),IF(AND(YEAR(Sep_Dim1+27)=Année_Calendaire,MONTH(Sep_Dim1+27)=9),Sep_Dim1+27,""))</f>
        <v>43001</v>
      </c>
      <c r="AJ150" s="90">
        <f>IF(DAY(Sep_Dim1)=1,IF(AND(YEAR(Sep_Dim1+21)=Année_Calendaire,MONTH(Sep_Dim1+21)=9),Sep_Dim1+21,""),IF(AND(YEAR(Sep_Dim1+28)=Année_Calendaire,MONTH(Sep_Dim1+28)=9),Sep_Dim1+28,""))</f>
        <v>43002</v>
      </c>
      <c r="AK150" s="105"/>
      <c r="AL150" s="54"/>
      <c r="AM150" s="90">
        <f>IF(DAY(Sep_Dim1)=1,IF(AND(YEAR(Sep_Dim1+22)=Année_Calendaire,MONTH(Sep_Dim1+22)=9),Sep_Dim1+22,""),IF(AND(YEAR(Sep_Dim1+29)=Année_Calendaire,MONTH(Sep_Dim1+29)=9),Sep_Dim1+29,""))</f>
        <v>43003</v>
      </c>
      <c r="AN150" s="90">
        <f>IF(DAY(Sep_Dim1)=1,IF(AND(YEAR(Sep_Dim1+23)=Année_Calendaire,MONTH(Sep_Dim1+23)=9),Sep_Dim1+23,""),IF(AND(YEAR(Sep_Dim1+30)=Année_Calendaire,MONTH(Sep_Dim1+30)=9),Sep_Dim1+30,""))</f>
        <v>43004</v>
      </c>
      <c r="AO150" s="90">
        <f>IF(DAY(Sep_Dim1)=1,IF(AND(YEAR(Sep_Dim1+24)=Année_Calendaire,MONTH(Sep_Dim1+24)=9),Sep_Dim1+24,""),IF(AND(YEAR(Sep_Dim1+31)=Année_Calendaire,MONTH(Sep_Dim1+31)=9),Sep_Dim1+31,""))</f>
        <v>43005</v>
      </c>
      <c r="AP150" s="90">
        <f>IF(DAY(Sep_Dim1)=1,IF(AND(YEAR(Sep_Dim1+25)=Année_Calendaire,MONTH(Sep_Dim1+25)=9),Sep_Dim1+25,""),IF(AND(YEAR(Sep_Dim1+32)=Année_Calendaire,MONTH(Sep_Dim1+32)=9),Sep_Dim1+32,""))</f>
        <v>43006</v>
      </c>
      <c r="AQ150" s="90">
        <f>IF(DAY(Sep_Dim1)=1,IF(AND(YEAR(Sep_Dim1+26)=Année_Calendaire,MONTH(Sep_Dim1+26)=9),Sep_Dim1+26,""),IF(AND(YEAR(Sep_Dim1+33)=Année_Calendaire,MONTH(Sep_Dim1+33)=9),Sep_Dim1+33,""))</f>
        <v>43007</v>
      </c>
      <c r="AR150" s="90">
        <f>IF(DAY(Sep_Dim1)=1,IF(AND(YEAR(Sep_Dim1+27)=Année_Calendaire,MONTH(Sep_Dim1+27)=9),Sep_Dim1+27,""),IF(AND(YEAR(Sep_Dim1+34)=Année_Calendaire,MONTH(Sep_Dim1+34)=9),Sep_Dim1+34,""))</f>
        <v>43008</v>
      </c>
      <c r="AS150" s="90" t="str">
        <f>IF(DAY(Sep_Dim1)=1,IF(AND(YEAR(Sep_Dim1+28)=Année_Calendaire,MONTH(Sep_Dim1+28)=9),Sep_Dim1+28,""),IF(AND(YEAR(Sep_Dim1+35)=Année_Calendaire,MONTH(Sep_Dim1+35)=9),Sep_Dim1+35,""))</f>
        <v/>
      </c>
      <c r="AT150" s="105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105"/>
      <c r="AY150" s="105"/>
      <c r="AZ150" s="108"/>
      <c r="BA150" s="108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/>
      <c r="D151" s="49"/>
      <c r="E151" s="49"/>
      <c r="F151" s="49"/>
      <c r="G151" s="49" t="s">
        <v>50</v>
      </c>
      <c r="H151" s="49"/>
      <c r="I151" s="49"/>
      <c r="J151" s="52"/>
      <c r="K151" s="48"/>
      <c r="L151" s="49" t="s">
        <v>48</v>
      </c>
      <c r="M151" s="49" t="s">
        <v>48</v>
      </c>
      <c r="N151" s="49" t="s">
        <v>48</v>
      </c>
      <c r="O151" s="49"/>
      <c r="P151" s="49"/>
      <c r="Q151" s="49"/>
      <c r="R151" s="49"/>
      <c r="S151" s="52"/>
      <c r="T151" s="48"/>
      <c r="U151" s="49" t="s">
        <v>49</v>
      </c>
      <c r="V151" s="49" t="s">
        <v>49</v>
      </c>
      <c r="W151" s="49" t="s">
        <v>49</v>
      </c>
      <c r="X151" s="49" t="s">
        <v>49</v>
      </c>
      <c r="Y151" s="49" t="s">
        <v>49</v>
      </c>
      <c r="Z151" s="49"/>
      <c r="AA151" s="49"/>
      <c r="AB151" s="52"/>
      <c r="AC151" s="48"/>
      <c r="AD151" s="49" t="s">
        <v>48</v>
      </c>
      <c r="AE151" s="49"/>
      <c r="AF151" s="49"/>
      <c r="AG151" s="49" t="s">
        <v>48</v>
      </c>
      <c r="AH151" s="49" t="s">
        <v>48</v>
      </c>
      <c r="AI151" s="49"/>
      <c r="AJ151" s="49"/>
      <c r="AK151" s="52"/>
      <c r="AL151" s="48"/>
      <c r="AM151" s="49" t="s">
        <v>50</v>
      </c>
      <c r="AN151" s="49" t="s">
        <v>50</v>
      </c>
      <c r="AO151" s="49" t="s">
        <v>50</v>
      </c>
      <c r="AP151" s="49" t="s">
        <v>50</v>
      </c>
      <c r="AQ151" s="49" t="s">
        <v>50</v>
      </c>
      <c r="AR151" s="49"/>
      <c r="AS151" s="49"/>
      <c r="AT151" s="52"/>
      <c r="AU151" s="48"/>
      <c r="AV151" s="49"/>
      <c r="AW151" s="49"/>
      <c r="AX151" s="52" t="s">
        <v>50</v>
      </c>
      <c r="AY151" s="50" t="s">
        <v>50</v>
      </c>
      <c r="AZ151" s="40" t="s">
        <v>50</v>
      </c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40">IF(C151="Matin",1,IF(C151="AM",1,0))</f>
        <v>0</v>
      </c>
      <c r="D152" s="52">
        <f t="shared" si="340"/>
        <v>0</v>
      </c>
      <c r="E152" s="52">
        <f t="shared" si="340"/>
        <v>0</v>
      </c>
      <c r="F152" s="52">
        <f t="shared" si="340"/>
        <v>0</v>
      </c>
      <c r="G152" s="52">
        <f t="shared" si="340"/>
        <v>1</v>
      </c>
      <c r="H152" s="52">
        <f t="shared" si="340"/>
        <v>0</v>
      </c>
      <c r="I152" s="52">
        <f t="shared" si="340"/>
        <v>0</v>
      </c>
      <c r="J152" s="52">
        <f>SUM(C152:I152)</f>
        <v>1</v>
      </c>
      <c r="K152" s="51"/>
      <c r="L152" s="52">
        <f t="shared" ref="L152:R152" si="341">IF(L151="Matin",1,IF(L151="AM",1,0))</f>
        <v>1</v>
      </c>
      <c r="M152" s="52">
        <f t="shared" si="341"/>
        <v>1</v>
      </c>
      <c r="N152" s="52">
        <f t="shared" si="341"/>
        <v>1</v>
      </c>
      <c r="O152" s="52">
        <f t="shared" si="341"/>
        <v>0</v>
      </c>
      <c r="P152" s="52">
        <f t="shared" si="341"/>
        <v>0</v>
      </c>
      <c r="Q152" s="52">
        <f t="shared" si="341"/>
        <v>0</v>
      </c>
      <c r="R152" s="52">
        <f t="shared" si="341"/>
        <v>0</v>
      </c>
      <c r="S152" s="52">
        <f>SUM(L152:R152)</f>
        <v>3</v>
      </c>
      <c r="T152" s="51"/>
      <c r="U152" s="52">
        <f t="shared" ref="U152:AA152" si="342">IF(U151="Matin",1,IF(U151="AM",1,0))</f>
        <v>0</v>
      </c>
      <c r="V152" s="52">
        <f t="shared" si="342"/>
        <v>0</v>
      </c>
      <c r="W152" s="52">
        <f t="shared" si="342"/>
        <v>0</v>
      </c>
      <c r="X152" s="52">
        <f t="shared" si="342"/>
        <v>0</v>
      </c>
      <c r="Y152" s="52">
        <f t="shared" si="342"/>
        <v>0</v>
      </c>
      <c r="Z152" s="52">
        <f t="shared" si="342"/>
        <v>0</v>
      </c>
      <c r="AA152" s="52">
        <f t="shared" si="342"/>
        <v>0</v>
      </c>
      <c r="AB152" s="52">
        <f>SUM(U152:AA152)</f>
        <v>0</v>
      </c>
      <c r="AC152" s="51"/>
      <c r="AD152" s="52">
        <f t="shared" ref="AD152:AJ152" si="343">IF(AD151="Matin",1,IF(AD151="AM",1,0))</f>
        <v>1</v>
      </c>
      <c r="AE152" s="52">
        <f t="shared" si="343"/>
        <v>0</v>
      </c>
      <c r="AF152" s="52">
        <f t="shared" si="343"/>
        <v>0</v>
      </c>
      <c r="AG152" s="52">
        <f t="shared" si="343"/>
        <v>1</v>
      </c>
      <c r="AH152" s="52">
        <f t="shared" si="343"/>
        <v>1</v>
      </c>
      <c r="AI152" s="52">
        <f t="shared" si="343"/>
        <v>0</v>
      </c>
      <c r="AJ152" s="52">
        <f t="shared" si="343"/>
        <v>0</v>
      </c>
      <c r="AK152" s="52">
        <f>SUM(AD152:AJ152)</f>
        <v>3</v>
      </c>
      <c r="AL152" s="51"/>
      <c r="AM152" s="52">
        <f t="shared" ref="AM152:AS152" si="344">IF(AM151="Matin",1,IF(AM151="AM",1,0))</f>
        <v>1</v>
      </c>
      <c r="AN152" s="52">
        <f t="shared" si="344"/>
        <v>1</v>
      </c>
      <c r="AO152" s="52">
        <f t="shared" si="344"/>
        <v>1</v>
      </c>
      <c r="AP152" s="52">
        <f t="shared" si="344"/>
        <v>1</v>
      </c>
      <c r="AQ152" s="52">
        <f t="shared" si="344"/>
        <v>1</v>
      </c>
      <c r="AR152" s="52">
        <f t="shared" si="344"/>
        <v>0</v>
      </c>
      <c r="AS152" s="52">
        <f t="shared" si="344"/>
        <v>0</v>
      </c>
      <c r="AT152" s="52">
        <f>SUM(AM152:AS152)</f>
        <v>5</v>
      </c>
      <c r="AU152" s="51"/>
      <c r="AV152" s="52">
        <f t="shared" ref="AV152:AW152" si="345">IF(AV151="Matin",1,IF(AV151="AM",1,0))</f>
        <v>0</v>
      </c>
      <c r="AW152" s="52">
        <f t="shared" si="345"/>
        <v>0</v>
      </c>
      <c r="AX152" s="52">
        <f t="shared" ref="AX152:AX159" si="346">SUM(AV152:AW152)</f>
        <v>0</v>
      </c>
      <c r="AY152" s="52">
        <f>J152+S152+AB152+AK152+AT152+AX152</f>
        <v>12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7">IF(E154&gt;=1,1,0)</f>
        <v>0</v>
      </c>
      <c r="F153" s="49">
        <f t="shared" si="347"/>
        <v>0</v>
      </c>
      <c r="G153" s="49">
        <f t="shared" si="347"/>
        <v>1</v>
      </c>
      <c r="H153" s="49">
        <f t="shared" si="347"/>
        <v>0</v>
      </c>
      <c r="I153" s="49">
        <f t="shared" si="347"/>
        <v>0</v>
      </c>
      <c r="J153" s="52">
        <f t="shared" ref="J153:J163" si="348">SUM(C153:I153)</f>
        <v>1</v>
      </c>
      <c r="K153" s="48"/>
      <c r="L153" s="49">
        <f>IF(L154&gt;=1,1,0)</f>
        <v>1</v>
      </c>
      <c r="M153" s="49">
        <f t="shared" ref="M153:R153" si="349">IF(M154&gt;=1,1,0)</f>
        <v>1</v>
      </c>
      <c r="N153" s="49">
        <f t="shared" si="349"/>
        <v>1</v>
      </c>
      <c r="O153" s="49">
        <f t="shared" si="349"/>
        <v>0</v>
      </c>
      <c r="P153" s="49">
        <f t="shared" si="349"/>
        <v>0</v>
      </c>
      <c r="Q153" s="49">
        <f t="shared" si="349"/>
        <v>0</v>
      </c>
      <c r="R153" s="49">
        <f t="shared" si="349"/>
        <v>0</v>
      </c>
      <c r="S153" s="52">
        <f t="shared" ref="S153:S163" si="350">SUM(L153:R153)</f>
        <v>3</v>
      </c>
      <c r="T153" s="48"/>
      <c r="U153" s="49">
        <f>IF(U154&gt;=1,1,0)</f>
        <v>1</v>
      </c>
      <c r="V153" s="49">
        <f t="shared" ref="V153:AA153" si="351">IF(V154&gt;=1,1,0)</f>
        <v>1</v>
      </c>
      <c r="W153" s="49">
        <f t="shared" si="351"/>
        <v>1</v>
      </c>
      <c r="X153" s="49">
        <f t="shared" si="351"/>
        <v>1</v>
      </c>
      <c r="Y153" s="49">
        <f t="shared" si="351"/>
        <v>1</v>
      </c>
      <c r="Z153" s="49">
        <f t="shared" si="351"/>
        <v>0</v>
      </c>
      <c r="AA153" s="49">
        <f t="shared" si="351"/>
        <v>0</v>
      </c>
      <c r="AB153" s="52">
        <f t="shared" ref="AB153:AB163" si="352">SUM(U153:AA153)</f>
        <v>5</v>
      </c>
      <c r="AC153" s="48"/>
      <c r="AD153" s="49">
        <f>IF(AD154&gt;=1,1,0)</f>
        <v>1</v>
      </c>
      <c r="AE153" s="49">
        <f t="shared" ref="AE153:AJ153" si="353">IF(AE154&gt;=1,1,0)</f>
        <v>0</v>
      </c>
      <c r="AF153" s="49">
        <f t="shared" si="353"/>
        <v>0</v>
      </c>
      <c r="AG153" s="49">
        <f t="shared" si="353"/>
        <v>1</v>
      </c>
      <c r="AH153" s="49">
        <f t="shared" si="353"/>
        <v>1</v>
      </c>
      <c r="AI153" s="49">
        <f t="shared" si="353"/>
        <v>0</v>
      </c>
      <c r="AJ153" s="49">
        <f t="shared" si="353"/>
        <v>0</v>
      </c>
      <c r="AK153" s="52">
        <f t="shared" ref="AK153:AK163" si="354">SUM(AD153:AJ153)</f>
        <v>3</v>
      </c>
      <c r="AL153" s="48"/>
      <c r="AM153" s="49">
        <f>IF(AM154&gt;=1,1,0)</f>
        <v>1</v>
      </c>
      <c r="AN153" s="49">
        <f t="shared" ref="AN153:AS153" si="355">IF(AN154&gt;=1,1,0)</f>
        <v>1</v>
      </c>
      <c r="AO153" s="49">
        <f t="shared" si="355"/>
        <v>1</v>
      </c>
      <c r="AP153" s="49">
        <f t="shared" si="355"/>
        <v>1</v>
      </c>
      <c r="AQ153" s="49">
        <f t="shared" si="355"/>
        <v>1</v>
      </c>
      <c r="AR153" s="49">
        <f t="shared" si="355"/>
        <v>0</v>
      </c>
      <c r="AS153" s="49">
        <f t="shared" si="355"/>
        <v>0</v>
      </c>
      <c r="AT153" s="52">
        <f t="shared" ref="AT153:AT163" si="356">SUM(AM153:AS153)</f>
        <v>5</v>
      </c>
      <c r="AU153" s="48"/>
      <c r="AV153" s="49">
        <f>IF(AV154&gt;=1,1,0)</f>
        <v>0</v>
      </c>
      <c r="AW153" s="49">
        <f t="shared" ref="AW153" si="357">IF(AW154&gt;=1,1,0)</f>
        <v>0</v>
      </c>
      <c r="AX153" s="52">
        <f t="shared" si="346"/>
        <v>0</v>
      </c>
      <c r="AY153" s="49">
        <f t="shared" ref="AY153:AY162" si="358">J153+S153+AB153+AK153+AT153+AX153</f>
        <v>17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9">IF(D151="Matin",8,IF(D151="AM",8,IF(D151="nuit",8,0)))</f>
        <v>0</v>
      </c>
      <c r="E154" s="52">
        <f t="shared" si="359"/>
        <v>0</v>
      </c>
      <c r="F154" s="52">
        <f t="shared" si="359"/>
        <v>0</v>
      </c>
      <c r="G154" s="52">
        <f t="shared" si="359"/>
        <v>8</v>
      </c>
      <c r="H154" s="52">
        <f t="shared" si="359"/>
        <v>0</v>
      </c>
      <c r="I154" s="52">
        <f t="shared" si="359"/>
        <v>0</v>
      </c>
      <c r="J154" s="52">
        <f t="shared" si="348"/>
        <v>8</v>
      </c>
      <c r="K154" s="51"/>
      <c r="L154" s="52">
        <f>IF(L151="Matin",8,IF(L151="AM",8,IF(L151="nuit",8,0)))</f>
        <v>8</v>
      </c>
      <c r="M154" s="52">
        <f t="shared" ref="M154:R154" si="360">IF(M151="Matin",8,IF(M151="AM",8,IF(M151="nuit",8,0)))</f>
        <v>8</v>
      </c>
      <c r="N154" s="52">
        <f t="shared" si="360"/>
        <v>8</v>
      </c>
      <c r="O154" s="52">
        <f t="shared" si="360"/>
        <v>0</v>
      </c>
      <c r="P154" s="52">
        <f t="shared" si="360"/>
        <v>0</v>
      </c>
      <c r="Q154" s="52">
        <f t="shared" si="360"/>
        <v>0</v>
      </c>
      <c r="R154" s="52">
        <f t="shared" si="360"/>
        <v>0</v>
      </c>
      <c r="S154" s="52">
        <f t="shared" si="350"/>
        <v>24</v>
      </c>
      <c r="T154" s="51"/>
      <c r="U154" s="52">
        <f>IF(U151="Matin",8,IF(U151="AM",8,IF(U151="nuit",8,0)))</f>
        <v>8</v>
      </c>
      <c r="V154" s="52">
        <f t="shared" ref="V154:AA154" si="361">IF(V151="Matin",8,IF(V151="AM",8,IF(V151="nuit",8,0)))</f>
        <v>8</v>
      </c>
      <c r="W154" s="52">
        <f t="shared" si="361"/>
        <v>8</v>
      </c>
      <c r="X154" s="52">
        <f t="shared" si="361"/>
        <v>8</v>
      </c>
      <c r="Y154" s="52">
        <f t="shared" si="361"/>
        <v>8</v>
      </c>
      <c r="Z154" s="52">
        <f t="shared" si="361"/>
        <v>0</v>
      </c>
      <c r="AA154" s="52">
        <f t="shared" si="361"/>
        <v>0</v>
      </c>
      <c r="AB154" s="52">
        <f t="shared" si="352"/>
        <v>40</v>
      </c>
      <c r="AC154" s="51"/>
      <c r="AD154" s="52">
        <f>IF(AD151="Matin",8,IF(AD151="AM",8,IF(AD151="nuit",8,0)))</f>
        <v>8</v>
      </c>
      <c r="AE154" s="52">
        <f t="shared" ref="AE154:AJ154" si="362">IF(AE151="Matin",8,IF(AE151="AM",8,IF(AE151="nuit",8,0)))</f>
        <v>0</v>
      </c>
      <c r="AF154" s="52">
        <f t="shared" si="362"/>
        <v>0</v>
      </c>
      <c r="AG154" s="52">
        <f t="shared" si="362"/>
        <v>8</v>
      </c>
      <c r="AH154" s="52">
        <f t="shared" si="362"/>
        <v>8</v>
      </c>
      <c r="AI154" s="52">
        <f t="shared" si="362"/>
        <v>0</v>
      </c>
      <c r="AJ154" s="52">
        <f t="shared" si="362"/>
        <v>0</v>
      </c>
      <c r="AK154" s="52">
        <f t="shared" si="354"/>
        <v>24</v>
      </c>
      <c r="AL154" s="51"/>
      <c r="AM154" s="52">
        <f>IF(AM151="Matin",8,IF(AM151="AM",8,IF(AM151="nuit",8,0)))</f>
        <v>8</v>
      </c>
      <c r="AN154" s="52">
        <f t="shared" ref="AN154:AS154" si="363">IF(AN151="Matin",8,IF(AN151="AM",8,IF(AN151="nuit",8,0)))</f>
        <v>8</v>
      </c>
      <c r="AO154" s="52">
        <f t="shared" si="363"/>
        <v>8</v>
      </c>
      <c r="AP154" s="52">
        <f t="shared" si="363"/>
        <v>8</v>
      </c>
      <c r="AQ154" s="52">
        <f t="shared" si="363"/>
        <v>8</v>
      </c>
      <c r="AR154" s="52">
        <f t="shared" si="363"/>
        <v>0</v>
      </c>
      <c r="AS154" s="52">
        <f t="shared" si="363"/>
        <v>0</v>
      </c>
      <c r="AT154" s="52">
        <f t="shared" si="356"/>
        <v>40</v>
      </c>
      <c r="AU154" s="51"/>
      <c r="AV154" s="52">
        <f>IF(AV151="Matin",8,IF(AV151="AM",8,IF(AV151="nuit",8,0)))</f>
        <v>0</v>
      </c>
      <c r="AW154" s="52">
        <f t="shared" ref="AW154" si="364">IF(AW151="Matin",8,IF(AW151="AM",8,IF(AW151="nuit",8,0)))</f>
        <v>0</v>
      </c>
      <c r="AX154" s="52">
        <f t="shared" si="346"/>
        <v>0</v>
      </c>
      <c r="AY154" s="52">
        <f t="shared" si="358"/>
        <v>136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13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8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50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2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4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6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6"/>
        <v>0</v>
      </c>
      <c r="AY155" s="50">
        <f t="shared" si="358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8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50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2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4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6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6"/>
        <v>0</v>
      </c>
      <c r="AY156" s="52">
        <f t="shared" si="358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8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50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2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4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6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6"/>
        <v>0</v>
      </c>
      <c r="AY157" s="50">
        <f t="shared" si="358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5">IF(D149="Dim",D154,IF(D164="ferie",D154,0))</f>
        <v>0</v>
      </c>
      <c r="E158" s="52">
        <f t="shared" si="365"/>
        <v>0</v>
      </c>
      <c r="F158" s="52">
        <f t="shared" si="365"/>
        <v>0</v>
      </c>
      <c r="G158" s="52">
        <f t="shared" si="365"/>
        <v>0</v>
      </c>
      <c r="H158" s="52">
        <f t="shared" si="365"/>
        <v>0</v>
      </c>
      <c r="I158" s="52">
        <f t="shared" si="365"/>
        <v>0</v>
      </c>
      <c r="J158" s="52">
        <f t="shared" si="348"/>
        <v>0</v>
      </c>
      <c r="K158" s="51"/>
      <c r="L158" s="52">
        <f>IF(L149="Dim",L154,IF(L164="ferie",L154,0))</f>
        <v>0</v>
      </c>
      <c r="M158" s="52">
        <f t="shared" ref="M158:R158" si="366">IF(M149="Dim",M154,IF(M164="ferie",M154,0))</f>
        <v>0</v>
      </c>
      <c r="N158" s="52">
        <f t="shared" si="366"/>
        <v>0</v>
      </c>
      <c r="O158" s="52">
        <f t="shared" si="366"/>
        <v>0</v>
      </c>
      <c r="P158" s="52">
        <f t="shared" si="366"/>
        <v>0</v>
      </c>
      <c r="Q158" s="52">
        <f>IF(Q149="Dim",Q154,IF(Q164="ferie",Q154,0))</f>
        <v>0</v>
      </c>
      <c r="R158" s="52">
        <f t="shared" si="366"/>
        <v>0</v>
      </c>
      <c r="S158" s="52">
        <f t="shared" si="350"/>
        <v>0</v>
      </c>
      <c r="T158" s="51"/>
      <c r="U158" s="52">
        <f>IF(U149="Dim",U154,IF(U164="ferie",U154,0))</f>
        <v>0</v>
      </c>
      <c r="V158" s="52">
        <f t="shared" ref="V158:AA158" si="367">IF(V149="Dim",V154,IF(V164="ferie",V154,0))</f>
        <v>0</v>
      </c>
      <c r="W158" s="52">
        <f t="shared" si="367"/>
        <v>0</v>
      </c>
      <c r="X158" s="52">
        <f t="shared" si="367"/>
        <v>0</v>
      </c>
      <c r="Y158" s="52">
        <f t="shared" si="367"/>
        <v>0</v>
      </c>
      <c r="Z158" s="52">
        <f t="shared" si="367"/>
        <v>0</v>
      </c>
      <c r="AA158" s="52">
        <f t="shared" si="367"/>
        <v>0</v>
      </c>
      <c r="AB158" s="52">
        <f t="shared" si="352"/>
        <v>0</v>
      </c>
      <c r="AC158" s="51"/>
      <c r="AD158" s="52">
        <f>IF(AD149="Dim",AD154,IF(AD164="ferie",AD154,0))</f>
        <v>0</v>
      </c>
      <c r="AE158" s="52">
        <f t="shared" ref="AE158:AJ158" si="368">IF(AE149="Dim",AE154,IF(AE164="ferie",AE154,0))</f>
        <v>0</v>
      </c>
      <c r="AF158" s="52">
        <f t="shared" si="368"/>
        <v>0</v>
      </c>
      <c r="AG158" s="52">
        <f t="shared" si="368"/>
        <v>0</v>
      </c>
      <c r="AH158" s="52">
        <f t="shared" si="368"/>
        <v>0</v>
      </c>
      <c r="AI158" s="52">
        <f t="shared" si="368"/>
        <v>0</v>
      </c>
      <c r="AJ158" s="52">
        <f t="shared" si="368"/>
        <v>0</v>
      </c>
      <c r="AK158" s="52">
        <f t="shared" si="354"/>
        <v>0</v>
      </c>
      <c r="AL158" s="51"/>
      <c r="AM158" s="52">
        <f>IF(AM149="Dim",AM154,IF(AM164="ferie",AM154,0))</f>
        <v>0</v>
      </c>
      <c r="AN158" s="52">
        <f t="shared" ref="AN158:AW158" si="369">IF(AN149="Dim",AN154,IF(AN164="ferie",AN154,0))</f>
        <v>0</v>
      </c>
      <c r="AO158" s="52">
        <f t="shared" si="369"/>
        <v>0</v>
      </c>
      <c r="AP158" s="52">
        <f t="shared" si="369"/>
        <v>0</v>
      </c>
      <c r="AQ158" s="52">
        <f t="shared" si="369"/>
        <v>0</v>
      </c>
      <c r="AR158" s="52">
        <f t="shared" si="369"/>
        <v>0</v>
      </c>
      <c r="AS158" s="52">
        <f t="shared" si="369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9"/>
        <v>0</v>
      </c>
      <c r="AX158" s="52">
        <f t="shared" si="346"/>
        <v>0</v>
      </c>
      <c r="AY158" s="52">
        <f t="shared" si="358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8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50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2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4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6"/>
        <v>0</v>
      </c>
      <c r="AU159" s="48"/>
      <c r="AV159" s="49"/>
      <c r="AW159" s="49"/>
      <c r="AX159" s="52">
        <f t="shared" si="346"/>
        <v>0</v>
      </c>
      <c r="AY159" s="49">
        <f t="shared" si="358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8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50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2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4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6"/>
        <v>0</v>
      </c>
      <c r="AU160" s="51"/>
      <c r="AV160" s="52"/>
      <c r="AW160" s="52"/>
      <c r="AX160" s="52">
        <f t="shared" ref="AX160:AX162" si="370">SUM(AV160:AW160)</f>
        <v>0</v>
      </c>
      <c r="AY160" s="52">
        <f t="shared" si="358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8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50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2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4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6"/>
        <v>0</v>
      </c>
      <c r="AU161" s="48"/>
      <c r="AV161" s="49"/>
      <c r="AW161" s="49"/>
      <c r="AX161" s="52">
        <f t="shared" si="370"/>
        <v>0</v>
      </c>
      <c r="AY161" s="50">
        <f t="shared" si="358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8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50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2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4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6"/>
        <v>0</v>
      </c>
      <c r="AU162" s="51"/>
      <c r="AV162" s="52"/>
      <c r="AW162" s="52"/>
      <c r="AX162" s="52">
        <f t="shared" si="370"/>
        <v>0</v>
      </c>
      <c r="AY162" s="52">
        <f t="shared" si="358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37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71">IF(E151="nuit",E154*0.02,0)</f>
        <v>0</v>
      </c>
      <c r="F163" s="49">
        <f t="shared" si="371"/>
        <v>0</v>
      </c>
      <c r="G163" s="49">
        <f>IF(G151="nuit",G154*0.02,0)</f>
        <v>0</v>
      </c>
      <c r="H163" s="49">
        <f t="shared" si="371"/>
        <v>0</v>
      </c>
      <c r="I163" s="49">
        <f t="shared" si="371"/>
        <v>0</v>
      </c>
      <c r="J163" s="52">
        <f t="shared" si="348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2">IF(N151="nuit",N154*0.02,0)</f>
        <v>0</v>
      </c>
      <c r="O163" s="49">
        <f t="shared" si="372"/>
        <v>0</v>
      </c>
      <c r="P163" s="49">
        <f>IF(P151="nuit",P154*0.02,0)</f>
        <v>0</v>
      </c>
      <c r="Q163" s="49">
        <f t="shared" si="372"/>
        <v>0</v>
      </c>
      <c r="R163" s="49">
        <f t="shared" si="372"/>
        <v>0</v>
      </c>
      <c r="S163" s="52">
        <f t="shared" si="350"/>
        <v>0</v>
      </c>
      <c r="T163" s="48"/>
      <c r="U163" s="49">
        <f>IF(U151="nuit",U154*0.02,0)</f>
        <v>0.16</v>
      </c>
      <c r="V163" s="49">
        <f>IF(V151="nuit",V154*0.02,0)</f>
        <v>0.16</v>
      </c>
      <c r="W163" s="49">
        <f t="shared" ref="W163:AA163" si="373">IF(W151="nuit",W154*0.02,0)</f>
        <v>0.16</v>
      </c>
      <c r="X163" s="49">
        <f t="shared" si="373"/>
        <v>0.16</v>
      </c>
      <c r="Y163" s="49">
        <f>IF(Y151="nuit",Y154*0.02,0)</f>
        <v>0.16</v>
      </c>
      <c r="Z163" s="49">
        <f t="shared" si="373"/>
        <v>0</v>
      </c>
      <c r="AA163" s="49">
        <f t="shared" si="373"/>
        <v>0</v>
      </c>
      <c r="AB163" s="52">
        <f t="shared" si="352"/>
        <v>0.8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4">IF(AF151="nuit",AF154*0.02,0)</f>
        <v>0</v>
      </c>
      <c r="AG163" s="49">
        <f t="shared" si="374"/>
        <v>0</v>
      </c>
      <c r="AH163" s="49">
        <f>IF(AH151="nuit",AH154*0.02,0)</f>
        <v>0</v>
      </c>
      <c r="AI163" s="49">
        <f t="shared" si="374"/>
        <v>0</v>
      </c>
      <c r="AJ163" s="49">
        <f t="shared" si="374"/>
        <v>0</v>
      </c>
      <c r="AK163" s="52">
        <f t="shared" si="354"/>
        <v>0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5">IF(AO151="nuit",AO154*0.02,0)</f>
        <v>0</v>
      </c>
      <c r="AP163" s="49">
        <f t="shared" si="375"/>
        <v>0</v>
      </c>
      <c r="AQ163" s="49">
        <f>IF(AQ151="nuit",AQ154*0.02,0)</f>
        <v>0</v>
      </c>
      <c r="AR163" s="49">
        <f t="shared" si="375"/>
        <v>0</v>
      </c>
      <c r="AS163" s="49">
        <f t="shared" si="375"/>
        <v>0</v>
      </c>
      <c r="AT163" s="52">
        <f t="shared" si="356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24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56"/>
      <c r="B165" s="56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>
      <c r="A166" s="16"/>
      <c r="B166" s="16"/>
      <c r="C166" s="19" t="s">
        <v>21</v>
      </c>
      <c r="D166" s="19"/>
      <c r="E166" s="19"/>
      <c r="F166" s="19"/>
      <c r="G166" s="19"/>
      <c r="H166" s="106">
        <f>Année_Calendaire</f>
        <v>2017</v>
      </c>
      <c r="I166" s="106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21</v>
      </c>
      <c r="V166" s="19"/>
      <c r="W166" s="19"/>
      <c r="X166" s="19"/>
      <c r="Y166" s="19"/>
      <c r="Z166" s="106">
        <f>Année_Calendaire</f>
        <v>2017</v>
      </c>
      <c r="AA166" s="106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21</v>
      </c>
      <c r="AN166" s="19"/>
      <c r="AO166" s="19"/>
      <c r="AP166" s="19"/>
      <c r="AQ166" s="19"/>
      <c r="AR166" s="106">
        <f>Année_Calendaire</f>
        <v>2017</v>
      </c>
      <c r="AS166" s="106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IF(C167="",AU149,LEFT(AU149)&amp;MOD(RIGHT(AU149),4)+1)</f>
        <v>C4</v>
      </c>
      <c r="C167" s="91" t="str">
        <f>IF(C168&lt;&gt;"","Lun","")</f>
        <v/>
      </c>
      <c r="D167" s="91" t="str">
        <f>IF(D168&lt;&gt;"","Mar","")</f>
        <v/>
      </c>
      <c r="E167" s="91" t="str">
        <f>IF(E168&lt;&gt;"","Mer","")</f>
        <v/>
      </c>
      <c r="F167" s="91" t="str">
        <f>IF(F168&lt;&gt;"","Jeu","")</f>
        <v/>
      </c>
      <c r="G167" s="91" t="str">
        <f>IF(G168&lt;&gt;"","Ven","")</f>
        <v/>
      </c>
      <c r="H167" s="91" t="str">
        <f>IF(H168&lt;&gt;"","Sam","")</f>
        <v/>
      </c>
      <c r="I167" s="91" t="str">
        <f>IF(I168&lt;&gt;"","Dim","")</f>
        <v>Dim</v>
      </c>
      <c r="J167" s="105" t="s">
        <v>25</v>
      </c>
      <c r="K167" s="55" t="str">
        <f>IF(L167="",LEFT(B167)&amp;MOD(RIGHT(B167),5),LEFT(B167)&amp;MOD(RIGHT(B167),4)+1)</f>
        <v>C1</v>
      </c>
      <c r="L167" s="91" t="str">
        <f>IF(L168&lt;&gt;"","Lun","")</f>
        <v>Lun</v>
      </c>
      <c r="M167" s="91" t="str">
        <f>IF(M168&lt;&gt;"","Mar","")</f>
        <v>Mar</v>
      </c>
      <c r="N167" s="91" t="str">
        <f>IF(N168&lt;&gt;"","Mer","")</f>
        <v>Mer</v>
      </c>
      <c r="O167" s="92" t="str">
        <f>IF(O168&lt;&gt;"","Jeu","")</f>
        <v>Jeu</v>
      </c>
      <c r="P167" s="91" t="str">
        <f>IF(P168&lt;&gt;"","Ven","")</f>
        <v>Ven</v>
      </c>
      <c r="Q167" s="91" t="str">
        <f>IF(Q168&lt;&gt;"","Sam","")</f>
        <v>Sam</v>
      </c>
      <c r="R167" s="91" t="str">
        <f>IF(R168&lt;&gt;"","Dim","")</f>
        <v>Dim</v>
      </c>
      <c r="S167" s="105" t="s">
        <v>25</v>
      </c>
      <c r="T167" s="55" t="str">
        <f>IF(U167="",LEFT(K167)&amp;MOD(RIGHT(K167),5),LEFT(K167)&amp;MOD(RIGHT(K167),4)+1)</f>
        <v>C2</v>
      </c>
      <c r="U167" s="91" t="str">
        <f>IF(U168&lt;&gt;"","Lun","")</f>
        <v>Lun</v>
      </c>
      <c r="V167" s="91" t="str">
        <f>IF(V168&lt;&gt;"","Mar","")</f>
        <v>Mar</v>
      </c>
      <c r="W167" s="91" t="str">
        <f>IF(W168&lt;&gt;"","Mer","")</f>
        <v>Mer</v>
      </c>
      <c r="X167" s="91" t="str">
        <f>IF(X168&lt;&gt;"","Jeu","")</f>
        <v>Jeu</v>
      </c>
      <c r="Y167" s="91" t="str">
        <f>IF(Y168&lt;&gt;"","Ven","")</f>
        <v>Ven</v>
      </c>
      <c r="Z167" s="91" t="str">
        <f>IF(Z168&lt;&gt;"","Sam","")</f>
        <v>Sam</v>
      </c>
      <c r="AA167" s="91" t="str">
        <f>IF(AA168&lt;&gt;"","Dim","")</f>
        <v>Dim</v>
      </c>
      <c r="AB167" s="105" t="s">
        <v>25</v>
      </c>
      <c r="AC167" s="55" t="str">
        <f>IF(AD167="",LEFT(T167)&amp;MOD(RIGHT(T167),5),LEFT(T167)&amp;MOD(RIGHT(T167),4)+1)</f>
        <v>C3</v>
      </c>
      <c r="AD167" s="91" t="str">
        <f>IF(AD168&lt;&gt;"","Lun","")</f>
        <v>Lun</v>
      </c>
      <c r="AE167" s="91" t="str">
        <f>IF(AE168&lt;&gt;"","Mar","")</f>
        <v>Mar</v>
      </c>
      <c r="AF167" s="91" t="str">
        <f>IF(AF168&lt;&gt;"","Mer","")</f>
        <v>Mer</v>
      </c>
      <c r="AG167" s="91" t="str">
        <f>IF(AG168&lt;&gt;"","Jeu","")</f>
        <v>Jeu</v>
      </c>
      <c r="AH167" s="91" t="str">
        <f>IF(AH168&lt;&gt;"","Ven","")</f>
        <v>Ven</v>
      </c>
      <c r="AI167" s="91" t="str">
        <f>IF(AI168&lt;&gt;"","Sam","")</f>
        <v>Sam</v>
      </c>
      <c r="AJ167" s="91" t="str">
        <f>IF(AJ168&lt;&gt;"","Dim","")</f>
        <v>Dim</v>
      </c>
      <c r="AK167" s="105" t="s">
        <v>25</v>
      </c>
      <c r="AL167" s="55" t="str">
        <f>IF(AM167="",LEFT(AC167)&amp;MOD(RIGHT(AC167),5),LEFT(AC167)&amp;MOD(RIGHT(AC167),4)+1)</f>
        <v>C4</v>
      </c>
      <c r="AM167" s="91" t="str">
        <f>IF(AM168&lt;&gt;"","Lun","")</f>
        <v>Lun</v>
      </c>
      <c r="AN167" s="91" t="str">
        <f>IF(AN168&lt;&gt;"","Mar","")</f>
        <v>Mar</v>
      </c>
      <c r="AO167" s="91" t="str">
        <f>IF(AO168&lt;&gt;"","Mer","")</f>
        <v>Mer</v>
      </c>
      <c r="AP167" s="91" t="str">
        <f>IF(AP168&lt;&gt;"","Jeu","")</f>
        <v>Jeu</v>
      </c>
      <c r="AQ167" s="91" t="str">
        <f>IF(AQ168&lt;&gt;"","Ven","")</f>
        <v>Ven</v>
      </c>
      <c r="AR167" s="91" t="str">
        <f>IF(AR168&lt;&gt;"","Sam","")</f>
        <v>Sam</v>
      </c>
      <c r="AS167" s="91" t="str">
        <f>IF(AS168&lt;&gt;"","Dim","")</f>
        <v>Dim</v>
      </c>
      <c r="AT167" s="105" t="s">
        <v>25</v>
      </c>
      <c r="AU167" s="55" t="str">
        <f>IF(AV167="",LEFT(AL167)&amp;MOD(RIGHT(AL167),5),LEFT(AL167)&amp;MOD(RIGHT(AL167),4)+1)</f>
        <v>C1</v>
      </c>
      <c r="AV167" s="53" t="str">
        <f>IF(AV168&lt;&gt;"","Lun","")</f>
        <v>Lun</v>
      </c>
      <c r="AW167" s="53" t="str">
        <f>IF(AW168&lt;&gt;"","Mar","")</f>
        <v>Mar</v>
      </c>
      <c r="AX167" s="105" t="s">
        <v>25</v>
      </c>
      <c r="AY167" s="105" t="s">
        <v>28</v>
      </c>
      <c r="AZ167" s="108">
        <f>AY174+AY175+AY176</f>
        <v>10</v>
      </c>
      <c r="BA167" s="108">
        <f>AZ167+BA149</f>
        <v>90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90" t="str">
        <f>IF(DAY(Oct_Dim1)=1,"",IF(AND(YEAR(Oct_Dim1+1)=Année_Calendaire,MONTH(Oct_Dim1+1)=10),Oct_Dim1+1,""))</f>
        <v/>
      </c>
      <c r="D168" s="90" t="str">
        <f>IF(DAY(Oct_Dim1)=1,"",IF(AND(YEAR(Oct_Dim1+2)=Année_Calendaire,MONTH(Oct_Dim1+2)=10),Oct_Dim1+2,""))</f>
        <v/>
      </c>
      <c r="E168" s="90" t="str">
        <f>IF(DAY(Oct_Dim1)=1,"",IF(AND(YEAR(Oct_Dim1+3)=Année_Calendaire,MONTH(Oct_Dim1+3)=10),Oct_Dim1+3,""))</f>
        <v/>
      </c>
      <c r="F168" s="90" t="str">
        <f>IF(DAY(Oct_Dim1)=1,"",IF(AND(YEAR(Oct_Dim1+4)=Année_Calendaire,MONTH(Oct_Dim1+4)=10),Oct_Dim1+4,""))</f>
        <v/>
      </c>
      <c r="G168" s="90" t="str">
        <f>IF(DAY(Oct_Dim1)=1,"",IF(AND(YEAR(Oct_Dim1+5)=Année_Calendaire,MONTH(Oct_Dim1+5)=10),Oct_Dim1+5,""))</f>
        <v/>
      </c>
      <c r="H168" s="90" t="str">
        <f>IF(DAY(Oct_Dim1)=1,"",IF(AND(YEAR(Oct_Dim1+6)=Année_Calendaire,MONTH(Oct_Dim1+6)=10),Oct_Dim1+6,""))</f>
        <v/>
      </c>
      <c r="I168" s="90">
        <f>IF(DAY(Oct_Dim1)=1,IF(AND(YEAR(Oct_Dim1)=Année_Calendaire,MONTH(Oct_Dim1)=10),Oct_Dim1,""),IF(AND(YEAR(Oct_Dim1+7)=Année_Calendaire,MONTH(Oct_Dim1+7)=10),Oct_Dim1+7,""))</f>
        <v>43009</v>
      </c>
      <c r="J168" s="105"/>
      <c r="K168" s="54"/>
      <c r="L168" s="90">
        <f>IF(DAY(Oct_Dim1)=1,IF(AND(YEAR(Oct_Dim1+1)=Année_Calendaire,MONTH(Oct_Dim1+1)=10),Oct_Dim1+1,""),IF(AND(YEAR(Oct_Dim1+8)=Année_Calendaire,MONTH(Oct_Dim1+8)=10),Oct_Dim1+8,""))</f>
        <v>43010</v>
      </c>
      <c r="M168" s="90">
        <f>IF(DAY(Oct_Dim1)=1,IF(AND(YEAR(Oct_Dim1+2)=Année_Calendaire,MONTH(Oct_Dim1+2)=10),Oct_Dim1+2,""),IF(AND(YEAR(Oct_Dim1+9)=Année_Calendaire,MONTH(Oct_Dim1+9)=10),Oct_Dim1+9,""))</f>
        <v>43011</v>
      </c>
      <c r="N168" s="90">
        <f>IF(DAY(Oct_Dim1)=1,IF(AND(YEAR(Oct_Dim1+3)=Année_Calendaire,MONTH(Oct_Dim1+3)=10),Oct_Dim1+3,""),IF(AND(YEAR(Oct_Dim1+10)=Année_Calendaire,MONTH(Oct_Dim1+10)=10),Oct_Dim1+10,""))</f>
        <v>43012</v>
      </c>
      <c r="O168" s="90">
        <f>IF(DAY(Oct_Dim1)=1,IF(AND(YEAR(Oct_Dim1+4)=Année_Calendaire,MONTH(Oct_Dim1+4)=10),Oct_Dim1+4,""),IF(AND(YEAR(Oct_Dim1+11)=Année_Calendaire,MONTH(Oct_Dim1+11)=10),Oct_Dim1+11,""))</f>
        <v>43013</v>
      </c>
      <c r="P168" s="90">
        <f>IF(DAY(Oct_Dim1)=1,IF(AND(YEAR(Oct_Dim1+5)=Année_Calendaire,MONTH(Oct_Dim1+5)=10),Oct_Dim1+5,""),IF(AND(YEAR(Oct_Dim1+12)=Année_Calendaire,MONTH(Oct_Dim1+12)=10),Oct_Dim1+12,""))</f>
        <v>43014</v>
      </c>
      <c r="Q168" s="90">
        <f>IF(DAY(Oct_Dim1)=1,IF(AND(YEAR(Oct_Dim1+6)=Année_Calendaire,MONTH(Oct_Dim1+6)=10),Oct_Dim1+6,""),IF(AND(YEAR(Oct_Dim1+13)=Année_Calendaire,MONTH(Oct_Dim1+13)=10),Oct_Dim1+13,""))</f>
        <v>43015</v>
      </c>
      <c r="R168" s="90">
        <f>IF(DAY(Oct_Dim1)=1,IF(AND(YEAR(Oct_Dim1+7)=Année_Calendaire,MONTH(Oct_Dim1+7)=10),Oct_Dim1+7,""),IF(AND(YEAR(Oct_Dim1+14)=Année_Calendaire,MONTH(Oct_Dim1+14)=10),Oct_Dim1+14,""))</f>
        <v>43016</v>
      </c>
      <c r="S168" s="105"/>
      <c r="T168" s="54"/>
      <c r="U168" s="90">
        <f>IF(DAY(Oct_Dim1)=1,IF(AND(YEAR(Oct_Dim1+8)=Année_Calendaire,MONTH(Oct_Dim1+8)=10),Oct_Dim1+8,""),IF(AND(YEAR(Oct_Dim1+15)=Année_Calendaire,MONTH(Oct_Dim1+15)=10),Oct_Dim1+15,""))</f>
        <v>43017</v>
      </c>
      <c r="V168" s="90">
        <f>IF(DAY(Oct_Dim1)=1,IF(AND(YEAR(Oct_Dim1+9)=Année_Calendaire,MONTH(Oct_Dim1+9)=10),Oct_Dim1+9,""),IF(AND(YEAR(Oct_Dim1+16)=Année_Calendaire,MONTH(Oct_Dim1+16)=10),Oct_Dim1+16,""))</f>
        <v>43018</v>
      </c>
      <c r="W168" s="90">
        <f>IF(DAY(Oct_Dim1)=1,IF(AND(YEAR(Oct_Dim1+10)=Année_Calendaire,MONTH(Oct_Dim1+10)=10),Oct_Dim1+10,""),IF(AND(YEAR(Oct_Dim1+17)=Année_Calendaire,MONTH(Oct_Dim1+17)=10),Oct_Dim1+17,""))</f>
        <v>43019</v>
      </c>
      <c r="X168" s="90">
        <f>IF(DAY(Oct_Dim1)=1,IF(AND(YEAR(Oct_Dim1+11)=Année_Calendaire,MONTH(Oct_Dim1+11)=10),Oct_Dim1+11,""),IF(AND(YEAR(Oct_Dim1+18)=Année_Calendaire,MONTH(Oct_Dim1+18)=10),Oct_Dim1+18,""))</f>
        <v>43020</v>
      </c>
      <c r="Y168" s="90">
        <f>IF(DAY(Oct_Dim1)=1,IF(AND(YEAR(Oct_Dim1+12)=Année_Calendaire,MONTH(Oct_Dim1+12)=10),Oct_Dim1+12,""),IF(AND(YEAR(Oct_Dim1+19)=Année_Calendaire,MONTH(Oct_Dim1+19)=10),Oct_Dim1+19,""))</f>
        <v>43021</v>
      </c>
      <c r="Z168" s="90">
        <f>IF(DAY(Oct_Dim1)=1,IF(AND(YEAR(Oct_Dim1+13)=Année_Calendaire,MONTH(Oct_Dim1+13)=10),Oct_Dim1+13,""),IF(AND(YEAR(Oct_Dim1+20)=Année_Calendaire,MONTH(Oct_Dim1+20)=10),Oct_Dim1+20,""))</f>
        <v>43022</v>
      </c>
      <c r="AA168" s="90">
        <f>IF(DAY(Oct_Dim1)=1,IF(AND(YEAR(Oct_Dim1+14)=Année_Calendaire,MONTH(Oct_Dim1+14)=10),Oct_Dim1+14,""),IF(AND(YEAR(Oct_Dim1+21)=Année_Calendaire,MONTH(Oct_Dim1+21)=10),Oct_Dim1+21,""))</f>
        <v>43023</v>
      </c>
      <c r="AB168" s="105"/>
      <c r="AC168" s="54"/>
      <c r="AD168" s="90">
        <f>IF(DAY(Oct_Dim1)=1,IF(AND(YEAR(Oct_Dim1+15)=Année_Calendaire,MONTH(Oct_Dim1+15)=10),Oct_Dim1+15,""),IF(AND(YEAR(Oct_Dim1+22)=Année_Calendaire,MONTH(Oct_Dim1+22)=10),Oct_Dim1+22,""))</f>
        <v>43024</v>
      </c>
      <c r="AE168" s="90">
        <f>IF(DAY(Oct_Dim1)=1,IF(AND(YEAR(Oct_Dim1+16)=Année_Calendaire,MONTH(Oct_Dim1+16)=10),Oct_Dim1+16,""),IF(AND(YEAR(Oct_Dim1+23)=Année_Calendaire,MONTH(Oct_Dim1+23)=10),Oct_Dim1+23,""))</f>
        <v>43025</v>
      </c>
      <c r="AF168" s="90">
        <f>IF(DAY(Oct_Dim1)=1,IF(AND(YEAR(Oct_Dim1+17)=Année_Calendaire,MONTH(Oct_Dim1+17)=10),Oct_Dim1+17,""),IF(AND(YEAR(Oct_Dim1+24)=Année_Calendaire,MONTH(Oct_Dim1+24)=10),Oct_Dim1+24,""))</f>
        <v>43026</v>
      </c>
      <c r="AG168" s="90">
        <f>IF(DAY(Oct_Dim1)=1,IF(AND(YEAR(Oct_Dim1+18)=Année_Calendaire,MONTH(Oct_Dim1+18)=10),Oct_Dim1+18,""),IF(AND(YEAR(Oct_Dim1+25)=Année_Calendaire,MONTH(Oct_Dim1+25)=10),Oct_Dim1+25,""))</f>
        <v>43027</v>
      </c>
      <c r="AH168" s="90">
        <f>IF(DAY(Oct_Dim1)=1,IF(AND(YEAR(Oct_Dim1+19)=Année_Calendaire,MONTH(Oct_Dim1+19)=10),Oct_Dim1+19,""),IF(AND(YEAR(Oct_Dim1+26)=Année_Calendaire,MONTH(Oct_Dim1+26)=10),Oct_Dim1+26,""))</f>
        <v>43028</v>
      </c>
      <c r="AI168" s="90">
        <f>IF(DAY(Oct_Dim1)=1,IF(AND(YEAR(Oct_Dim1+20)=Année_Calendaire,MONTH(Oct_Dim1+20)=10),Oct_Dim1+20,""),IF(AND(YEAR(Oct_Dim1+27)=Année_Calendaire,MONTH(Oct_Dim1+27)=10),Oct_Dim1+27,""))</f>
        <v>43029</v>
      </c>
      <c r="AJ168" s="90">
        <f>IF(DAY(Oct_Dim1)=1,IF(AND(YEAR(Oct_Dim1+21)=Année_Calendaire,MONTH(Oct_Dim1+21)=10),Oct_Dim1+21,""),IF(AND(YEAR(Oct_Dim1+28)=Année_Calendaire,MONTH(Oct_Dim1+28)=10),Oct_Dim1+28,""))</f>
        <v>43030</v>
      </c>
      <c r="AK168" s="105"/>
      <c r="AL168" s="54"/>
      <c r="AM168" s="90">
        <f>IF(DAY(Oct_Dim1)=1,IF(AND(YEAR(Oct_Dim1+22)=Année_Calendaire,MONTH(Oct_Dim1+22)=10),Oct_Dim1+22,""),IF(AND(YEAR(Oct_Dim1+29)=Année_Calendaire,MONTH(Oct_Dim1+29)=10),Oct_Dim1+29,""))</f>
        <v>43031</v>
      </c>
      <c r="AN168" s="90">
        <f>IF(DAY(Oct_Dim1)=1,IF(AND(YEAR(Oct_Dim1+23)=Année_Calendaire,MONTH(Oct_Dim1+23)=10),Oct_Dim1+23,""),IF(AND(YEAR(Oct_Dim1+30)=Année_Calendaire,MONTH(Oct_Dim1+30)=10),Oct_Dim1+30,""))</f>
        <v>43032</v>
      </c>
      <c r="AO168" s="90">
        <f>IF(DAY(Oct_Dim1)=1,IF(AND(YEAR(Oct_Dim1+24)=Année_Calendaire,MONTH(Oct_Dim1+24)=10),Oct_Dim1+24,""),IF(AND(YEAR(Oct_Dim1+31)=Année_Calendaire,MONTH(Oct_Dim1+31)=10),Oct_Dim1+31,""))</f>
        <v>43033</v>
      </c>
      <c r="AP168" s="90">
        <f>IF(DAY(Oct_Dim1)=1,IF(AND(YEAR(Oct_Dim1+25)=Année_Calendaire,MONTH(Oct_Dim1+25)=10),Oct_Dim1+25,""),IF(AND(YEAR(Oct_Dim1+32)=Année_Calendaire,MONTH(Oct_Dim1+32)=10),Oct_Dim1+32,""))</f>
        <v>43034</v>
      </c>
      <c r="AQ168" s="90">
        <f>IF(DAY(Oct_Dim1)=1,IF(AND(YEAR(Oct_Dim1+26)=Année_Calendaire,MONTH(Oct_Dim1+26)=10),Oct_Dim1+26,""),IF(AND(YEAR(Oct_Dim1+33)=Année_Calendaire,MONTH(Oct_Dim1+33)=10),Oct_Dim1+33,""))</f>
        <v>43035</v>
      </c>
      <c r="AR168" s="90">
        <f>IF(DAY(Oct_Dim1)=1,IF(AND(YEAR(Oct_Dim1+27)=Année_Calendaire,MONTH(Oct_Dim1+27)=10),Oct_Dim1+27,""),IF(AND(YEAR(Oct_Dim1+34)=Année_Calendaire,MONTH(Oct_Dim1+34)=10),Oct_Dim1+34,""))</f>
        <v>43036</v>
      </c>
      <c r="AS168" s="90">
        <f>IF(DAY(Oct_Dim1)=1,IF(AND(YEAR(Oct_Dim1+28)=Année_Calendaire,MONTH(Oct_Dim1+28)=10),Oct_Dim1+28,""),IF(AND(YEAR(Oct_Dim1+35)=Année_Calendaire,MONTH(Oct_Dim1+35)=10),Oct_Dim1+35,""))</f>
        <v>43037</v>
      </c>
      <c r="AT168" s="105"/>
      <c r="AU168" s="54"/>
      <c r="AV168" s="54">
        <f>IF(DAY(Oct_Dim1)=1,IF(AND(YEAR(Oct_Dim1+29)=Année_Calendaire,MONTH(Oct_Dim1+29)=10),Oct_Dim1+29,""),IF(AND(YEAR(Oct_Dim1+36)=Année_Calendaire,MONTH(Oct_Dim1+36)=10),Oct_Dim1+36,""))</f>
        <v>43038</v>
      </c>
      <c r="AW168" s="54">
        <f>IF(DAY(Oct_Dim1)=1,IF(AND(YEAR(Oct_Dim1+30)=Année_Calendaire,MONTH(Oct_Dim1+30)=10),Oct_Dim1+30,""),IF(AND(YEAR(Oct_Dim1+37)=Année_Calendaire,MONTH(Oct_Dim1+37)=10),Oct_Dim1+37,""))</f>
        <v>43039</v>
      </c>
      <c r="AX168" s="105"/>
      <c r="AY168" s="105"/>
      <c r="AZ168" s="108"/>
      <c r="BA168" s="108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/>
      <c r="D169" s="49"/>
      <c r="E169" s="49"/>
      <c r="F169" s="49"/>
      <c r="G169" s="49"/>
      <c r="H169" s="49"/>
      <c r="I169" s="49"/>
      <c r="J169" s="52"/>
      <c r="K169" s="48"/>
      <c r="L169" s="49" t="s">
        <v>48</v>
      </c>
      <c r="M169" s="49" t="s">
        <v>48</v>
      </c>
      <c r="N169" s="49" t="s">
        <v>48</v>
      </c>
      <c r="O169" s="49"/>
      <c r="P169" s="49"/>
      <c r="Q169" s="49"/>
      <c r="R169" s="49"/>
      <c r="S169" s="52"/>
      <c r="T169" s="48"/>
      <c r="U169" s="49" t="s">
        <v>49</v>
      </c>
      <c r="V169" s="49" t="s">
        <v>49</v>
      </c>
      <c r="W169" s="49" t="s">
        <v>49</v>
      </c>
      <c r="X169" s="49" t="s">
        <v>49</v>
      </c>
      <c r="Y169" s="49" t="s">
        <v>49</v>
      </c>
      <c r="Z169" s="49"/>
      <c r="AA169" s="49"/>
      <c r="AB169" s="52"/>
      <c r="AC169" s="48"/>
      <c r="AD169" s="49" t="s">
        <v>48</v>
      </c>
      <c r="AE169" s="49"/>
      <c r="AF169" s="49"/>
      <c r="AG169" s="49" t="s">
        <v>48</v>
      </c>
      <c r="AH169" s="49" t="s">
        <v>48</v>
      </c>
      <c r="AI169" s="49"/>
      <c r="AJ169" s="49"/>
      <c r="AK169" s="52"/>
      <c r="AL169" s="48"/>
      <c r="AM169" s="49" t="s">
        <v>50</v>
      </c>
      <c r="AN169" s="49" t="s">
        <v>50</v>
      </c>
      <c r="AO169" s="49" t="s">
        <v>50</v>
      </c>
      <c r="AP169" s="49" t="s">
        <v>50</v>
      </c>
      <c r="AQ169" s="49" t="s">
        <v>50</v>
      </c>
      <c r="AR169" s="49"/>
      <c r="AS169" s="49"/>
      <c r="AT169" s="52"/>
      <c r="AU169" s="48"/>
      <c r="AV169" s="49" t="s">
        <v>48</v>
      </c>
      <c r="AW169" s="49" t="s">
        <v>48</v>
      </c>
      <c r="AX169" s="52" t="s">
        <v>48</v>
      </c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6">IF(C169="Matin",1,IF(C169="AM",1,0))</f>
        <v>0</v>
      </c>
      <c r="D170" s="52">
        <f t="shared" si="376"/>
        <v>0</v>
      </c>
      <c r="E170" s="52">
        <f t="shared" si="376"/>
        <v>0</v>
      </c>
      <c r="F170" s="52">
        <f t="shared" si="376"/>
        <v>0</v>
      </c>
      <c r="G170" s="52">
        <f t="shared" si="376"/>
        <v>0</v>
      </c>
      <c r="H170" s="52">
        <f t="shared" si="376"/>
        <v>0</v>
      </c>
      <c r="I170" s="52">
        <f t="shared" si="376"/>
        <v>0</v>
      </c>
      <c r="J170" s="52">
        <f>SUM(C170:I170)</f>
        <v>0</v>
      </c>
      <c r="K170" s="51"/>
      <c r="L170" s="52">
        <f t="shared" ref="L170:R170" si="377">IF(L169="Matin",1,IF(L169="AM",1,0))</f>
        <v>1</v>
      </c>
      <c r="M170" s="52">
        <f t="shared" si="377"/>
        <v>1</v>
      </c>
      <c r="N170" s="52">
        <f t="shared" si="377"/>
        <v>1</v>
      </c>
      <c r="O170" s="52">
        <f t="shared" si="377"/>
        <v>0</v>
      </c>
      <c r="P170" s="52">
        <f t="shared" si="377"/>
        <v>0</v>
      </c>
      <c r="Q170" s="52">
        <f t="shared" si="377"/>
        <v>0</v>
      </c>
      <c r="R170" s="52">
        <f t="shared" si="377"/>
        <v>0</v>
      </c>
      <c r="S170" s="52">
        <f>SUM(L170:R170)</f>
        <v>3</v>
      </c>
      <c r="T170" s="51"/>
      <c r="U170" s="52">
        <f t="shared" ref="U170:AA170" si="378">IF(U169="Matin",1,IF(U169="AM",1,0))</f>
        <v>0</v>
      </c>
      <c r="V170" s="52">
        <f t="shared" si="378"/>
        <v>0</v>
      </c>
      <c r="W170" s="52">
        <f t="shared" si="378"/>
        <v>0</v>
      </c>
      <c r="X170" s="52">
        <f t="shared" si="378"/>
        <v>0</v>
      </c>
      <c r="Y170" s="52">
        <f t="shared" si="378"/>
        <v>0</v>
      </c>
      <c r="Z170" s="52">
        <f t="shared" si="378"/>
        <v>0</v>
      </c>
      <c r="AA170" s="52">
        <f t="shared" si="378"/>
        <v>0</v>
      </c>
      <c r="AB170" s="52">
        <f>SUM(U170:AA170)</f>
        <v>0</v>
      </c>
      <c r="AC170" s="51"/>
      <c r="AD170" s="52">
        <f t="shared" ref="AD170:AJ170" si="379">IF(AD169="Matin",1,IF(AD169="AM",1,0))</f>
        <v>1</v>
      </c>
      <c r="AE170" s="52">
        <f t="shared" si="379"/>
        <v>0</v>
      </c>
      <c r="AF170" s="52">
        <f t="shared" si="379"/>
        <v>0</v>
      </c>
      <c r="AG170" s="52">
        <f t="shared" si="379"/>
        <v>1</v>
      </c>
      <c r="AH170" s="52">
        <f t="shared" si="379"/>
        <v>1</v>
      </c>
      <c r="AI170" s="52">
        <f t="shared" si="379"/>
        <v>0</v>
      </c>
      <c r="AJ170" s="52">
        <f t="shared" si="379"/>
        <v>0</v>
      </c>
      <c r="AK170" s="52">
        <f>SUM(AD170:AJ170)</f>
        <v>3</v>
      </c>
      <c r="AL170" s="51"/>
      <c r="AM170" s="52">
        <f t="shared" ref="AM170:AS170" si="380">IF(AM169="Matin",1,IF(AM169="AM",1,0))</f>
        <v>1</v>
      </c>
      <c r="AN170" s="52">
        <f t="shared" si="380"/>
        <v>1</v>
      </c>
      <c r="AO170" s="52">
        <f t="shared" si="380"/>
        <v>1</v>
      </c>
      <c r="AP170" s="52">
        <f t="shared" si="380"/>
        <v>1</v>
      </c>
      <c r="AQ170" s="52">
        <f t="shared" si="380"/>
        <v>1</v>
      </c>
      <c r="AR170" s="52">
        <f t="shared" si="380"/>
        <v>0</v>
      </c>
      <c r="AS170" s="52">
        <f t="shared" si="380"/>
        <v>0</v>
      </c>
      <c r="AT170" s="52">
        <f>SUM(AM170:AS170)</f>
        <v>5</v>
      </c>
      <c r="AU170" s="51"/>
      <c r="AV170" s="52">
        <f t="shared" ref="AV170:AW170" si="381">IF(AV169="Matin",1,IF(AV169="AM",1,0))</f>
        <v>1</v>
      </c>
      <c r="AW170" s="52">
        <f t="shared" si="381"/>
        <v>1</v>
      </c>
      <c r="AX170" s="52">
        <f t="shared" ref="AX170:AX177" si="382">SUM(AV170:AW170)</f>
        <v>2</v>
      </c>
      <c r="AY170" s="52">
        <f>J170+S170+AB170+AK170+AT170+AX170</f>
        <v>13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0</v>
      </c>
      <c r="D171" s="49">
        <f>IF(D172&gt;=1,1,0)</f>
        <v>0</v>
      </c>
      <c r="E171" s="49">
        <f t="shared" ref="E171:I171" si="383">IF(E172&gt;=1,1,0)</f>
        <v>0</v>
      </c>
      <c r="F171" s="49">
        <f t="shared" si="383"/>
        <v>0</v>
      </c>
      <c r="G171" s="49">
        <f t="shared" si="383"/>
        <v>0</v>
      </c>
      <c r="H171" s="49">
        <f t="shared" si="383"/>
        <v>0</v>
      </c>
      <c r="I171" s="49">
        <f t="shared" si="383"/>
        <v>0</v>
      </c>
      <c r="J171" s="52">
        <f t="shared" ref="J171:J181" si="384">SUM(C171:I171)</f>
        <v>0</v>
      </c>
      <c r="K171" s="48"/>
      <c r="L171" s="49">
        <f>IF(L172&gt;=1,1,0)</f>
        <v>1</v>
      </c>
      <c r="M171" s="49">
        <f t="shared" ref="M171:R171" si="385">IF(M172&gt;=1,1,0)</f>
        <v>1</v>
      </c>
      <c r="N171" s="49">
        <f t="shared" si="385"/>
        <v>1</v>
      </c>
      <c r="O171" s="49">
        <f t="shared" si="385"/>
        <v>0</v>
      </c>
      <c r="P171" s="49">
        <f t="shared" si="385"/>
        <v>0</v>
      </c>
      <c r="Q171" s="49">
        <f t="shared" si="385"/>
        <v>0</v>
      </c>
      <c r="R171" s="49">
        <f t="shared" si="385"/>
        <v>0</v>
      </c>
      <c r="S171" s="52">
        <f t="shared" ref="S171:S181" si="386">SUM(L171:R171)</f>
        <v>3</v>
      </c>
      <c r="T171" s="48"/>
      <c r="U171" s="49">
        <f>IF(U172&gt;=1,1,0)</f>
        <v>1</v>
      </c>
      <c r="V171" s="49">
        <f t="shared" ref="V171:AA171" si="387">IF(V172&gt;=1,1,0)</f>
        <v>1</v>
      </c>
      <c r="W171" s="49">
        <f t="shared" si="387"/>
        <v>1</v>
      </c>
      <c r="X171" s="49">
        <f t="shared" si="387"/>
        <v>1</v>
      </c>
      <c r="Y171" s="49">
        <f t="shared" si="387"/>
        <v>1</v>
      </c>
      <c r="Z171" s="49">
        <f t="shared" si="387"/>
        <v>0</v>
      </c>
      <c r="AA171" s="49">
        <f t="shared" si="387"/>
        <v>0</v>
      </c>
      <c r="AB171" s="52">
        <f t="shared" ref="AB171:AB181" si="388">SUM(U171:AA171)</f>
        <v>5</v>
      </c>
      <c r="AC171" s="48"/>
      <c r="AD171" s="49">
        <f>IF(AD172&gt;=1,1,0)</f>
        <v>1</v>
      </c>
      <c r="AE171" s="49">
        <f t="shared" ref="AE171:AJ171" si="389">IF(AE172&gt;=1,1,0)</f>
        <v>0</v>
      </c>
      <c r="AF171" s="49">
        <f t="shared" si="389"/>
        <v>0</v>
      </c>
      <c r="AG171" s="49">
        <f t="shared" si="389"/>
        <v>1</v>
      </c>
      <c r="AH171" s="49">
        <f t="shared" si="389"/>
        <v>1</v>
      </c>
      <c r="AI171" s="49">
        <f t="shared" si="389"/>
        <v>0</v>
      </c>
      <c r="AJ171" s="49">
        <f t="shared" si="389"/>
        <v>0</v>
      </c>
      <c r="AK171" s="52">
        <f t="shared" ref="AK171:AK181" si="390">SUM(AD171:AJ171)</f>
        <v>3</v>
      </c>
      <c r="AL171" s="48"/>
      <c r="AM171" s="49">
        <f>IF(AM172&gt;=1,1,0)</f>
        <v>1</v>
      </c>
      <c r="AN171" s="49">
        <f t="shared" ref="AN171:AS171" si="391">IF(AN172&gt;=1,1,0)</f>
        <v>1</v>
      </c>
      <c r="AO171" s="49">
        <f t="shared" si="391"/>
        <v>1</v>
      </c>
      <c r="AP171" s="49">
        <f t="shared" si="391"/>
        <v>1</v>
      </c>
      <c r="AQ171" s="49">
        <f t="shared" si="391"/>
        <v>1</v>
      </c>
      <c r="AR171" s="49">
        <f t="shared" si="391"/>
        <v>0</v>
      </c>
      <c r="AS171" s="49">
        <f t="shared" si="391"/>
        <v>0</v>
      </c>
      <c r="AT171" s="52">
        <f t="shared" ref="AT171:AT181" si="392">SUM(AM171:AS171)</f>
        <v>5</v>
      </c>
      <c r="AU171" s="48"/>
      <c r="AV171" s="49">
        <f>IF(AV172&gt;=1,1,0)</f>
        <v>1</v>
      </c>
      <c r="AW171" s="49">
        <f t="shared" ref="AW171" si="393">IF(AW172&gt;=1,1,0)</f>
        <v>1</v>
      </c>
      <c r="AX171" s="52">
        <f t="shared" si="382"/>
        <v>2</v>
      </c>
      <c r="AY171" s="49">
        <f t="shared" ref="AY171:AY180" si="394">J171+S171+AB171+AK171+AT171+AX171</f>
        <v>18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0</v>
      </c>
      <c r="D172" s="52">
        <f t="shared" ref="D172:I172" si="395">IF(D169="Matin",8,IF(D169="AM",8,IF(D169="nuit",8,0)))</f>
        <v>0</v>
      </c>
      <c r="E172" s="52">
        <f t="shared" si="395"/>
        <v>0</v>
      </c>
      <c r="F172" s="52">
        <f t="shared" si="395"/>
        <v>0</v>
      </c>
      <c r="G172" s="52">
        <f t="shared" si="395"/>
        <v>0</v>
      </c>
      <c r="H172" s="52">
        <f t="shared" si="395"/>
        <v>0</v>
      </c>
      <c r="I172" s="52">
        <f t="shared" si="395"/>
        <v>0</v>
      </c>
      <c r="J172" s="52">
        <f t="shared" si="384"/>
        <v>0</v>
      </c>
      <c r="K172" s="51"/>
      <c r="L172" s="52">
        <f>IF(L169="Matin",8,IF(L169="AM",8,IF(L169="nuit",8,0)))</f>
        <v>8</v>
      </c>
      <c r="M172" s="52">
        <f t="shared" ref="M172:R172" si="396">IF(M169="Matin",8,IF(M169="AM",8,IF(M169="nuit",8,0)))</f>
        <v>8</v>
      </c>
      <c r="N172" s="52">
        <f t="shared" si="396"/>
        <v>8</v>
      </c>
      <c r="O172" s="52">
        <f t="shared" si="396"/>
        <v>0</v>
      </c>
      <c r="P172" s="52">
        <f t="shared" si="396"/>
        <v>0</v>
      </c>
      <c r="Q172" s="52">
        <f t="shared" si="396"/>
        <v>0</v>
      </c>
      <c r="R172" s="52">
        <f t="shared" si="396"/>
        <v>0</v>
      </c>
      <c r="S172" s="52">
        <f t="shared" si="386"/>
        <v>24</v>
      </c>
      <c r="T172" s="51"/>
      <c r="U172" s="52">
        <f>IF(U169="Matin",8,IF(U169="AM",8,IF(U169="nuit",8,0)))</f>
        <v>8</v>
      </c>
      <c r="V172" s="52">
        <f t="shared" ref="V172:AA172" si="397">IF(V169="Matin",8,IF(V169="AM",8,IF(V169="nuit",8,0)))</f>
        <v>8</v>
      </c>
      <c r="W172" s="52">
        <f t="shared" si="397"/>
        <v>8</v>
      </c>
      <c r="X172" s="52">
        <f t="shared" si="397"/>
        <v>8</v>
      </c>
      <c r="Y172" s="52">
        <f t="shared" si="397"/>
        <v>8</v>
      </c>
      <c r="Z172" s="52">
        <f t="shared" si="397"/>
        <v>0</v>
      </c>
      <c r="AA172" s="52">
        <f t="shared" si="397"/>
        <v>0</v>
      </c>
      <c r="AB172" s="52">
        <f t="shared" si="388"/>
        <v>40</v>
      </c>
      <c r="AC172" s="51"/>
      <c r="AD172" s="52">
        <f>IF(AD169="Matin",8,IF(AD169="AM",8,IF(AD169="nuit",8,0)))</f>
        <v>8</v>
      </c>
      <c r="AE172" s="52">
        <f t="shared" ref="AE172:AJ172" si="398">IF(AE169="Matin",8,IF(AE169="AM",8,IF(AE169="nuit",8,0)))</f>
        <v>0</v>
      </c>
      <c r="AF172" s="52">
        <f t="shared" si="398"/>
        <v>0</v>
      </c>
      <c r="AG172" s="52">
        <f t="shared" si="398"/>
        <v>8</v>
      </c>
      <c r="AH172" s="52">
        <f t="shared" si="398"/>
        <v>8</v>
      </c>
      <c r="AI172" s="52">
        <f t="shared" si="398"/>
        <v>0</v>
      </c>
      <c r="AJ172" s="52">
        <f t="shared" si="398"/>
        <v>0</v>
      </c>
      <c r="AK172" s="52">
        <f t="shared" si="390"/>
        <v>24</v>
      </c>
      <c r="AL172" s="51"/>
      <c r="AM172" s="52">
        <f>IF(AM169="Matin",8,IF(AM169="AM",8,IF(AM169="nuit",8,0)))</f>
        <v>8</v>
      </c>
      <c r="AN172" s="52">
        <f t="shared" ref="AN172:AS172" si="399">IF(AN169="Matin",8,IF(AN169="AM",8,IF(AN169="nuit",8,0)))</f>
        <v>8</v>
      </c>
      <c r="AO172" s="52">
        <f t="shared" si="399"/>
        <v>8</v>
      </c>
      <c r="AP172" s="52">
        <f t="shared" si="399"/>
        <v>8</v>
      </c>
      <c r="AQ172" s="52">
        <f t="shared" si="399"/>
        <v>8</v>
      </c>
      <c r="AR172" s="52">
        <f t="shared" si="399"/>
        <v>0</v>
      </c>
      <c r="AS172" s="52">
        <f t="shared" si="399"/>
        <v>0</v>
      </c>
      <c r="AT172" s="52">
        <f t="shared" si="392"/>
        <v>40</v>
      </c>
      <c r="AU172" s="51"/>
      <c r="AV172" s="52">
        <f>IF(AV169="Matin",8,IF(AV169="AM",8,IF(AV169="nuit",8,0)))</f>
        <v>8</v>
      </c>
      <c r="AW172" s="52">
        <f t="shared" ref="AW172" si="400">IF(AW169="Matin",8,IF(AW169="AM",8,IF(AW169="nuit",8,0)))</f>
        <v>8</v>
      </c>
      <c r="AX172" s="52">
        <f t="shared" si="382"/>
        <v>16</v>
      </c>
      <c r="AY172" s="52">
        <f t="shared" si="394"/>
        <v>144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13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4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0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6"/>
        <v>0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3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8"/>
        <v>3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0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90"/>
        <v>0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3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2"/>
        <v>3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2"/>
        <v>0</v>
      </c>
      <c r="AY173" s="50">
        <f t="shared" si="394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4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0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6"/>
        <v>0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5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8"/>
        <v>5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0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90"/>
        <v>0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5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2"/>
        <v>5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2"/>
        <v>0</v>
      </c>
      <c r="AY174" s="52">
        <f t="shared" si="394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4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6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8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90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2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2"/>
        <v>0</v>
      </c>
      <c r="AY175" s="50">
        <f t="shared" si="394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401">IF(D167="Dim",D172,IF(D182="ferie",D172,0))</f>
        <v>0</v>
      </c>
      <c r="E176" s="52">
        <f t="shared" si="401"/>
        <v>0</v>
      </c>
      <c r="F176" s="52">
        <f t="shared" si="401"/>
        <v>0</v>
      </c>
      <c r="G176" s="52">
        <f t="shared" si="401"/>
        <v>0</v>
      </c>
      <c r="H176" s="52">
        <f t="shared" si="401"/>
        <v>0</v>
      </c>
      <c r="I176" s="52">
        <f t="shared" si="401"/>
        <v>0</v>
      </c>
      <c r="J176" s="52">
        <f t="shared" si="384"/>
        <v>0</v>
      </c>
      <c r="K176" s="51"/>
      <c r="L176" s="52">
        <f>IF(L167="Dim",L172,IF(L182="ferie",L172,0))</f>
        <v>0</v>
      </c>
      <c r="M176" s="52">
        <f t="shared" ref="M176:R176" si="402">IF(M167="Dim",M172,IF(M182="ferie",M172,0))</f>
        <v>0</v>
      </c>
      <c r="N176" s="52">
        <f t="shared" si="402"/>
        <v>0</v>
      </c>
      <c r="O176" s="52">
        <f t="shared" si="402"/>
        <v>0</v>
      </c>
      <c r="P176" s="52">
        <f t="shared" si="402"/>
        <v>0</v>
      </c>
      <c r="Q176" s="52">
        <f>IF(Q167="Dim",Q172,IF(Q182="ferie",Q172,0))</f>
        <v>0</v>
      </c>
      <c r="R176" s="52">
        <f t="shared" si="402"/>
        <v>0</v>
      </c>
      <c r="S176" s="52">
        <f t="shared" ref="S176" si="403">SUM(L176:R176)</f>
        <v>0</v>
      </c>
      <c r="T176" s="51"/>
      <c r="U176" s="52">
        <f>IF(U167="Dim",U172,IF(U182="ferie",U172,0))</f>
        <v>0</v>
      </c>
      <c r="V176" s="52">
        <f t="shared" ref="V176:AA176" si="404">IF(V167="Dim",V172,IF(V182="ferie",V172,0))</f>
        <v>0</v>
      </c>
      <c r="W176" s="52">
        <f t="shared" si="404"/>
        <v>0</v>
      </c>
      <c r="X176" s="52">
        <f t="shared" si="404"/>
        <v>0</v>
      </c>
      <c r="Y176" s="52">
        <f t="shared" si="404"/>
        <v>0</v>
      </c>
      <c r="Z176" s="52">
        <f t="shared" si="404"/>
        <v>0</v>
      </c>
      <c r="AA176" s="52">
        <f t="shared" si="404"/>
        <v>0</v>
      </c>
      <c r="AB176" s="52">
        <f t="shared" si="388"/>
        <v>0</v>
      </c>
      <c r="AC176" s="51"/>
      <c r="AD176" s="52">
        <f>IF(AD167="Dim",AD172,IF(AD182="ferie",AD172,0))</f>
        <v>0</v>
      </c>
      <c r="AE176" s="52">
        <f t="shared" ref="AE176:AJ176" si="405">IF(AE167="Dim",AE172,IF(AE182="ferie",AE172,0))</f>
        <v>0</v>
      </c>
      <c r="AF176" s="52">
        <f t="shared" si="405"/>
        <v>0</v>
      </c>
      <c r="AG176" s="52">
        <f t="shared" si="405"/>
        <v>0</v>
      </c>
      <c r="AH176" s="52">
        <f t="shared" si="405"/>
        <v>0</v>
      </c>
      <c r="AI176" s="52">
        <f t="shared" si="405"/>
        <v>0</v>
      </c>
      <c r="AJ176" s="52">
        <f t="shared" si="405"/>
        <v>0</v>
      </c>
      <c r="AK176" s="52">
        <f t="shared" si="390"/>
        <v>0</v>
      </c>
      <c r="AL176" s="51"/>
      <c r="AM176" s="52">
        <f>IF(AM167="Dim",AM172,IF(AM182="ferie",AM172,0))</f>
        <v>0</v>
      </c>
      <c r="AN176" s="52">
        <f t="shared" ref="AN176:AW176" si="406">IF(AN167="Dim",AN172,IF(AN182="ferie",AN172,0))</f>
        <v>0</v>
      </c>
      <c r="AO176" s="52">
        <f t="shared" si="406"/>
        <v>0</v>
      </c>
      <c r="AP176" s="52">
        <f t="shared" si="406"/>
        <v>0</v>
      </c>
      <c r="AQ176" s="52">
        <f t="shared" si="406"/>
        <v>0</v>
      </c>
      <c r="AR176" s="52">
        <f t="shared" si="406"/>
        <v>0</v>
      </c>
      <c r="AS176" s="52">
        <f t="shared" si="406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6"/>
        <v>0</v>
      </c>
      <c r="AX176" s="52">
        <f t="shared" si="382"/>
        <v>0</v>
      </c>
      <c r="AY176" s="52">
        <f t="shared" si="394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4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6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8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90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2"/>
        <v>0</v>
      </c>
      <c r="AU177" s="48"/>
      <c r="AV177" s="49"/>
      <c r="AW177" s="49"/>
      <c r="AX177" s="52">
        <f t="shared" si="382"/>
        <v>0</v>
      </c>
      <c r="AY177" s="49">
        <f t="shared" si="394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4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6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8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90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2"/>
        <v>0</v>
      </c>
      <c r="AU178" s="51"/>
      <c r="AV178" s="52"/>
      <c r="AW178" s="52"/>
      <c r="AX178" s="52">
        <f t="shared" ref="AX178:AX180" si="407">SUM(AV178:AW178)</f>
        <v>0</v>
      </c>
      <c r="AY178" s="52">
        <f t="shared" si="394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4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6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8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90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2"/>
        <v>0</v>
      </c>
      <c r="AU179" s="48"/>
      <c r="AV179" s="49"/>
      <c r="AW179" s="49"/>
      <c r="AX179" s="52">
        <f t="shared" si="407"/>
        <v>0</v>
      </c>
      <c r="AY179" s="50">
        <f t="shared" si="394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4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6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8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90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2"/>
        <v>0</v>
      </c>
      <c r="AU180" s="51"/>
      <c r="AV180" s="52"/>
      <c r="AW180" s="52"/>
      <c r="AX180" s="52">
        <f t="shared" si="407"/>
        <v>0</v>
      </c>
      <c r="AY180" s="52">
        <f t="shared" si="394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37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8">IF(E169="nuit",E172*0.02,0)</f>
        <v>0</v>
      </c>
      <c r="F181" s="49">
        <f t="shared" si="408"/>
        <v>0</v>
      </c>
      <c r="G181" s="49">
        <f>IF(G169="nuit",G172*0.02,0)</f>
        <v>0</v>
      </c>
      <c r="H181" s="49">
        <f t="shared" si="408"/>
        <v>0</v>
      </c>
      <c r="I181" s="49">
        <f t="shared" si="408"/>
        <v>0</v>
      </c>
      <c r="J181" s="52">
        <f t="shared" si="384"/>
        <v>0</v>
      </c>
      <c r="K181" s="48"/>
      <c r="L181" s="49">
        <f>IF(L169="nuit",L172*0.02,0)</f>
        <v>0</v>
      </c>
      <c r="M181" s="49">
        <f>IF(M169="nuit",M172*0.02,0)</f>
        <v>0</v>
      </c>
      <c r="N181" s="49">
        <f t="shared" ref="N181:R181" si="409">IF(N169="nuit",N172*0.02,0)</f>
        <v>0</v>
      </c>
      <c r="O181" s="49">
        <f t="shared" si="409"/>
        <v>0</v>
      </c>
      <c r="P181" s="49">
        <f>IF(P169="nuit",P172*0.02,0)</f>
        <v>0</v>
      </c>
      <c r="Q181" s="49">
        <f t="shared" si="409"/>
        <v>0</v>
      </c>
      <c r="R181" s="49">
        <f t="shared" si="409"/>
        <v>0</v>
      </c>
      <c r="S181" s="52">
        <f t="shared" si="386"/>
        <v>0</v>
      </c>
      <c r="T181" s="48"/>
      <c r="U181" s="49">
        <f>IF(U169="nuit",U172*0.02,0)</f>
        <v>0.16</v>
      </c>
      <c r="V181" s="49">
        <f>IF(V169="nuit",V172*0.02,0)</f>
        <v>0.16</v>
      </c>
      <c r="W181" s="49">
        <f t="shared" ref="W181:AA181" si="410">IF(W169="nuit",W172*0.02,0)</f>
        <v>0.16</v>
      </c>
      <c r="X181" s="49">
        <f t="shared" si="410"/>
        <v>0.16</v>
      </c>
      <c r="Y181" s="49">
        <f>IF(Y169="nuit",Y172*0.02,0)</f>
        <v>0.16</v>
      </c>
      <c r="Z181" s="49">
        <f t="shared" si="410"/>
        <v>0</v>
      </c>
      <c r="AA181" s="49">
        <f t="shared" si="410"/>
        <v>0</v>
      </c>
      <c r="AB181" s="52">
        <f t="shared" si="388"/>
        <v>0.8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11">IF(AF169="nuit",AF172*0.02,0)</f>
        <v>0</v>
      </c>
      <c r="AG181" s="49">
        <f t="shared" si="411"/>
        <v>0</v>
      </c>
      <c r="AH181" s="49">
        <f>IF(AH169="nuit",AH172*0.02,0)</f>
        <v>0</v>
      </c>
      <c r="AI181" s="49">
        <f t="shared" si="411"/>
        <v>0</v>
      </c>
      <c r="AJ181" s="49">
        <f t="shared" si="411"/>
        <v>0</v>
      </c>
      <c r="AK181" s="52">
        <f t="shared" si="390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2">IF(AO169="nuit",AO172*0.02,0)</f>
        <v>0</v>
      </c>
      <c r="AP181" s="49">
        <f t="shared" si="412"/>
        <v>0</v>
      </c>
      <c r="AQ181" s="49">
        <f>IF(AQ169="nuit",AQ172*0.02,0)</f>
        <v>0</v>
      </c>
      <c r="AR181" s="49">
        <f t="shared" si="412"/>
        <v>0</v>
      </c>
      <c r="AS181" s="49">
        <f t="shared" si="412"/>
        <v>0</v>
      </c>
      <c r="AT181" s="52">
        <f t="shared" si="392"/>
        <v>0</v>
      </c>
      <c r="AU181" s="48"/>
      <c r="AV181" s="49">
        <f>IF(AV169="nuit",AV172*0.02,0)</f>
        <v>0</v>
      </c>
      <c r="AW181" s="49">
        <f>IF(AW169="nuit",AW172*0.02,0)</f>
        <v>0</v>
      </c>
      <c r="AX181" s="52">
        <f>SUM(AV181:AW181)</f>
        <v>0</v>
      </c>
      <c r="AY181" s="50">
        <f>J181+S181+AB181+AK181+AT181+AX181</f>
        <v>0.8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24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56"/>
      <c r="B183" s="56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>
      <c r="A184" s="16"/>
      <c r="B184" s="16"/>
      <c r="C184" s="19" t="s">
        <v>22</v>
      </c>
      <c r="D184" s="19"/>
      <c r="E184" s="19"/>
      <c r="F184" s="19"/>
      <c r="G184" s="19"/>
      <c r="H184" s="106">
        <f>Année_Calendaire</f>
        <v>2017</v>
      </c>
      <c r="I184" s="106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22</v>
      </c>
      <c r="V184" s="19"/>
      <c r="W184" s="19"/>
      <c r="X184" s="19"/>
      <c r="Y184" s="19"/>
      <c r="Z184" s="106">
        <f>Année_Calendaire</f>
        <v>2017</v>
      </c>
      <c r="AA184" s="106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22</v>
      </c>
      <c r="AN184" s="19"/>
      <c r="AO184" s="19"/>
      <c r="AP184" s="19"/>
      <c r="AQ184" s="19"/>
      <c r="AR184" s="106">
        <f>Année_Calendaire</f>
        <v>2017</v>
      </c>
      <c r="AS184" s="106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IF(C185="",AU167,LEFT(AU167)&amp;MOD(RIGHT(AU167),4)+1)</f>
        <v>C1</v>
      </c>
      <c r="C185" s="91" t="str">
        <f>IF(C186&lt;&gt;"","Lun","")</f>
        <v/>
      </c>
      <c r="D185" s="91" t="str">
        <f>IF(D186&lt;&gt;"","Mar","")</f>
        <v/>
      </c>
      <c r="E185" s="91" t="str">
        <f>IF(E186&lt;&gt;"","Mer","")</f>
        <v>Mer</v>
      </c>
      <c r="F185" s="91" t="str">
        <f>IF(F186&lt;&gt;"","Jeu","")</f>
        <v>Jeu</v>
      </c>
      <c r="G185" s="91" t="str">
        <f>IF(G186&lt;&gt;"","Ven","")</f>
        <v>Ven</v>
      </c>
      <c r="H185" s="91" t="str">
        <f>IF(H186&lt;&gt;"","Sam","")</f>
        <v>Sam</v>
      </c>
      <c r="I185" s="91" t="str">
        <f>IF(I186&lt;&gt;"","Dim","")</f>
        <v>Dim</v>
      </c>
      <c r="J185" s="105" t="s">
        <v>25</v>
      </c>
      <c r="K185" s="55" t="str">
        <f>IF(L185="",LEFT(B185)&amp;MOD(RIGHT(B185),5),LEFT(B185)&amp;MOD(RIGHT(B185),4)+1)</f>
        <v>C2</v>
      </c>
      <c r="L185" s="91" t="str">
        <f>IF(L186&lt;&gt;"","Lun","")</f>
        <v>Lun</v>
      </c>
      <c r="M185" s="91" t="str">
        <f>IF(M186&lt;&gt;"","Mar","")</f>
        <v>Mar</v>
      </c>
      <c r="N185" s="91" t="str">
        <f>IF(N186&lt;&gt;"","Mer","")</f>
        <v>Mer</v>
      </c>
      <c r="O185" s="91" t="str">
        <f>IF(O186&lt;&gt;"","Jeu","")</f>
        <v>Jeu</v>
      </c>
      <c r="P185" s="91" t="str">
        <f>IF(P186&lt;&gt;"","Ven","")</f>
        <v>Ven</v>
      </c>
      <c r="Q185" s="91" t="str">
        <f>IF(Q186&lt;&gt;"","Sam","")</f>
        <v>Sam</v>
      </c>
      <c r="R185" s="91" t="str">
        <f>IF(R186&lt;&gt;"","Dim","")</f>
        <v>Dim</v>
      </c>
      <c r="S185" s="105" t="s">
        <v>25</v>
      </c>
      <c r="T185" s="55" t="str">
        <f>IF(U185="",LEFT(K185)&amp;MOD(RIGHT(K185),5),LEFT(K185)&amp;MOD(RIGHT(K185),4)+1)</f>
        <v>C3</v>
      </c>
      <c r="U185" s="91" t="str">
        <f>IF(U186&lt;&gt;"","Lun","")</f>
        <v>Lun</v>
      </c>
      <c r="V185" s="91" t="str">
        <f>IF(V186&lt;&gt;"","Mar","")</f>
        <v>Mar</v>
      </c>
      <c r="W185" s="91" t="str">
        <f>IF(W186&lt;&gt;"","Mer","")</f>
        <v>Mer</v>
      </c>
      <c r="X185" s="91" t="str">
        <f>IF(X186&lt;&gt;"","Jeu","")</f>
        <v>Jeu</v>
      </c>
      <c r="Y185" s="91" t="str">
        <f>IF(Y186&lt;&gt;"","Ven","")</f>
        <v>Ven</v>
      </c>
      <c r="Z185" s="91" t="str">
        <f>IF(Z186&lt;&gt;"","Sam","")</f>
        <v>Sam</v>
      </c>
      <c r="AA185" s="91" t="str">
        <f>IF(AA186&lt;&gt;"","Dim","")</f>
        <v>Dim</v>
      </c>
      <c r="AB185" s="105" t="s">
        <v>25</v>
      </c>
      <c r="AC185" s="55" t="str">
        <f>IF(AD185="",LEFT(T185)&amp;MOD(RIGHT(T185),5),LEFT(T185)&amp;MOD(RIGHT(T185),4)+1)</f>
        <v>C4</v>
      </c>
      <c r="AD185" s="91" t="str">
        <f>IF(AD186&lt;&gt;"","Lun","")</f>
        <v>Lun</v>
      </c>
      <c r="AE185" s="91" t="str">
        <f>IF(AE186&lt;&gt;"","Mar","")</f>
        <v>Mar</v>
      </c>
      <c r="AF185" s="91" t="str">
        <f>IF(AF186&lt;&gt;"","Mer","")</f>
        <v>Mer</v>
      </c>
      <c r="AG185" s="91" t="str">
        <f>IF(AG186&lt;&gt;"","Jeu","")</f>
        <v>Jeu</v>
      </c>
      <c r="AH185" s="91" t="str">
        <f>IF(AH186&lt;&gt;"","Ven","")</f>
        <v>Ven</v>
      </c>
      <c r="AI185" s="91" t="str">
        <f>IF(AI186&lt;&gt;"","Sam","")</f>
        <v>Sam</v>
      </c>
      <c r="AJ185" s="91" t="str">
        <f>IF(AJ186&lt;&gt;"","Dim","")</f>
        <v>Dim</v>
      </c>
      <c r="AK185" s="105" t="s">
        <v>25</v>
      </c>
      <c r="AL185" s="55" t="str">
        <f>IF(AM185="",LEFT(AC185)&amp;MOD(RIGHT(AC185),5),LEFT(AC185)&amp;MOD(RIGHT(AC185),4)+1)</f>
        <v>C1</v>
      </c>
      <c r="AM185" s="92" t="str">
        <f>IF(AM186&lt;&gt;"","Lun","")</f>
        <v>Lun</v>
      </c>
      <c r="AN185" s="91" t="str">
        <f>IF(AN186&lt;&gt;"","Mar","")</f>
        <v>Mar</v>
      </c>
      <c r="AO185" s="91" t="str">
        <f>IF(AO186&lt;&gt;"","Mer","")</f>
        <v>Mer</v>
      </c>
      <c r="AP185" s="91" t="str">
        <f>IF(AP186&lt;&gt;"","Jeu","")</f>
        <v>Jeu</v>
      </c>
      <c r="AQ185" s="91" t="str">
        <f>IF(AQ186&lt;&gt;"","Ven","")</f>
        <v/>
      </c>
      <c r="AR185" s="91" t="str">
        <f>IF(AR186&lt;&gt;"","Sam","")</f>
        <v/>
      </c>
      <c r="AS185" s="91" t="str">
        <f>IF(AS186&lt;&gt;"","Dim","")</f>
        <v/>
      </c>
      <c r="AT185" s="105" t="s">
        <v>25</v>
      </c>
      <c r="AU185" s="55" t="str">
        <f>IF(AV185="",LEFT(AL185)&amp;MOD(RIGHT(AL185),5),LEFT(AL185)&amp;MOD(RIGHT(AL185),4)+1)</f>
        <v>C1</v>
      </c>
      <c r="AV185" s="53" t="str">
        <f>IF(AV186&lt;&gt;"","Lun","")</f>
        <v/>
      </c>
      <c r="AW185" s="53" t="str">
        <f>IF(AW186&lt;&gt;"","Mar","")</f>
        <v/>
      </c>
      <c r="AX185" s="105" t="s">
        <v>25</v>
      </c>
      <c r="AY185" s="105" t="s">
        <v>28</v>
      </c>
      <c r="AZ185" s="108">
        <f>AY192+AY193+AY194</f>
        <v>10</v>
      </c>
      <c r="BA185" s="108">
        <f>AZ185+BA167</f>
        <v>100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90" t="str">
        <f>IF(DAY(Nov_Dim1)=1,"",IF(AND(YEAR(Nov_Dim1+1)=Année_Calendaire,MONTH(Nov_Dim1+1)=11),Nov_Dim1+1,""))</f>
        <v/>
      </c>
      <c r="D186" s="90" t="str">
        <f>IF(DAY(Nov_Dim1)=1,"",IF(AND(YEAR(Nov_Dim1+2)=Année_Calendaire,MONTH(Nov_Dim1+2)=11),Nov_Dim1+2,""))</f>
        <v/>
      </c>
      <c r="E186" s="93">
        <f>IF(DAY(Nov_Dim1)=1,"",IF(AND(YEAR(Nov_Dim1+3)=Année_Calendaire,MONTH(Nov_Dim1+3)=11),Nov_Dim1+3,""))</f>
        <v>43040</v>
      </c>
      <c r="F186" s="90">
        <f>IF(DAY(Nov_Dim1)=1,"",IF(AND(YEAR(Nov_Dim1+4)=Année_Calendaire,MONTH(Nov_Dim1+4)=11),Nov_Dim1+4,""))</f>
        <v>43041</v>
      </c>
      <c r="G186" s="90">
        <f>IF(DAY(Nov_Dim1)=1,"",IF(AND(YEAR(Nov_Dim1+5)=Année_Calendaire,MONTH(Nov_Dim1+5)=11),Nov_Dim1+5,""))</f>
        <v>43042</v>
      </c>
      <c r="H186" s="90">
        <f>IF(DAY(Nov_Dim1)=1,"",IF(AND(YEAR(Nov_Dim1+6)=Année_Calendaire,MONTH(Nov_Dim1+6)=11),Nov_Dim1+6,""))</f>
        <v>43043</v>
      </c>
      <c r="I186" s="90">
        <f>IF(DAY(Nov_Dim1)=1,IF(AND(YEAR(Nov_Dim1)=Année_Calendaire,MONTH(Nov_Dim1)=11),Nov_Dim1,""),IF(AND(YEAR(Nov_Dim1+7)=Année_Calendaire,MONTH(Nov_Dim1+7)=11),Nov_Dim1+7,""))</f>
        <v>43044</v>
      </c>
      <c r="J186" s="105"/>
      <c r="K186" s="54"/>
      <c r="L186" s="90">
        <f>IF(DAY(Nov_Dim1)=1,IF(AND(YEAR(Nov_Dim1+1)=Année_Calendaire,MONTH(Nov_Dim1+1)=11),Nov_Dim1+1,""),IF(AND(YEAR(Nov_Dim1+8)=Année_Calendaire,MONTH(Nov_Dim1+8)=11),Nov_Dim1+8,""))</f>
        <v>43045</v>
      </c>
      <c r="M186" s="90">
        <f>IF(DAY(Nov_Dim1)=1,IF(AND(YEAR(Nov_Dim1+2)=Année_Calendaire,MONTH(Nov_Dim1+2)=11),Nov_Dim1+2,""),IF(AND(YEAR(Nov_Dim1+9)=Année_Calendaire,MONTH(Nov_Dim1+9)=11),Nov_Dim1+9,""))</f>
        <v>43046</v>
      </c>
      <c r="N186" s="90">
        <f>IF(DAY(Nov_Dim1)=1,IF(AND(YEAR(Nov_Dim1+3)=Année_Calendaire,MONTH(Nov_Dim1+3)=11),Nov_Dim1+3,""),IF(AND(YEAR(Nov_Dim1+10)=Année_Calendaire,MONTH(Nov_Dim1+10)=11),Nov_Dim1+10,""))</f>
        <v>43047</v>
      </c>
      <c r="O186" s="90">
        <f>IF(DAY(Nov_Dim1)=1,IF(AND(YEAR(Nov_Dim1+4)=Année_Calendaire,MONTH(Nov_Dim1+4)=11),Nov_Dim1+4,""),IF(AND(YEAR(Nov_Dim1+11)=Année_Calendaire,MONTH(Nov_Dim1+11)=11),Nov_Dim1+11,""))</f>
        <v>43048</v>
      </c>
      <c r="P186" s="90">
        <f>IF(DAY(Nov_Dim1)=1,IF(AND(YEAR(Nov_Dim1+5)=Année_Calendaire,MONTH(Nov_Dim1+5)=11),Nov_Dim1+5,""),IF(AND(YEAR(Nov_Dim1+12)=Année_Calendaire,MONTH(Nov_Dim1+12)=11),Nov_Dim1+12,""))</f>
        <v>43049</v>
      </c>
      <c r="Q186" s="93">
        <f>IF(DAY(Nov_Dim1)=1,IF(AND(YEAR(Nov_Dim1+6)=Année_Calendaire,MONTH(Nov_Dim1+6)=11),Nov_Dim1+6,""),IF(AND(YEAR(Nov_Dim1+13)=Année_Calendaire,MONTH(Nov_Dim1+13)=11),Nov_Dim1+13,""))</f>
        <v>43050</v>
      </c>
      <c r="R186" s="90">
        <f>IF(DAY(Nov_Dim1)=1,IF(AND(YEAR(Nov_Dim1+7)=Année_Calendaire,MONTH(Nov_Dim1+7)=11),Nov_Dim1+7,""),IF(AND(YEAR(Nov_Dim1+14)=Année_Calendaire,MONTH(Nov_Dim1+14)=11),Nov_Dim1+14,""))</f>
        <v>43051</v>
      </c>
      <c r="S186" s="105"/>
      <c r="T186" s="54"/>
      <c r="U186" s="90">
        <f>IF(DAY(Nov_Dim1)=1,IF(AND(YEAR(Nov_Dim1+8)=Année_Calendaire,MONTH(Nov_Dim1+8)=11),Nov_Dim1+8,""),IF(AND(YEAR(Nov_Dim1+15)=Année_Calendaire,MONTH(Nov_Dim1+15)=11),Nov_Dim1+15,""))</f>
        <v>43052</v>
      </c>
      <c r="V186" s="90">
        <f>IF(DAY(Nov_Dim1)=1,IF(AND(YEAR(Nov_Dim1+9)=Année_Calendaire,MONTH(Nov_Dim1+9)=11),Nov_Dim1+9,""),IF(AND(YEAR(Nov_Dim1+16)=Année_Calendaire,MONTH(Nov_Dim1+16)=11),Nov_Dim1+16,""))</f>
        <v>43053</v>
      </c>
      <c r="W186" s="90">
        <f>IF(DAY(Nov_Dim1)=1,IF(AND(YEAR(Nov_Dim1+10)=Année_Calendaire,MONTH(Nov_Dim1+10)=11),Nov_Dim1+10,""),IF(AND(YEAR(Nov_Dim1+17)=Année_Calendaire,MONTH(Nov_Dim1+17)=11),Nov_Dim1+17,""))</f>
        <v>43054</v>
      </c>
      <c r="X186" s="90">
        <f>IF(DAY(Nov_Dim1)=1,IF(AND(YEAR(Nov_Dim1+11)=Année_Calendaire,MONTH(Nov_Dim1+11)=11),Nov_Dim1+11,""),IF(AND(YEAR(Nov_Dim1+18)=Année_Calendaire,MONTH(Nov_Dim1+18)=11),Nov_Dim1+18,""))</f>
        <v>43055</v>
      </c>
      <c r="Y186" s="90">
        <f>IF(DAY(Nov_Dim1)=1,IF(AND(YEAR(Nov_Dim1+12)=Année_Calendaire,MONTH(Nov_Dim1+12)=11),Nov_Dim1+12,""),IF(AND(YEAR(Nov_Dim1+19)=Année_Calendaire,MONTH(Nov_Dim1+19)=11),Nov_Dim1+19,""))</f>
        <v>43056</v>
      </c>
      <c r="Z186" s="90">
        <f>IF(DAY(Nov_Dim1)=1,IF(AND(YEAR(Nov_Dim1+13)=Année_Calendaire,MONTH(Nov_Dim1+13)=11),Nov_Dim1+13,""),IF(AND(YEAR(Nov_Dim1+20)=Année_Calendaire,MONTH(Nov_Dim1+20)=11),Nov_Dim1+20,""))</f>
        <v>43057</v>
      </c>
      <c r="AA186" s="90">
        <f>IF(DAY(Nov_Dim1)=1,IF(AND(YEAR(Nov_Dim1+14)=Année_Calendaire,MONTH(Nov_Dim1+14)=11),Nov_Dim1+14,""),IF(AND(YEAR(Nov_Dim1+21)=Année_Calendaire,MONTH(Nov_Dim1+21)=11),Nov_Dim1+21,""))</f>
        <v>43058</v>
      </c>
      <c r="AB186" s="105"/>
      <c r="AC186" s="54"/>
      <c r="AD186" s="90">
        <f>IF(DAY(Nov_Dim1)=1,IF(AND(YEAR(Nov_Dim1+15)=Année_Calendaire,MONTH(Nov_Dim1+15)=11),Nov_Dim1+15,""),IF(AND(YEAR(Nov_Dim1+22)=Année_Calendaire,MONTH(Nov_Dim1+22)=11),Nov_Dim1+22,""))</f>
        <v>43059</v>
      </c>
      <c r="AE186" s="90">
        <f>IF(DAY(Nov_Dim1)=1,IF(AND(YEAR(Nov_Dim1+16)=Année_Calendaire,MONTH(Nov_Dim1+16)=11),Nov_Dim1+16,""),IF(AND(YEAR(Nov_Dim1+23)=Année_Calendaire,MONTH(Nov_Dim1+23)=11),Nov_Dim1+23,""))</f>
        <v>43060</v>
      </c>
      <c r="AF186" s="90">
        <f>IF(DAY(Nov_Dim1)=1,IF(AND(YEAR(Nov_Dim1+17)=Année_Calendaire,MONTH(Nov_Dim1+17)=11),Nov_Dim1+17,""),IF(AND(YEAR(Nov_Dim1+24)=Année_Calendaire,MONTH(Nov_Dim1+24)=11),Nov_Dim1+24,""))</f>
        <v>43061</v>
      </c>
      <c r="AG186" s="90">
        <f>IF(DAY(Nov_Dim1)=1,IF(AND(YEAR(Nov_Dim1+18)=Année_Calendaire,MONTH(Nov_Dim1+18)=11),Nov_Dim1+18,""),IF(AND(YEAR(Nov_Dim1+25)=Année_Calendaire,MONTH(Nov_Dim1+25)=11),Nov_Dim1+25,""))</f>
        <v>43062</v>
      </c>
      <c r="AH186" s="90">
        <f>IF(DAY(Nov_Dim1)=1,IF(AND(YEAR(Nov_Dim1+19)=Année_Calendaire,MONTH(Nov_Dim1+19)=11),Nov_Dim1+19,""),IF(AND(YEAR(Nov_Dim1+26)=Année_Calendaire,MONTH(Nov_Dim1+26)=11),Nov_Dim1+26,""))</f>
        <v>43063</v>
      </c>
      <c r="AI186" s="90">
        <f>IF(DAY(Nov_Dim1)=1,IF(AND(YEAR(Nov_Dim1+20)=Année_Calendaire,MONTH(Nov_Dim1+20)=11),Nov_Dim1+20,""),IF(AND(YEAR(Nov_Dim1+27)=Année_Calendaire,MONTH(Nov_Dim1+27)=11),Nov_Dim1+27,""))</f>
        <v>43064</v>
      </c>
      <c r="AJ186" s="90">
        <f>IF(DAY(Nov_Dim1)=1,IF(AND(YEAR(Nov_Dim1+21)=Année_Calendaire,MONTH(Nov_Dim1+21)=11),Nov_Dim1+21,""),IF(AND(YEAR(Nov_Dim1+28)=Année_Calendaire,MONTH(Nov_Dim1+28)=11),Nov_Dim1+28,""))</f>
        <v>43065</v>
      </c>
      <c r="AK186" s="105"/>
      <c r="AL186" s="54"/>
      <c r="AM186" s="90">
        <f>IF(DAY(Nov_Dim1)=1,IF(AND(YEAR(Nov_Dim1+22)=Année_Calendaire,MONTH(Nov_Dim1+22)=11),Nov_Dim1+22,""),IF(AND(YEAR(Nov_Dim1+29)=Année_Calendaire,MONTH(Nov_Dim1+29)=11),Nov_Dim1+29,""))</f>
        <v>43066</v>
      </c>
      <c r="AN186" s="90">
        <f>IF(DAY(Nov_Dim1)=1,IF(AND(YEAR(Nov_Dim1+23)=Année_Calendaire,MONTH(Nov_Dim1+23)=11),Nov_Dim1+23,""),IF(AND(YEAR(Nov_Dim1+30)=Année_Calendaire,MONTH(Nov_Dim1+30)=11),Nov_Dim1+30,""))</f>
        <v>43067</v>
      </c>
      <c r="AO186" s="90">
        <f>IF(DAY(Nov_Dim1)=1,IF(AND(YEAR(Nov_Dim1+24)=Année_Calendaire,MONTH(Nov_Dim1+24)=11),Nov_Dim1+24,""),IF(AND(YEAR(Nov_Dim1+31)=Année_Calendaire,MONTH(Nov_Dim1+31)=11),Nov_Dim1+31,""))</f>
        <v>43068</v>
      </c>
      <c r="AP186" s="90">
        <f>IF(DAY(Nov_Dim1)=1,IF(AND(YEAR(Nov_Dim1+25)=Année_Calendaire,MONTH(Nov_Dim1+25)=11),Nov_Dim1+25,""),IF(AND(YEAR(Nov_Dim1+32)=Année_Calendaire,MONTH(Nov_Dim1+32)=11),Nov_Dim1+32,""))</f>
        <v>43069</v>
      </c>
      <c r="AQ186" s="90" t="str">
        <f>IF(DAY(Nov_Dim1)=1,IF(AND(YEAR(Nov_Dim1+26)=Année_Calendaire,MONTH(Nov_Dim1+26)=11),Nov_Dim1+26,""),IF(AND(YEAR(Nov_Dim1+33)=Année_Calendaire,MONTH(Nov_Dim1+33)=11),Nov_Dim1+33,""))</f>
        <v/>
      </c>
      <c r="AR186" s="90" t="str">
        <f>IF(DAY(Nov_Dim1)=1,IF(AND(YEAR(Nov_Dim1+27)=Année_Calendaire,MONTH(Nov_Dim1+27)=11),Nov_Dim1+27,""),IF(AND(YEAR(Nov_Dim1+34)=Année_Calendaire,MONTH(Nov_Dim1+34)=11),Nov_Dim1+34,""))</f>
        <v/>
      </c>
      <c r="AS186" s="90" t="str">
        <f>IF(DAY(Nov_Dim1)=1,IF(AND(YEAR(Nov_Dim1+28)=Année_Calendaire,MONTH(Nov_Dim1+28)=11),Nov_Dim1+28,""),IF(AND(YEAR(Nov_Dim1+35)=Année_Calendaire,MONTH(Nov_Dim1+35)=11),Nov_Dim1+35,""))</f>
        <v/>
      </c>
      <c r="AT186" s="105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105"/>
      <c r="AY186" s="105"/>
      <c r="AZ186" s="108"/>
      <c r="BA186" s="108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/>
      <c r="D187" s="49"/>
      <c r="E187" s="49" t="s">
        <v>48</v>
      </c>
      <c r="F187" s="49"/>
      <c r="G187" s="49"/>
      <c r="H187" s="49"/>
      <c r="I187" s="49"/>
      <c r="J187" s="52"/>
      <c r="K187" s="48"/>
      <c r="L187" s="49" t="s">
        <v>49</v>
      </c>
      <c r="M187" s="49" t="s">
        <v>49</v>
      </c>
      <c r="N187" s="49" t="s">
        <v>49</v>
      </c>
      <c r="O187" s="49" t="s">
        <v>49</v>
      </c>
      <c r="P187" s="49" t="s">
        <v>49</v>
      </c>
      <c r="Q187" s="49"/>
      <c r="R187" s="49"/>
      <c r="S187" s="52"/>
      <c r="T187" s="48"/>
      <c r="U187" s="49" t="s">
        <v>48</v>
      </c>
      <c r="V187" s="49"/>
      <c r="W187" s="49"/>
      <c r="X187" s="49" t="s">
        <v>48</v>
      </c>
      <c r="Y187" s="49" t="s">
        <v>48</v>
      </c>
      <c r="Z187" s="49"/>
      <c r="AA187" s="49"/>
      <c r="AB187" s="52"/>
      <c r="AC187" s="48"/>
      <c r="AD187" s="49" t="s">
        <v>50</v>
      </c>
      <c r="AE187" s="49" t="s">
        <v>50</v>
      </c>
      <c r="AF187" s="49" t="s">
        <v>50</v>
      </c>
      <c r="AG187" s="49" t="s">
        <v>50</v>
      </c>
      <c r="AH187" s="49" t="s">
        <v>50</v>
      </c>
      <c r="AI187" s="49"/>
      <c r="AJ187" s="49"/>
      <c r="AK187" s="52"/>
      <c r="AL187" s="48"/>
      <c r="AM187" s="49" t="s">
        <v>48</v>
      </c>
      <c r="AN187" s="49" t="s">
        <v>48</v>
      </c>
      <c r="AO187" s="49" t="s">
        <v>48</v>
      </c>
      <c r="AP187" s="49"/>
      <c r="AQ187" s="49"/>
      <c r="AR187" s="49"/>
      <c r="AS187" s="49"/>
      <c r="AT187" s="52"/>
      <c r="AU187" s="48"/>
      <c r="AV187" s="49"/>
      <c r="AW187" s="49"/>
      <c r="AX187" s="52" t="s">
        <v>48</v>
      </c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3">IF(C187="Matin",1,IF(C187="AM",1,0))</f>
        <v>0</v>
      </c>
      <c r="D188" s="52">
        <f t="shared" si="413"/>
        <v>0</v>
      </c>
      <c r="E188" s="52">
        <f t="shared" si="413"/>
        <v>1</v>
      </c>
      <c r="F188" s="52">
        <f t="shared" si="413"/>
        <v>0</v>
      </c>
      <c r="G188" s="52">
        <f t="shared" si="413"/>
        <v>0</v>
      </c>
      <c r="H188" s="52">
        <f t="shared" si="413"/>
        <v>0</v>
      </c>
      <c r="I188" s="52">
        <f t="shared" si="413"/>
        <v>0</v>
      </c>
      <c r="J188" s="52">
        <f>SUM(C188:I188)</f>
        <v>1</v>
      </c>
      <c r="K188" s="51"/>
      <c r="L188" s="52">
        <f t="shared" ref="L188:R188" si="414">IF(L187="Matin",1,IF(L187="AM",1,0))</f>
        <v>0</v>
      </c>
      <c r="M188" s="52">
        <f t="shared" si="414"/>
        <v>0</v>
      </c>
      <c r="N188" s="52">
        <f t="shared" si="414"/>
        <v>0</v>
      </c>
      <c r="O188" s="52">
        <f t="shared" si="414"/>
        <v>0</v>
      </c>
      <c r="P188" s="52">
        <f t="shared" si="414"/>
        <v>0</v>
      </c>
      <c r="Q188" s="52">
        <f t="shared" si="414"/>
        <v>0</v>
      </c>
      <c r="R188" s="52">
        <f t="shared" si="414"/>
        <v>0</v>
      </c>
      <c r="S188" s="52">
        <f>SUM(L188:R188)</f>
        <v>0</v>
      </c>
      <c r="T188" s="51"/>
      <c r="U188" s="52">
        <f t="shared" ref="U188:AA188" si="415">IF(U187="Matin",1,IF(U187="AM",1,0))</f>
        <v>1</v>
      </c>
      <c r="V188" s="52">
        <f t="shared" si="415"/>
        <v>0</v>
      </c>
      <c r="W188" s="52">
        <f t="shared" si="415"/>
        <v>0</v>
      </c>
      <c r="X188" s="52">
        <f t="shared" si="415"/>
        <v>1</v>
      </c>
      <c r="Y188" s="52">
        <f t="shared" si="415"/>
        <v>1</v>
      </c>
      <c r="Z188" s="52">
        <f t="shared" si="415"/>
        <v>0</v>
      </c>
      <c r="AA188" s="52">
        <f t="shared" si="415"/>
        <v>0</v>
      </c>
      <c r="AB188" s="52">
        <f>SUM(U188:AA188)</f>
        <v>3</v>
      </c>
      <c r="AC188" s="51"/>
      <c r="AD188" s="52">
        <f t="shared" ref="AD188:AJ188" si="416">IF(AD187="Matin",1,IF(AD187="AM",1,0))</f>
        <v>1</v>
      </c>
      <c r="AE188" s="52">
        <f t="shared" si="416"/>
        <v>1</v>
      </c>
      <c r="AF188" s="52">
        <f t="shared" si="416"/>
        <v>1</v>
      </c>
      <c r="AG188" s="52">
        <f t="shared" si="416"/>
        <v>1</v>
      </c>
      <c r="AH188" s="52">
        <f t="shared" si="416"/>
        <v>1</v>
      </c>
      <c r="AI188" s="52">
        <f t="shared" si="416"/>
        <v>0</v>
      </c>
      <c r="AJ188" s="52">
        <f t="shared" si="416"/>
        <v>0</v>
      </c>
      <c r="AK188" s="52">
        <f>SUM(AD188:AJ188)</f>
        <v>5</v>
      </c>
      <c r="AL188" s="51"/>
      <c r="AM188" s="52">
        <f t="shared" ref="AM188:AS188" si="417">IF(AM187="Matin",1,IF(AM187="AM",1,0))</f>
        <v>1</v>
      </c>
      <c r="AN188" s="52">
        <f t="shared" si="417"/>
        <v>1</v>
      </c>
      <c r="AO188" s="52">
        <f t="shared" si="417"/>
        <v>1</v>
      </c>
      <c r="AP188" s="52">
        <f t="shared" si="417"/>
        <v>0</v>
      </c>
      <c r="AQ188" s="52">
        <f t="shared" si="417"/>
        <v>0</v>
      </c>
      <c r="AR188" s="52">
        <f t="shared" si="417"/>
        <v>0</v>
      </c>
      <c r="AS188" s="52">
        <f t="shared" si="417"/>
        <v>0</v>
      </c>
      <c r="AT188" s="52">
        <f>SUM(AM188:AS188)</f>
        <v>3</v>
      </c>
      <c r="AU188" s="51"/>
      <c r="AV188" s="52">
        <f t="shared" ref="AV188:AW188" si="418">IF(AV187="Matin",1,IF(AV187="AM",1,0))</f>
        <v>0</v>
      </c>
      <c r="AW188" s="52">
        <f t="shared" si="418"/>
        <v>0</v>
      </c>
      <c r="AX188" s="52">
        <f t="shared" ref="AX188:AX195" si="419">SUM(AV188:AW188)</f>
        <v>0</v>
      </c>
      <c r="AY188" s="52">
        <f>J188+S188+AB188+AK188+AT188+AX188</f>
        <v>12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0</v>
      </c>
      <c r="E189" s="49">
        <f t="shared" ref="E189:I189" si="420">IF(E190&gt;=1,1,0)</f>
        <v>1</v>
      </c>
      <c r="F189" s="49">
        <f t="shared" si="420"/>
        <v>0</v>
      </c>
      <c r="G189" s="49">
        <f t="shared" si="420"/>
        <v>0</v>
      </c>
      <c r="H189" s="49">
        <f t="shared" si="420"/>
        <v>0</v>
      </c>
      <c r="I189" s="49">
        <f t="shared" si="420"/>
        <v>0</v>
      </c>
      <c r="J189" s="52">
        <f t="shared" ref="J189:J199" si="421">SUM(C189:I189)</f>
        <v>1</v>
      </c>
      <c r="K189" s="48"/>
      <c r="L189" s="49">
        <f>IF(L190&gt;=1,1,0)</f>
        <v>1</v>
      </c>
      <c r="M189" s="49">
        <f t="shared" ref="M189:R189" si="422">IF(M190&gt;=1,1,0)</f>
        <v>1</v>
      </c>
      <c r="N189" s="49">
        <f t="shared" si="422"/>
        <v>1</v>
      </c>
      <c r="O189" s="49">
        <f t="shared" si="422"/>
        <v>1</v>
      </c>
      <c r="P189" s="49">
        <f t="shared" si="422"/>
        <v>1</v>
      </c>
      <c r="Q189" s="49">
        <f t="shared" si="422"/>
        <v>0</v>
      </c>
      <c r="R189" s="49">
        <f t="shared" si="422"/>
        <v>0</v>
      </c>
      <c r="S189" s="52">
        <f t="shared" ref="S189:S199" si="423">SUM(L189:R189)</f>
        <v>5</v>
      </c>
      <c r="T189" s="48"/>
      <c r="U189" s="49">
        <f>IF(U190&gt;=1,1,0)</f>
        <v>1</v>
      </c>
      <c r="V189" s="49">
        <f t="shared" ref="V189:AA189" si="424">IF(V190&gt;=1,1,0)</f>
        <v>0</v>
      </c>
      <c r="W189" s="49">
        <f t="shared" si="424"/>
        <v>0</v>
      </c>
      <c r="X189" s="49">
        <f t="shared" si="424"/>
        <v>1</v>
      </c>
      <c r="Y189" s="49">
        <f t="shared" si="424"/>
        <v>1</v>
      </c>
      <c r="Z189" s="49">
        <f t="shared" si="424"/>
        <v>0</v>
      </c>
      <c r="AA189" s="49">
        <f t="shared" si="424"/>
        <v>0</v>
      </c>
      <c r="AB189" s="52">
        <f t="shared" ref="AB189:AB199" si="425">SUM(U189:AA189)</f>
        <v>3</v>
      </c>
      <c r="AC189" s="48"/>
      <c r="AD189" s="49">
        <f>IF(AD190&gt;=1,1,0)</f>
        <v>1</v>
      </c>
      <c r="AE189" s="49">
        <f t="shared" ref="AE189:AJ189" si="426">IF(AE190&gt;=1,1,0)</f>
        <v>1</v>
      </c>
      <c r="AF189" s="49">
        <f t="shared" si="426"/>
        <v>1</v>
      </c>
      <c r="AG189" s="49">
        <f t="shared" si="426"/>
        <v>1</v>
      </c>
      <c r="AH189" s="49">
        <f t="shared" si="426"/>
        <v>1</v>
      </c>
      <c r="AI189" s="49">
        <f t="shared" si="426"/>
        <v>0</v>
      </c>
      <c r="AJ189" s="49">
        <f t="shared" si="426"/>
        <v>0</v>
      </c>
      <c r="AK189" s="52">
        <f t="shared" ref="AK189:AK199" si="427">SUM(AD189:AJ189)</f>
        <v>5</v>
      </c>
      <c r="AL189" s="48"/>
      <c r="AM189" s="49">
        <f>IF(AM190&gt;=1,1,0)</f>
        <v>1</v>
      </c>
      <c r="AN189" s="49">
        <f t="shared" ref="AN189:AS189" si="428">IF(AN190&gt;=1,1,0)</f>
        <v>1</v>
      </c>
      <c r="AO189" s="49">
        <f t="shared" si="428"/>
        <v>1</v>
      </c>
      <c r="AP189" s="49">
        <f t="shared" si="428"/>
        <v>0</v>
      </c>
      <c r="AQ189" s="49">
        <f t="shared" si="428"/>
        <v>0</v>
      </c>
      <c r="AR189" s="49">
        <f t="shared" si="428"/>
        <v>0</v>
      </c>
      <c r="AS189" s="49">
        <f t="shared" si="428"/>
        <v>0</v>
      </c>
      <c r="AT189" s="52">
        <f t="shared" ref="AT189:AT199" si="429">SUM(AM189:AS189)</f>
        <v>3</v>
      </c>
      <c r="AU189" s="48"/>
      <c r="AV189" s="49">
        <f>IF(AV190&gt;=1,1,0)</f>
        <v>0</v>
      </c>
      <c r="AW189" s="49">
        <f t="shared" ref="AW189" si="430">IF(AW190&gt;=1,1,0)</f>
        <v>0</v>
      </c>
      <c r="AX189" s="52">
        <f t="shared" si="419"/>
        <v>0</v>
      </c>
      <c r="AY189" s="49">
        <f t="shared" ref="AY189:AY198" si="431">J189+S189+AB189+AK189+AT189+AX189</f>
        <v>17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2">IF(D187="Matin",8,IF(D187="AM",8,IF(D187="nuit",8,0)))</f>
        <v>0</v>
      </c>
      <c r="E190" s="52">
        <f t="shared" si="432"/>
        <v>8</v>
      </c>
      <c r="F190" s="52">
        <f t="shared" si="432"/>
        <v>0</v>
      </c>
      <c r="G190" s="52">
        <f t="shared" si="432"/>
        <v>0</v>
      </c>
      <c r="H190" s="52">
        <f t="shared" si="432"/>
        <v>0</v>
      </c>
      <c r="I190" s="52">
        <f t="shared" si="432"/>
        <v>0</v>
      </c>
      <c r="J190" s="52">
        <f t="shared" si="421"/>
        <v>8</v>
      </c>
      <c r="K190" s="51"/>
      <c r="L190" s="52">
        <f>IF(L187="Matin",8,IF(L187="AM",8,IF(L187="nuit",8,0)))</f>
        <v>8</v>
      </c>
      <c r="M190" s="52">
        <f t="shared" ref="M190:R190" si="433">IF(M187="Matin",8,IF(M187="AM",8,IF(M187="nuit",8,0)))</f>
        <v>8</v>
      </c>
      <c r="N190" s="52">
        <f t="shared" si="433"/>
        <v>8</v>
      </c>
      <c r="O190" s="52">
        <f t="shared" si="433"/>
        <v>8</v>
      </c>
      <c r="P190" s="52">
        <f t="shared" si="433"/>
        <v>8</v>
      </c>
      <c r="Q190" s="52">
        <f t="shared" si="433"/>
        <v>0</v>
      </c>
      <c r="R190" s="52">
        <f t="shared" si="433"/>
        <v>0</v>
      </c>
      <c r="S190" s="52">
        <f t="shared" si="423"/>
        <v>40</v>
      </c>
      <c r="T190" s="51"/>
      <c r="U190" s="52">
        <f>IF(U187="Matin",8,IF(U187="AM",8,IF(U187="nuit",8,0)))</f>
        <v>8</v>
      </c>
      <c r="V190" s="52">
        <f t="shared" ref="V190:AA190" si="434">IF(V187="Matin",8,IF(V187="AM",8,IF(V187="nuit",8,0)))</f>
        <v>0</v>
      </c>
      <c r="W190" s="52">
        <f t="shared" si="434"/>
        <v>0</v>
      </c>
      <c r="X190" s="52">
        <f t="shared" si="434"/>
        <v>8</v>
      </c>
      <c r="Y190" s="52">
        <f t="shared" si="434"/>
        <v>8</v>
      </c>
      <c r="Z190" s="52">
        <f t="shared" si="434"/>
        <v>0</v>
      </c>
      <c r="AA190" s="52">
        <f t="shared" si="434"/>
        <v>0</v>
      </c>
      <c r="AB190" s="52">
        <f t="shared" si="425"/>
        <v>24</v>
      </c>
      <c r="AC190" s="51"/>
      <c r="AD190" s="52">
        <f>IF(AD187="Matin",8,IF(AD187="AM",8,IF(AD187="nuit",8,0)))</f>
        <v>8</v>
      </c>
      <c r="AE190" s="52">
        <f t="shared" ref="AE190:AJ190" si="435">IF(AE187="Matin",8,IF(AE187="AM",8,IF(AE187="nuit",8,0)))</f>
        <v>8</v>
      </c>
      <c r="AF190" s="52">
        <f t="shared" si="435"/>
        <v>8</v>
      </c>
      <c r="AG190" s="52">
        <f t="shared" si="435"/>
        <v>8</v>
      </c>
      <c r="AH190" s="52">
        <f t="shared" si="435"/>
        <v>8</v>
      </c>
      <c r="AI190" s="52">
        <f t="shared" si="435"/>
        <v>0</v>
      </c>
      <c r="AJ190" s="52">
        <f t="shared" si="435"/>
        <v>0</v>
      </c>
      <c r="AK190" s="52">
        <f t="shared" si="427"/>
        <v>40</v>
      </c>
      <c r="AL190" s="51"/>
      <c r="AM190" s="52">
        <f>IF(AM187="Matin",8,IF(AM187="AM",8,IF(AM187="nuit",8,0)))</f>
        <v>8</v>
      </c>
      <c r="AN190" s="52">
        <f t="shared" ref="AN190:AS190" si="436">IF(AN187="Matin",8,IF(AN187="AM",8,IF(AN187="nuit",8,0)))</f>
        <v>8</v>
      </c>
      <c r="AO190" s="52">
        <f t="shared" si="436"/>
        <v>8</v>
      </c>
      <c r="AP190" s="52">
        <f t="shared" si="436"/>
        <v>0</v>
      </c>
      <c r="AQ190" s="52">
        <f t="shared" si="436"/>
        <v>0</v>
      </c>
      <c r="AR190" s="52">
        <f t="shared" si="436"/>
        <v>0</v>
      </c>
      <c r="AS190" s="52">
        <f t="shared" si="436"/>
        <v>0</v>
      </c>
      <c r="AT190" s="52">
        <f t="shared" si="429"/>
        <v>24</v>
      </c>
      <c r="AU190" s="51"/>
      <c r="AV190" s="52">
        <f>IF(AV187="Matin",8,IF(AV187="AM",8,IF(AV187="nuit",8,0)))</f>
        <v>0</v>
      </c>
      <c r="AW190" s="52">
        <f t="shared" ref="AW190" si="437">IF(AW187="Matin",8,IF(AW187="AM",8,IF(AW187="nuit",8,0)))</f>
        <v>0</v>
      </c>
      <c r="AX190" s="52">
        <f t="shared" si="419"/>
        <v>0</v>
      </c>
      <c r="AY190" s="52">
        <f t="shared" si="431"/>
        <v>136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13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21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3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3"/>
        <v>3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0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5"/>
        <v>0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3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7"/>
        <v>3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9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9"/>
        <v>0</v>
      </c>
      <c r="AY191" s="50">
        <f t="shared" si="431"/>
        <v>6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21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5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3"/>
        <v>5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0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5"/>
        <v>0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5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7"/>
        <v>5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9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9"/>
        <v>0</v>
      </c>
      <c r="AY192" s="52">
        <f t="shared" si="431"/>
        <v>10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21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3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5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7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9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9"/>
        <v>0</v>
      </c>
      <c r="AY193" s="50">
        <f t="shared" si="431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8">IF(D185="Dim",D190,IF(D200="ferie",D190,0))</f>
        <v>0</v>
      </c>
      <c r="E194" s="52">
        <f t="shared" si="438"/>
        <v>0</v>
      </c>
      <c r="F194" s="52">
        <f t="shared" si="438"/>
        <v>0</v>
      </c>
      <c r="G194" s="52">
        <f t="shared" si="438"/>
        <v>0</v>
      </c>
      <c r="H194" s="52">
        <f t="shared" si="438"/>
        <v>0</v>
      </c>
      <c r="I194" s="52">
        <f t="shared" si="438"/>
        <v>0</v>
      </c>
      <c r="J194" s="52">
        <f t="shared" si="421"/>
        <v>0</v>
      </c>
      <c r="K194" s="51"/>
      <c r="L194" s="52">
        <f>IF(L185="Dim",L190,IF(L200="ferie",L190,0))</f>
        <v>0</v>
      </c>
      <c r="M194" s="52">
        <f t="shared" ref="M194:R194" si="439">IF(M185="Dim",M190,IF(M200="ferie",M190,0))</f>
        <v>0</v>
      </c>
      <c r="N194" s="52">
        <f t="shared" si="439"/>
        <v>0</v>
      </c>
      <c r="O194" s="52">
        <f t="shared" si="439"/>
        <v>0</v>
      </c>
      <c r="P194" s="52">
        <f t="shared" si="439"/>
        <v>0</v>
      </c>
      <c r="Q194" s="52">
        <f>IF(Q185="Dim",Q190,IF(Q200="ferie",Q190,0))</f>
        <v>0</v>
      </c>
      <c r="R194" s="52">
        <f t="shared" si="439"/>
        <v>0</v>
      </c>
      <c r="S194" s="52">
        <f t="shared" si="423"/>
        <v>0</v>
      </c>
      <c r="T194" s="51"/>
      <c r="U194" s="52">
        <f>IF(U185="Dim",U190,IF(U200="ferie",U190,0))</f>
        <v>0</v>
      </c>
      <c r="V194" s="52">
        <f t="shared" ref="V194:AA194" si="440">IF(V185="Dim",V190,IF(V200="ferie",V190,0))</f>
        <v>0</v>
      </c>
      <c r="W194" s="52">
        <f t="shared" si="440"/>
        <v>0</v>
      </c>
      <c r="X194" s="52">
        <f t="shared" si="440"/>
        <v>0</v>
      </c>
      <c r="Y194" s="52">
        <f t="shared" si="440"/>
        <v>0</v>
      </c>
      <c r="Z194" s="52">
        <f t="shared" si="440"/>
        <v>0</v>
      </c>
      <c r="AA194" s="52">
        <f t="shared" si="440"/>
        <v>0</v>
      </c>
      <c r="AB194" s="52">
        <f t="shared" si="425"/>
        <v>0</v>
      </c>
      <c r="AC194" s="51"/>
      <c r="AD194" s="52">
        <f>IF(AD185="Dim",AD190,IF(AD200="ferie",AD190,0))</f>
        <v>0</v>
      </c>
      <c r="AE194" s="52">
        <f t="shared" ref="AE194:AJ194" si="441">IF(AE185="Dim",AE190,IF(AE200="ferie",AE190,0))</f>
        <v>0</v>
      </c>
      <c r="AF194" s="52">
        <f t="shared" si="441"/>
        <v>0</v>
      </c>
      <c r="AG194" s="52">
        <f t="shared" si="441"/>
        <v>0</v>
      </c>
      <c r="AH194" s="52">
        <f t="shared" si="441"/>
        <v>0</v>
      </c>
      <c r="AI194" s="52">
        <f t="shared" si="441"/>
        <v>0</v>
      </c>
      <c r="AJ194" s="52">
        <f t="shared" si="441"/>
        <v>0</v>
      </c>
      <c r="AK194" s="52">
        <f t="shared" si="427"/>
        <v>0</v>
      </c>
      <c r="AL194" s="51"/>
      <c r="AM194" s="52">
        <f>IF(AM185="Dim",AM190,IF(AM200="ferie",AM190,0))</f>
        <v>0</v>
      </c>
      <c r="AN194" s="52">
        <f t="shared" ref="AN194:AW194" si="442">IF(AN185="Dim",AN190,IF(AN200="ferie",AN190,0))</f>
        <v>0</v>
      </c>
      <c r="AO194" s="52">
        <f t="shared" si="442"/>
        <v>0</v>
      </c>
      <c r="AP194" s="52">
        <f t="shared" si="442"/>
        <v>0</v>
      </c>
      <c r="AQ194" s="52">
        <f t="shared" si="442"/>
        <v>0</v>
      </c>
      <c r="AR194" s="52">
        <f t="shared" si="442"/>
        <v>0</v>
      </c>
      <c r="AS194" s="52">
        <f t="shared" si="442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2"/>
        <v>0</v>
      </c>
      <c r="AX194" s="52">
        <f t="shared" si="419"/>
        <v>0</v>
      </c>
      <c r="AY194" s="52">
        <f t="shared" si="431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21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3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5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7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9"/>
        <v>0</v>
      </c>
      <c r="AU195" s="48"/>
      <c r="AV195" s="49"/>
      <c r="AW195" s="49"/>
      <c r="AX195" s="52">
        <f t="shared" si="419"/>
        <v>0</v>
      </c>
      <c r="AY195" s="49">
        <f t="shared" si="431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21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3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5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7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9"/>
        <v>0</v>
      </c>
      <c r="AU196" s="51"/>
      <c r="AV196" s="52"/>
      <c r="AW196" s="52"/>
      <c r="AX196" s="52">
        <f t="shared" ref="AX196:AX198" si="443">SUM(AV196:AW196)</f>
        <v>0</v>
      </c>
      <c r="AY196" s="52">
        <f t="shared" si="431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21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3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5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7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9"/>
        <v>0</v>
      </c>
      <c r="AU197" s="48"/>
      <c r="AV197" s="49"/>
      <c r="AW197" s="49"/>
      <c r="AX197" s="52">
        <f t="shared" si="443"/>
        <v>0</v>
      </c>
      <c r="AY197" s="50">
        <f t="shared" si="431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21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3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5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7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9"/>
        <v>0</v>
      </c>
      <c r="AU198" s="51"/>
      <c r="AV198" s="52"/>
      <c r="AW198" s="52"/>
      <c r="AX198" s="52">
        <f t="shared" si="443"/>
        <v>0</v>
      </c>
      <c r="AY198" s="52">
        <f t="shared" si="431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37</v>
      </c>
      <c r="B199" s="48"/>
      <c r="C199" s="49">
        <f>IF(C187="nuit",C190*0.02,0)</f>
        <v>0</v>
      </c>
      <c r="D199" s="49">
        <f>IF(D187="nuit",D190*0.02,0)</f>
        <v>0</v>
      </c>
      <c r="E199" s="49">
        <f t="shared" ref="E199:I199" si="444">IF(E187="nuit",E190*0.02,0)</f>
        <v>0</v>
      </c>
      <c r="F199" s="49">
        <f t="shared" si="444"/>
        <v>0</v>
      </c>
      <c r="G199" s="49">
        <f>IF(G187="nuit",G190*0.02,0)</f>
        <v>0</v>
      </c>
      <c r="H199" s="49">
        <f t="shared" si="444"/>
        <v>0</v>
      </c>
      <c r="I199" s="49">
        <f t="shared" si="444"/>
        <v>0</v>
      </c>
      <c r="J199" s="52">
        <f t="shared" si="421"/>
        <v>0</v>
      </c>
      <c r="K199" s="48"/>
      <c r="L199" s="49">
        <f>IF(L187="nuit",L190*0.02,0)</f>
        <v>0.16</v>
      </c>
      <c r="M199" s="49">
        <f>IF(M187="nuit",M190*0.02,0)</f>
        <v>0.16</v>
      </c>
      <c r="N199" s="49">
        <f t="shared" ref="N199:R199" si="445">IF(N187="nuit",N190*0.02,0)</f>
        <v>0.16</v>
      </c>
      <c r="O199" s="49">
        <f t="shared" si="445"/>
        <v>0.16</v>
      </c>
      <c r="P199" s="49">
        <f>IF(P187="nuit",P190*0.02,0)</f>
        <v>0.16</v>
      </c>
      <c r="Q199" s="49">
        <f t="shared" si="445"/>
        <v>0</v>
      </c>
      <c r="R199" s="49">
        <f t="shared" si="445"/>
        <v>0</v>
      </c>
      <c r="S199" s="52">
        <f t="shared" si="423"/>
        <v>0.8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6">IF(W187="nuit",W190*0.02,0)</f>
        <v>0</v>
      </c>
      <c r="X199" s="49">
        <f t="shared" si="446"/>
        <v>0</v>
      </c>
      <c r="Y199" s="49">
        <f>IF(Y187="nuit",Y190*0.02,0)</f>
        <v>0</v>
      </c>
      <c r="Z199" s="49">
        <f t="shared" si="446"/>
        <v>0</v>
      </c>
      <c r="AA199" s="49">
        <f t="shared" si="446"/>
        <v>0</v>
      </c>
      <c r="AB199" s="52">
        <f t="shared" si="425"/>
        <v>0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7">IF(AF187="nuit",AF190*0.02,0)</f>
        <v>0</v>
      </c>
      <c r="AG199" s="49">
        <f t="shared" si="447"/>
        <v>0</v>
      </c>
      <c r="AH199" s="49">
        <f>IF(AH187="nuit",AH190*0.02,0)</f>
        <v>0</v>
      </c>
      <c r="AI199" s="49">
        <f t="shared" si="447"/>
        <v>0</v>
      </c>
      <c r="AJ199" s="49">
        <f t="shared" si="447"/>
        <v>0</v>
      </c>
      <c r="AK199" s="52">
        <f t="shared" si="427"/>
        <v>0</v>
      </c>
      <c r="AL199" s="48"/>
      <c r="AM199" s="49">
        <f>IF(AM187="nuit",AM190*0.02,0)</f>
        <v>0</v>
      </c>
      <c r="AN199" s="49">
        <f>IF(AN187="nuit",AN190*0.02,0)</f>
        <v>0</v>
      </c>
      <c r="AO199" s="49">
        <f t="shared" ref="AO199:AS199" si="448">IF(AO187="nuit",AO190*0.02,0)</f>
        <v>0</v>
      </c>
      <c r="AP199" s="49">
        <f t="shared" si="448"/>
        <v>0</v>
      </c>
      <c r="AQ199" s="49">
        <f>IF(AQ187="nuit",AQ190*0.02,0)</f>
        <v>0</v>
      </c>
      <c r="AR199" s="49">
        <f t="shared" si="448"/>
        <v>0</v>
      </c>
      <c r="AS199" s="49">
        <f t="shared" si="448"/>
        <v>0</v>
      </c>
      <c r="AT199" s="52">
        <f t="shared" si="429"/>
        <v>0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0.8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24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56"/>
      <c r="B201" s="56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>
      <c r="A202" s="16"/>
      <c r="B202" s="16"/>
      <c r="C202" s="19" t="s">
        <v>23</v>
      </c>
      <c r="D202" s="19"/>
      <c r="E202" s="19"/>
      <c r="F202" s="19"/>
      <c r="G202" s="19"/>
      <c r="H202" s="106">
        <f>Année_Calendaire</f>
        <v>2017</v>
      </c>
      <c r="I202" s="106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23</v>
      </c>
      <c r="V202" s="19"/>
      <c r="W202" s="19"/>
      <c r="X202" s="19"/>
      <c r="Y202" s="19"/>
      <c r="Z202" s="106">
        <f>Année_Calendaire</f>
        <v>2017</v>
      </c>
      <c r="AA202" s="106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23</v>
      </c>
      <c r="AN202" s="19"/>
      <c r="AO202" s="19"/>
      <c r="AP202" s="19"/>
      <c r="AQ202" s="19"/>
      <c r="AR202" s="106">
        <f>Année_Calendaire</f>
        <v>2017</v>
      </c>
      <c r="AS202" s="106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IF(C203="",AU185,LEFT(AU185)&amp;MOD(RIGHT(AU185),4)+1)</f>
        <v>C1</v>
      </c>
      <c r="C203" s="91" t="str">
        <f>IF(C204&lt;&gt;"","Lun","")</f>
        <v/>
      </c>
      <c r="D203" s="91" t="str">
        <f>IF(D204&lt;&gt;"","Mar","")</f>
        <v/>
      </c>
      <c r="E203" s="91" t="str">
        <f>IF(E204&lt;&gt;"","Mer","")</f>
        <v/>
      </c>
      <c r="F203" s="91" t="str">
        <f>IF(F204&lt;&gt;"","Jeu","")</f>
        <v/>
      </c>
      <c r="G203" s="91" t="str">
        <f>IF(G204&lt;&gt;"","Ven","")</f>
        <v>Ven</v>
      </c>
      <c r="H203" s="91" t="str">
        <f>IF(H204&lt;&gt;"","Sam","")</f>
        <v>Sam</v>
      </c>
      <c r="I203" s="91" t="str">
        <f>IF(I204&lt;&gt;"","Dim","")</f>
        <v>Dim</v>
      </c>
      <c r="J203" s="105" t="s">
        <v>25</v>
      </c>
      <c r="K203" s="55" t="str">
        <f>IF(L203="",LEFT(B203)&amp;MOD(RIGHT(B203),5),LEFT(B203)&amp;MOD(RIGHT(B203),4)+1)</f>
        <v>C2</v>
      </c>
      <c r="L203" s="91" t="str">
        <f>IF(L204&lt;&gt;"","Lun","")</f>
        <v>Lun</v>
      </c>
      <c r="M203" s="91" t="str">
        <f>IF(M204&lt;&gt;"","Mar","")</f>
        <v>Mar</v>
      </c>
      <c r="N203" s="91" t="str">
        <f>IF(N204&lt;&gt;"","Mer","")</f>
        <v>Mer</v>
      </c>
      <c r="O203" s="91" t="str">
        <f>IF(O204&lt;&gt;"","Jeu","")</f>
        <v>Jeu</v>
      </c>
      <c r="P203" s="91" t="str">
        <f>IF(P204&lt;&gt;"","Ven","")</f>
        <v>Ven</v>
      </c>
      <c r="Q203" s="91" t="str">
        <f>IF(Q204&lt;&gt;"","Sam","")</f>
        <v>Sam</v>
      </c>
      <c r="R203" s="91" t="str">
        <f>IF(R204&lt;&gt;"","Dim","")</f>
        <v>Dim</v>
      </c>
      <c r="S203" s="105" t="s">
        <v>25</v>
      </c>
      <c r="T203" s="55" t="str">
        <f>IF(U203="",LEFT(K203)&amp;MOD(RIGHT(K203),5),LEFT(K203)&amp;MOD(RIGHT(K203),4)+1)</f>
        <v>C3</v>
      </c>
      <c r="U203" s="91" t="str">
        <f>IF(U204&lt;&gt;"","Lun","")</f>
        <v>Lun</v>
      </c>
      <c r="V203" s="91" t="str">
        <f>IF(V204&lt;&gt;"","Mar","")</f>
        <v>Mar</v>
      </c>
      <c r="W203" s="92" t="str">
        <f>IF(W204&lt;&gt;"","Mer","")</f>
        <v>Mer</v>
      </c>
      <c r="X203" s="91" t="str">
        <f>IF(X204&lt;&gt;"","Jeu","")</f>
        <v>Jeu</v>
      </c>
      <c r="Y203" s="91" t="str">
        <f>IF(Y204&lt;&gt;"","Ven","")</f>
        <v>Ven</v>
      </c>
      <c r="Z203" s="91" t="str">
        <f>IF(Z204&lt;&gt;"","Sam","")</f>
        <v>Sam</v>
      </c>
      <c r="AA203" s="91" t="str">
        <f>IF(AA204&lt;&gt;"","Dim","")</f>
        <v>Dim</v>
      </c>
      <c r="AB203" s="105" t="s">
        <v>25</v>
      </c>
      <c r="AC203" s="55" t="str">
        <f>IF(AD203="",LEFT(T203)&amp;MOD(RIGHT(T203),5),LEFT(T203)&amp;MOD(RIGHT(T203),4)+1)</f>
        <v>C4</v>
      </c>
      <c r="AD203" s="91" t="str">
        <f>IF(AD204&lt;&gt;"","Lun","")</f>
        <v>Lun</v>
      </c>
      <c r="AE203" s="91" t="str">
        <f>IF(AE204&lt;&gt;"","Mar","")</f>
        <v>Mar</v>
      </c>
      <c r="AF203" s="91" t="str">
        <f>IF(AF204&lt;&gt;"","Mer","")</f>
        <v>Mer</v>
      </c>
      <c r="AG203" s="91" t="str">
        <f>IF(AG204&lt;&gt;"","Jeu","")</f>
        <v>Jeu</v>
      </c>
      <c r="AH203" s="91" t="str">
        <f>IF(AH204&lt;&gt;"","Ven","")</f>
        <v>Ven</v>
      </c>
      <c r="AI203" s="91" t="str">
        <f>IF(AI204&lt;&gt;"","Sam","")</f>
        <v>Sam</v>
      </c>
      <c r="AJ203" s="91" t="str">
        <f>IF(AJ204&lt;&gt;"","Dim","")</f>
        <v>Dim</v>
      </c>
      <c r="AK203" s="105" t="s">
        <v>25</v>
      </c>
      <c r="AL203" s="55" t="str">
        <f>IF(AM203="",LEFT(AC203)&amp;MOD(RIGHT(AC203),5),LEFT(AC203)&amp;MOD(RIGHT(AC203),4)+1)</f>
        <v>C1</v>
      </c>
      <c r="AM203" s="91" t="str">
        <f>IF(AM204&lt;&gt;"","Lun","")</f>
        <v>Lun</v>
      </c>
      <c r="AN203" s="91" t="str">
        <f>IF(AN204&lt;&gt;"","Mar","")</f>
        <v>Mar</v>
      </c>
      <c r="AO203" s="91" t="str">
        <f>IF(AO204&lt;&gt;"","Mer","")</f>
        <v>Mer</v>
      </c>
      <c r="AP203" s="91" t="str">
        <f>IF(AP204&lt;&gt;"","Jeu","")</f>
        <v>Jeu</v>
      </c>
      <c r="AQ203" s="91" t="str">
        <f>IF(AQ204&lt;&gt;"","Ven","")</f>
        <v>Ven</v>
      </c>
      <c r="AR203" s="91" t="str">
        <f>IF(AR204&lt;&gt;"","Sam","")</f>
        <v>Sam</v>
      </c>
      <c r="AS203" s="91" t="str">
        <f>IF(AS204&lt;&gt;"","Dim","")</f>
        <v>Dim</v>
      </c>
      <c r="AT203" s="105" t="s">
        <v>25</v>
      </c>
      <c r="AU203" s="55" t="str">
        <f>IF(AV203="",LEFT(AL203)&amp;MOD(RIGHT(AL203),5),LEFT(AL203)&amp;MOD(RIGHT(AL203),4)+1)</f>
        <v>C1</v>
      </c>
      <c r="AV203" s="53" t="str">
        <f>IF(AV204&lt;&gt;"","Lun","")</f>
        <v/>
      </c>
      <c r="AW203" s="53" t="str">
        <f>IF(AW204&lt;&gt;"","Mar","")</f>
        <v/>
      </c>
      <c r="AX203" s="105" t="s">
        <v>25</v>
      </c>
      <c r="AY203" s="105" t="s">
        <v>28</v>
      </c>
      <c r="AZ203" s="108">
        <f>AY210+AY211+AY212</f>
        <v>10</v>
      </c>
      <c r="BA203" s="108">
        <f>AZ203+BA185</f>
        <v>110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90" t="str">
        <f>IF(DAY(Déc_Dim1)=1,"",IF(AND(YEAR(Déc_Dim1+1)=Année_Calendaire,MONTH(Déc_Dim1+1)=12),Déc_Dim1+1,""))</f>
        <v/>
      </c>
      <c r="D204" s="90" t="str">
        <f>IF(DAY(Déc_Dim1)=1,"",IF(AND(YEAR(Déc_Dim1+2)=Année_Calendaire,MONTH(Déc_Dim1+2)=12),Déc_Dim1+2,""))</f>
        <v/>
      </c>
      <c r="E204" s="90" t="str">
        <f>IF(DAY(Déc_Dim1)=1,"",IF(AND(YEAR(Déc_Dim1+3)=Année_Calendaire,MONTH(Déc_Dim1+3)=12),Déc_Dim1+3,""))</f>
        <v/>
      </c>
      <c r="F204" s="90" t="str">
        <f>IF(DAY(Déc_Dim1)=1,"",IF(AND(YEAR(Déc_Dim1+4)=Année_Calendaire,MONTH(Déc_Dim1+4)=12),Déc_Dim1+4,""))</f>
        <v/>
      </c>
      <c r="G204" s="90">
        <f>IF(DAY(Déc_Dim1)=1,"",IF(AND(YEAR(Déc_Dim1+5)=Année_Calendaire,MONTH(Déc_Dim1+5)=12),Déc_Dim1+5,""))</f>
        <v>43070</v>
      </c>
      <c r="H204" s="90">
        <f>IF(DAY(Déc_Dim1)=1,"",IF(AND(YEAR(Déc_Dim1+6)=Année_Calendaire,MONTH(Déc_Dim1+6)=12),Déc_Dim1+6,""))</f>
        <v>43071</v>
      </c>
      <c r="I204" s="90">
        <f>IF(DAY(Déc_Dim1)=1,IF(AND(YEAR(Déc_Dim1)=Année_Calendaire,MONTH(Déc_Dim1)=12),Déc_Dim1,""),IF(AND(YEAR(Déc_Dim1+7)=Année_Calendaire,MONTH(Déc_Dim1+7)=12),Déc_Dim1+7,""))</f>
        <v>43072</v>
      </c>
      <c r="J204" s="105"/>
      <c r="K204" s="54"/>
      <c r="L204" s="90">
        <f>IF(DAY(Déc_Dim1)=1,IF(AND(YEAR(Déc_Dim1+1)=Année_Calendaire,MONTH(Déc_Dim1+1)=12),Déc_Dim1+1,""),IF(AND(YEAR(Déc_Dim1+8)=Année_Calendaire,MONTH(Déc_Dim1+8)=12),Déc_Dim1+8,""))</f>
        <v>43073</v>
      </c>
      <c r="M204" s="90">
        <f>IF(DAY(Déc_Dim1)=1,IF(AND(YEAR(Déc_Dim1+2)=Année_Calendaire,MONTH(Déc_Dim1+2)=12),Déc_Dim1+2,""),IF(AND(YEAR(Déc_Dim1+9)=Année_Calendaire,MONTH(Déc_Dim1+9)=12),Déc_Dim1+9,""))</f>
        <v>43074</v>
      </c>
      <c r="N204" s="90">
        <f>IF(DAY(Déc_Dim1)=1,IF(AND(YEAR(Déc_Dim1+3)=Année_Calendaire,MONTH(Déc_Dim1+3)=12),Déc_Dim1+3,""),IF(AND(YEAR(Déc_Dim1+10)=Année_Calendaire,MONTH(Déc_Dim1+10)=12),Déc_Dim1+10,""))</f>
        <v>43075</v>
      </c>
      <c r="O204" s="90">
        <f>IF(DAY(Déc_Dim1)=1,IF(AND(YEAR(Déc_Dim1+4)=Année_Calendaire,MONTH(Déc_Dim1+4)=12),Déc_Dim1+4,""),IF(AND(YEAR(Déc_Dim1+11)=Année_Calendaire,MONTH(Déc_Dim1+11)=12),Déc_Dim1+11,""))</f>
        <v>43076</v>
      </c>
      <c r="P204" s="90">
        <f>IF(DAY(Déc_Dim1)=1,IF(AND(YEAR(Déc_Dim1+5)=Année_Calendaire,MONTH(Déc_Dim1+5)=12),Déc_Dim1+5,""),IF(AND(YEAR(Déc_Dim1+12)=Année_Calendaire,MONTH(Déc_Dim1+12)=12),Déc_Dim1+12,""))</f>
        <v>43077</v>
      </c>
      <c r="Q204" s="90">
        <f>IF(DAY(Déc_Dim1)=1,IF(AND(YEAR(Déc_Dim1+6)=Année_Calendaire,MONTH(Déc_Dim1+6)=12),Déc_Dim1+6,""),IF(AND(YEAR(Déc_Dim1+13)=Année_Calendaire,MONTH(Déc_Dim1+13)=12),Déc_Dim1+13,""))</f>
        <v>43078</v>
      </c>
      <c r="R204" s="90">
        <f>IF(DAY(Déc_Dim1)=1,IF(AND(YEAR(Déc_Dim1+7)=Année_Calendaire,MONTH(Déc_Dim1+7)=12),Déc_Dim1+7,""),IF(AND(YEAR(Déc_Dim1+14)=Année_Calendaire,MONTH(Déc_Dim1+14)=12),Déc_Dim1+14,""))</f>
        <v>43079</v>
      </c>
      <c r="S204" s="105"/>
      <c r="T204" s="54"/>
      <c r="U204" s="90">
        <f>IF(DAY(Déc_Dim1)=1,IF(AND(YEAR(Déc_Dim1+8)=Année_Calendaire,MONTH(Déc_Dim1+8)=12),Déc_Dim1+8,""),IF(AND(YEAR(Déc_Dim1+15)=Année_Calendaire,MONTH(Déc_Dim1+15)=12),Déc_Dim1+15,""))</f>
        <v>43080</v>
      </c>
      <c r="V204" s="90">
        <f>IF(DAY(Déc_Dim1)=1,IF(AND(YEAR(Déc_Dim1+9)=Année_Calendaire,MONTH(Déc_Dim1+9)=12),Déc_Dim1+9,""),IF(AND(YEAR(Déc_Dim1+16)=Année_Calendaire,MONTH(Déc_Dim1+16)=12),Déc_Dim1+16,""))</f>
        <v>43081</v>
      </c>
      <c r="W204" s="90">
        <f>IF(DAY(Déc_Dim1)=1,IF(AND(YEAR(Déc_Dim1+10)=Année_Calendaire,MONTH(Déc_Dim1+10)=12),Déc_Dim1+10,""),IF(AND(YEAR(Déc_Dim1+17)=Année_Calendaire,MONTH(Déc_Dim1+17)=12),Déc_Dim1+17,""))</f>
        <v>43082</v>
      </c>
      <c r="X204" s="90">
        <f>IF(DAY(Déc_Dim1)=1,IF(AND(YEAR(Déc_Dim1+11)=Année_Calendaire,MONTH(Déc_Dim1+11)=12),Déc_Dim1+11,""),IF(AND(YEAR(Déc_Dim1+18)=Année_Calendaire,MONTH(Déc_Dim1+18)=12),Déc_Dim1+18,""))</f>
        <v>43083</v>
      </c>
      <c r="Y204" s="90">
        <f>IF(DAY(Déc_Dim1)=1,IF(AND(YEAR(Déc_Dim1+12)=Année_Calendaire,MONTH(Déc_Dim1+12)=12),Déc_Dim1+12,""),IF(AND(YEAR(Déc_Dim1+19)=Année_Calendaire,MONTH(Déc_Dim1+19)=12),Déc_Dim1+19,""))</f>
        <v>43084</v>
      </c>
      <c r="Z204" s="90">
        <f>IF(DAY(Déc_Dim1)=1,IF(AND(YEAR(Déc_Dim1+13)=Année_Calendaire,MONTH(Déc_Dim1+13)=12),Déc_Dim1+13,""),IF(AND(YEAR(Déc_Dim1+20)=Année_Calendaire,MONTH(Déc_Dim1+20)=12),Déc_Dim1+20,""))</f>
        <v>43085</v>
      </c>
      <c r="AA204" s="90">
        <f>IF(DAY(Déc_Dim1)=1,IF(AND(YEAR(Déc_Dim1+14)=Année_Calendaire,MONTH(Déc_Dim1+14)=12),Déc_Dim1+14,""),IF(AND(YEAR(Déc_Dim1+21)=Année_Calendaire,MONTH(Déc_Dim1+21)=12),Déc_Dim1+21,""))</f>
        <v>43086</v>
      </c>
      <c r="AB204" s="105"/>
      <c r="AC204" s="54"/>
      <c r="AD204" s="90">
        <f>IF(DAY(Déc_Dim1)=1,IF(AND(YEAR(Déc_Dim1+15)=Année_Calendaire,MONTH(Déc_Dim1+15)=12),Déc_Dim1+15,""),IF(AND(YEAR(Déc_Dim1+22)=Année_Calendaire,MONTH(Déc_Dim1+22)=12),Déc_Dim1+22,""))</f>
        <v>43087</v>
      </c>
      <c r="AE204" s="90">
        <f>IF(DAY(Déc_Dim1)=1,IF(AND(YEAR(Déc_Dim1+16)=Année_Calendaire,MONTH(Déc_Dim1+16)=12),Déc_Dim1+16,""),IF(AND(YEAR(Déc_Dim1+23)=Année_Calendaire,MONTH(Déc_Dim1+23)=12),Déc_Dim1+23,""))</f>
        <v>43088</v>
      </c>
      <c r="AF204" s="90">
        <f>IF(DAY(Déc_Dim1)=1,IF(AND(YEAR(Déc_Dim1+17)=Année_Calendaire,MONTH(Déc_Dim1+17)=12),Déc_Dim1+17,""),IF(AND(YEAR(Déc_Dim1+24)=Année_Calendaire,MONTH(Déc_Dim1+24)=12),Déc_Dim1+24,""))</f>
        <v>43089</v>
      </c>
      <c r="AG204" s="90">
        <f>IF(DAY(Déc_Dim1)=1,IF(AND(YEAR(Déc_Dim1+18)=Année_Calendaire,MONTH(Déc_Dim1+18)=12),Déc_Dim1+18,""),IF(AND(YEAR(Déc_Dim1+25)=Année_Calendaire,MONTH(Déc_Dim1+25)=12),Déc_Dim1+25,""))</f>
        <v>43090</v>
      </c>
      <c r="AH204" s="90">
        <f>IF(DAY(Déc_Dim1)=1,IF(AND(YEAR(Déc_Dim1+19)=Année_Calendaire,MONTH(Déc_Dim1+19)=12),Déc_Dim1+19,""),IF(AND(YEAR(Déc_Dim1+26)=Année_Calendaire,MONTH(Déc_Dim1+26)=12),Déc_Dim1+26,""))</f>
        <v>43091</v>
      </c>
      <c r="AI204" s="90">
        <f>IF(DAY(Déc_Dim1)=1,IF(AND(YEAR(Déc_Dim1+20)=Année_Calendaire,MONTH(Déc_Dim1+20)=12),Déc_Dim1+20,""),IF(AND(YEAR(Déc_Dim1+27)=Année_Calendaire,MONTH(Déc_Dim1+27)=12),Déc_Dim1+27,""))</f>
        <v>43092</v>
      </c>
      <c r="AJ204" s="90">
        <f>IF(DAY(Déc_Dim1)=1,IF(AND(YEAR(Déc_Dim1+21)=Année_Calendaire,MONTH(Déc_Dim1+21)=12),Déc_Dim1+21,""),IF(AND(YEAR(Déc_Dim1+28)=Année_Calendaire,MONTH(Déc_Dim1+28)=12),Déc_Dim1+28,""))</f>
        <v>43093</v>
      </c>
      <c r="AK204" s="105"/>
      <c r="AL204" s="54"/>
      <c r="AM204" s="93">
        <f>IF(DAY(Déc_Dim1)=1,IF(AND(YEAR(Déc_Dim1+22)=Année_Calendaire,MONTH(Déc_Dim1+22)=12),Déc_Dim1+22,""),IF(AND(YEAR(Déc_Dim1+29)=Année_Calendaire,MONTH(Déc_Dim1+29)=12),Déc_Dim1+29,""))</f>
        <v>43094</v>
      </c>
      <c r="AN204" s="90">
        <f>IF(DAY(Déc_Dim1)=1,IF(AND(YEAR(Déc_Dim1+23)=Année_Calendaire,MONTH(Déc_Dim1+23)=12),Déc_Dim1+23,""),IF(AND(YEAR(Déc_Dim1+30)=Année_Calendaire,MONTH(Déc_Dim1+30)=12),Déc_Dim1+30,""))</f>
        <v>43095</v>
      </c>
      <c r="AO204" s="90">
        <f>IF(DAY(Déc_Dim1)=1,IF(AND(YEAR(Déc_Dim1+24)=Année_Calendaire,MONTH(Déc_Dim1+24)=12),Déc_Dim1+24,""),IF(AND(YEAR(Déc_Dim1+31)=Année_Calendaire,MONTH(Déc_Dim1+31)=12),Déc_Dim1+31,""))</f>
        <v>43096</v>
      </c>
      <c r="AP204" s="90">
        <f>IF(DAY(Déc_Dim1)=1,IF(AND(YEAR(Déc_Dim1+25)=Année_Calendaire,MONTH(Déc_Dim1+25)=12),Déc_Dim1+25,""),IF(AND(YEAR(Déc_Dim1+32)=Année_Calendaire,MONTH(Déc_Dim1+32)=12),Déc_Dim1+32,""))</f>
        <v>43097</v>
      </c>
      <c r="AQ204" s="90">
        <f>IF(DAY(Déc_Dim1)=1,IF(AND(YEAR(Déc_Dim1+26)=Année_Calendaire,MONTH(Déc_Dim1+26)=12),Déc_Dim1+26,""),IF(AND(YEAR(Déc_Dim1+33)=Année_Calendaire,MONTH(Déc_Dim1+33)=12),Déc_Dim1+33,""))</f>
        <v>43098</v>
      </c>
      <c r="AR204" s="90">
        <f>IF(DAY(Déc_Dim1)=1,IF(AND(YEAR(Déc_Dim1+27)=Année_Calendaire,MONTH(Déc_Dim1+27)=12),Déc_Dim1+27,""),IF(AND(YEAR(Déc_Dim1+34)=Année_Calendaire,MONTH(Déc_Dim1+34)=12),Déc_Dim1+34,""))</f>
        <v>43099</v>
      </c>
      <c r="AS204" s="90">
        <f>IF(DAY(Déc_Dim1)=1,IF(AND(YEAR(Déc_Dim1+28)=Année_Calendaire,MONTH(Déc_Dim1+28)=12),Déc_Dim1+28,""),IF(AND(YEAR(Déc_Dim1+35)=Année_Calendaire,MONTH(Déc_Dim1+35)=12),Déc_Dim1+35,""))</f>
        <v>43100</v>
      </c>
      <c r="AT204" s="105"/>
      <c r="AU204" s="54"/>
      <c r="AV204" s="54" t="str">
        <f>IF(DAY(Déc_Dim1)=1,IF(AND(YEAR(Déc_Dim1+29)=Année_Calendaire,MONTH(Déc_Dim1+29)=12),Déc_Dim1+29,""),IF(AND(YEAR(Déc_Dim1+36)=Année_Calendaire,MONTH(Déc_Dim1+36)=12),Déc_Dim1+36,""))</f>
        <v/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105"/>
      <c r="AY204" s="105"/>
      <c r="AZ204" s="108"/>
      <c r="BA204" s="108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/>
      <c r="D205" s="49"/>
      <c r="E205" s="49"/>
      <c r="F205" s="49"/>
      <c r="G205" s="49"/>
      <c r="H205" s="49"/>
      <c r="I205" s="49"/>
      <c r="J205" s="52"/>
      <c r="K205" s="48"/>
      <c r="L205" s="49" t="s">
        <v>49</v>
      </c>
      <c r="M205" s="49" t="s">
        <v>49</v>
      </c>
      <c r="N205" s="49" t="s">
        <v>49</v>
      </c>
      <c r="O205" s="49" t="s">
        <v>49</v>
      </c>
      <c r="P205" s="49" t="s">
        <v>49</v>
      </c>
      <c r="Q205" s="49"/>
      <c r="R205" s="49"/>
      <c r="S205" s="52"/>
      <c r="T205" s="48"/>
      <c r="U205" s="49" t="s">
        <v>48</v>
      </c>
      <c r="V205" s="49"/>
      <c r="W205" s="49"/>
      <c r="X205" s="49" t="s">
        <v>48</v>
      </c>
      <c r="Y205" s="49" t="s">
        <v>48</v>
      </c>
      <c r="Z205" s="49"/>
      <c r="AA205" s="49"/>
      <c r="AB205" s="52"/>
      <c r="AC205" s="48"/>
      <c r="AD205" s="49" t="s">
        <v>50</v>
      </c>
      <c r="AE205" s="49" t="s">
        <v>50</v>
      </c>
      <c r="AF205" s="49" t="s">
        <v>50</v>
      </c>
      <c r="AG205" s="49" t="s">
        <v>50</v>
      </c>
      <c r="AH205" s="49" t="s">
        <v>50</v>
      </c>
      <c r="AI205" s="49"/>
      <c r="AJ205" s="49"/>
      <c r="AK205" s="52"/>
      <c r="AL205" s="48"/>
      <c r="AM205" s="49" t="s">
        <v>48</v>
      </c>
      <c r="AN205" s="49" t="s">
        <v>48</v>
      </c>
      <c r="AO205" s="49" t="s">
        <v>48</v>
      </c>
      <c r="AP205" s="49"/>
      <c r="AQ205" s="49"/>
      <c r="AR205" s="49"/>
      <c r="AS205" s="49"/>
      <c r="AT205" s="52"/>
      <c r="AU205" s="48"/>
      <c r="AV205" s="49"/>
      <c r="AW205" s="49"/>
      <c r="AX205" s="52" t="s">
        <v>48</v>
      </c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9">IF(C205="Matin",1,IF(C205="AM",1,0))</f>
        <v>0</v>
      </c>
      <c r="D206" s="52">
        <f t="shared" si="449"/>
        <v>0</v>
      </c>
      <c r="E206" s="52">
        <f t="shared" si="449"/>
        <v>0</v>
      </c>
      <c r="F206" s="52">
        <f t="shared" si="449"/>
        <v>0</v>
      </c>
      <c r="G206" s="52">
        <f t="shared" si="449"/>
        <v>0</v>
      </c>
      <c r="H206" s="52">
        <f t="shared" si="449"/>
        <v>0</v>
      </c>
      <c r="I206" s="52">
        <f t="shared" si="449"/>
        <v>0</v>
      </c>
      <c r="J206" s="52">
        <f>SUM(C206:I206)</f>
        <v>0</v>
      </c>
      <c r="K206" s="51"/>
      <c r="L206" s="52">
        <f t="shared" ref="L206:R206" si="450">IF(L205="Matin",1,IF(L205="AM",1,0))</f>
        <v>0</v>
      </c>
      <c r="M206" s="52">
        <f t="shared" si="450"/>
        <v>0</v>
      </c>
      <c r="N206" s="52">
        <f t="shared" si="450"/>
        <v>0</v>
      </c>
      <c r="O206" s="52">
        <f t="shared" si="450"/>
        <v>0</v>
      </c>
      <c r="P206" s="52">
        <f t="shared" si="450"/>
        <v>0</v>
      </c>
      <c r="Q206" s="52">
        <f t="shared" si="450"/>
        <v>0</v>
      </c>
      <c r="R206" s="52">
        <f t="shared" si="450"/>
        <v>0</v>
      </c>
      <c r="S206" s="52">
        <f>SUM(L206:R206)</f>
        <v>0</v>
      </c>
      <c r="T206" s="51"/>
      <c r="U206" s="52">
        <f t="shared" ref="U206:AA206" si="451">IF(U205="Matin",1,IF(U205="AM",1,0))</f>
        <v>1</v>
      </c>
      <c r="V206" s="52">
        <f t="shared" si="451"/>
        <v>0</v>
      </c>
      <c r="W206" s="52">
        <f t="shared" si="451"/>
        <v>0</v>
      </c>
      <c r="X206" s="52">
        <f t="shared" si="451"/>
        <v>1</v>
      </c>
      <c r="Y206" s="52">
        <f t="shared" si="451"/>
        <v>1</v>
      </c>
      <c r="Z206" s="52">
        <f t="shared" si="451"/>
        <v>0</v>
      </c>
      <c r="AA206" s="52">
        <f t="shared" si="451"/>
        <v>0</v>
      </c>
      <c r="AB206" s="52">
        <f>SUM(U206:AA206)</f>
        <v>3</v>
      </c>
      <c r="AC206" s="51"/>
      <c r="AD206" s="52">
        <f t="shared" ref="AD206:AJ206" si="452">IF(AD205="Matin",1,IF(AD205="AM",1,0))</f>
        <v>1</v>
      </c>
      <c r="AE206" s="52">
        <f t="shared" si="452"/>
        <v>1</v>
      </c>
      <c r="AF206" s="52">
        <f t="shared" si="452"/>
        <v>1</v>
      </c>
      <c r="AG206" s="52">
        <f t="shared" si="452"/>
        <v>1</v>
      </c>
      <c r="AH206" s="52">
        <f t="shared" si="452"/>
        <v>1</v>
      </c>
      <c r="AI206" s="52">
        <f t="shared" si="452"/>
        <v>0</v>
      </c>
      <c r="AJ206" s="52">
        <f t="shared" si="452"/>
        <v>0</v>
      </c>
      <c r="AK206" s="52">
        <f>SUM(AD206:AJ206)</f>
        <v>5</v>
      </c>
      <c r="AL206" s="51"/>
      <c r="AM206" s="52">
        <f t="shared" ref="AM206:AS206" si="453">IF(AM205="Matin",1,IF(AM205="AM",1,0))</f>
        <v>1</v>
      </c>
      <c r="AN206" s="52">
        <f t="shared" si="453"/>
        <v>1</v>
      </c>
      <c r="AO206" s="52">
        <f t="shared" si="453"/>
        <v>1</v>
      </c>
      <c r="AP206" s="52">
        <f t="shared" si="453"/>
        <v>0</v>
      </c>
      <c r="AQ206" s="52">
        <f t="shared" si="453"/>
        <v>0</v>
      </c>
      <c r="AR206" s="52">
        <f t="shared" si="453"/>
        <v>0</v>
      </c>
      <c r="AS206" s="52">
        <f t="shared" si="453"/>
        <v>0</v>
      </c>
      <c r="AT206" s="52">
        <f>SUM(AM206:AS206)</f>
        <v>3</v>
      </c>
      <c r="AU206" s="51"/>
      <c r="AV206" s="52">
        <f t="shared" ref="AV206:AW206" si="454">IF(AV205="Matin",1,IF(AV205="AM",1,0))</f>
        <v>0</v>
      </c>
      <c r="AW206" s="52">
        <f t="shared" si="454"/>
        <v>0</v>
      </c>
      <c r="AX206" s="52">
        <f t="shared" ref="AX206:AX213" si="455">SUM(AV206:AW206)</f>
        <v>0</v>
      </c>
      <c r="AY206" s="52">
        <f>J206+S206+AB206+AK206+AT206+AX206</f>
        <v>11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6">IF(E208&gt;=1,1,0)</f>
        <v>0</v>
      </c>
      <c r="F207" s="49">
        <f t="shared" si="456"/>
        <v>0</v>
      </c>
      <c r="G207" s="49">
        <f t="shared" si="456"/>
        <v>0</v>
      </c>
      <c r="H207" s="49">
        <f t="shared" si="456"/>
        <v>0</v>
      </c>
      <c r="I207" s="49">
        <f t="shared" si="456"/>
        <v>0</v>
      </c>
      <c r="J207" s="52">
        <f t="shared" ref="J207:J217" si="457">SUM(C207:I207)</f>
        <v>0</v>
      </c>
      <c r="K207" s="48"/>
      <c r="L207" s="49">
        <f>IF(L208&gt;=1,1,0)</f>
        <v>1</v>
      </c>
      <c r="M207" s="49">
        <f t="shared" ref="M207:R207" si="458">IF(M208&gt;=1,1,0)</f>
        <v>1</v>
      </c>
      <c r="N207" s="49">
        <f t="shared" si="458"/>
        <v>1</v>
      </c>
      <c r="O207" s="49">
        <f t="shared" si="458"/>
        <v>1</v>
      </c>
      <c r="P207" s="49">
        <f t="shared" si="458"/>
        <v>1</v>
      </c>
      <c r="Q207" s="49">
        <f t="shared" si="458"/>
        <v>0</v>
      </c>
      <c r="R207" s="49">
        <f t="shared" si="458"/>
        <v>0</v>
      </c>
      <c r="S207" s="52">
        <f t="shared" ref="S207:S217" si="459">SUM(L207:R207)</f>
        <v>5</v>
      </c>
      <c r="T207" s="48"/>
      <c r="U207" s="49">
        <f>IF(U208&gt;=1,1,0)</f>
        <v>1</v>
      </c>
      <c r="V207" s="49">
        <f t="shared" ref="V207:AA207" si="460">IF(V208&gt;=1,1,0)</f>
        <v>0</v>
      </c>
      <c r="W207" s="49">
        <f t="shared" si="460"/>
        <v>0</v>
      </c>
      <c r="X207" s="49">
        <f t="shared" si="460"/>
        <v>1</v>
      </c>
      <c r="Y207" s="49">
        <f t="shared" si="460"/>
        <v>1</v>
      </c>
      <c r="Z207" s="49">
        <f t="shared" si="460"/>
        <v>0</v>
      </c>
      <c r="AA207" s="49">
        <f t="shared" si="460"/>
        <v>0</v>
      </c>
      <c r="AB207" s="52">
        <f t="shared" ref="AB207:AB217" si="461">SUM(U207:AA207)</f>
        <v>3</v>
      </c>
      <c r="AC207" s="48"/>
      <c r="AD207" s="49">
        <f>IF(AD208&gt;=1,1,0)</f>
        <v>1</v>
      </c>
      <c r="AE207" s="49">
        <f t="shared" ref="AE207:AJ207" si="462">IF(AE208&gt;=1,1,0)</f>
        <v>1</v>
      </c>
      <c r="AF207" s="49">
        <f t="shared" si="462"/>
        <v>1</v>
      </c>
      <c r="AG207" s="49">
        <f t="shared" si="462"/>
        <v>1</v>
      </c>
      <c r="AH207" s="49">
        <f t="shared" si="462"/>
        <v>1</v>
      </c>
      <c r="AI207" s="49">
        <f t="shared" si="462"/>
        <v>0</v>
      </c>
      <c r="AJ207" s="49">
        <f t="shared" si="462"/>
        <v>0</v>
      </c>
      <c r="AK207" s="52">
        <f t="shared" ref="AK207:AK217" si="463">SUM(AD207:AJ207)</f>
        <v>5</v>
      </c>
      <c r="AL207" s="48"/>
      <c r="AM207" s="49">
        <f>IF(AM208&gt;=1,1,0)</f>
        <v>1</v>
      </c>
      <c r="AN207" s="49">
        <f t="shared" ref="AN207:AS207" si="464">IF(AN208&gt;=1,1,0)</f>
        <v>1</v>
      </c>
      <c r="AO207" s="49">
        <f t="shared" si="464"/>
        <v>1</v>
      </c>
      <c r="AP207" s="49">
        <f t="shared" si="464"/>
        <v>0</v>
      </c>
      <c r="AQ207" s="49">
        <f t="shared" si="464"/>
        <v>0</v>
      </c>
      <c r="AR207" s="49">
        <f t="shared" si="464"/>
        <v>0</v>
      </c>
      <c r="AS207" s="49">
        <f t="shared" si="464"/>
        <v>0</v>
      </c>
      <c r="AT207" s="52">
        <f t="shared" ref="AT207:AT217" si="465">SUM(AM207:AS207)</f>
        <v>3</v>
      </c>
      <c r="AU207" s="48"/>
      <c r="AV207" s="49">
        <f>IF(AV208&gt;=1,1,0)</f>
        <v>0</v>
      </c>
      <c r="AW207" s="49">
        <f t="shared" ref="AW207" si="466">IF(AW208&gt;=1,1,0)</f>
        <v>0</v>
      </c>
      <c r="AX207" s="52">
        <f t="shared" si="455"/>
        <v>0</v>
      </c>
      <c r="AY207" s="49">
        <f t="shared" ref="AY207:AY216" si="467">J207+S207+AB207+AK207+AT207+AX207</f>
        <v>16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8">IF(D205="Matin",8,IF(D205="AM",8,IF(D205="nuit",8,0)))</f>
        <v>0</v>
      </c>
      <c r="E208" s="52">
        <f t="shared" si="468"/>
        <v>0</v>
      </c>
      <c r="F208" s="52">
        <f t="shared" si="468"/>
        <v>0</v>
      </c>
      <c r="G208" s="52">
        <f t="shared" si="468"/>
        <v>0</v>
      </c>
      <c r="H208" s="52">
        <f t="shared" si="468"/>
        <v>0</v>
      </c>
      <c r="I208" s="52">
        <f t="shared" si="468"/>
        <v>0</v>
      </c>
      <c r="J208" s="52">
        <f t="shared" si="457"/>
        <v>0</v>
      </c>
      <c r="K208" s="51"/>
      <c r="L208" s="52">
        <f>IF(L205="Matin",8,IF(L205="AM",8,IF(L205="nuit",8,0)))</f>
        <v>8</v>
      </c>
      <c r="M208" s="52">
        <f t="shared" ref="M208:R208" si="469">IF(M205="Matin",8,IF(M205="AM",8,IF(M205="nuit",8,0)))</f>
        <v>8</v>
      </c>
      <c r="N208" s="52">
        <f t="shared" si="469"/>
        <v>8</v>
      </c>
      <c r="O208" s="52">
        <f t="shared" si="469"/>
        <v>8</v>
      </c>
      <c r="P208" s="52">
        <f t="shared" si="469"/>
        <v>8</v>
      </c>
      <c r="Q208" s="52">
        <f t="shared" si="469"/>
        <v>0</v>
      </c>
      <c r="R208" s="52">
        <f t="shared" si="469"/>
        <v>0</v>
      </c>
      <c r="S208" s="52">
        <f t="shared" si="459"/>
        <v>40</v>
      </c>
      <c r="T208" s="51"/>
      <c r="U208" s="52">
        <f>IF(U205="Matin",8,IF(U205="AM",8,IF(U205="nuit",8,0)))</f>
        <v>8</v>
      </c>
      <c r="V208" s="52">
        <f t="shared" ref="V208:AA208" si="470">IF(V205="Matin",8,IF(V205="AM",8,IF(V205="nuit",8,0)))</f>
        <v>0</v>
      </c>
      <c r="W208" s="52">
        <f t="shared" si="470"/>
        <v>0</v>
      </c>
      <c r="X208" s="52">
        <f t="shared" si="470"/>
        <v>8</v>
      </c>
      <c r="Y208" s="52">
        <f t="shared" si="470"/>
        <v>8</v>
      </c>
      <c r="Z208" s="52">
        <f t="shared" si="470"/>
        <v>0</v>
      </c>
      <c r="AA208" s="52">
        <f t="shared" si="470"/>
        <v>0</v>
      </c>
      <c r="AB208" s="52">
        <f t="shared" si="461"/>
        <v>24</v>
      </c>
      <c r="AC208" s="51"/>
      <c r="AD208" s="52">
        <f>IF(AD205="Matin",8,IF(AD205="AM",8,IF(AD205="nuit",8,0)))</f>
        <v>8</v>
      </c>
      <c r="AE208" s="52">
        <f t="shared" ref="AE208:AJ208" si="471">IF(AE205="Matin",8,IF(AE205="AM",8,IF(AE205="nuit",8,0)))</f>
        <v>8</v>
      </c>
      <c r="AF208" s="52">
        <f t="shared" si="471"/>
        <v>8</v>
      </c>
      <c r="AG208" s="52">
        <f t="shared" si="471"/>
        <v>8</v>
      </c>
      <c r="AH208" s="52">
        <f t="shared" si="471"/>
        <v>8</v>
      </c>
      <c r="AI208" s="52">
        <f t="shared" si="471"/>
        <v>0</v>
      </c>
      <c r="AJ208" s="52">
        <f t="shared" si="471"/>
        <v>0</v>
      </c>
      <c r="AK208" s="52">
        <f t="shared" si="463"/>
        <v>40</v>
      </c>
      <c r="AL208" s="51"/>
      <c r="AM208" s="52">
        <f>IF(AM205="Matin",8,IF(AM205="AM",8,IF(AM205="nuit",8,0)))</f>
        <v>8</v>
      </c>
      <c r="AN208" s="52">
        <f t="shared" ref="AN208:AS208" si="472">IF(AN205="Matin",8,IF(AN205="AM",8,IF(AN205="nuit",8,0)))</f>
        <v>8</v>
      </c>
      <c r="AO208" s="52">
        <f t="shared" si="472"/>
        <v>8</v>
      </c>
      <c r="AP208" s="52">
        <f t="shared" si="472"/>
        <v>0</v>
      </c>
      <c r="AQ208" s="52">
        <f t="shared" si="472"/>
        <v>0</v>
      </c>
      <c r="AR208" s="52">
        <f t="shared" si="472"/>
        <v>0</v>
      </c>
      <c r="AS208" s="52">
        <f t="shared" si="472"/>
        <v>0</v>
      </c>
      <c r="AT208" s="52">
        <f t="shared" si="465"/>
        <v>24</v>
      </c>
      <c r="AU208" s="51"/>
      <c r="AV208" s="52">
        <f>IF(AV205="Matin",8,IF(AV205="AM",8,IF(AV205="nuit",8,0)))</f>
        <v>0</v>
      </c>
      <c r="AW208" s="52">
        <f t="shared" ref="AW208" si="473">IF(AW205="Matin",8,IF(AW205="AM",8,IF(AW205="nuit",8,0)))</f>
        <v>0</v>
      </c>
      <c r="AX208" s="52">
        <f t="shared" si="455"/>
        <v>0</v>
      </c>
      <c r="AY208" s="52">
        <f t="shared" si="467"/>
        <v>128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13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7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9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61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3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5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5"/>
        <v>0</v>
      </c>
      <c r="AY209" s="50">
        <f t="shared" si="467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7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9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61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3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5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5"/>
        <v>0</v>
      </c>
      <c r="AY210" s="52">
        <f t="shared" si="467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7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9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61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3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5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5"/>
        <v>0</v>
      </c>
      <c r="AY211" s="50">
        <f t="shared" si="467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4">IF(D203="Dim",D208,IF(D218="ferie",D208,0))</f>
        <v>0</v>
      </c>
      <c r="E212" s="52">
        <f t="shared" si="474"/>
        <v>0</v>
      </c>
      <c r="F212" s="52">
        <f t="shared" si="474"/>
        <v>0</v>
      </c>
      <c r="G212" s="52">
        <f t="shared" si="474"/>
        <v>0</v>
      </c>
      <c r="H212" s="52">
        <f t="shared" si="474"/>
        <v>0</v>
      </c>
      <c r="I212" s="52">
        <f t="shared" si="474"/>
        <v>0</v>
      </c>
      <c r="J212" s="52">
        <f t="shared" si="457"/>
        <v>0</v>
      </c>
      <c r="K212" s="51"/>
      <c r="L212" s="52">
        <f>IF(L203="Dim",L208,IF(L218="ferie",L208,0))</f>
        <v>0</v>
      </c>
      <c r="M212" s="52">
        <f t="shared" ref="M212:R212" si="475">IF(M203="Dim",M208,IF(M218="ferie",M208,0))</f>
        <v>0</v>
      </c>
      <c r="N212" s="52">
        <f t="shared" si="475"/>
        <v>0</v>
      </c>
      <c r="O212" s="52">
        <f t="shared" si="475"/>
        <v>0</v>
      </c>
      <c r="P212" s="52">
        <f t="shared" si="475"/>
        <v>0</v>
      </c>
      <c r="Q212" s="52">
        <f>IF(Q203="Dim",Q208,IF(Q218="ferie",Q208,0))</f>
        <v>0</v>
      </c>
      <c r="R212" s="52">
        <f t="shared" si="475"/>
        <v>0</v>
      </c>
      <c r="S212" s="52">
        <f t="shared" si="459"/>
        <v>0</v>
      </c>
      <c r="T212" s="51"/>
      <c r="U212" s="52">
        <f>IF(U203="Dim",U208,IF(U218="ferie",U208,0))</f>
        <v>0</v>
      </c>
      <c r="V212" s="52">
        <f t="shared" ref="V212:AA212" si="476">IF(V203="Dim",V208,IF(V218="ferie",V208,0))</f>
        <v>0</v>
      </c>
      <c r="W212" s="52">
        <f t="shared" si="476"/>
        <v>0</v>
      </c>
      <c r="X212" s="52">
        <f t="shared" si="476"/>
        <v>0</v>
      </c>
      <c r="Y212" s="52">
        <f t="shared" si="476"/>
        <v>0</v>
      </c>
      <c r="Z212" s="52">
        <f t="shared" si="476"/>
        <v>0</v>
      </c>
      <c r="AA212" s="52">
        <f t="shared" si="476"/>
        <v>0</v>
      </c>
      <c r="AB212" s="52">
        <f t="shared" si="461"/>
        <v>0</v>
      </c>
      <c r="AC212" s="51"/>
      <c r="AD212" s="52">
        <f>IF(AD203="Dim",AD208,IF(AD218="ferie",AD208,0))</f>
        <v>0</v>
      </c>
      <c r="AE212" s="52">
        <f t="shared" ref="AE212:AJ212" si="477">IF(AE203="Dim",AE208,IF(AE218="ferie",AE208,0))</f>
        <v>0</v>
      </c>
      <c r="AF212" s="52">
        <f t="shared" si="477"/>
        <v>0</v>
      </c>
      <c r="AG212" s="52">
        <f t="shared" si="477"/>
        <v>0</v>
      </c>
      <c r="AH212" s="52">
        <f t="shared" si="477"/>
        <v>0</v>
      </c>
      <c r="AI212" s="52">
        <f t="shared" si="477"/>
        <v>0</v>
      </c>
      <c r="AJ212" s="52">
        <f t="shared" si="477"/>
        <v>0</v>
      </c>
      <c r="AK212" s="52">
        <f t="shared" si="463"/>
        <v>0</v>
      </c>
      <c r="AL212" s="51"/>
      <c r="AM212" s="52">
        <f>IF(AM203="Dim",AM208,IF(AM218="ferie",AM208,0))</f>
        <v>0</v>
      </c>
      <c r="AN212" s="52">
        <f t="shared" ref="AN212:AW212" si="478">IF(AN203="Dim",AN208,IF(AN218="ferie",AN208,0))</f>
        <v>0</v>
      </c>
      <c r="AO212" s="52">
        <f t="shared" si="478"/>
        <v>0</v>
      </c>
      <c r="AP212" s="52">
        <f t="shared" si="478"/>
        <v>0</v>
      </c>
      <c r="AQ212" s="52">
        <f t="shared" si="478"/>
        <v>0</v>
      </c>
      <c r="AR212" s="52">
        <f t="shared" si="478"/>
        <v>0</v>
      </c>
      <c r="AS212" s="52">
        <f t="shared" si="478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8"/>
        <v>0</v>
      </c>
      <c r="AX212" s="52">
        <f t="shared" si="455"/>
        <v>0</v>
      </c>
      <c r="AY212" s="52">
        <f t="shared" si="467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7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9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61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3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5"/>
        <v>0</v>
      </c>
      <c r="AU213" s="48"/>
      <c r="AV213" s="49"/>
      <c r="AW213" s="49"/>
      <c r="AX213" s="52">
        <f t="shared" si="455"/>
        <v>0</v>
      </c>
      <c r="AY213" s="49">
        <f t="shared" si="467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7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9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61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3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5"/>
        <v>0</v>
      </c>
      <c r="AU214" s="51"/>
      <c r="AV214" s="52"/>
      <c r="AW214" s="52"/>
      <c r="AX214" s="52">
        <f t="shared" ref="AX214:AX216" si="479">SUM(AV214:AW214)</f>
        <v>0</v>
      </c>
      <c r="AY214" s="52">
        <f t="shared" si="467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7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9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61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3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5"/>
        <v>0</v>
      </c>
      <c r="AU215" s="48"/>
      <c r="AV215" s="49"/>
      <c r="AW215" s="49"/>
      <c r="AX215" s="52">
        <f t="shared" si="479"/>
        <v>0</v>
      </c>
      <c r="AY215" s="50">
        <f t="shared" si="467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7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9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61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3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5"/>
        <v>0</v>
      </c>
      <c r="AU216" s="51"/>
      <c r="AV216" s="52"/>
      <c r="AW216" s="52"/>
      <c r="AX216" s="52">
        <f t="shared" si="479"/>
        <v>0</v>
      </c>
      <c r="AY216" s="52">
        <f t="shared" si="467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37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80">IF(E205="nuit",E208*0.02,0)</f>
        <v>0</v>
      </c>
      <c r="F217" s="49">
        <f t="shared" si="480"/>
        <v>0</v>
      </c>
      <c r="G217" s="49">
        <f>IF(G205="nuit",G208*0.02,0)</f>
        <v>0</v>
      </c>
      <c r="H217" s="49">
        <f t="shared" si="480"/>
        <v>0</v>
      </c>
      <c r="I217" s="49">
        <f t="shared" si="480"/>
        <v>0</v>
      </c>
      <c r="J217" s="52">
        <f t="shared" si="457"/>
        <v>0</v>
      </c>
      <c r="K217" s="48"/>
      <c r="L217" s="49">
        <f>IF(L205="nuit",L208*0.02,0)</f>
        <v>0.16</v>
      </c>
      <c r="M217" s="49">
        <f>IF(M205="nuit",M208*0.02,0)</f>
        <v>0.16</v>
      </c>
      <c r="N217" s="49">
        <f t="shared" ref="N217:R217" si="481">IF(N205="nuit",N208*0.02,0)</f>
        <v>0.16</v>
      </c>
      <c r="O217" s="49">
        <f t="shared" si="481"/>
        <v>0.16</v>
      </c>
      <c r="P217" s="49">
        <f>IF(P205="nuit",P208*0.02,0)</f>
        <v>0.16</v>
      </c>
      <c r="Q217" s="49">
        <f t="shared" si="481"/>
        <v>0</v>
      </c>
      <c r="R217" s="49">
        <f t="shared" si="481"/>
        <v>0</v>
      </c>
      <c r="S217" s="52">
        <f t="shared" si="459"/>
        <v>0.8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2">IF(W205="nuit",W208*0.02,0)</f>
        <v>0</v>
      </c>
      <c r="X217" s="49">
        <f t="shared" si="482"/>
        <v>0</v>
      </c>
      <c r="Y217" s="49">
        <f>IF(Y205="nuit",Y208*0.02,0)</f>
        <v>0</v>
      </c>
      <c r="Z217" s="49">
        <f t="shared" si="482"/>
        <v>0</v>
      </c>
      <c r="AA217" s="49">
        <f t="shared" si="482"/>
        <v>0</v>
      </c>
      <c r="AB217" s="52">
        <f t="shared" si="461"/>
        <v>0</v>
      </c>
      <c r="AC217" s="48"/>
      <c r="AD217" s="49">
        <f>IF(AD205="nuit",AD208*0.02,0)</f>
        <v>0</v>
      </c>
      <c r="AE217" s="49">
        <f>IF(AE205="nuit",AE208*0.02,0)</f>
        <v>0</v>
      </c>
      <c r="AF217" s="49">
        <f t="shared" ref="AF217:AJ217" si="483">IF(AF205="nuit",AF208*0.02,0)</f>
        <v>0</v>
      </c>
      <c r="AG217" s="49">
        <f t="shared" si="483"/>
        <v>0</v>
      </c>
      <c r="AH217" s="49">
        <f>IF(AH205="nuit",AH208*0.02,0)</f>
        <v>0</v>
      </c>
      <c r="AI217" s="49">
        <f t="shared" si="483"/>
        <v>0</v>
      </c>
      <c r="AJ217" s="49">
        <f t="shared" si="483"/>
        <v>0</v>
      </c>
      <c r="AK217" s="52">
        <f t="shared" si="463"/>
        <v>0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4">IF(AO205="nuit",AO208*0.02,0)</f>
        <v>0</v>
      </c>
      <c r="AP217" s="49">
        <f t="shared" si="484"/>
        <v>0</v>
      </c>
      <c r="AQ217" s="49">
        <f>IF(AQ205="nuit",AQ208*0.02,0)</f>
        <v>0</v>
      </c>
      <c r="AR217" s="49">
        <f t="shared" si="484"/>
        <v>0</v>
      </c>
      <c r="AS217" s="49">
        <f t="shared" si="484"/>
        <v>0</v>
      </c>
      <c r="AT217" s="52">
        <f t="shared" si="465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24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56"/>
      <c r="B219" s="56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</mergeCells>
  <dataValidations count="3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L187:R187 AD187:AJ187 AV187:AW187 C187:I187 AM187:AS187 U187:AA187 L7:R7 AD7:AJ7 U205:AA205 C7:I7 L79:R79 AM7:AS7 AD79:AJ79 AV79:AW79 C79:I79 AM79:AS79 U79:AA79 AV7:AW7 L25:R25 AD25:AJ25 AV25:AW25 C25:I25 AM25:AS25 U25:AA25 L97:R97 AD97:AJ97 AV97:AW97 C97:I97 AM97:AS97 U97:AA97 L43:R43 AD43:AJ43 AV43:AW43 C43:I43 AM43:AS43 U43:AA43 L61:R61 AD61:AJ61 AV61:AW61 C61:I61 AM61:AS61 U61:AA61 L115:R115 AD115:AJ115 AV115:AW115 C115:I115 AM115:AS115 U115:AA115 L133:R133 AD133:AJ133 AV133:AW133 C133:I133 AM133:AS133 U133:AA133 L151:R151 AD151:AJ151 AV151:AW151 C151:I151 AM151:AS151 U151:AA151 L169:R169 AD169:AJ169 AV169:AW169 C169:I169 AM169:AS169 U169:AA169 L205:R205 AD205:AJ205 AV205:AW205 C205:I205 AM205:AS205 U7:AA7">
      <formula1>C6&lt;&gt;0</formula1>
    </dataValidation>
    <dataValidation type="list" allowBlank="1" showInputMessage="1" showErrorMessage="1" sqref="B5">
      <formula1>"C1,C2,C3,C4"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macro="[0]!ColorieLesJoursFériés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12"/>
  <sheetViews>
    <sheetView workbookViewId="0">
      <selection activeCell="A2" sqref="A2"/>
    </sheetView>
  </sheetViews>
  <sheetFormatPr baseColWidth="10" defaultRowHeight="15.75"/>
  <sheetData>
    <row r="1" spans="1:1">
      <c r="A1">
        <v>5</v>
      </c>
    </row>
    <row r="2" spans="1:1">
      <c r="A2">
        <f>18+A1</f>
        <v>23</v>
      </c>
    </row>
    <row r="3" spans="1:1">
      <c r="A3">
        <f t="shared" ref="A3:A12" si="0">18+A2</f>
        <v>41</v>
      </c>
    </row>
    <row r="4" spans="1:1">
      <c r="A4">
        <f t="shared" si="0"/>
        <v>59</v>
      </c>
    </row>
    <row r="5" spans="1:1">
      <c r="A5">
        <f t="shared" si="0"/>
        <v>77</v>
      </c>
    </row>
    <row r="6" spans="1:1">
      <c r="A6">
        <f t="shared" si="0"/>
        <v>95</v>
      </c>
    </row>
    <row r="7" spans="1:1">
      <c r="A7">
        <f t="shared" si="0"/>
        <v>113</v>
      </c>
    </row>
    <row r="8" spans="1:1">
      <c r="A8">
        <f t="shared" si="0"/>
        <v>131</v>
      </c>
    </row>
    <row r="9" spans="1:1">
      <c r="A9">
        <f t="shared" si="0"/>
        <v>149</v>
      </c>
    </row>
    <row r="10" spans="1:1">
      <c r="A10">
        <f t="shared" si="0"/>
        <v>167</v>
      </c>
    </row>
    <row r="11" spans="1:1">
      <c r="A11">
        <f t="shared" si="0"/>
        <v>185</v>
      </c>
    </row>
    <row r="12" spans="1:1">
      <c r="A12">
        <f t="shared" si="0"/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5"/>
  <sheetViews>
    <sheetView workbookViewId="0">
      <selection activeCell="B26" sqref="B26"/>
    </sheetView>
  </sheetViews>
  <sheetFormatPr baseColWidth="10" defaultRowHeight="15.75"/>
  <cols>
    <col min="1" max="1" width="17.5546875" customWidth="1"/>
    <col min="2" max="2" width="15.77734375" bestFit="1" customWidth="1"/>
    <col min="3" max="3" width="3.44140625" customWidth="1"/>
    <col min="5" max="5" width="14.77734375" bestFit="1" customWidth="1"/>
    <col min="6" max="6" width="4" customWidth="1"/>
  </cols>
  <sheetData>
    <row r="1" spans="1:9" ht="16.5" thickBot="1">
      <c r="A1" s="71" t="s">
        <v>76</v>
      </c>
      <c r="B1" s="72">
        <f>Année_Calendaire</f>
        <v>2017</v>
      </c>
      <c r="D1" s="73" t="s">
        <v>77</v>
      </c>
      <c r="E1" s="73"/>
      <c r="G1" s="74" t="s">
        <v>78</v>
      </c>
      <c r="H1" s="74"/>
      <c r="I1" s="75" t="s">
        <v>79</v>
      </c>
    </row>
    <row r="2" spans="1:9" ht="17.25" thickTop="1" thickBot="1">
      <c r="A2" s="71" t="s">
        <v>80</v>
      </c>
      <c r="B2" s="71" t="s">
        <v>81</v>
      </c>
      <c r="D2" s="76" t="s">
        <v>82</v>
      </c>
      <c r="E2" s="76" t="s">
        <v>83</v>
      </c>
      <c r="G2" s="77" t="s">
        <v>84</v>
      </c>
      <c r="H2" s="77" t="s">
        <v>85</v>
      </c>
      <c r="I2" t="s">
        <v>86</v>
      </c>
    </row>
    <row r="3" spans="1:9" ht="16.5" thickTop="1">
      <c r="A3" s="78">
        <f>DATEVALUE("1/1/"&amp;$B$1)</f>
        <v>42736</v>
      </c>
      <c r="B3" t="s">
        <v>87</v>
      </c>
      <c r="D3" s="79">
        <v>27549</v>
      </c>
      <c r="E3" t="s">
        <v>88</v>
      </c>
      <c r="G3" s="82">
        <v>42370</v>
      </c>
      <c r="H3" s="83">
        <v>42373</v>
      </c>
    </row>
    <row r="4" spans="1:9">
      <c r="A4" s="78">
        <f>DATEVALUE("1/5/"&amp;$B$1)</f>
        <v>42856</v>
      </c>
      <c r="B4" t="s">
        <v>89</v>
      </c>
      <c r="D4" s="79">
        <v>36491</v>
      </c>
      <c r="E4" t="s">
        <v>100</v>
      </c>
      <c r="G4" s="84">
        <v>42413</v>
      </c>
      <c r="H4" s="84">
        <v>42429</v>
      </c>
    </row>
    <row r="5" spans="1:9">
      <c r="A5" s="78">
        <f>DATEVALUE("8/5/"&amp;$B$1)</f>
        <v>42863</v>
      </c>
      <c r="B5" t="s">
        <v>90</v>
      </c>
      <c r="D5" s="79">
        <v>39726</v>
      </c>
      <c r="E5" t="s">
        <v>101</v>
      </c>
      <c r="G5" s="84">
        <v>42476</v>
      </c>
      <c r="H5" s="84">
        <v>42492</v>
      </c>
    </row>
    <row r="6" spans="1:9">
      <c r="A6" s="78">
        <f>DATEVALUE("14/07/"&amp;$B$1)</f>
        <v>42930</v>
      </c>
      <c r="B6" t="s">
        <v>91</v>
      </c>
      <c r="D6" s="79">
        <v>28472</v>
      </c>
      <c r="E6" t="s">
        <v>102</v>
      </c>
      <c r="G6" s="84">
        <v>42553</v>
      </c>
      <c r="H6" s="84">
        <v>42614</v>
      </c>
    </row>
    <row r="7" spans="1:9">
      <c r="A7" s="78">
        <f>DATEVALUE("25/08/"&amp;$B$1)</f>
        <v>42972</v>
      </c>
      <c r="B7" t="s">
        <v>92</v>
      </c>
      <c r="D7" s="79">
        <v>18027</v>
      </c>
      <c r="E7" t="s">
        <v>103</v>
      </c>
      <c r="G7" s="84">
        <v>42662</v>
      </c>
      <c r="H7" s="84">
        <v>42677</v>
      </c>
    </row>
    <row r="8" spans="1:9">
      <c r="A8" s="78">
        <f>DATEVALUE("1/11/"&amp;$B$1)</f>
        <v>43040</v>
      </c>
      <c r="B8" t="s">
        <v>93</v>
      </c>
      <c r="D8" s="79">
        <v>16477</v>
      </c>
      <c r="E8" t="s">
        <v>104</v>
      </c>
      <c r="G8" s="86">
        <v>42721</v>
      </c>
      <c r="H8" s="86">
        <v>42735</v>
      </c>
    </row>
    <row r="9" spans="1:9">
      <c r="A9" s="78">
        <f>DATEVALUE("11/11/"&amp;$B$1)</f>
        <v>43050</v>
      </c>
      <c r="B9" t="s">
        <v>94</v>
      </c>
      <c r="D9" s="79"/>
      <c r="G9" s="87">
        <v>42736</v>
      </c>
      <c r="H9" s="88">
        <v>42738</v>
      </c>
    </row>
    <row r="10" spans="1:9">
      <c r="A10" s="78">
        <f>DATEVALUE("25/12/"&amp;$B$1)</f>
        <v>43094</v>
      </c>
      <c r="B10" t="s">
        <v>95</v>
      </c>
      <c r="D10" s="43"/>
      <c r="G10" s="80">
        <v>42784</v>
      </c>
      <c r="H10" s="80">
        <v>42800</v>
      </c>
    </row>
    <row r="11" spans="1:9">
      <c r="A11" s="78">
        <f>FLOOR(DAY(MINUTE(B1/38)/2+56)&amp;"/5/"&amp;B1,7)-33</f>
        <v>42842</v>
      </c>
      <c r="B11" s="85" t="s">
        <v>96</v>
      </c>
      <c r="D11" s="43"/>
      <c r="G11" s="80">
        <v>42847</v>
      </c>
      <c r="H11" s="80">
        <v>42864</v>
      </c>
    </row>
    <row r="12" spans="1:9">
      <c r="A12" s="78">
        <f>A11+38</f>
        <v>42880</v>
      </c>
      <c r="B12" s="85" t="s">
        <v>97</v>
      </c>
      <c r="D12" s="43"/>
      <c r="G12" s="80">
        <v>42919</v>
      </c>
      <c r="H12" s="80">
        <v>42978</v>
      </c>
      <c r="I12" t="s">
        <v>99</v>
      </c>
    </row>
    <row r="13" spans="1:9">
      <c r="A13" s="78">
        <f>A12+11</f>
        <v>42891</v>
      </c>
      <c r="B13" s="85" t="s">
        <v>98</v>
      </c>
      <c r="D13" s="43"/>
      <c r="G13" s="80"/>
      <c r="H13" s="80"/>
    </row>
    <row r="14" spans="1:9">
      <c r="B14" s="65"/>
      <c r="D14" s="43"/>
      <c r="G14" s="81"/>
      <c r="H14" s="81"/>
    </row>
    <row r="15" spans="1:9">
      <c r="D15" s="43"/>
      <c r="G15" s="95"/>
      <c r="H15" s="96"/>
    </row>
    <row r="16" spans="1:9">
      <c r="D16" s="43"/>
      <c r="G16" s="97"/>
      <c r="H16" s="97"/>
    </row>
    <row r="17" spans="1:8">
      <c r="A17" s="94"/>
      <c r="D17" s="43"/>
      <c r="G17" s="97"/>
      <c r="H17" s="97"/>
    </row>
    <row r="18" spans="1:8">
      <c r="A18" s="94"/>
      <c r="D18" s="43"/>
      <c r="G18" s="97"/>
      <c r="H18" s="97"/>
    </row>
    <row r="19" spans="1:8">
      <c r="A19" s="94"/>
      <c r="D19" s="43"/>
    </row>
    <row r="20" spans="1:8">
      <c r="A20" s="94"/>
      <c r="D20" s="43"/>
    </row>
    <row r="21" spans="1:8">
      <c r="A21" s="94"/>
    </row>
    <row r="22" spans="1:8">
      <c r="A22" s="94"/>
    </row>
    <row r="23" spans="1:8">
      <c r="A23" s="94"/>
    </row>
    <row r="24" spans="1:8">
      <c r="A24" s="94"/>
    </row>
    <row r="25" spans="1:8">
      <c r="A25" s="94"/>
    </row>
    <row r="26" spans="1:8">
      <c r="A26" s="94"/>
    </row>
    <row r="95" spans="12:12">
      <c r="L95" s="8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A9" sqref="A9"/>
    </sheetView>
  </sheetViews>
  <sheetFormatPr baseColWidth="10" defaultRowHeight="15.7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>
      <c r="A1" s="48"/>
      <c r="B1" s="48"/>
      <c r="C1" s="48" t="s">
        <v>29</v>
      </c>
      <c r="D1" s="48" t="s">
        <v>30</v>
      </c>
      <c r="E1" s="48" t="s">
        <v>14</v>
      </c>
      <c r="F1" s="48" t="s">
        <v>15</v>
      </c>
      <c r="G1" s="48" t="s">
        <v>16</v>
      </c>
      <c r="H1" s="48" t="s">
        <v>17</v>
      </c>
      <c r="I1" s="48" t="s">
        <v>31</v>
      </c>
      <c r="J1" s="48" t="s">
        <v>19</v>
      </c>
      <c r="K1" s="48" t="s">
        <v>32</v>
      </c>
      <c r="L1" s="48" t="s">
        <v>33</v>
      </c>
      <c r="M1" s="48" t="s">
        <v>34</v>
      </c>
      <c r="N1" s="48" t="s">
        <v>35</v>
      </c>
      <c r="O1" s="48"/>
      <c r="P1" s="48" t="s">
        <v>36</v>
      </c>
      <c r="Q1" s="48"/>
    </row>
    <row r="2" spans="1:17" ht="15" customHeight="1">
      <c r="A2" s="51" t="s">
        <v>40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41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26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27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46</v>
      </c>
    </row>
    <row r="6" spans="1:17" ht="15" customHeight="1">
      <c r="A6" s="51" t="s">
        <v>42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47</v>
      </c>
    </row>
    <row r="7" spans="1:17" ht="15" customHeight="1">
      <c r="A7" s="48" t="s">
        <v>43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44</v>
      </c>
      <c r="B8" s="51"/>
      <c r="C8" s="51">
        <f>B3-C19+C20</f>
        <v>1.1200000000000001</v>
      </c>
      <c r="D8" s="51">
        <f>C8-D19+D20</f>
        <v>1.9200000000000002</v>
      </c>
      <c r="E8" s="51">
        <f t="shared" ref="E8:M8" si="3">D8-E19+E20</f>
        <v>3.2</v>
      </c>
      <c r="F8" s="51">
        <f t="shared" si="3"/>
        <v>4</v>
      </c>
      <c r="G8" s="51">
        <f t="shared" si="3"/>
        <v>4.8</v>
      </c>
      <c r="H8" s="51">
        <f t="shared" si="3"/>
        <v>5.6</v>
      </c>
      <c r="I8" s="51">
        <f t="shared" si="3"/>
        <v>6.3999999999999995</v>
      </c>
      <c r="J8" s="51">
        <f t="shared" si="3"/>
        <v>7.1999999999999993</v>
      </c>
      <c r="K8" s="51">
        <f t="shared" si="3"/>
        <v>7.9999999999999991</v>
      </c>
      <c r="L8" s="51">
        <f t="shared" si="3"/>
        <v>8.7999999999999989</v>
      </c>
      <c r="M8" s="51">
        <f t="shared" si="3"/>
        <v>9.6</v>
      </c>
      <c r="N8" s="51">
        <f>M8-N19+N20</f>
        <v>10.4</v>
      </c>
      <c r="O8" s="51"/>
      <c r="P8" s="51">
        <f>N8</f>
        <v>10.4</v>
      </c>
      <c r="Q8" s="51"/>
    </row>
    <row r="9" spans="1:17" ht="15" customHeight="1">
      <c r="A9" s="48" t="s">
        <v>12</v>
      </c>
      <c r="B9" s="48"/>
      <c r="C9" s="48">
        <f>Travail!AY8</f>
        <v>11</v>
      </c>
      <c r="D9" s="48">
        <f>Travail!AY26</f>
        <v>11</v>
      </c>
      <c r="E9" s="48">
        <f>Travail!AY44</f>
        <v>11</v>
      </c>
      <c r="F9" s="48">
        <f>Travail!AY62</f>
        <v>11</v>
      </c>
      <c r="G9" s="48">
        <f>Travail!AY80</f>
        <v>12</v>
      </c>
      <c r="H9" s="48">
        <f>Travail!AY98</f>
        <v>13</v>
      </c>
      <c r="I9" s="48">
        <f>Travail!AY116</f>
        <v>12</v>
      </c>
      <c r="J9" s="48">
        <f>Travail!AY134</f>
        <v>14</v>
      </c>
      <c r="K9" s="48">
        <f>Travail!AY152</f>
        <v>12</v>
      </c>
      <c r="L9" s="48">
        <f>Travail!AY170</f>
        <v>13</v>
      </c>
      <c r="M9" s="48">
        <f>Travail!AY188</f>
        <v>12</v>
      </c>
      <c r="N9" s="48">
        <f>Travail!AY206</f>
        <v>11</v>
      </c>
      <c r="O9" s="48"/>
      <c r="P9" s="48">
        <f>SUM(C9:N9)</f>
        <v>143</v>
      </c>
      <c r="Q9" s="48"/>
    </row>
    <row r="10" spans="1:17" ht="15" customHeight="1">
      <c r="A10" s="51" t="s">
        <v>4</v>
      </c>
      <c r="B10" s="51"/>
      <c r="C10" s="51">
        <f>Travail!AY9</f>
        <v>18</v>
      </c>
      <c r="D10" s="51">
        <f>Travail!AY27</f>
        <v>16</v>
      </c>
      <c r="E10" s="51">
        <f>Travail!AY45</f>
        <v>19</v>
      </c>
      <c r="F10" s="51">
        <f>Travail!AY63</f>
        <v>16</v>
      </c>
      <c r="G10" s="51">
        <f>Travail!AY81</f>
        <v>17</v>
      </c>
      <c r="H10" s="51">
        <f>Travail!AY99</f>
        <v>18</v>
      </c>
      <c r="I10" s="51">
        <f>Travail!AY117</f>
        <v>17</v>
      </c>
      <c r="J10" s="51">
        <f>Travail!AY135</f>
        <v>19</v>
      </c>
      <c r="K10" s="51">
        <f>Travail!AY153</f>
        <v>17</v>
      </c>
      <c r="L10" s="51">
        <f>Travail!AY171</f>
        <v>18</v>
      </c>
      <c r="M10" s="51">
        <f>Travail!AY189</f>
        <v>17</v>
      </c>
      <c r="N10" s="51">
        <f>Travail!AY207</f>
        <v>16</v>
      </c>
      <c r="O10" s="51"/>
      <c r="P10" s="51">
        <f t="shared" ref="P10:P20" si="4">SUM(C10:N10)</f>
        <v>208</v>
      </c>
      <c r="Q10" s="51"/>
    </row>
    <row r="11" spans="1:17" ht="15" customHeight="1">
      <c r="A11" s="48" t="s">
        <v>3</v>
      </c>
      <c r="B11" s="48"/>
      <c r="C11" s="48">
        <f>Travail!AY10</f>
        <v>144</v>
      </c>
      <c r="D11" s="48">
        <f>Travail!AY28</f>
        <v>128</v>
      </c>
      <c r="E11" s="48">
        <f>Travail!AY46</f>
        <v>152</v>
      </c>
      <c r="F11" s="48">
        <f>Travail!AY64</f>
        <v>128</v>
      </c>
      <c r="G11" s="48">
        <f>Travail!AY82</f>
        <v>136</v>
      </c>
      <c r="H11" s="48">
        <f>Travail!AY100</f>
        <v>144</v>
      </c>
      <c r="I11" s="48">
        <f>Travail!AY118</f>
        <v>136</v>
      </c>
      <c r="J11" s="48">
        <f>Travail!AY136</f>
        <v>152</v>
      </c>
      <c r="K11" s="48">
        <f>Travail!AY154</f>
        <v>136</v>
      </c>
      <c r="L11" s="48">
        <f>Travail!AY172</f>
        <v>144</v>
      </c>
      <c r="M11" s="48">
        <f>Travail!AY190</f>
        <v>136</v>
      </c>
      <c r="N11" s="48">
        <f>Travail!AY208</f>
        <v>128</v>
      </c>
      <c r="O11" s="48"/>
      <c r="P11" s="48">
        <f t="shared" si="4"/>
        <v>1664</v>
      </c>
      <c r="Q11" s="48"/>
    </row>
    <row r="12" spans="1:17" ht="15" customHeight="1">
      <c r="A12" s="51" t="s">
        <v>13</v>
      </c>
      <c r="B12" s="51"/>
      <c r="C12" s="51">
        <f>Travail!AY11</f>
        <v>6</v>
      </c>
      <c r="D12" s="51">
        <f>Travail!AY29</f>
        <v>3</v>
      </c>
      <c r="E12" s="51">
        <f>Travail!AY47</f>
        <v>6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3</v>
      </c>
      <c r="K12" s="51">
        <f>Travail!AY155</f>
        <v>6</v>
      </c>
      <c r="L12" s="51">
        <f>Travail!AY173</f>
        <v>6</v>
      </c>
      <c r="M12" s="51">
        <f>Travail!AY191</f>
        <v>6</v>
      </c>
      <c r="N12" s="51">
        <f>Travail!AY209</f>
        <v>6</v>
      </c>
      <c r="O12" s="51"/>
      <c r="P12" s="51">
        <f t="shared" si="4"/>
        <v>66</v>
      </c>
      <c r="Q12" s="51"/>
    </row>
    <row r="13" spans="1:17" ht="15" customHeight="1">
      <c r="A13" s="48" t="s">
        <v>6</v>
      </c>
      <c r="B13" s="48"/>
      <c r="C13" s="48">
        <f>Travail!AY12</f>
        <v>10</v>
      </c>
      <c r="D13" s="48">
        <f>Travail!AY30</f>
        <v>5</v>
      </c>
      <c r="E13" s="48">
        <f>Travail!AY48</f>
        <v>10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5</v>
      </c>
      <c r="K13" s="48">
        <f>Travail!AY156</f>
        <v>10</v>
      </c>
      <c r="L13" s="48">
        <f>Travail!AY174</f>
        <v>10</v>
      </c>
      <c r="M13" s="48">
        <f>Travail!AY192</f>
        <v>10</v>
      </c>
      <c r="N13" s="48">
        <f>Travail!AY210</f>
        <v>10</v>
      </c>
      <c r="O13" s="48"/>
      <c r="P13" s="48">
        <f t="shared" si="4"/>
        <v>110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45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37</v>
      </c>
      <c r="B20" s="51"/>
      <c r="C20" s="51">
        <f>Travail!AY19</f>
        <v>1.1200000000000001</v>
      </c>
      <c r="D20" s="51">
        <f>Travail!AY37</f>
        <v>0.8</v>
      </c>
      <c r="E20" s="51">
        <f>Travail!AY55</f>
        <v>1.28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0.8</v>
      </c>
      <c r="J20" s="51">
        <f>Travail!AY145</f>
        <v>0.8</v>
      </c>
      <c r="K20" s="51">
        <f>Travail!AY163</f>
        <v>0.8</v>
      </c>
      <c r="L20" s="51">
        <f>Travail!AY181</f>
        <v>0.8</v>
      </c>
      <c r="M20" s="51">
        <f>Travail!AY199</f>
        <v>0.8</v>
      </c>
      <c r="N20" s="51">
        <f>Travail!AY217</f>
        <v>0.8</v>
      </c>
      <c r="O20" s="51"/>
      <c r="P20" s="51">
        <f t="shared" si="4"/>
        <v>10.4</v>
      </c>
      <c r="Q20" s="51"/>
    </row>
    <row r="21" spans="1:17" ht="15" customHeight="1">
      <c r="A21" s="48" t="s">
        <v>38</v>
      </c>
      <c r="B21" s="48"/>
      <c r="C21" s="48">
        <f>Travail!AZ5</f>
        <v>10</v>
      </c>
      <c r="D21" s="48">
        <f>Travail!AZ23</f>
        <v>5</v>
      </c>
      <c r="E21" s="48">
        <f>Travail!AZ41</f>
        <v>10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5</v>
      </c>
      <c r="K21" s="48">
        <f>Travail!AZ149</f>
        <v>10</v>
      </c>
      <c r="L21" s="48">
        <f>Travail!AZ167</f>
        <v>10</v>
      </c>
      <c r="M21" s="48">
        <f>Travail!AZ185</f>
        <v>10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39</v>
      </c>
      <c r="B22" s="51"/>
      <c r="C22" s="51">
        <f>Travail!BA5</f>
        <v>10</v>
      </c>
      <c r="D22" s="51">
        <f>Travail!BA23</f>
        <v>15</v>
      </c>
      <c r="E22" s="51">
        <f>Travail!BA41</f>
        <v>25</v>
      </c>
      <c r="F22" s="51">
        <f>Travail!BA59</f>
        <v>35</v>
      </c>
      <c r="G22" s="51">
        <f>Travail!BA77</f>
        <v>45</v>
      </c>
      <c r="H22" s="51">
        <f>Travail!BA95</f>
        <v>55</v>
      </c>
      <c r="I22" s="51">
        <f>Travail!BA113</f>
        <v>65</v>
      </c>
      <c r="J22" s="51">
        <f>Travail!BA131</f>
        <v>70</v>
      </c>
      <c r="K22" s="51">
        <f>Travail!BA149</f>
        <v>80</v>
      </c>
      <c r="L22" s="51">
        <f>Travail!BA167</f>
        <v>90</v>
      </c>
      <c r="M22" s="51">
        <f>Travail!BA185</f>
        <v>100</v>
      </c>
      <c r="N22" s="51">
        <f>Travail!BA203</f>
        <v>110</v>
      </c>
      <c r="O22" s="51"/>
      <c r="P22" s="51">
        <f>N22</f>
        <v>110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B1" sqref="B1"/>
    </sheetView>
  </sheetViews>
  <sheetFormatPr baseColWidth="10" defaultRowHeight="15.75"/>
  <cols>
    <col min="1" max="1" width="20.5546875" customWidth="1"/>
  </cols>
  <sheetData>
    <row r="1" spans="1:4">
      <c r="A1" t="s">
        <v>73</v>
      </c>
      <c r="B1" s="70" t="s">
        <v>30</v>
      </c>
      <c r="D1" t="s">
        <v>75</v>
      </c>
    </row>
    <row r="3" spans="1:4">
      <c r="A3" s="48" t="s">
        <v>12</v>
      </c>
      <c r="B3" s="48">
        <f>INDEX(Synthése!$C$9:$N$22,MATCH(A3,Synthése!$A$9:$A$22,0),MATCH($B$1,Janv,0))</f>
        <v>11</v>
      </c>
      <c r="C3" s="98"/>
      <c r="D3" s="98"/>
    </row>
    <row r="4" spans="1:4">
      <c r="A4" s="51" t="s">
        <v>4</v>
      </c>
      <c r="B4" s="51">
        <f>INDEX(Synthése!$C$9:$N$22,MATCH(A4,Synthése!$A$9:$A$22,0),MATCH($B$1,Janv,0))</f>
        <v>16</v>
      </c>
      <c r="C4" s="98"/>
      <c r="D4" s="98"/>
    </row>
    <row r="5" spans="1:4">
      <c r="A5" s="48" t="s">
        <v>3</v>
      </c>
      <c r="B5" s="48">
        <f>INDEX(Synthése!$C$9:$N$22,MATCH(A5,Synthése!$A$9:$A$22,0),MATCH($B$1,Janv,0))</f>
        <v>128</v>
      </c>
      <c r="C5" s="98"/>
      <c r="D5" s="98"/>
    </row>
    <row r="6" spans="1:4">
      <c r="A6" s="51" t="s">
        <v>13</v>
      </c>
      <c r="B6" s="51">
        <f>INDEX(Synthése!$C$9:$N$22,MATCH(A6,Synthése!$A$9:$A$22,0),MATCH($B$1,Janv,0))</f>
        <v>3</v>
      </c>
      <c r="C6" s="98"/>
      <c r="D6" s="98"/>
    </row>
    <row r="7" spans="1:4">
      <c r="A7" s="48" t="s">
        <v>6</v>
      </c>
      <c r="B7" s="48">
        <f>INDEX(Synthése!$C$9:$N$22,MATCH(A7,Synthése!$A$9:$A$22,0),MATCH($B$1,Janv,0))</f>
        <v>5</v>
      </c>
      <c r="C7" s="98">
        <f>B18+(B18/4)</f>
        <v>16.6875</v>
      </c>
      <c r="D7" s="98">
        <f>C7*B7</f>
        <v>83.4375</v>
      </c>
    </row>
    <row r="8" spans="1:4">
      <c r="A8" s="51" t="s">
        <v>5</v>
      </c>
      <c r="B8" s="51">
        <f>INDEX(Synthése!$C$9:$N$22,MATCH(A8,Synthése!$A$9:$A$22,0),MATCH($B$1,Janv,0))</f>
        <v>0</v>
      </c>
      <c r="C8" s="98">
        <f>B18+(B18/2)</f>
        <v>20.024999999999999</v>
      </c>
      <c r="D8" s="98">
        <f>C8*B8</f>
        <v>0</v>
      </c>
    </row>
    <row r="9" spans="1:4">
      <c r="A9" s="48" t="s">
        <v>7</v>
      </c>
      <c r="B9" s="48">
        <f>INDEX(Synthése!$C$9:$N$22,MATCH(A9,Synthése!$A$9:$A$22,0),MATCH($B$1,Janv,0))</f>
        <v>0</v>
      </c>
      <c r="C9" s="98">
        <f>B18*2</f>
        <v>26.7</v>
      </c>
      <c r="D9" s="98">
        <f>C9*B9</f>
        <v>0</v>
      </c>
    </row>
    <row r="10" spans="1:4">
      <c r="A10" s="51" t="s">
        <v>8</v>
      </c>
      <c r="B10" s="51">
        <f>INDEX(Synthése!$C$9:$N$22,MATCH(A10,Synthése!$A$9:$A$22,0),MATCH($B$1,Janv,0))</f>
        <v>0</v>
      </c>
      <c r="C10" s="98"/>
      <c r="D10" s="98"/>
    </row>
    <row r="11" spans="1:4">
      <c r="A11" s="48" t="s">
        <v>9</v>
      </c>
      <c r="B11" s="48">
        <f>INDEX(Synthése!$C$9:$N$22,MATCH(A11,Synthése!$A$9:$A$22,0),MATCH($B$1,Janv,0))</f>
        <v>0</v>
      </c>
      <c r="C11" s="98"/>
      <c r="D11" s="98"/>
    </row>
    <row r="12" spans="1:4">
      <c r="A12" s="51" t="s">
        <v>11</v>
      </c>
      <c r="B12" s="51">
        <f>INDEX(Synthése!$C$9:$N$22,MATCH(A12,Synthése!$A$9:$A$22,0),MATCH($B$1,Janv,0))</f>
        <v>0</v>
      </c>
      <c r="D12" s="98">
        <f>B12*B19</f>
        <v>0</v>
      </c>
    </row>
    <row r="13" spans="1:4">
      <c r="A13" s="48" t="s">
        <v>10</v>
      </c>
      <c r="B13" s="48">
        <f>INDEX(Synthése!$C$9:$N$22,MATCH(A13,Synthése!$A$9:$A$22,0),MATCH($B$1,Janv,0))</f>
        <v>0</v>
      </c>
      <c r="C13" s="98"/>
      <c r="D13" s="98"/>
    </row>
    <row r="14" spans="1:4">
      <c r="A14" s="51" t="s">
        <v>37</v>
      </c>
      <c r="B14" s="51">
        <f>INDEX(Synthése!$C$9:$N$22,MATCH(A14,Synthése!$A$9:$A$22,0),MATCH($B$1,Janv,0))</f>
        <v>0.8</v>
      </c>
      <c r="C14" s="98"/>
      <c r="D14" s="98"/>
    </row>
    <row r="15" spans="1:4">
      <c r="A15" s="48" t="s">
        <v>38</v>
      </c>
      <c r="B15" s="48">
        <f>INDEX(Synthése!$C$9:$N$22,MATCH(A15,Synthése!$A$9:$A$22,0),MATCH($B$1,Janv,0))</f>
        <v>5</v>
      </c>
      <c r="C15" s="98"/>
      <c r="D15" s="98"/>
    </row>
    <row r="16" spans="1:4">
      <c r="A16" s="51" t="s">
        <v>39</v>
      </c>
      <c r="B16" s="51">
        <f>INDEX(Synthése!$C$9:$N$22,MATCH(A16,Synthése!$A$9:$A$22,0),MATCH($B$1,Janv,0))</f>
        <v>15</v>
      </c>
      <c r="C16" s="98"/>
      <c r="D16" s="98"/>
    </row>
    <row r="17" spans="1:9">
      <c r="F17" s="69"/>
      <c r="G17" s="66"/>
      <c r="H17" s="66"/>
      <c r="I17" s="66"/>
    </row>
    <row r="18" spans="1:9">
      <c r="A18" t="s">
        <v>106</v>
      </c>
      <c r="B18">
        <v>13.35</v>
      </c>
      <c r="D18" t="s">
        <v>105</v>
      </c>
      <c r="E18" s="99">
        <f>B22+B20+D7+D8+D9+D12</f>
        <v>1813.4375</v>
      </c>
      <c r="F18" s="69"/>
      <c r="G18" s="66"/>
      <c r="H18" s="66"/>
      <c r="I18" s="66"/>
    </row>
    <row r="19" spans="1:9">
      <c r="A19" t="s">
        <v>108</v>
      </c>
      <c r="B19">
        <v>50</v>
      </c>
      <c r="F19" s="69"/>
      <c r="G19" s="66"/>
      <c r="H19" s="66"/>
      <c r="I19" s="66"/>
    </row>
    <row r="20" spans="1:9">
      <c r="A20" t="s">
        <v>109</v>
      </c>
      <c r="B20">
        <v>80</v>
      </c>
      <c r="F20" s="69"/>
      <c r="G20" s="66"/>
      <c r="H20" s="66"/>
      <c r="I20" s="66"/>
    </row>
    <row r="21" spans="1:9">
      <c r="F21" s="69"/>
      <c r="G21" s="66"/>
      <c r="H21" s="66"/>
      <c r="I21" s="66"/>
    </row>
    <row r="22" spans="1:9">
      <c r="A22" t="s">
        <v>107</v>
      </c>
      <c r="B22">
        <v>1650</v>
      </c>
      <c r="F22" s="69"/>
      <c r="G22" s="68"/>
      <c r="H22" s="66"/>
      <c r="I22" s="66"/>
    </row>
    <row r="23" spans="1:9">
      <c r="F23" s="66"/>
      <c r="G23" s="67"/>
      <c r="H23" s="66"/>
      <c r="I23" s="66"/>
    </row>
    <row r="24" spans="1:9">
      <c r="G24" s="6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Synthése!$C$1:$N$1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workbookViewId="0">
      <selection activeCell="B8" sqref="B8"/>
    </sheetView>
  </sheetViews>
  <sheetFormatPr baseColWidth="10" defaultRowHeight="15.75"/>
  <sheetData>
    <row r="1" spans="1:12">
      <c r="A1" t="s">
        <v>57</v>
      </c>
    </row>
    <row r="2" spans="1:12">
      <c r="A2" t="s">
        <v>51</v>
      </c>
      <c r="B2" t="s">
        <v>54</v>
      </c>
    </row>
    <row r="3" spans="1:12">
      <c r="A3" t="s">
        <v>52</v>
      </c>
      <c r="B3" t="s">
        <v>55</v>
      </c>
    </row>
    <row r="4" spans="1:12">
      <c r="A4" t="s">
        <v>53</v>
      </c>
      <c r="B4" t="s">
        <v>56</v>
      </c>
    </row>
    <row r="5" spans="1:12"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12">
      <c r="A6" t="s">
        <v>58</v>
      </c>
      <c r="B6" t="s">
        <v>48</v>
      </c>
      <c r="C6" t="s">
        <v>48</v>
      </c>
      <c r="D6" t="s">
        <v>48</v>
      </c>
    </row>
    <row r="7" spans="1:12">
      <c r="A7" t="s">
        <v>66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</row>
    <row r="8" spans="1:12">
      <c r="A8" t="s">
        <v>67</v>
      </c>
      <c r="B8" t="s">
        <v>48</v>
      </c>
      <c r="E8" t="s">
        <v>48</v>
      </c>
      <c r="F8" t="s">
        <v>48</v>
      </c>
    </row>
    <row r="9" spans="1:12">
      <c r="A9" t="s">
        <v>68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</row>
    <row r="12" spans="1:12"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12">
      <c r="A13" t="s">
        <v>58</v>
      </c>
      <c r="B13">
        <v>1</v>
      </c>
      <c r="C13">
        <v>1</v>
      </c>
      <c r="D13">
        <v>1</v>
      </c>
    </row>
    <row r="14" spans="1:12">
      <c r="A14" t="s">
        <v>66</v>
      </c>
      <c r="B14">
        <v>1</v>
      </c>
      <c r="C14">
        <v>1</v>
      </c>
      <c r="D14">
        <v>1</v>
      </c>
      <c r="E14">
        <v>1</v>
      </c>
      <c r="F14">
        <v>1</v>
      </c>
    </row>
    <row r="15" spans="1:12">
      <c r="A15" t="s">
        <v>67</v>
      </c>
      <c r="B15">
        <v>1</v>
      </c>
      <c r="E15">
        <v>1</v>
      </c>
      <c r="F15">
        <v>1</v>
      </c>
      <c r="I15" s="16"/>
      <c r="J15" s="16"/>
      <c r="K15" s="16"/>
      <c r="L15" s="16"/>
    </row>
    <row r="16" spans="1:12">
      <c r="A16" t="s">
        <v>68</v>
      </c>
      <c r="B16">
        <v>1</v>
      </c>
      <c r="C16">
        <v>1</v>
      </c>
      <c r="D16">
        <v>1</v>
      </c>
      <c r="E16">
        <v>1</v>
      </c>
      <c r="F16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Travail</vt:lpstr>
      <vt:lpstr>Feuil3</vt:lpstr>
      <vt:lpstr>Jours spéciaux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gmb</cp:lastModifiedBy>
  <dcterms:created xsi:type="dcterms:W3CDTF">2012-08-30T13:50:50Z</dcterms:created>
  <dcterms:modified xsi:type="dcterms:W3CDTF">2017-06-18T18:49:45Z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