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150" windowHeight="10125" tabRatio="882" activeTab="3"/>
  </bookViews>
  <sheets>
    <sheet name="Agence Stats Budget" sheetId="2" r:id="rId1"/>
    <sheet name="Agence Stats Visas" sheetId="3" r:id="rId2"/>
    <sheet name="Paramètres" sheetId="6" r:id="rId3"/>
    <sheet name="Menu" sheetId="38" r:id="rId4"/>
    <sheet name="DELPHINE" sheetId="4" r:id="rId5"/>
    <sheet name="FREDERIQUE" sheetId="31" r:id="rId6"/>
    <sheet name="AURELIE_T" sheetId="32" r:id="rId7"/>
    <sheet name="ERIC" sheetId="34" r:id="rId8"/>
    <sheet name="MARIE_PIERRE" sheetId="33" r:id="rId9"/>
    <sheet name="GUILLAUME" sheetId="35" r:id="rId10"/>
    <sheet name="SEBASTIEN" sheetId="36" r:id="rId11"/>
    <sheet name="AUTRE COMPTABLE" sheetId="37" r:id="rId12"/>
  </sheets>
  <definedNames>
    <definedName name="_xlnm._FilterDatabase" localSheetId="6" hidden="1">AURELIE_T!$B$2:$AI$60</definedName>
    <definedName name="_xlnm._FilterDatabase" localSheetId="11" hidden="1">'AUTRE COMPTABLE'!$B$2:$AI$60</definedName>
    <definedName name="_xlnm._FilterDatabase" localSheetId="4" hidden="1">DELPHINE!$B$2:$AI$59</definedName>
    <definedName name="_xlnm._FilterDatabase" localSheetId="7" hidden="1">ERIC!$B$2:$AI$60</definedName>
    <definedName name="_xlnm._FilterDatabase" localSheetId="5" hidden="1">FREDERIQUE!$B$2:$AI$60</definedName>
    <definedName name="_xlnm._FilterDatabase" localSheetId="9" hidden="1">GUILLAUME!$B$2:$AI$60</definedName>
    <definedName name="_xlnm._FilterDatabase" localSheetId="8" hidden="1">MARIE_PIERRE!$B$2:$AI$60</definedName>
    <definedName name="_xlnm._FilterDatabase" localSheetId="10" hidden="1">SEBASTIEN!$B$2:$AI$60</definedName>
    <definedName name="agoasigneeouinonafairena">Paramètres!$J$22:$J$25</definedName>
    <definedName name="crfaitparlecomptableouinon">Paramètres!$I$22:$I$23</definedName>
    <definedName name="crouinonaterminerafaire">Paramètres!$H$22:$H$25</definedName>
    <definedName name="listedossierdelphine">PORTEFEUILLE_DELPHINE[N° DOSSIER]</definedName>
    <definedName name="N°_DOSSIERDELPHINE">PORTEFEUILLE_DELPHINE[N° DOSSIER]</definedName>
    <definedName name="pcrouinonafaire">Paramètres!$E$22:$E$24</definedName>
    <definedName name="prénomsaac">Paramètres!$J$4:$J$7</definedName>
    <definedName name="prenomscomptables">Paramètres!$L$4:$L$11</definedName>
    <definedName name="prenomsconseillers">Paramètres!$K$4:$K$9</definedName>
    <definedName name="quicomptableconseiller">Paramètres!$G$22:$G$23</definedName>
    <definedName name="ranosouinonafaire">Paramètres!$F$22:$F$24</definedName>
    <definedName name="reconductionouinon">Paramètres!$K$22:$K$23</definedName>
    <definedName name="réponsesouinon">Paramètres!$I$13:$I$14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C1" i="4" l="1"/>
  <c r="R116" i="37" l="1"/>
  <c r="Q116" i="37"/>
  <c r="P116" i="37"/>
  <c r="O116" i="37"/>
  <c r="N116" i="37"/>
  <c r="M116" i="37"/>
  <c r="L116" i="37"/>
  <c r="K116" i="37"/>
  <c r="J116" i="37"/>
  <c r="I116" i="37"/>
  <c r="H116" i="37"/>
  <c r="G116" i="37"/>
  <c r="F116" i="37"/>
  <c r="E116" i="37"/>
  <c r="R113" i="37"/>
  <c r="Q113" i="37"/>
  <c r="P113" i="37"/>
  <c r="L113" i="37"/>
  <c r="K113" i="37"/>
  <c r="J113" i="37"/>
  <c r="I113" i="37"/>
  <c r="F113" i="37"/>
  <c r="E113" i="37"/>
  <c r="R112" i="37"/>
  <c r="Q112" i="37"/>
  <c r="P112" i="37"/>
  <c r="O112" i="37"/>
  <c r="N112" i="37"/>
  <c r="M112" i="37"/>
  <c r="L112" i="37"/>
  <c r="K112" i="37"/>
  <c r="I112" i="37"/>
  <c r="H112" i="37"/>
  <c r="G112" i="37"/>
  <c r="F112" i="37"/>
  <c r="E112" i="37"/>
  <c r="O111" i="37"/>
  <c r="N111" i="37"/>
  <c r="M111" i="37"/>
  <c r="J111" i="37"/>
  <c r="R110" i="37"/>
  <c r="Q110" i="37"/>
  <c r="P110" i="37"/>
  <c r="O110" i="37"/>
  <c r="N110" i="37"/>
  <c r="M110" i="37"/>
  <c r="L110" i="37"/>
  <c r="K110" i="37"/>
  <c r="J110" i="37"/>
  <c r="I110" i="37"/>
  <c r="H110" i="37"/>
  <c r="G110" i="37"/>
  <c r="F110" i="37"/>
  <c r="E110" i="37"/>
  <c r="R107" i="37"/>
  <c r="R119" i="37" s="1"/>
  <c r="Q107" i="37"/>
  <c r="Q119" i="37" s="1"/>
  <c r="P107" i="37"/>
  <c r="P119" i="37" s="1"/>
  <c r="L107" i="37"/>
  <c r="L119" i="37" s="1"/>
  <c r="K107" i="37"/>
  <c r="K119" i="37" s="1"/>
  <c r="J107" i="37"/>
  <c r="J119" i="37" s="1"/>
  <c r="I107" i="37"/>
  <c r="I119" i="37" s="1"/>
  <c r="H107" i="37"/>
  <c r="F107" i="37"/>
  <c r="F119" i="37" s="1"/>
  <c r="E107" i="37"/>
  <c r="D107" i="37"/>
  <c r="R106" i="37"/>
  <c r="R118" i="37" s="1"/>
  <c r="Q106" i="37"/>
  <c r="Q118" i="37" s="1"/>
  <c r="P106" i="37"/>
  <c r="P118" i="37" s="1"/>
  <c r="O106" i="37"/>
  <c r="O118" i="37" s="1"/>
  <c r="N106" i="37"/>
  <c r="N118" i="37" s="1"/>
  <c r="M106" i="37"/>
  <c r="M118" i="37" s="1"/>
  <c r="L106" i="37"/>
  <c r="L118" i="37" s="1"/>
  <c r="K106" i="37"/>
  <c r="K118" i="37" s="1"/>
  <c r="I106" i="37"/>
  <c r="I118" i="37" s="1"/>
  <c r="H106" i="37"/>
  <c r="H118" i="37" s="1"/>
  <c r="G106" i="37"/>
  <c r="G118" i="37" s="1"/>
  <c r="F106" i="37"/>
  <c r="F118" i="37" s="1"/>
  <c r="E106" i="37"/>
  <c r="D106" i="37"/>
  <c r="P105" i="37"/>
  <c r="O105" i="37"/>
  <c r="O117" i="37" s="1"/>
  <c r="N105" i="37"/>
  <c r="N117" i="37" s="1"/>
  <c r="M105" i="37"/>
  <c r="M117" i="37" s="1"/>
  <c r="L105" i="37"/>
  <c r="L108" i="37" s="1"/>
  <c r="J105" i="37"/>
  <c r="D105" i="37"/>
  <c r="D108" i="37" s="1"/>
  <c r="R104" i="37"/>
  <c r="Q104" i="37"/>
  <c r="P104" i="37"/>
  <c r="O104" i="37"/>
  <c r="N104" i="37"/>
  <c r="M104" i="37"/>
  <c r="L104" i="37"/>
  <c r="K104" i="37"/>
  <c r="J104" i="37"/>
  <c r="I104" i="37"/>
  <c r="H104" i="37"/>
  <c r="G104" i="37"/>
  <c r="F104" i="37"/>
  <c r="E104" i="37"/>
  <c r="R99" i="37"/>
  <c r="Q99" i="37"/>
  <c r="P99" i="37"/>
  <c r="L99" i="37"/>
  <c r="K99" i="37"/>
  <c r="J99" i="37"/>
  <c r="I99" i="37"/>
  <c r="F99" i="37"/>
  <c r="E99" i="37"/>
  <c r="R98" i="37"/>
  <c r="Q98" i="37"/>
  <c r="P98" i="37"/>
  <c r="O98" i="37"/>
  <c r="N98" i="37"/>
  <c r="M98" i="37"/>
  <c r="L98" i="37"/>
  <c r="K98" i="37"/>
  <c r="I98" i="37"/>
  <c r="H98" i="37"/>
  <c r="G98" i="37"/>
  <c r="F98" i="37"/>
  <c r="E98" i="37"/>
  <c r="O97" i="37"/>
  <c r="N97" i="37"/>
  <c r="M97" i="37"/>
  <c r="J97" i="37"/>
  <c r="R96" i="37"/>
  <c r="Q96" i="37"/>
  <c r="P96" i="37"/>
  <c r="O96" i="37"/>
  <c r="N96" i="37"/>
  <c r="M96" i="37"/>
  <c r="L96" i="37"/>
  <c r="K96" i="37"/>
  <c r="J96" i="37"/>
  <c r="I96" i="37"/>
  <c r="H96" i="37"/>
  <c r="G96" i="37"/>
  <c r="F96" i="37"/>
  <c r="E96" i="37"/>
  <c r="O93" i="37"/>
  <c r="O94" i="37" s="1"/>
  <c r="N93" i="37"/>
  <c r="N94" i="37" s="1"/>
  <c r="N100" i="37" s="1"/>
  <c r="M93" i="37"/>
  <c r="M94" i="37" s="1"/>
  <c r="H93" i="37"/>
  <c r="G93" i="37"/>
  <c r="D93" i="37"/>
  <c r="J92" i="37"/>
  <c r="J94" i="37" s="1"/>
  <c r="J100" i="37" s="1"/>
  <c r="D92" i="37"/>
  <c r="R91" i="37"/>
  <c r="R94" i="37" s="1"/>
  <c r="Q91" i="37"/>
  <c r="Q94" i="37" s="1"/>
  <c r="P91" i="37"/>
  <c r="P94" i="37" s="1"/>
  <c r="L91" i="37"/>
  <c r="L94" i="37" s="1"/>
  <c r="K91" i="37"/>
  <c r="K94" i="37" s="1"/>
  <c r="I91" i="37"/>
  <c r="I94" i="37" s="1"/>
  <c r="H91" i="37"/>
  <c r="G91" i="37"/>
  <c r="G94" i="37" s="1"/>
  <c r="F91" i="37"/>
  <c r="F94" i="37" s="1"/>
  <c r="E91" i="37"/>
  <c r="E94" i="37" s="1"/>
  <c r="D91" i="37"/>
  <c r="R90" i="37"/>
  <c r="Q90" i="37"/>
  <c r="P90" i="37"/>
  <c r="O90" i="37"/>
  <c r="N90" i="37"/>
  <c r="M90" i="37"/>
  <c r="L90" i="37"/>
  <c r="K90" i="37"/>
  <c r="J90" i="37"/>
  <c r="I90" i="37"/>
  <c r="H90" i="37"/>
  <c r="G90" i="37"/>
  <c r="F90" i="37"/>
  <c r="E90" i="37"/>
  <c r="P88" i="37"/>
  <c r="N88" i="37"/>
  <c r="L88" i="37"/>
  <c r="J88" i="37"/>
  <c r="H88" i="37"/>
  <c r="D88" i="37"/>
  <c r="O87" i="37"/>
  <c r="O88" i="37" s="1"/>
  <c r="O100" i="37" s="1"/>
  <c r="N87" i="37"/>
  <c r="M87" i="37"/>
  <c r="H87" i="37"/>
  <c r="G87" i="37"/>
  <c r="D87" i="37"/>
  <c r="D99" i="37" s="1"/>
  <c r="T86" i="37"/>
  <c r="J86" i="37"/>
  <c r="D86" i="37"/>
  <c r="D98" i="37" s="1"/>
  <c r="R85" i="37"/>
  <c r="R88" i="37" s="1"/>
  <c r="R100" i="37" s="1"/>
  <c r="Q85" i="37"/>
  <c r="Q97" i="37" s="1"/>
  <c r="P85" i="37"/>
  <c r="P97" i="37" s="1"/>
  <c r="L85" i="37"/>
  <c r="K85" i="37"/>
  <c r="I85" i="37"/>
  <c r="I97" i="37" s="1"/>
  <c r="H85" i="37"/>
  <c r="G85" i="37"/>
  <c r="G88" i="37" s="1"/>
  <c r="F85" i="37"/>
  <c r="F88" i="37" s="1"/>
  <c r="F100" i="37" s="1"/>
  <c r="E85" i="37"/>
  <c r="E97" i="37" s="1"/>
  <c r="D85" i="37"/>
  <c r="R84" i="37"/>
  <c r="Q84" i="37"/>
  <c r="P84" i="37"/>
  <c r="O84" i="37"/>
  <c r="N84" i="37"/>
  <c r="M84" i="37"/>
  <c r="L84" i="37"/>
  <c r="K84" i="37"/>
  <c r="J84" i="37"/>
  <c r="I84" i="37"/>
  <c r="H84" i="37"/>
  <c r="G84" i="37"/>
  <c r="F84" i="37"/>
  <c r="E84" i="37"/>
  <c r="R80" i="37"/>
  <c r="Q80" i="37"/>
  <c r="P80" i="37"/>
  <c r="L80" i="37"/>
  <c r="K80" i="37"/>
  <c r="J80" i="37"/>
  <c r="I80" i="37"/>
  <c r="F80" i="37"/>
  <c r="E80" i="37"/>
  <c r="R79" i="37"/>
  <c r="Q79" i="37"/>
  <c r="P79" i="37"/>
  <c r="O79" i="37"/>
  <c r="N79" i="37"/>
  <c r="M79" i="37"/>
  <c r="L79" i="37"/>
  <c r="K79" i="37"/>
  <c r="I79" i="37"/>
  <c r="H79" i="37"/>
  <c r="G79" i="37"/>
  <c r="F79" i="37"/>
  <c r="E79" i="37"/>
  <c r="O78" i="37"/>
  <c r="N78" i="37"/>
  <c r="M78" i="37"/>
  <c r="J78" i="37"/>
  <c r="O74" i="37"/>
  <c r="N74" i="37"/>
  <c r="M74" i="37"/>
  <c r="H74" i="37"/>
  <c r="G74" i="37"/>
  <c r="D74" i="37"/>
  <c r="J73" i="37"/>
  <c r="T73" i="37" s="1"/>
  <c r="D73" i="37"/>
  <c r="R72" i="37"/>
  <c r="R75" i="37" s="1"/>
  <c r="Q72" i="37"/>
  <c r="P72" i="37"/>
  <c r="L72" i="37"/>
  <c r="K72" i="37"/>
  <c r="I72" i="37"/>
  <c r="H72" i="37"/>
  <c r="G72" i="37"/>
  <c r="F72" i="37"/>
  <c r="E72" i="37"/>
  <c r="D72" i="37"/>
  <c r="R71" i="37"/>
  <c r="Q71" i="37"/>
  <c r="P71" i="37"/>
  <c r="O71" i="37"/>
  <c r="N71" i="37"/>
  <c r="M71" i="37"/>
  <c r="L71" i="37"/>
  <c r="K71" i="37"/>
  <c r="J71" i="37"/>
  <c r="I71" i="37"/>
  <c r="H71" i="37"/>
  <c r="G71" i="37"/>
  <c r="F71" i="37"/>
  <c r="E71" i="37"/>
  <c r="P69" i="37"/>
  <c r="N69" i="37"/>
  <c r="L69" i="37"/>
  <c r="J69" i="37"/>
  <c r="H69" i="37"/>
  <c r="F69" i="37"/>
  <c r="O68" i="37"/>
  <c r="N68" i="37"/>
  <c r="N107" i="37" s="1"/>
  <c r="M68" i="37"/>
  <c r="H68" i="37"/>
  <c r="G68" i="37"/>
  <c r="D68" i="37"/>
  <c r="T67" i="37"/>
  <c r="J67" i="37"/>
  <c r="J106" i="37" s="1"/>
  <c r="D67" i="37"/>
  <c r="D79" i="37" s="1"/>
  <c r="R66" i="37"/>
  <c r="Q66" i="37"/>
  <c r="Q105" i="37" s="1"/>
  <c r="P66" i="37"/>
  <c r="L66" i="37"/>
  <c r="K66" i="37"/>
  <c r="I66" i="37"/>
  <c r="I105" i="37" s="1"/>
  <c r="H66" i="37"/>
  <c r="H78" i="37" s="1"/>
  <c r="G66" i="37"/>
  <c r="G105" i="37" s="1"/>
  <c r="F66" i="37"/>
  <c r="F105" i="37" s="1"/>
  <c r="E66" i="37"/>
  <c r="E105" i="37" s="1"/>
  <c r="D66" i="37"/>
  <c r="D69" i="37" s="1"/>
  <c r="AW60" i="37"/>
  <c r="AY60" i="37" s="1"/>
  <c r="AV60" i="37"/>
  <c r="AX60" i="37" s="1"/>
  <c r="AS60" i="37"/>
  <c r="AU60" i="37" s="1"/>
  <c r="AR60" i="37"/>
  <c r="AT60" i="37" s="1"/>
  <c r="AH60" i="37"/>
  <c r="L60" i="37"/>
  <c r="K60" i="37"/>
  <c r="AW59" i="37"/>
  <c r="AY59" i="37" s="1"/>
  <c r="AV59" i="37"/>
  <c r="AX59" i="37" s="1"/>
  <c r="AS59" i="37"/>
  <c r="AU59" i="37" s="1"/>
  <c r="AR59" i="37"/>
  <c r="AT59" i="37" s="1"/>
  <c r="AH59" i="37"/>
  <c r="L59" i="37"/>
  <c r="K59" i="37"/>
  <c r="AW58" i="37"/>
  <c r="AY58" i="37" s="1"/>
  <c r="AV58" i="37"/>
  <c r="AX58" i="37" s="1"/>
  <c r="AS58" i="37"/>
  <c r="AU58" i="37" s="1"/>
  <c r="AR58" i="37"/>
  <c r="AT58" i="37" s="1"/>
  <c r="AH58" i="37"/>
  <c r="L58" i="37"/>
  <c r="K58" i="37"/>
  <c r="AW57" i="37"/>
  <c r="AY57" i="37" s="1"/>
  <c r="AV57" i="37"/>
  <c r="AX57" i="37" s="1"/>
  <c r="AS57" i="37"/>
  <c r="AU57" i="37" s="1"/>
  <c r="AR57" i="37"/>
  <c r="AT57" i="37" s="1"/>
  <c r="AH57" i="37"/>
  <c r="L57" i="37"/>
  <c r="K57" i="37"/>
  <c r="AW56" i="37"/>
  <c r="AY56" i="37" s="1"/>
  <c r="AV56" i="37"/>
  <c r="AX56" i="37" s="1"/>
  <c r="AS56" i="37"/>
  <c r="AU56" i="37" s="1"/>
  <c r="AR56" i="37"/>
  <c r="AT56" i="37" s="1"/>
  <c r="AH56" i="37"/>
  <c r="L56" i="37"/>
  <c r="K56" i="37"/>
  <c r="AW55" i="37"/>
  <c r="AY55" i="37" s="1"/>
  <c r="AV55" i="37"/>
  <c r="AX55" i="37" s="1"/>
  <c r="AS55" i="37"/>
  <c r="AU55" i="37" s="1"/>
  <c r="AR55" i="37"/>
  <c r="AT55" i="37" s="1"/>
  <c r="AH55" i="37"/>
  <c r="L55" i="37"/>
  <c r="K55" i="37"/>
  <c r="AW54" i="37"/>
  <c r="AY54" i="37" s="1"/>
  <c r="AV54" i="37"/>
  <c r="AX54" i="37" s="1"/>
  <c r="AS54" i="37"/>
  <c r="AU54" i="37" s="1"/>
  <c r="AR54" i="37"/>
  <c r="AT54" i="37" s="1"/>
  <c r="AH54" i="37"/>
  <c r="L54" i="37"/>
  <c r="K54" i="37"/>
  <c r="AW53" i="37"/>
  <c r="AY53" i="37" s="1"/>
  <c r="AV53" i="37"/>
  <c r="AX53" i="37" s="1"/>
  <c r="AS53" i="37"/>
  <c r="AU53" i="37" s="1"/>
  <c r="AR53" i="37"/>
  <c r="AT53" i="37" s="1"/>
  <c r="AH53" i="37"/>
  <c r="L53" i="37"/>
  <c r="K53" i="37"/>
  <c r="AW52" i="37"/>
  <c r="AY52" i="37" s="1"/>
  <c r="AV52" i="37"/>
  <c r="AX52" i="37" s="1"/>
  <c r="AS52" i="37"/>
  <c r="AU52" i="37" s="1"/>
  <c r="AR52" i="37"/>
  <c r="AT52" i="37" s="1"/>
  <c r="AH52" i="37"/>
  <c r="L52" i="37"/>
  <c r="K52" i="37"/>
  <c r="AW51" i="37"/>
  <c r="AY51" i="37" s="1"/>
  <c r="AV51" i="37"/>
  <c r="AX51" i="37" s="1"/>
  <c r="AS51" i="37"/>
  <c r="AU51" i="37" s="1"/>
  <c r="AR51" i="37"/>
  <c r="AT51" i="37" s="1"/>
  <c r="AH51" i="37"/>
  <c r="L51" i="37"/>
  <c r="K51" i="37"/>
  <c r="AW50" i="37"/>
  <c r="AY50" i="37" s="1"/>
  <c r="AV50" i="37"/>
  <c r="AX50" i="37" s="1"/>
  <c r="AS50" i="37"/>
  <c r="AU50" i="37" s="1"/>
  <c r="AR50" i="37"/>
  <c r="AT50" i="37" s="1"/>
  <c r="AH50" i="37"/>
  <c r="L50" i="37"/>
  <c r="K50" i="37"/>
  <c r="AW49" i="37"/>
  <c r="AY49" i="37" s="1"/>
  <c r="AV49" i="37"/>
  <c r="AX49" i="37" s="1"/>
  <c r="AS49" i="37"/>
  <c r="AU49" i="37" s="1"/>
  <c r="AR49" i="37"/>
  <c r="AT49" i="37" s="1"/>
  <c r="AH49" i="37"/>
  <c r="L49" i="37"/>
  <c r="K49" i="37"/>
  <c r="AW48" i="37"/>
  <c r="AY48" i="37" s="1"/>
  <c r="AV48" i="37"/>
  <c r="AX48" i="37" s="1"/>
  <c r="AT48" i="37"/>
  <c r="AS48" i="37"/>
  <c r="AU48" i="37" s="1"/>
  <c r="AR48" i="37"/>
  <c r="AH48" i="37"/>
  <c r="L48" i="37"/>
  <c r="K48" i="37"/>
  <c r="AW47" i="37"/>
  <c r="AY47" i="37" s="1"/>
  <c r="AV47" i="37"/>
  <c r="AX47" i="37" s="1"/>
  <c r="AT47" i="37"/>
  <c r="AS47" i="37"/>
  <c r="AU47" i="37" s="1"/>
  <c r="AR47" i="37"/>
  <c r="AH47" i="37"/>
  <c r="L47" i="37"/>
  <c r="K47" i="37"/>
  <c r="AW46" i="37"/>
  <c r="AY46" i="37" s="1"/>
  <c r="AV46" i="37"/>
  <c r="AX46" i="37" s="1"/>
  <c r="AS46" i="37"/>
  <c r="AU46" i="37" s="1"/>
  <c r="AR46" i="37"/>
  <c r="AT46" i="37" s="1"/>
  <c r="AH46" i="37"/>
  <c r="L46" i="37"/>
  <c r="K46" i="37"/>
  <c r="AW45" i="37"/>
  <c r="AY45" i="37" s="1"/>
  <c r="AV45" i="37"/>
  <c r="AX45" i="37" s="1"/>
  <c r="AS45" i="37"/>
  <c r="AU45" i="37" s="1"/>
  <c r="AR45" i="37"/>
  <c r="AT45" i="37" s="1"/>
  <c r="AH45" i="37"/>
  <c r="L45" i="37"/>
  <c r="K45" i="37"/>
  <c r="AW44" i="37"/>
  <c r="AY44" i="37" s="1"/>
  <c r="AV44" i="37"/>
  <c r="AX44" i="37" s="1"/>
  <c r="AS44" i="37"/>
  <c r="AU44" i="37" s="1"/>
  <c r="AR44" i="37"/>
  <c r="AT44" i="37" s="1"/>
  <c r="AH44" i="37"/>
  <c r="L44" i="37"/>
  <c r="K44" i="37"/>
  <c r="AW43" i="37"/>
  <c r="AY43" i="37" s="1"/>
  <c r="AV43" i="37"/>
  <c r="AX43" i="37" s="1"/>
  <c r="AS43" i="37"/>
  <c r="AU43" i="37" s="1"/>
  <c r="AR43" i="37"/>
  <c r="AT43" i="37" s="1"/>
  <c r="AH43" i="37"/>
  <c r="L43" i="37"/>
  <c r="K43" i="37"/>
  <c r="AW42" i="37"/>
  <c r="AY42" i="37" s="1"/>
  <c r="AV42" i="37"/>
  <c r="AX42" i="37" s="1"/>
  <c r="AS42" i="37"/>
  <c r="AU42" i="37" s="1"/>
  <c r="AR42" i="37"/>
  <c r="AT42" i="37" s="1"/>
  <c r="AH42" i="37"/>
  <c r="L42" i="37"/>
  <c r="K42" i="37"/>
  <c r="AW41" i="37"/>
  <c r="AY41" i="37" s="1"/>
  <c r="AV41" i="37"/>
  <c r="AX41" i="37" s="1"/>
  <c r="AU41" i="37"/>
  <c r="AS41" i="37"/>
  <c r="AR41" i="37"/>
  <c r="AT41" i="37" s="1"/>
  <c r="AH41" i="37"/>
  <c r="L41" i="37"/>
  <c r="K41" i="37"/>
  <c r="AW40" i="37"/>
  <c r="AY40" i="37" s="1"/>
  <c r="AV40" i="37"/>
  <c r="AX40" i="37" s="1"/>
  <c r="AS40" i="37"/>
  <c r="AU40" i="37" s="1"/>
  <c r="AR40" i="37"/>
  <c r="AT40" i="37" s="1"/>
  <c r="AH40" i="37"/>
  <c r="L40" i="37"/>
  <c r="K40" i="37"/>
  <c r="AW39" i="37"/>
  <c r="AY39" i="37" s="1"/>
  <c r="AV39" i="37"/>
  <c r="AX39" i="37" s="1"/>
  <c r="AS39" i="37"/>
  <c r="AU39" i="37" s="1"/>
  <c r="AR39" i="37"/>
  <c r="AT39" i="37" s="1"/>
  <c r="AH39" i="37"/>
  <c r="L39" i="37"/>
  <c r="K39" i="37"/>
  <c r="AW38" i="37"/>
  <c r="AY38" i="37" s="1"/>
  <c r="AV38" i="37"/>
  <c r="AX38" i="37" s="1"/>
  <c r="AS38" i="37"/>
  <c r="AU38" i="37" s="1"/>
  <c r="AR38" i="37"/>
  <c r="AT38" i="37" s="1"/>
  <c r="AH38" i="37"/>
  <c r="L38" i="37"/>
  <c r="K38" i="37"/>
  <c r="AW37" i="37"/>
  <c r="AY37" i="37" s="1"/>
  <c r="AV37" i="37"/>
  <c r="AX37" i="37" s="1"/>
  <c r="AU37" i="37"/>
  <c r="AS37" i="37"/>
  <c r="AR37" i="37"/>
  <c r="AT37" i="37" s="1"/>
  <c r="AH37" i="37"/>
  <c r="L37" i="37"/>
  <c r="K37" i="37"/>
  <c r="AW36" i="37"/>
  <c r="AY36" i="37" s="1"/>
  <c r="AV36" i="37"/>
  <c r="AX36" i="37" s="1"/>
  <c r="AT36" i="37"/>
  <c r="AS36" i="37"/>
  <c r="AU36" i="37" s="1"/>
  <c r="AR36" i="37"/>
  <c r="AH36" i="37"/>
  <c r="L36" i="37"/>
  <c r="K36" i="37"/>
  <c r="AW35" i="37"/>
  <c r="AY35" i="37" s="1"/>
  <c r="AV35" i="37"/>
  <c r="AX35" i="37" s="1"/>
  <c r="AT35" i="37"/>
  <c r="AS35" i="37"/>
  <c r="AU35" i="37" s="1"/>
  <c r="AR35" i="37"/>
  <c r="AH35" i="37"/>
  <c r="L35" i="37"/>
  <c r="K35" i="37"/>
  <c r="AW34" i="37"/>
  <c r="AY34" i="37" s="1"/>
  <c r="AV34" i="37"/>
  <c r="AX34" i="37" s="1"/>
  <c r="AS34" i="37"/>
  <c r="AU34" i="37" s="1"/>
  <c r="AR34" i="37"/>
  <c r="AT34" i="37" s="1"/>
  <c r="AH34" i="37"/>
  <c r="L34" i="37"/>
  <c r="K34" i="37"/>
  <c r="AW33" i="37"/>
  <c r="AY33" i="37" s="1"/>
  <c r="AV33" i="37"/>
  <c r="AX33" i="37" s="1"/>
  <c r="AU33" i="37"/>
  <c r="AS33" i="37"/>
  <c r="AR33" i="37"/>
  <c r="AT33" i="37" s="1"/>
  <c r="AH33" i="37"/>
  <c r="L33" i="37"/>
  <c r="K33" i="37"/>
  <c r="AW32" i="37"/>
  <c r="AY32" i="37" s="1"/>
  <c r="AV32" i="37"/>
  <c r="AX32" i="37" s="1"/>
  <c r="AT32" i="37"/>
  <c r="AS32" i="37"/>
  <c r="AU32" i="37" s="1"/>
  <c r="AR32" i="37"/>
  <c r="AH32" i="37"/>
  <c r="L32" i="37"/>
  <c r="K32" i="37"/>
  <c r="AW31" i="37"/>
  <c r="AY31" i="37" s="1"/>
  <c r="AV31" i="37"/>
  <c r="AX31" i="37" s="1"/>
  <c r="AT31" i="37"/>
  <c r="AS31" i="37"/>
  <c r="AU31" i="37" s="1"/>
  <c r="AR31" i="37"/>
  <c r="AH31" i="37"/>
  <c r="L31" i="37"/>
  <c r="K31" i="37"/>
  <c r="AW30" i="37"/>
  <c r="AY30" i="37" s="1"/>
  <c r="AV30" i="37"/>
  <c r="AX30" i="37" s="1"/>
  <c r="AS30" i="37"/>
  <c r="AU30" i="37" s="1"/>
  <c r="AR30" i="37"/>
  <c r="AT30" i="37" s="1"/>
  <c r="AH30" i="37"/>
  <c r="L30" i="37"/>
  <c r="K30" i="37"/>
  <c r="AW29" i="37"/>
  <c r="AY29" i="37" s="1"/>
  <c r="AV29" i="37"/>
  <c r="AX29" i="37" s="1"/>
  <c r="AS29" i="37"/>
  <c r="AU29" i="37" s="1"/>
  <c r="AR29" i="37"/>
  <c r="AT29" i="37" s="1"/>
  <c r="AH29" i="37"/>
  <c r="L29" i="37"/>
  <c r="K29" i="37"/>
  <c r="AW28" i="37"/>
  <c r="AY28" i="37" s="1"/>
  <c r="AV28" i="37"/>
  <c r="AX28" i="37" s="1"/>
  <c r="AS28" i="37"/>
  <c r="AU28" i="37" s="1"/>
  <c r="AR28" i="37"/>
  <c r="AT28" i="37" s="1"/>
  <c r="AH28" i="37"/>
  <c r="L28" i="37"/>
  <c r="K28" i="37"/>
  <c r="AW27" i="37"/>
  <c r="AY27" i="37" s="1"/>
  <c r="AV27" i="37"/>
  <c r="AX27" i="37" s="1"/>
  <c r="AS27" i="37"/>
  <c r="AU27" i="37" s="1"/>
  <c r="AR27" i="37"/>
  <c r="AT27" i="37" s="1"/>
  <c r="AH27" i="37"/>
  <c r="L27" i="37"/>
  <c r="K27" i="37"/>
  <c r="AW26" i="37"/>
  <c r="AY26" i="37" s="1"/>
  <c r="AV26" i="37"/>
  <c r="AX26" i="37" s="1"/>
  <c r="AS26" i="37"/>
  <c r="AU26" i="37" s="1"/>
  <c r="AR26" i="37"/>
  <c r="AT26" i="37" s="1"/>
  <c r="AH26" i="37"/>
  <c r="L26" i="37"/>
  <c r="K26" i="37"/>
  <c r="AW25" i="37"/>
  <c r="AY25" i="37" s="1"/>
  <c r="AV25" i="37"/>
  <c r="AX25" i="37" s="1"/>
  <c r="AS25" i="37"/>
  <c r="AU25" i="37" s="1"/>
  <c r="AR25" i="37"/>
  <c r="AT25" i="37" s="1"/>
  <c r="AH25" i="37"/>
  <c r="L25" i="37"/>
  <c r="K25" i="37"/>
  <c r="AW24" i="37"/>
  <c r="AY24" i="37" s="1"/>
  <c r="AV24" i="37"/>
  <c r="AX24" i="37" s="1"/>
  <c r="AS24" i="37"/>
  <c r="AU24" i="37" s="1"/>
  <c r="AR24" i="37"/>
  <c r="AT24" i="37" s="1"/>
  <c r="AH24" i="37"/>
  <c r="L24" i="37"/>
  <c r="K24" i="37"/>
  <c r="AW23" i="37"/>
  <c r="AY23" i="37" s="1"/>
  <c r="AV23" i="37"/>
  <c r="AX23" i="37" s="1"/>
  <c r="AS23" i="37"/>
  <c r="AU23" i="37" s="1"/>
  <c r="AR23" i="37"/>
  <c r="AT23" i="37" s="1"/>
  <c r="AH23" i="37"/>
  <c r="L23" i="37"/>
  <c r="K23" i="37"/>
  <c r="AW22" i="37"/>
  <c r="AY22" i="37" s="1"/>
  <c r="AV22" i="37"/>
  <c r="AX22" i="37" s="1"/>
  <c r="AS22" i="37"/>
  <c r="AU22" i="37" s="1"/>
  <c r="AR22" i="37"/>
  <c r="AT22" i="37" s="1"/>
  <c r="AH22" i="37"/>
  <c r="L22" i="37"/>
  <c r="K22" i="37"/>
  <c r="AW21" i="37"/>
  <c r="AY21" i="37" s="1"/>
  <c r="AV21" i="37"/>
  <c r="AX21" i="37" s="1"/>
  <c r="AS21" i="37"/>
  <c r="AU21" i="37" s="1"/>
  <c r="AR21" i="37"/>
  <c r="AT21" i="37" s="1"/>
  <c r="AH21" i="37"/>
  <c r="L21" i="37"/>
  <c r="K21" i="37"/>
  <c r="AW20" i="37"/>
  <c r="AY20" i="37" s="1"/>
  <c r="AV20" i="37"/>
  <c r="AX20" i="37" s="1"/>
  <c r="AS20" i="37"/>
  <c r="AU20" i="37" s="1"/>
  <c r="AR20" i="37"/>
  <c r="AT20" i="37" s="1"/>
  <c r="AH20" i="37"/>
  <c r="L20" i="37"/>
  <c r="K20" i="37"/>
  <c r="AW19" i="37"/>
  <c r="AY19" i="37" s="1"/>
  <c r="AV19" i="37"/>
  <c r="AX19" i="37" s="1"/>
  <c r="AS19" i="37"/>
  <c r="AU19" i="37" s="1"/>
  <c r="AR19" i="37"/>
  <c r="AT19" i="37" s="1"/>
  <c r="AH19" i="37"/>
  <c r="L19" i="37"/>
  <c r="K19" i="37"/>
  <c r="AW18" i="37"/>
  <c r="AY18" i="37" s="1"/>
  <c r="AV18" i="37"/>
  <c r="AX18" i="37" s="1"/>
  <c r="AS18" i="37"/>
  <c r="AU18" i="37" s="1"/>
  <c r="AR18" i="37"/>
  <c r="AT18" i="37" s="1"/>
  <c r="AH18" i="37"/>
  <c r="L18" i="37"/>
  <c r="K18" i="37"/>
  <c r="AW17" i="37"/>
  <c r="AY17" i="37" s="1"/>
  <c r="AV17" i="37"/>
  <c r="AX17" i="37" s="1"/>
  <c r="AS17" i="37"/>
  <c r="AU17" i="37" s="1"/>
  <c r="AR17" i="37"/>
  <c r="AT17" i="37" s="1"/>
  <c r="AH17" i="37"/>
  <c r="L17" i="37"/>
  <c r="K17" i="37"/>
  <c r="AW16" i="37"/>
  <c r="AY16" i="37" s="1"/>
  <c r="AV16" i="37"/>
  <c r="AX16" i="37" s="1"/>
  <c r="AS16" i="37"/>
  <c r="AU16" i="37" s="1"/>
  <c r="AR16" i="37"/>
  <c r="AT16" i="37" s="1"/>
  <c r="AH16" i="37"/>
  <c r="L16" i="37"/>
  <c r="K16" i="37"/>
  <c r="AW15" i="37"/>
  <c r="AY15" i="37" s="1"/>
  <c r="AV15" i="37"/>
  <c r="AX15" i="37" s="1"/>
  <c r="AS15" i="37"/>
  <c r="AU15" i="37" s="1"/>
  <c r="AR15" i="37"/>
  <c r="AT15" i="37" s="1"/>
  <c r="AH15" i="37"/>
  <c r="L15" i="37"/>
  <c r="K15" i="37"/>
  <c r="AW14" i="37"/>
  <c r="AY14" i="37" s="1"/>
  <c r="AV14" i="37"/>
  <c r="AX14" i="37" s="1"/>
  <c r="AS14" i="37"/>
  <c r="AU14" i="37" s="1"/>
  <c r="AR14" i="37"/>
  <c r="AT14" i="37" s="1"/>
  <c r="AH14" i="37"/>
  <c r="L14" i="37"/>
  <c r="K14" i="37"/>
  <c r="AW13" i="37"/>
  <c r="AY13" i="37" s="1"/>
  <c r="AV13" i="37"/>
  <c r="AX13" i="37" s="1"/>
  <c r="AS13" i="37"/>
  <c r="AU13" i="37" s="1"/>
  <c r="AR13" i="37"/>
  <c r="AT13" i="37" s="1"/>
  <c r="AH13" i="37"/>
  <c r="L13" i="37"/>
  <c r="K13" i="37"/>
  <c r="AW12" i="37"/>
  <c r="AY12" i="37" s="1"/>
  <c r="AV12" i="37"/>
  <c r="AX12" i="37" s="1"/>
  <c r="AS12" i="37"/>
  <c r="AU12" i="37" s="1"/>
  <c r="AR12" i="37"/>
  <c r="AT12" i="37" s="1"/>
  <c r="AH12" i="37"/>
  <c r="L12" i="37"/>
  <c r="K12" i="37"/>
  <c r="AW11" i="37"/>
  <c r="AY11" i="37" s="1"/>
  <c r="AV11" i="37"/>
  <c r="AX11" i="37" s="1"/>
  <c r="AS11" i="37"/>
  <c r="AU11" i="37" s="1"/>
  <c r="AR11" i="37"/>
  <c r="AT11" i="37" s="1"/>
  <c r="AH11" i="37"/>
  <c r="L11" i="37"/>
  <c r="K11" i="37"/>
  <c r="AW10" i="37"/>
  <c r="AY10" i="37" s="1"/>
  <c r="AV10" i="37"/>
  <c r="AX10" i="37" s="1"/>
  <c r="AS10" i="37"/>
  <c r="AU10" i="37" s="1"/>
  <c r="AR10" i="37"/>
  <c r="AT10" i="37" s="1"/>
  <c r="AH10" i="37"/>
  <c r="L10" i="37"/>
  <c r="K10" i="37"/>
  <c r="AW9" i="37"/>
  <c r="AY9" i="37" s="1"/>
  <c r="AV9" i="37"/>
  <c r="AX9" i="37" s="1"/>
  <c r="AS9" i="37"/>
  <c r="AU9" i="37" s="1"/>
  <c r="AR9" i="37"/>
  <c r="AT9" i="37" s="1"/>
  <c r="AH9" i="37"/>
  <c r="L9" i="37"/>
  <c r="K9" i="37"/>
  <c r="AW8" i="37"/>
  <c r="AY8" i="37" s="1"/>
  <c r="AV8" i="37"/>
  <c r="AX8" i="37" s="1"/>
  <c r="AS8" i="37"/>
  <c r="AU8" i="37" s="1"/>
  <c r="AR8" i="37"/>
  <c r="AT8" i="37" s="1"/>
  <c r="AH8" i="37"/>
  <c r="L8" i="37"/>
  <c r="K8" i="37"/>
  <c r="AW7" i="37"/>
  <c r="AY7" i="37" s="1"/>
  <c r="AV7" i="37"/>
  <c r="AX7" i="37" s="1"/>
  <c r="AS7" i="37"/>
  <c r="AU7" i="37" s="1"/>
  <c r="AR7" i="37"/>
  <c r="AT7" i="37" s="1"/>
  <c r="AH7" i="37"/>
  <c r="L7" i="37"/>
  <c r="K7" i="37"/>
  <c r="AW6" i="37"/>
  <c r="AY6" i="37" s="1"/>
  <c r="AV6" i="37"/>
  <c r="AX6" i="37" s="1"/>
  <c r="AS6" i="37"/>
  <c r="AU6" i="37" s="1"/>
  <c r="AR6" i="37"/>
  <c r="AT6" i="37" s="1"/>
  <c r="AH6" i="37"/>
  <c r="L6" i="37"/>
  <c r="K6" i="37"/>
  <c r="AW5" i="37"/>
  <c r="AY5" i="37" s="1"/>
  <c r="AV5" i="37"/>
  <c r="AX5" i="37" s="1"/>
  <c r="AU5" i="37"/>
  <c r="AS5" i="37"/>
  <c r="AR5" i="37"/>
  <c r="AT5" i="37" s="1"/>
  <c r="AH5" i="37"/>
  <c r="L5" i="37"/>
  <c r="K5" i="37"/>
  <c r="AW4" i="37"/>
  <c r="AY4" i="37" s="1"/>
  <c r="AV4" i="37"/>
  <c r="AX4" i="37" s="1"/>
  <c r="AS4" i="37"/>
  <c r="AU4" i="37" s="1"/>
  <c r="AR4" i="37"/>
  <c r="AT4" i="37" s="1"/>
  <c r="AH4" i="37"/>
  <c r="L4" i="37"/>
  <c r="K4" i="37"/>
  <c r="AW3" i="37"/>
  <c r="AY3" i="37" s="1"/>
  <c r="AV3" i="37"/>
  <c r="AX3" i="37" s="1"/>
  <c r="AS3" i="37"/>
  <c r="AU3" i="37" s="1"/>
  <c r="AR3" i="37"/>
  <c r="AT3" i="37" s="1"/>
  <c r="AH3" i="37"/>
  <c r="L3" i="37"/>
  <c r="K3" i="37"/>
  <c r="R116" i="36"/>
  <c r="Q116" i="36"/>
  <c r="P116" i="36"/>
  <c r="O116" i="36"/>
  <c r="N116" i="36"/>
  <c r="M116" i="36"/>
  <c r="L116" i="36"/>
  <c r="K116" i="36"/>
  <c r="J116" i="36"/>
  <c r="I116" i="36"/>
  <c r="H116" i="36"/>
  <c r="G116" i="36"/>
  <c r="F116" i="36"/>
  <c r="E116" i="36"/>
  <c r="R113" i="36"/>
  <c r="Q113" i="36"/>
  <c r="P113" i="36"/>
  <c r="O113" i="36"/>
  <c r="L113" i="36"/>
  <c r="K113" i="36"/>
  <c r="J113" i="36"/>
  <c r="I113" i="36"/>
  <c r="F113" i="36"/>
  <c r="E113" i="36"/>
  <c r="R112" i="36"/>
  <c r="Q112" i="36"/>
  <c r="P112" i="36"/>
  <c r="O112" i="36"/>
  <c r="N112" i="36"/>
  <c r="M112" i="36"/>
  <c r="L112" i="36"/>
  <c r="K112" i="36"/>
  <c r="I112" i="36"/>
  <c r="H112" i="36"/>
  <c r="G112" i="36"/>
  <c r="F112" i="36"/>
  <c r="E112" i="36"/>
  <c r="O111" i="36"/>
  <c r="N111" i="36"/>
  <c r="M111" i="36"/>
  <c r="J111" i="36"/>
  <c r="R110" i="36"/>
  <c r="Q110" i="36"/>
  <c r="P110" i="36"/>
  <c r="O110" i="36"/>
  <c r="N110" i="36"/>
  <c r="M110" i="36"/>
  <c r="L110" i="36"/>
  <c r="K110" i="36"/>
  <c r="J110" i="36"/>
  <c r="I110" i="36"/>
  <c r="H110" i="36"/>
  <c r="G110" i="36"/>
  <c r="F110" i="36"/>
  <c r="E110" i="36"/>
  <c r="R107" i="36"/>
  <c r="R119" i="36" s="1"/>
  <c r="Q107" i="36"/>
  <c r="Q119" i="36" s="1"/>
  <c r="P107" i="36"/>
  <c r="P119" i="36" s="1"/>
  <c r="L107" i="36"/>
  <c r="L119" i="36" s="1"/>
  <c r="K107" i="36"/>
  <c r="K119" i="36" s="1"/>
  <c r="J107" i="36"/>
  <c r="J119" i="36" s="1"/>
  <c r="I107" i="36"/>
  <c r="I119" i="36" s="1"/>
  <c r="H107" i="36"/>
  <c r="F107" i="36"/>
  <c r="F119" i="36" s="1"/>
  <c r="E107" i="36"/>
  <c r="R106" i="36"/>
  <c r="R118" i="36" s="1"/>
  <c r="Q106" i="36"/>
  <c r="Q118" i="36" s="1"/>
  <c r="P106" i="36"/>
  <c r="P118" i="36" s="1"/>
  <c r="O106" i="36"/>
  <c r="O118" i="36" s="1"/>
  <c r="N106" i="36"/>
  <c r="N118" i="36" s="1"/>
  <c r="M106" i="36"/>
  <c r="M118" i="36" s="1"/>
  <c r="L106" i="36"/>
  <c r="L118" i="36" s="1"/>
  <c r="K106" i="36"/>
  <c r="K118" i="36" s="1"/>
  <c r="I106" i="36"/>
  <c r="I118" i="36" s="1"/>
  <c r="H106" i="36"/>
  <c r="H118" i="36" s="1"/>
  <c r="G106" i="36"/>
  <c r="G118" i="36" s="1"/>
  <c r="F106" i="36"/>
  <c r="F118" i="36" s="1"/>
  <c r="E106" i="36"/>
  <c r="T106" i="36" s="1"/>
  <c r="D106" i="36"/>
  <c r="Q105" i="36"/>
  <c r="P105" i="36"/>
  <c r="O105" i="36"/>
  <c r="O117" i="36" s="1"/>
  <c r="N105" i="36"/>
  <c r="N117" i="36" s="1"/>
  <c r="M105" i="36"/>
  <c r="M117" i="36" s="1"/>
  <c r="J105" i="36"/>
  <c r="J117" i="36" s="1"/>
  <c r="I105" i="36"/>
  <c r="H105" i="36"/>
  <c r="E105" i="36"/>
  <c r="D105" i="36"/>
  <c r="R104" i="36"/>
  <c r="Q104" i="36"/>
  <c r="P104" i="36"/>
  <c r="O104" i="36"/>
  <c r="N104" i="36"/>
  <c r="M104" i="36"/>
  <c r="L104" i="36"/>
  <c r="K104" i="36"/>
  <c r="J104" i="36"/>
  <c r="I104" i="36"/>
  <c r="H104" i="36"/>
  <c r="G104" i="36"/>
  <c r="F104" i="36"/>
  <c r="E104" i="36"/>
  <c r="R99" i="36"/>
  <c r="Q99" i="36"/>
  <c r="P99" i="36"/>
  <c r="L99" i="36"/>
  <c r="K99" i="36"/>
  <c r="J99" i="36"/>
  <c r="I99" i="36"/>
  <c r="F99" i="36"/>
  <c r="E99" i="36"/>
  <c r="R98" i="36"/>
  <c r="Q98" i="36"/>
  <c r="P98" i="36"/>
  <c r="O98" i="36"/>
  <c r="N98" i="36"/>
  <c r="M98" i="36"/>
  <c r="L98" i="36"/>
  <c r="K98" i="36"/>
  <c r="I98" i="36"/>
  <c r="H98" i="36"/>
  <c r="G98" i="36"/>
  <c r="F98" i="36"/>
  <c r="E98" i="36"/>
  <c r="O97" i="36"/>
  <c r="N97" i="36"/>
  <c r="M97" i="36"/>
  <c r="J97" i="36"/>
  <c r="R96" i="36"/>
  <c r="Q96" i="36"/>
  <c r="P96" i="36"/>
  <c r="O96" i="36"/>
  <c r="N96" i="36"/>
  <c r="M96" i="36"/>
  <c r="L96" i="36"/>
  <c r="K96" i="36"/>
  <c r="J96" i="36"/>
  <c r="I96" i="36"/>
  <c r="H96" i="36"/>
  <c r="G96" i="36"/>
  <c r="F96" i="36"/>
  <c r="E96" i="36"/>
  <c r="O93" i="36"/>
  <c r="O94" i="36" s="1"/>
  <c r="N93" i="36"/>
  <c r="N94" i="36" s="1"/>
  <c r="M93" i="36"/>
  <c r="M94" i="36" s="1"/>
  <c r="H93" i="36"/>
  <c r="G93" i="36"/>
  <c r="G99" i="36" s="1"/>
  <c r="D93" i="36"/>
  <c r="J92" i="36"/>
  <c r="D92" i="36"/>
  <c r="R91" i="36"/>
  <c r="R94" i="36" s="1"/>
  <c r="Q91" i="36"/>
  <c r="Q94" i="36" s="1"/>
  <c r="P91" i="36"/>
  <c r="P94" i="36" s="1"/>
  <c r="L91" i="36"/>
  <c r="L94" i="36" s="1"/>
  <c r="K91" i="36"/>
  <c r="K94" i="36" s="1"/>
  <c r="I91" i="36"/>
  <c r="I94" i="36" s="1"/>
  <c r="H91" i="36"/>
  <c r="G91" i="36"/>
  <c r="F91" i="36"/>
  <c r="F94" i="36" s="1"/>
  <c r="E91" i="36"/>
  <c r="E94" i="36" s="1"/>
  <c r="D91" i="36"/>
  <c r="R90" i="36"/>
  <c r="Q90" i="36"/>
  <c r="P90" i="36"/>
  <c r="O90" i="36"/>
  <c r="N90" i="36"/>
  <c r="M90" i="36"/>
  <c r="L90" i="36"/>
  <c r="K90" i="36"/>
  <c r="J90" i="36"/>
  <c r="I90" i="36"/>
  <c r="H90" i="36"/>
  <c r="G90" i="36"/>
  <c r="F90" i="36"/>
  <c r="E90" i="36"/>
  <c r="Q88" i="36"/>
  <c r="P88" i="36"/>
  <c r="I88" i="36"/>
  <c r="H88" i="36"/>
  <c r="E88" i="36"/>
  <c r="O87" i="36"/>
  <c r="O88" i="36" s="1"/>
  <c r="N87" i="36"/>
  <c r="N88" i="36" s="1"/>
  <c r="M87" i="36"/>
  <c r="H87" i="36"/>
  <c r="G87" i="36"/>
  <c r="D87" i="36"/>
  <c r="T86" i="36"/>
  <c r="J86" i="36"/>
  <c r="J88" i="36" s="1"/>
  <c r="D86" i="36"/>
  <c r="R85" i="36"/>
  <c r="R88" i="36" s="1"/>
  <c r="Q85" i="36"/>
  <c r="P85" i="36"/>
  <c r="L85" i="36"/>
  <c r="K85" i="36"/>
  <c r="I85" i="36"/>
  <c r="H85" i="36"/>
  <c r="G85" i="36"/>
  <c r="F85" i="36"/>
  <c r="F88" i="36" s="1"/>
  <c r="E85" i="36"/>
  <c r="D85" i="36"/>
  <c r="R84" i="36"/>
  <c r="Q84" i="36"/>
  <c r="P84" i="36"/>
  <c r="O84" i="36"/>
  <c r="N84" i="36"/>
  <c r="M84" i="36"/>
  <c r="L84" i="36"/>
  <c r="K84" i="36"/>
  <c r="J84" i="36"/>
  <c r="I84" i="36"/>
  <c r="H84" i="36"/>
  <c r="G84" i="36"/>
  <c r="F84" i="36"/>
  <c r="E84" i="36"/>
  <c r="R80" i="36"/>
  <c r="Q80" i="36"/>
  <c r="P80" i="36"/>
  <c r="L80" i="36"/>
  <c r="K80" i="36"/>
  <c r="J80" i="36"/>
  <c r="I80" i="36"/>
  <c r="F80" i="36"/>
  <c r="E80" i="36"/>
  <c r="R79" i="36"/>
  <c r="Q79" i="36"/>
  <c r="P79" i="36"/>
  <c r="O79" i="36"/>
  <c r="N79" i="36"/>
  <c r="M79" i="36"/>
  <c r="L79" i="36"/>
  <c r="K79" i="36"/>
  <c r="I79" i="36"/>
  <c r="H79" i="36"/>
  <c r="G79" i="36"/>
  <c r="F79" i="36"/>
  <c r="E79" i="36"/>
  <c r="O78" i="36"/>
  <c r="N78" i="36"/>
  <c r="M78" i="36"/>
  <c r="J78" i="36"/>
  <c r="O74" i="36"/>
  <c r="O75" i="36" s="1"/>
  <c r="N74" i="36"/>
  <c r="N75" i="36" s="1"/>
  <c r="M74" i="36"/>
  <c r="H74" i="36"/>
  <c r="H80" i="36" s="1"/>
  <c r="G74" i="36"/>
  <c r="D74" i="36"/>
  <c r="J73" i="36"/>
  <c r="D73" i="36"/>
  <c r="D79" i="36" s="1"/>
  <c r="R72" i="36"/>
  <c r="R75" i="36" s="1"/>
  <c r="Q72" i="36"/>
  <c r="P72" i="36"/>
  <c r="L72" i="36"/>
  <c r="K72" i="36"/>
  <c r="I72" i="36"/>
  <c r="H72" i="36"/>
  <c r="G72" i="36"/>
  <c r="F72" i="36"/>
  <c r="F75" i="36" s="1"/>
  <c r="E72" i="36"/>
  <c r="D72" i="36"/>
  <c r="R71" i="36"/>
  <c r="Q71" i="36"/>
  <c r="P71" i="36"/>
  <c r="O71" i="36"/>
  <c r="N71" i="36"/>
  <c r="M71" i="36"/>
  <c r="L71" i="36"/>
  <c r="K71" i="36"/>
  <c r="J71" i="36"/>
  <c r="I71" i="36"/>
  <c r="H71" i="36"/>
  <c r="G71" i="36"/>
  <c r="F71" i="36"/>
  <c r="E71" i="36"/>
  <c r="Q69" i="36"/>
  <c r="P69" i="36"/>
  <c r="L69" i="36"/>
  <c r="I69" i="36"/>
  <c r="H69" i="36"/>
  <c r="E69" i="36"/>
  <c r="D69" i="36"/>
  <c r="O68" i="36"/>
  <c r="O107" i="36" s="1"/>
  <c r="N68" i="36"/>
  <c r="M68" i="36"/>
  <c r="M107" i="36" s="1"/>
  <c r="H68" i="36"/>
  <c r="G68" i="36"/>
  <c r="G107" i="36" s="1"/>
  <c r="D68" i="36"/>
  <c r="D107" i="36" s="1"/>
  <c r="T67" i="36"/>
  <c r="J67" i="36"/>
  <c r="J106" i="36" s="1"/>
  <c r="D67" i="36"/>
  <c r="R66" i="36"/>
  <c r="Q66" i="36"/>
  <c r="P66" i="36"/>
  <c r="L66" i="36"/>
  <c r="L105" i="36" s="1"/>
  <c r="K66" i="36"/>
  <c r="I66" i="36"/>
  <c r="H66" i="36"/>
  <c r="G66" i="36"/>
  <c r="F66" i="36"/>
  <c r="T66" i="36" s="1"/>
  <c r="E66" i="36"/>
  <c r="D66" i="36"/>
  <c r="AW60" i="36"/>
  <c r="AY60" i="36" s="1"/>
  <c r="AV60" i="36"/>
  <c r="AX60" i="36" s="1"/>
  <c r="AS60" i="36"/>
  <c r="AU60" i="36" s="1"/>
  <c r="AR60" i="36"/>
  <c r="AT60" i="36" s="1"/>
  <c r="AH60" i="36"/>
  <c r="L60" i="36"/>
  <c r="K60" i="36"/>
  <c r="AW59" i="36"/>
  <c r="AY59" i="36" s="1"/>
  <c r="AV59" i="36"/>
  <c r="AX59" i="36" s="1"/>
  <c r="AS59" i="36"/>
  <c r="AU59" i="36" s="1"/>
  <c r="AR59" i="36"/>
  <c r="AT59" i="36" s="1"/>
  <c r="AH59" i="36"/>
  <c r="L59" i="36"/>
  <c r="K59" i="36"/>
  <c r="AW58" i="36"/>
  <c r="AY58" i="36" s="1"/>
  <c r="AV58" i="36"/>
  <c r="AX58" i="36" s="1"/>
  <c r="AS58" i="36"/>
  <c r="AU58" i="36" s="1"/>
  <c r="AR58" i="36"/>
  <c r="AT58" i="36" s="1"/>
  <c r="AH58" i="36"/>
  <c r="L58" i="36"/>
  <c r="K58" i="36"/>
  <c r="AW57" i="36"/>
  <c r="AY57" i="36" s="1"/>
  <c r="AV57" i="36"/>
  <c r="AX57" i="36" s="1"/>
  <c r="AS57" i="36"/>
  <c r="AU57" i="36" s="1"/>
  <c r="AR57" i="36"/>
  <c r="AT57" i="36" s="1"/>
  <c r="AH57" i="36"/>
  <c r="L57" i="36"/>
  <c r="K57" i="36"/>
  <c r="AW56" i="36"/>
  <c r="AY56" i="36" s="1"/>
  <c r="AV56" i="36"/>
  <c r="AX56" i="36" s="1"/>
  <c r="AS56" i="36"/>
  <c r="AU56" i="36" s="1"/>
  <c r="AR56" i="36"/>
  <c r="AT56" i="36" s="1"/>
  <c r="AH56" i="36"/>
  <c r="L56" i="36"/>
  <c r="K56" i="36"/>
  <c r="AW55" i="36"/>
  <c r="AY55" i="36" s="1"/>
  <c r="AV55" i="36"/>
  <c r="AX55" i="36" s="1"/>
  <c r="AT55" i="36"/>
  <c r="AS55" i="36"/>
  <c r="AU55" i="36" s="1"/>
  <c r="AR55" i="36"/>
  <c r="AH55" i="36"/>
  <c r="L55" i="36"/>
  <c r="K55" i="36"/>
  <c r="AW54" i="36"/>
  <c r="AY54" i="36" s="1"/>
  <c r="AV54" i="36"/>
  <c r="AX54" i="36" s="1"/>
  <c r="AS54" i="36"/>
  <c r="AU54" i="36" s="1"/>
  <c r="AR54" i="36"/>
  <c r="AT54" i="36" s="1"/>
  <c r="AH54" i="36"/>
  <c r="L54" i="36"/>
  <c r="K54" i="36"/>
  <c r="AW53" i="36"/>
  <c r="AY53" i="36" s="1"/>
  <c r="AV53" i="36"/>
  <c r="AX53" i="36" s="1"/>
  <c r="AS53" i="36"/>
  <c r="AU53" i="36" s="1"/>
  <c r="AR53" i="36"/>
  <c r="AT53" i="36" s="1"/>
  <c r="AH53" i="36"/>
  <c r="L53" i="36"/>
  <c r="K53" i="36"/>
  <c r="AW52" i="36"/>
  <c r="AY52" i="36" s="1"/>
  <c r="AV52" i="36"/>
  <c r="AX52" i="36" s="1"/>
  <c r="AS52" i="36"/>
  <c r="AU52" i="36" s="1"/>
  <c r="AR52" i="36"/>
  <c r="AT52" i="36" s="1"/>
  <c r="AH52" i="36"/>
  <c r="L52" i="36"/>
  <c r="K52" i="36"/>
  <c r="AW51" i="36"/>
  <c r="AY51" i="36" s="1"/>
  <c r="AV51" i="36"/>
  <c r="AX51" i="36" s="1"/>
  <c r="AS51" i="36"/>
  <c r="AU51" i="36" s="1"/>
  <c r="AR51" i="36"/>
  <c r="AT51" i="36" s="1"/>
  <c r="AH51" i="36"/>
  <c r="L51" i="36"/>
  <c r="K51" i="36"/>
  <c r="AW50" i="36"/>
  <c r="AY50" i="36" s="1"/>
  <c r="AV50" i="36"/>
  <c r="AX50" i="36" s="1"/>
  <c r="AS50" i="36"/>
  <c r="AU50" i="36" s="1"/>
  <c r="AR50" i="36"/>
  <c r="AT50" i="36" s="1"/>
  <c r="AH50" i="36"/>
  <c r="L50" i="36"/>
  <c r="K50" i="36"/>
  <c r="AW49" i="36"/>
  <c r="AY49" i="36" s="1"/>
  <c r="AV49" i="36"/>
  <c r="AX49" i="36" s="1"/>
  <c r="AS49" i="36"/>
  <c r="AU49" i="36" s="1"/>
  <c r="AR49" i="36"/>
  <c r="AT49" i="36" s="1"/>
  <c r="AH49" i="36"/>
  <c r="L49" i="36"/>
  <c r="K49" i="36"/>
  <c r="AW48" i="36"/>
  <c r="AY48" i="36" s="1"/>
  <c r="AV48" i="36"/>
  <c r="AX48" i="36" s="1"/>
  <c r="AS48" i="36"/>
  <c r="AU48" i="36" s="1"/>
  <c r="AR48" i="36"/>
  <c r="AT48" i="36" s="1"/>
  <c r="AH48" i="36"/>
  <c r="L48" i="36"/>
  <c r="K48" i="36"/>
  <c r="AW47" i="36"/>
  <c r="AY47" i="36" s="1"/>
  <c r="AV47" i="36"/>
  <c r="AX47" i="36" s="1"/>
  <c r="AS47" i="36"/>
  <c r="AU47" i="36" s="1"/>
  <c r="AR47" i="36"/>
  <c r="AT47" i="36" s="1"/>
  <c r="AH47" i="36"/>
  <c r="L47" i="36"/>
  <c r="K47" i="36"/>
  <c r="AW46" i="36"/>
  <c r="AY46" i="36" s="1"/>
  <c r="AV46" i="36"/>
  <c r="AX46" i="36" s="1"/>
  <c r="AS46" i="36"/>
  <c r="AU46" i="36" s="1"/>
  <c r="AR46" i="36"/>
  <c r="AT46" i="36" s="1"/>
  <c r="AH46" i="36"/>
  <c r="L46" i="36"/>
  <c r="K46" i="36"/>
  <c r="AW45" i="36"/>
  <c r="AY45" i="36" s="1"/>
  <c r="AV45" i="36"/>
  <c r="AX45" i="36" s="1"/>
  <c r="AS45" i="36"/>
  <c r="AU45" i="36" s="1"/>
  <c r="AR45" i="36"/>
  <c r="AT45" i="36" s="1"/>
  <c r="AH45" i="36"/>
  <c r="L45" i="36"/>
  <c r="K45" i="36"/>
  <c r="AW44" i="36"/>
  <c r="AY44" i="36" s="1"/>
  <c r="AV44" i="36"/>
  <c r="AX44" i="36" s="1"/>
  <c r="AS44" i="36"/>
  <c r="AU44" i="36" s="1"/>
  <c r="AR44" i="36"/>
  <c r="AT44" i="36" s="1"/>
  <c r="AH44" i="36"/>
  <c r="L44" i="36"/>
  <c r="K44" i="36"/>
  <c r="AW43" i="36"/>
  <c r="AY43" i="36" s="1"/>
  <c r="AV43" i="36"/>
  <c r="AX43" i="36" s="1"/>
  <c r="AS43" i="36"/>
  <c r="AU43" i="36" s="1"/>
  <c r="AR43" i="36"/>
  <c r="AT43" i="36" s="1"/>
  <c r="AH43" i="36"/>
  <c r="L43" i="36"/>
  <c r="K43" i="36"/>
  <c r="AW42" i="36"/>
  <c r="AY42" i="36" s="1"/>
  <c r="AV42" i="36"/>
  <c r="AX42" i="36" s="1"/>
  <c r="AS42" i="36"/>
  <c r="AU42" i="36" s="1"/>
  <c r="AR42" i="36"/>
  <c r="AT42" i="36" s="1"/>
  <c r="AH42" i="36"/>
  <c r="L42" i="36"/>
  <c r="K42" i="36"/>
  <c r="AW41" i="36"/>
  <c r="AY41" i="36" s="1"/>
  <c r="AV41" i="36"/>
  <c r="AX41" i="36" s="1"/>
  <c r="AS41" i="36"/>
  <c r="AU41" i="36" s="1"/>
  <c r="AR41" i="36"/>
  <c r="AT41" i="36" s="1"/>
  <c r="AH41" i="36"/>
  <c r="L41" i="36"/>
  <c r="K41" i="36"/>
  <c r="AW40" i="36"/>
  <c r="AY40" i="36" s="1"/>
  <c r="AV40" i="36"/>
  <c r="AX40" i="36" s="1"/>
  <c r="AS40" i="36"/>
  <c r="AU40" i="36" s="1"/>
  <c r="AR40" i="36"/>
  <c r="AT40" i="36" s="1"/>
  <c r="AH40" i="36"/>
  <c r="L40" i="36"/>
  <c r="K40" i="36"/>
  <c r="AW39" i="36"/>
  <c r="AY39" i="36" s="1"/>
  <c r="AV39" i="36"/>
  <c r="AX39" i="36" s="1"/>
  <c r="AS39" i="36"/>
  <c r="AU39" i="36" s="1"/>
  <c r="AR39" i="36"/>
  <c r="AT39" i="36" s="1"/>
  <c r="AH39" i="36"/>
  <c r="L39" i="36"/>
  <c r="K39" i="36"/>
  <c r="AW38" i="36"/>
  <c r="AY38" i="36" s="1"/>
  <c r="AV38" i="36"/>
  <c r="AX38" i="36" s="1"/>
  <c r="AS38" i="36"/>
  <c r="AU38" i="36" s="1"/>
  <c r="AR38" i="36"/>
  <c r="AT38" i="36" s="1"/>
  <c r="AH38" i="36"/>
  <c r="L38" i="36"/>
  <c r="K38" i="36"/>
  <c r="AW37" i="36"/>
  <c r="AY37" i="36" s="1"/>
  <c r="AV37" i="36"/>
  <c r="AX37" i="36" s="1"/>
  <c r="AU37" i="36"/>
  <c r="AS37" i="36"/>
  <c r="AR37" i="36"/>
  <c r="AT37" i="36" s="1"/>
  <c r="AH37" i="36"/>
  <c r="L37" i="36"/>
  <c r="K37" i="36"/>
  <c r="AW36" i="36"/>
  <c r="AY36" i="36" s="1"/>
  <c r="AV36" i="36"/>
  <c r="AX36" i="36" s="1"/>
  <c r="AS36" i="36"/>
  <c r="AU36" i="36" s="1"/>
  <c r="AR36" i="36"/>
  <c r="AT36" i="36" s="1"/>
  <c r="AH36" i="36"/>
  <c r="L36" i="36"/>
  <c r="K36" i="36"/>
  <c r="AW35" i="36"/>
  <c r="AY35" i="36" s="1"/>
  <c r="AV35" i="36"/>
  <c r="AX35" i="36" s="1"/>
  <c r="AT35" i="36"/>
  <c r="AS35" i="36"/>
  <c r="AU35" i="36" s="1"/>
  <c r="AR35" i="36"/>
  <c r="AH35" i="36"/>
  <c r="L35" i="36"/>
  <c r="K35" i="36"/>
  <c r="AW34" i="36"/>
  <c r="AY34" i="36" s="1"/>
  <c r="AV34" i="36"/>
  <c r="AX34" i="36" s="1"/>
  <c r="AS34" i="36"/>
  <c r="AU34" i="36" s="1"/>
  <c r="AR34" i="36"/>
  <c r="AT34" i="36" s="1"/>
  <c r="AH34" i="36"/>
  <c r="L34" i="36"/>
  <c r="K34" i="36"/>
  <c r="AY33" i="36"/>
  <c r="AW33" i="36"/>
  <c r="AV33" i="36"/>
  <c r="AX33" i="36" s="1"/>
  <c r="AS33" i="36"/>
  <c r="AU33" i="36" s="1"/>
  <c r="AR33" i="36"/>
  <c r="AT33" i="36" s="1"/>
  <c r="AH33" i="36"/>
  <c r="L33" i="36"/>
  <c r="K33" i="36"/>
  <c r="AW32" i="36"/>
  <c r="AY32" i="36" s="1"/>
  <c r="AV32" i="36"/>
  <c r="AX32" i="36" s="1"/>
  <c r="AS32" i="36"/>
  <c r="AU32" i="36" s="1"/>
  <c r="AR32" i="36"/>
  <c r="AT32" i="36" s="1"/>
  <c r="AH32" i="36"/>
  <c r="L32" i="36"/>
  <c r="K32" i="36"/>
  <c r="AW31" i="36"/>
  <c r="AY31" i="36" s="1"/>
  <c r="AV31" i="36"/>
  <c r="AX31" i="36" s="1"/>
  <c r="AS31" i="36"/>
  <c r="AU31" i="36" s="1"/>
  <c r="AR31" i="36"/>
  <c r="AT31" i="36" s="1"/>
  <c r="AH31" i="36"/>
  <c r="L31" i="36"/>
  <c r="K31" i="36"/>
  <c r="AW30" i="36"/>
  <c r="AY30" i="36" s="1"/>
  <c r="AV30" i="36"/>
  <c r="AX30" i="36" s="1"/>
  <c r="AS30" i="36"/>
  <c r="AU30" i="36" s="1"/>
  <c r="AR30" i="36"/>
  <c r="AT30" i="36" s="1"/>
  <c r="AH30" i="36"/>
  <c r="L30" i="36"/>
  <c r="K30" i="36"/>
  <c r="AY29" i="36"/>
  <c r="AW29" i="36"/>
  <c r="AV29" i="36"/>
  <c r="AX29" i="36" s="1"/>
  <c r="AS29" i="36"/>
  <c r="AU29" i="36" s="1"/>
  <c r="AR29" i="36"/>
  <c r="AT29" i="36" s="1"/>
  <c r="AH29" i="36"/>
  <c r="L29" i="36"/>
  <c r="K29" i="36"/>
  <c r="AW28" i="36"/>
  <c r="AY28" i="36" s="1"/>
  <c r="AV28" i="36"/>
  <c r="AX28" i="36" s="1"/>
  <c r="AS28" i="36"/>
  <c r="AU28" i="36" s="1"/>
  <c r="AR28" i="36"/>
  <c r="AT28" i="36" s="1"/>
  <c r="AH28" i="36"/>
  <c r="L28" i="36"/>
  <c r="K28" i="36"/>
  <c r="AW27" i="36"/>
  <c r="AY27" i="36" s="1"/>
  <c r="AV27" i="36"/>
  <c r="AX27" i="36" s="1"/>
  <c r="AS27" i="36"/>
  <c r="AU27" i="36" s="1"/>
  <c r="AR27" i="36"/>
  <c r="AT27" i="36" s="1"/>
  <c r="AH27" i="36"/>
  <c r="L27" i="36"/>
  <c r="K27" i="36"/>
  <c r="AW26" i="36"/>
  <c r="AY26" i="36" s="1"/>
  <c r="AV26" i="36"/>
  <c r="AX26" i="36" s="1"/>
  <c r="AS26" i="36"/>
  <c r="AU26" i="36" s="1"/>
  <c r="AR26" i="36"/>
  <c r="AT26" i="36" s="1"/>
  <c r="AH26" i="36"/>
  <c r="L26" i="36"/>
  <c r="K26" i="36"/>
  <c r="AW25" i="36"/>
  <c r="AY25" i="36" s="1"/>
  <c r="AV25" i="36"/>
  <c r="AX25" i="36" s="1"/>
  <c r="AS25" i="36"/>
  <c r="AU25" i="36" s="1"/>
  <c r="AR25" i="36"/>
  <c r="AT25" i="36" s="1"/>
  <c r="AH25" i="36"/>
  <c r="L25" i="36"/>
  <c r="K25" i="36"/>
  <c r="AW24" i="36"/>
  <c r="AY24" i="36" s="1"/>
  <c r="AV24" i="36"/>
  <c r="AX24" i="36" s="1"/>
  <c r="AT24" i="36"/>
  <c r="AS24" i="36"/>
  <c r="AU24" i="36" s="1"/>
  <c r="AR24" i="36"/>
  <c r="AH24" i="36"/>
  <c r="L24" i="36"/>
  <c r="K24" i="36"/>
  <c r="AW23" i="36"/>
  <c r="AY23" i="36" s="1"/>
  <c r="AV23" i="36"/>
  <c r="AX23" i="36" s="1"/>
  <c r="AT23" i="36"/>
  <c r="AS23" i="36"/>
  <c r="AU23" i="36" s="1"/>
  <c r="AR23" i="36"/>
  <c r="AH23" i="36"/>
  <c r="L23" i="36"/>
  <c r="K23" i="36"/>
  <c r="AW22" i="36"/>
  <c r="AY22" i="36" s="1"/>
  <c r="AV22" i="36"/>
  <c r="AX22" i="36" s="1"/>
  <c r="AS22" i="36"/>
  <c r="AU22" i="36" s="1"/>
  <c r="AR22" i="36"/>
  <c r="AT22" i="36" s="1"/>
  <c r="AH22" i="36"/>
  <c r="L22" i="36"/>
  <c r="K22" i="36"/>
  <c r="AW21" i="36"/>
  <c r="AY21" i="36" s="1"/>
  <c r="AV21" i="36"/>
  <c r="AX21" i="36" s="1"/>
  <c r="AS21" i="36"/>
  <c r="AU21" i="36" s="1"/>
  <c r="AR21" i="36"/>
  <c r="AT21" i="36" s="1"/>
  <c r="AH21" i="36"/>
  <c r="L21" i="36"/>
  <c r="K21" i="36"/>
  <c r="AW20" i="36"/>
  <c r="AY20" i="36" s="1"/>
  <c r="AV20" i="36"/>
  <c r="AX20" i="36" s="1"/>
  <c r="AS20" i="36"/>
  <c r="AU20" i="36" s="1"/>
  <c r="AR20" i="36"/>
  <c r="AT20" i="36" s="1"/>
  <c r="AH20" i="36"/>
  <c r="L20" i="36"/>
  <c r="K20" i="36"/>
  <c r="AW19" i="36"/>
  <c r="AY19" i="36" s="1"/>
  <c r="AV19" i="36"/>
  <c r="AX19" i="36" s="1"/>
  <c r="AS19" i="36"/>
  <c r="AU19" i="36" s="1"/>
  <c r="AR19" i="36"/>
  <c r="AT19" i="36" s="1"/>
  <c r="AH19" i="36"/>
  <c r="L19" i="36"/>
  <c r="K19" i="36"/>
  <c r="AW18" i="36"/>
  <c r="AY18" i="36" s="1"/>
  <c r="AV18" i="36"/>
  <c r="AX18" i="36" s="1"/>
  <c r="AS18" i="36"/>
  <c r="AU18" i="36" s="1"/>
  <c r="AR18" i="36"/>
  <c r="AT18" i="36" s="1"/>
  <c r="AH18" i="36"/>
  <c r="L18" i="36"/>
  <c r="K18" i="36"/>
  <c r="AW17" i="36"/>
  <c r="AY17" i="36" s="1"/>
  <c r="AV17" i="36"/>
  <c r="AX17" i="36" s="1"/>
  <c r="AS17" i="36"/>
  <c r="AU17" i="36" s="1"/>
  <c r="AR17" i="36"/>
  <c r="AT17" i="36" s="1"/>
  <c r="AH17" i="36"/>
  <c r="L17" i="36"/>
  <c r="K17" i="36"/>
  <c r="AW16" i="36"/>
  <c r="AY16" i="36" s="1"/>
  <c r="AV16" i="36"/>
  <c r="AX16" i="36" s="1"/>
  <c r="AS16" i="36"/>
  <c r="AU16" i="36" s="1"/>
  <c r="AR16" i="36"/>
  <c r="AT16" i="36" s="1"/>
  <c r="AH16" i="36"/>
  <c r="L16" i="36"/>
  <c r="K16" i="36"/>
  <c r="AW15" i="36"/>
  <c r="AY15" i="36" s="1"/>
  <c r="AV15" i="36"/>
  <c r="AX15" i="36" s="1"/>
  <c r="AS15" i="36"/>
  <c r="AU15" i="36" s="1"/>
  <c r="AR15" i="36"/>
  <c r="AT15" i="36" s="1"/>
  <c r="AH15" i="36"/>
  <c r="L15" i="36"/>
  <c r="K15" i="36"/>
  <c r="AW14" i="36"/>
  <c r="AY14" i="36" s="1"/>
  <c r="AV14" i="36"/>
  <c r="AX14" i="36" s="1"/>
  <c r="AS14" i="36"/>
  <c r="AU14" i="36" s="1"/>
  <c r="AR14" i="36"/>
  <c r="AT14" i="36" s="1"/>
  <c r="AH14" i="36"/>
  <c r="L14" i="36"/>
  <c r="K14" i="36"/>
  <c r="AW13" i="36"/>
  <c r="AY13" i="36" s="1"/>
  <c r="AV13" i="36"/>
  <c r="AX13" i="36" s="1"/>
  <c r="AS13" i="36"/>
  <c r="AU13" i="36" s="1"/>
  <c r="AR13" i="36"/>
  <c r="AT13" i="36" s="1"/>
  <c r="AH13" i="36"/>
  <c r="L13" i="36"/>
  <c r="K13" i="36"/>
  <c r="AW12" i="36"/>
  <c r="AY12" i="36" s="1"/>
  <c r="AV12" i="36"/>
  <c r="AX12" i="36" s="1"/>
  <c r="AS12" i="36"/>
  <c r="AU12" i="36" s="1"/>
  <c r="AR12" i="36"/>
  <c r="AT12" i="36" s="1"/>
  <c r="AH12" i="36"/>
  <c r="L12" i="36"/>
  <c r="K12" i="36"/>
  <c r="AW11" i="36"/>
  <c r="AY11" i="36" s="1"/>
  <c r="AV11" i="36"/>
  <c r="AX11" i="36" s="1"/>
  <c r="AS11" i="36"/>
  <c r="AU11" i="36" s="1"/>
  <c r="AR11" i="36"/>
  <c r="AT11" i="36" s="1"/>
  <c r="AH11" i="36"/>
  <c r="L11" i="36"/>
  <c r="K11" i="36"/>
  <c r="AW10" i="36"/>
  <c r="AY10" i="36" s="1"/>
  <c r="AV10" i="36"/>
  <c r="AX10" i="36" s="1"/>
  <c r="AS10" i="36"/>
  <c r="AU10" i="36" s="1"/>
  <c r="AR10" i="36"/>
  <c r="AT10" i="36" s="1"/>
  <c r="AH10" i="36"/>
  <c r="L10" i="36"/>
  <c r="K10" i="36"/>
  <c r="AW9" i="36"/>
  <c r="AY9" i="36" s="1"/>
  <c r="AV9" i="36"/>
  <c r="AX9" i="36" s="1"/>
  <c r="AS9" i="36"/>
  <c r="AU9" i="36" s="1"/>
  <c r="AR9" i="36"/>
  <c r="AT9" i="36" s="1"/>
  <c r="AH9" i="36"/>
  <c r="L9" i="36"/>
  <c r="K9" i="36"/>
  <c r="AW8" i="36"/>
  <c r="AY8" i="36" s="1"/>
  <c r="AV8" i="36"/>
  <c r="AX8" i="36" s="1"/>
  <c r="AS8" i="36"/>
  <c r="AU8" i="36" s="1"/>
  <c r="AR8" i="36"/>
  <c r="AT8" i="36" s="1"/>
  <c r="AH8" i="36"/>
  <c r="L8" i="36"/>
  <c r="K8" i="36"/>
  <c r="AW7" i="36"/>
  <c r="AY7" i="36" s="1"/>
  <c r="AV7" i="36"/>
  <c r="AX7" i="36" s="1"/>
  <c r="AS7" i="36"/>
  <c r="AU7" i="36" s="1"/>
  <c r="AR7" i="36"/>
  <c r="AT7" i="36" s="1"/>
  <c r="AH7" i="36"/>
  <c r="L7" i="36"/>
  <c r="K7" i="36"/>
  <c r="AW6" i="36"/>
  <c r="AY6" i="36" s="1"/>
  <c r="AV6" i="36"/>
  <c r="AX6" i="36" s="1"/>
  <c r="AS6" i="36"/>
  <c r="AU6" i="36" s="1"/>
  <c r="AR6" i="36"/>
  <c r="AT6" i="36" s="1"/>
  <c r="AH6" i="36"/>
  <c r="L6" i="36"/>
  <c r="K6" i="36"/>
  <c r="AW5" i="36"/>
  <c r="AY5" i="36" s="1"/>
  <c r="AV5" i="36"/>
  <c r="AX5" i="36" s="1"/>
  <c r="AS5" i="36"/>
  <c r="AU5" i="36" s="1"/>
  <c r="AR5" i="36"/>
  <c r="AT5" i="36" s="1"/>
  <c r="AH5" i="36"/>
  <c r="L5" i="36"/>
  <c r="K5" i="36"/>
  <c r="AW4" i="36"/>
  <c r="AY4" i="36" s="1"/>
  <c r="AV4" i="36"/>
  <c r="AX4" i="36" s="1"/>
  <c r="AS4" i="36"/>
  <c r="AU4" i="36" s="1"/>
  <c r="AR4" i="36"/>
  <c r="AT4" i="36" s="1"/>
  <c r="AH4" i="36"/>
  <c r="L4" i="36"/>
  <c r="K4" i="36"/>
  <c r="AW3" i="36"/>
  <c r="AY3" i="36" s="1"/>
  <c r="AV3" i="36"/>
  <c r="AX3" i="36" s="1"/>
  <c r="AS3" i="36"/>
  <c r="AU3" i="36" s="1"/>
  <c r="AR3" i="36"/>
  <c r="AT3" i="36" s="1"/>
  <c r="AH3" i="36"/>
  <c r="L3" i="36"/>
  <c r="K3" i="36"/>
  <c r="L119" i="35"/>
  <c r="E118" i="35"/>
  <c r="R116" i="35"/>
  <c r="Q116" i="35"/>
  <c r="P116" i="35"/>
  <c r="O116" i="35"/>
  <c r="N116" i="35"/>
  <c r="M116" i="35"/>
  <c r="L116" i="35"/>
  <c r="K116" i="35"/>
  <c r="J116" i="35"/>
  <c r="I116" i="35"/>
  <c r="H116" i="35"/>
  <c r="G116" i="35"/>
  <c r="F116" i="35"/>
  <c r="E116" i="35"/>
  <c r="R113" i="35"/>
  <c r="Q113" i="35"/>
  <c r="P113" i="35"/>
  <c r="L113" i="35"/>
  <c r="K113" i="35"/>
  <c r="J113" i="35"/>
  <c r="I113" i="35"/>
  <c r="F113" i="35"/>
  <c r="E113" i="35"/>
  <c r="R112" i="35"/>
  <c r="Q112" i="35"/>
  <c r="P112" i="35"/>
  <c r="O112" i="35"/>
  <c r="N112" i="35"/>
  <c r="M112" i="35"/>
  <c r="L112" i="35"/>
  <c r="K112" i="35"/>
  <c r="I112" i="35"/>
  <c r="H112" i="35"/>
  <c r="G112" i="35"/>
  <c r="F112" i="35"/>
  <c r="E112" i="35"/>
  <c r="O111" i="35"/>
  <c r="N111" i="35"/>
  <c r="M111" i="35"/>
  <c r="J111" i="35"/>
  <c r="R110" i="35"/>
  <c r="Q110" i="35"/>
  <c r="P110" i="35"/>
  <c r="O110" i="35"/>
  <c r="N110" i="35"/>
  <c r="M110" i="35"/>
  <c r="L110" i="35"/>
  <c r="K110" i="35"/>
  <c r="J110" i="35"/>
  <c r="I110" i="35"/>
  <c r="H110" i="35"/>
  <c r="G110" i="35"/>
  <c r="F110" i="35"/>
  <c r="E110" i="35"/>
  <c r="E108" i="35"/>
  <c r="R107" i="35"/>
  <c r="Q107" i="35"/>
  <c r="Q119" i="35" s="1"/>
  <c r="P107" i="35"/>
  <c r="P119" i="35" s="1"/>
  <c r="L107" i="35"/>
  <c r="K107" i="35"/>
  <c r="K119" i="35" s="1"/>
  <c r="J107" i="35"/>
  <c r="I107" i="35"/>
  <c r="I119" i="35" s="1"/>
  <c r="H107" i="35"/>
  <c r="F107" i="35"/>
  <c r="F119" i="35" s="1"/>
  <c r="E107" i="35"/>
  <c r="R106" i="35"/>
  <c r="R118" i="35" s="1"/>
  <c r="Q106" i="35"/>
  <c r="Q118" i="35" s="1"/>
  <c r="P106" i="35"/>
  <c r="P118" i="35" s="1"/>
  <c r="O106" i="35"/>
  <c r="N106" i="35"/>
  <c r="N118" i="35" s="1"/>
  <c r="M106" i="35"/>
  <c r="M118" i="35" s="1"/>
  <c r="L106" i="35"/>
  <c r="L118" i="35" s="1"/>
  <c r="K106" i="35"/>
  <c r="I106" i="35"/>
  <c r="I118" i="35" s="1"/>
  <c r="H106" i="35"/>
  <c r="H118" i="35" s="1"/>
  <c r="G106" i="35"/>
  <c r="G118" i="35" s="1"/>
  <c r="F106" i="35"/>
  <c r="F118" i="35" s="1"/>
  <c r="E106" i="35"/>
  <c r="D106" i="35"/>
  <c r="Q105" i="35"/>
  <c r="P105" i="35"/>
  <c r="O105" i="35"/>
  <c r="O117" i="35" s="1"/>
  <c r="N105" i="35"/>
  <c r="N117" i="35" s="1"/>
  <c r="M105" i="35"/>
  <c r="M117" i="35" s="1"/>
  <c r="J105" i="35"/>
  <c r="J117" i="35" s="1"/>
  <c r="I105" i="35"/>
  <c r="H105" i="35"/>
  <c r="H108" i="35" s="1"/>
  <c r="E105" i="35"/>
  <c r="D105" i="35"/>
  <c r="R104" i="35"/>
  <c r="Q104" i="35"/>
  <c r="P104" i="35"/>
  <c r="O104" i="35"/>
  <c r="N104" i="35"/>
  <c r="M104" i="35"/>
  <c r="L104" i="35"/>
  <c r="K104" i="35"/>
  <c r="J104" i="35"/>
  <c r="I104" i="35"/>
  <c r="H104" i="35"/>
  <c r="G104" i="35"/>
  <c r="F104" i="35"/>
  <c r="E104" i="35"/>
  <c r="R99" i="35"/>
  <c r="Q99" i="35"/>
  <c r="P99" i="35"/>
  <c r="L99" i="35"/>
  <c r="K99" i="35"/>
  <c r="J99" i="35"/>
  <c r="I99" i="35"/>
  <c r="F99" i="35"/>
  <c r="E99" i="35"/>
  <c r="R98" i="35"/>
  <c r="Q98" i="35"/>
  <c r="P98" i="35"/>
  <c r="O98" i="35"/>
  <c r="N98" i="35"/>
  <c r="M98" i="35"/>
  <c r="L98" i="35"/>
  <c r="K98" i="35"/>
  <c r="I98" i="35"/>
  <c r="H98" i="35"/>
  <c r="G98" i="35"/>
  <c r="F98" i="35"/>
  <c r="E98" i="35"/>
  <c r="O97" i="35"/>
  <c r="N97" i="35"/>
  <c r="M97" i="35"/>
  <c r="J97" i="35"/>
  <c r="R96" i="35"/>
  <c r="Q96" i="35"/>
  <c r="P96" i="35"/>
  <c r="O96" i="35"/>
  <c r="N96" i="35"/>
  <c r="M96" i="35"/>
  <c r="L96" i="35"/>
  <c r="K96" i="35"/>
  <c r="J96" i="35"/>
  <c r="I96" i="35"/>
  <c r="H96" i="35"/>
  <c r="G96" i="35"/>
  <c r="F96" i="35"/>
  <c r="E96" i="35"/>
  <c r="O93" i="35"/>
  <c r="O94" i="35" s="1"/>
  <c r="O100" i="35" s="1"/>
  <c r="N93" i="35"/>
  <c r="N94" i="35" s="1"/>
  <c r="M93" i="35"/>
  <c r="M94" i="35" s="1"/>
  <c r="H93" i="35"/>
  <c r="G93" i="35"/>
  <c r="D93" i="35"/>
  <c r="J92" i="35"/>
  <c r="J94" i="35" s="1"/>
  <c r="D92" i="35"/>
  <c r="R91" i="35"/>
  <c r="R94" i="35" s="1"/>
  <c r="Q91" i="35"/>
  <c r="Q94" i="35" s="1"/>
  <c r="P91" i="35"/>
  <c r="P94" i="35" s="1"/>
  <c r="L91" i="35"/>
  <c r="L94" i="35" s="1"/>
  <c r="K91" i="35"/>
  <c r="K94" i="35" s="1"/>
  <c r="I91" i="35"/>
  <c r="I94" i="35" s="1"/>
  <c r="H91" i="35"/>
  <c r="H94" i="35" s="1"/>
  <c r="G91" i="35"/>
  <c r="F91" i="35"/>
  <c r="F94" i="35" s="1"/>
  <c r="F100" i="35" s="1"/>
  <c r="E91" i="35"/>
  <c r="E94" i="35" s="1"/>
  <c r="D91" i="35"/>
  <c r="R90" i="35"/>
  <c r="Q90" i="35"/>
  <c r="P90" i="35"/>
  <c r="O90" i="35"/>
  <c r="N90" i="35"/>
  <c r="M90" i="35"/>
  <c r="L90" i="35"/>
  <c r="K90" i="35"/>
  <c r="J90" i="35"/>
  <c r="I90" i="35"/>
  <c r="H90" i="35"/>
  <c r="G90" i="35"/>
  <c r="F90" i="35"/>
  <c r="E90" i="35"/>
  <c r="Q88" i="35"/>
  <c r="P88" i="35"/>
  <c r="I88" i="35"/>
  <c r="H88" i="35"/>
  <c r="E88" i="35"/>
  <c r="O87" i="35"/>
  <c r="O88" i="35" s="1"/>
  <c r="N87" i="35"/>
  <c r="M87" i="35"/>
  <c r="M99" i="35" s="1"/>
  <c r="H87" i="35"/>
  <c r="G87" i="35"/>
  <c r="D87" i="35"/>
  <c r="T86" i="35"/>
  <c r="J86" i="35"/>
  <c r="J88" i="35" s="1"/>
  <c r="D86" i="35"/>
  <c r="R85" i="35"/>
  <c r="R88" i="35" s="1"/>
  <c r="Q85" i="35"/>
  <c r="Q97" i="35" s="1"/>
  <c r="P85" i="35"/>
  <c r="L85" i="35"/>
  <c r="K85" i="35"/>
  <c r="K88" i="35" s="1"/>
  <c r="I85" i="35"/>
  <c r="I97" i="35" s="1"/>
  <c r="H85" i="35"/>
  <c r="G85" i="35"/>
  <c r="G88" i="35" s="1"/>
  <c r="F85" i="35"/>
  <c r="F88" i="35" s="1"/>
  <c r="E85" i="35"/>
  <c r="D85" i="35"/>
  <c r="R84" i="35"/>
  <c r="Q84" i="35"/>
  <c r="P84" i="35"/>
  <c r="O84" i="35"/>
  <c r="N84" i="35"/>
  <c r="M84" i="35"/>
  <c r="L84" i="35"/>
  <c r="K84" i="35"/>
  <c r="J84" i="35"/>
  <c r="I84" i="35"/>
  <c r="H84" i="35"/>
  <c r="G84" i="35"/>
  <c r="F84" i="35"/>
  <c r="E84" i="35"/>
  <c r="R80" i="35"/>
  <c r="Q80" i="35"/>
  <c r="P80" i="35"/>
  <c r="L80" i="35"/>
  <c r="K80" i="35"/>
  <c r="J80" i="35"/>
  <c r="I80" i="35"/>
  <c r="F80" i="35"/>
  <c r="E80" i="35"/>
  <c r="R79" i="35"/>
  <c r="Q79" i="35"/>
  <c r="P79" i="35"/>
  <c r="O79" i="35"/>
  <c r="N79" i="35"/>
  <c r="M79" i="35"/>
  <c r="L79" i="35"/>
  <c r="K79" i="35"/>
  <c r="I79" i="35"/>
  <c r="H79" i="35"/>
  <c r="G79" i="35"/>
  <c r="F79" i="35"/>
  <c r="E79" i="35"/>
  <c r="O78" i="35"/>
  <c r="N78" i="35"/>
  <c r="M78" i="35"/>
  <c r="J78" i="35"/>
  <c r="O74" i="35"/>
  <c r="O75" i="35" s="1"/>
  <c r="N74" i="35"/>
  <c r="M74" i="35"/>
  <c r="M113" i="35" s="1"/>
  <c r="H74" i="35"/>
  <c r="H113" i="35" s="1"/>
  <c r="G74" i="35"/>
  <c r="D74" i="35"/>
  <c r="J73" i="35"/>
  <c r="J75" i="35" s="1"/>
  <c r="D73" i="35"/>
  <c r="D112" i="35" s="1"/>
  <c r="R72" i="35"/>
  <c r="Q72" i="35"/>
  <c r="Q111" i="35" s="1"/>
  <c r="Q114" i="35" s="1"/>
  <c r="P72" i="35"/>
  <c r="P111" i="35" s="1"/>
  <c r="P114" i="35" s="1"/>
  <c r="L72" i="35"/>
  <c r="K72" i="35"/>
  <c r="I72" i="35"/>
  <c r="I111" i="35" s="1"/>
  <c r="I114" i="35" s="1"/>
  <c r="H72" i="35"/>
  <c r="H111" i="35" s="1"/>
  <c r="G72" i="35"/>
  <c r="F72" i="35"/>
  <c r="E72" i="35"/>
  <c r="E111" i="35" s="1"/>
  <c r="E114" i="35" s="1"/>
  <c r="D72" i="35"/>
  <c r="D111" i="35" s="1"/>
  <c r="D117" i="35" s="1"/>
  <c r="R71" i="35"/>
  <c r="Q71" i="35"/>
  <c r="P71" i="35"/>
  <c r="O71" i="35"/>
  <c r="N71" i="35"/>
  <c r="M71" i="35"/>
  <c r="L71" i="35"/>
  <c r="K71" i="35"/>
  <c r="J71" i="35"/>
  <c r="I71" i="35"/>
  <c r="H71" i="35"/>
  <c r="G71" i="35"/>
  <c r="F71" i="35"/>
  <c r="E71" i="35"/>
  <c r="Q69" i="35"/>
  <c r="P69" i="35"/>
  <c r="I69" i="35"/>
  <c r="H69" i="35"/>
  <c r="E69" i="35"/>
  <c r="O68" i="35"/>
  <c r="O107" i="35" s="1"/>
  <c r="N68" i="35"/>
  <c r="M68" i="35"/>
  <c r="H68" i="35"/>
  <c r="G68" i="35"/>
  <c r="G107" i="35" s="1"/>
  <c r="D68" i="35"/>
  <c r="T67" i="35"/>
  <c r="J67" i="35"/>
  <c r="J106" i="35" s="1"/>
  <c r="D67" i="35"/>
  <c r="R66" i="35"/>
  <c r="Q66" i="35"/>
  <c r="P66" i="35"/>
  <c r="L66" i="35"/>
  <c r="K66" i="35"/>
  <c r="I66" i="35"/>
  <c r="H66" i="35"/>
  <c r="G66" i="35"/>
  <c r="F66" i="35"/>
  <c r="T66" i="35" s="1"/>
  <c r="E66" i="35"/>
  <c r="D66" i="35"/>
  <c r="AW60" i="35"/>
  <c r="AY60" i="35" s="1"/>
  <c r="AV60" i="35"/>
  <c r="AX60" i="35" s="1"/>
  <c r="AS60" i="35"/>
  <c r="AU60" i="35" s="1"/>
  <c r="AR60" i="35"/>
  <c r="AT60" i="35" s="1"/>
  <c r="AH60" i="35"/>
  <c r="L60" i="35"/>
  <c r="K60" i="35"/>
  <c r="AW59" i="35"/>
  <c r="AY59" i="35" s="1"/>
  <c r="AV59" i="35"/>
  <c r="AX59" i="35" s="1"/>
  <c r="AS59" i="35"/>
  <c r="AU59" i="35" s="1"/>
  <c r="AR59" i="35"/>
  <c r="AT59" i="35" s="1"/>
  <c r="AH59" i="35"/>
  <c r="L59" i="35"/>
  <c r="K59" i="35"/>
  <c r="AW58" i="35"/>
  <c r="AY58" i="35" s="1"/>
  <c r="AV58" i="35"/>
  <c r="AX58" i="35" s="1"/>
  <c r="AS58" i="35"/>
  <c r="AU58" i="35" s="1"/>
  <c r="AR58" i="35"/>
  <c r="AT58" i="35" s="1"/>
  <c r="AH58" i="35"/>
  <c r="L58" i="35"/>
  <c r="K58" i="35"/>
  <c r="AW57" i="35"/>
  <c r="AY57" i="35" s="1"/>
  <c r="AV57" i="35"/>
  <c r="AX57" i="35" s="1"/>
  <c r="AU57" i="35"/>
  <c r="AS57" i="35"/>
  <c r="AR57" i="35"/>
  <c r="AT57" i="35" s="1"/>
  <c r="AH57" i="35"/>
  <c r="L57" i="35"/>
  <c r="K57" i="35"/>
  <c r="AW56" i="35"/>
  <c r="AY56" i="35" s="1"/>
  <c r="AV56" i="35"/>
  <c r="AX56" i="35" s="1"/>
  <c r="AS56" i="35"/>
  <c r="AU56" i="35" s="1"/>
  <c r="AR56" i="35"/>
  <c r="AT56" i="35" s="1"/>
  <c r="AH56" i="35"/>
  <c r="L56" i="35"/>
  <c r="K56" i="35"/>
  <c r="AW55" i="35"/>
  <c r="AY55" i="35" s="1"/>
  <c r="AV55" i="35"/>
  <c r="AX55" i="35" s="1"/>
  <c r="AS55" i="35"/>
  <c r="AU55" i="35" s="1"/>
  <c r="AR55" i="35"/>
  <c r="AT55" i="35" s="1"/>
  <c r="AH55" i="35"/>
  <c r="L55" i="35"/>
  <c r="K55" i="35"/>
  <c r="AW54" i="35"/>
  <c r="AY54" i="35" s="1"/>
  <c r="AV54" i="35"/>
  <c r="AX54" i="35" s="1"/>
  <c r="AS54" i="35"/>
  <c r="AU54" i="35" s="1"/>
  <c r="AR54" i="35"/>
  <c r="AT54" i="35" s="1"/>
  <c r="AH54" i="35"/>
  <c r="L54" i="35"/>
  <c r="K54" i="35"/>
  <c r="AW53" i="35"/>
  <c r="AY53" i="35" s="1"/>
  <c r="AV53" i="35"/>
  <c r="AX53" i="35" s="1"/>
  <c r="AU53" i="35"/>
  <c r="AS53" i="35"/>
  <c r="AR53" i="35"/>
  <c r="AT53" i="35" s="1"/>
  <c r="AH53" i="35"/>
  <c r="L53" i="35"/>
  <c r="K53" i="35"/>
  <c r="AW52" i="35"/>
  <c r="AY52" i="35" s="1"/>
  <c r="AV52" i="35"/>
  <c r="AX52" i="35" s="1"/>
  <c r="AS52" i="35"/>
  <c r="AU52" i="35" s="1"/>
  <c r="AR52" i="35"/>
  <c r="AT52" i="35" s="1"/>
  <c r="AH52" i="35"/>
  <c r="L52" i="35"/>
  <c r="K52" i="35"/>
  <c r="AW51" i="35"/>
  <c r="AY51" i="35" s="1"/>
  <c r="AV51" i="35"/>
  <c r="AX51" i="35" s="1"/>
  <c r="AS51" i="35"/>
  <c r="AU51" i="35" s="1"/>
  <c r="AR51" i="35"/>
  <c r="AT51" i="35" s="1"/>
  <c r="AH51" i="35"/>
  <c r="L51" i="35"/>
  <c r="K51" i="35"/>
  <c r="AW50" i="35"/>
  <c r="AY50" i="35" s="1"/>
  <c r="AV50" i="35"/>
  <c r="AX50" i="35" s="1"/>
  <c r="AS50" i="35"/>
  <c r="AU50" i="35" s="1"/>
  <c r="AR50" i="35"/>
  <c r="AT50" i="35" s="1"/>
  <c r="AH50" i="35"/>
  <c r="L50" i="35"/>
  <c r="K50" i="35"/>
  <c r="AW49" i="35"/>
  <c r="AY49" i="35" s="1"/>
  <c r="AV49" i="35"/>
  <c r="AX49" i="35" s="1"/>
  <c r="AS49" i="35"/>
  <c r="AU49" i="35" s="1"/>
  <c r="AR49" i="35"/>
  <c r="AT49" i="35" s="1"/>
  <c r="AH49" i="35"/>
  <c r="L49" i="35"/>
  <c r="K49" i="35"/>
  <c r="AW48" i="35"/>
  <c r="AY48" i="35" s="1"/>
  <c r="AV48" i="35"/>
  <c r="AX48" i="35" s="1"/>
  <c r="AS48" i="35"/>
  <c r="AU48" i="35" s="1"/>
  <c r="AR48" i="35"/>
  <c r="AT48" i="35" s="1"/>
  <c r="AH48" i="35"/>
  <c r="L48" i="35"/>
  <c r="K48" i="35"/>
  <c r="AW47" i="35"/>
  <c r="AY47" i="35" s="1"/>
  <c r="AV47" i="35"/>
  <c r="AX47" i="35" s="1"/>
  <c r="AS47" i="35"/>
  <c r="AU47" i="35" s="1"/>
  <c r="AR47" i="35"/>
  <c r="AT47" i="35" s="1"/>
  <c r="AH47" i="35"/>
  <c r="L47" i="35"/>
  <c r="K47" i="35"/>
  <c r="AW46" i="35"/>
  <c r="AY46" i="35" s="1"/>
  <c r="AV46" i="35"/>
  <c r="AX46" i="35" s="1"/>
  <c r="AS46" i="35"/>
  <c r="AU46" i="35" s="1"/>
  <c r="AR46" i="35"/>
  <c r="AT46" i="35" s="1"/>
  <c r="AH46" i="35"/>
  <c r="L46" i="35"/>
  <c r="K46" i="35"/>
  <c r="AW45" i="35"/>
  <c r="AY45" i="35" s="1"/>
  <c r="AV45" i="35"/>
  <c r="AX45" i="35" s="1"/>
  <c r="AS45" i="35"/>
  <c r="AU45" i="35" s="1"/>
  <c r="AR45" i="35"/>
  <c r="AT45" i="35" s="1"/>
  <c r="AH45" i="35"/>
  <c r="L45" i="35"/>
  <c r="K45" i="35"/>
  <c r="AW44" i="35"/>
  <c r="AY44" i="35" s="1"/>
  <c r="AV44" i="35"/>
  <c r="AX44" i="35" s="1"/>
  <c r="AS44" i="35"/>
  <c r="AU44" i="35" s="1"/>
  <c r="AR44" i="35"/>
  <c r="AT44" i="35" s="1"/>
  <c r="AH44" i="35"/>
  <c r="L44" i="35"/>
  <c r="K44" i="35"/>
  <c r="AW43" i="35"/>
  <c r="AY43" i="35" s="1"/>
  <c r="AV43" i="35"/>
  <c r="AX43" i="35" s="1"/>
  <c r="AS43" i="35"/>
  <c r="AU43" i="35" s="1"/>
  <c r="AR43" i="35"/>
  <c r="AT43" i="35" s="1"/>
  <c r="AH43" i="35"/>
  <c r="L43" i="35"/>
  <c r="K43" i="35"/>
  <c r="AW42" i="35"/>
  <c r="AY42" i="35" s="1"/>
  <c r="AV42" i="35"/>
  <c r="AX42" i="35" s="1"/>
  <c r="AS42" i="35"/>
  <c r="AU42" i="35" s="1"/>
  <c r="AR42" i="35"/>
  <c r="AT42" i="35" s="1"/>
  <c r="AH42" i="35"/>
  <c r="L42" i="35"/>
  <c r="K42" i="35"/>
  <c r="AW41" i="35"/>
  <c r="AY41" i="35" s="1"/>
  <c r="AV41" i="35"/>
  <c r="AX41" i="35" s="1"/>
  <c r="AS41" i="35"/>
  <c r="AU41" i="35" s="1"/>
  <c r="AR41" i="35"/>
  <c r="AT41" i="35" s="1"/>
  <c r="AH41" i="35"/>
  <c r="L41" i="35"/>
  <c r="K41" i="35"/>
  <c r="AW40" i="35"/>
  <c r="AY40" i="35" s="1"/>
  <c r="AV40" i="35"/>
  <c r="AX40" i="35" s="1"/>
  <c r="AS40" i="35"/>
  <c r="AU40" i="35" s="1"/>
  <c r="AR40" i="35"/>
  <c r="AT40" i="35" s="1"/>
  <c r="AH40" i="35"/>
  <c r="L40" i="35"/>
  <c r="K40" i="35"/>
  <c r="AW39" i="35"/>
  <c r="AY39" i="35" s="1"/>
  <c r="AV39" i="35"/>
  <c r="AX39" i="35" s="1"/>
  <c r="AS39" i="35"/>
  <c r="AU39" i="35" s="1"/>
  <c r="AR39" i="35"/>
  <c r="AT39" i="35" s="1"/>
  <c r="AH39" i="35"/>
  <c r="L39" i="35"/>
  <c r="K39" i="35"/>
  <c r="AW38" i="35"/>
  <c r="AY38" i="35" s="1"/>
  <c r="AV38" i="35"/>
  <c r="AX38" i="35" s="1"/>
  <c r="AS38" i="35"/>
  <c r="AU38" i="35" s="1"/>
  <c r="AR38" i="35"/>
  <c r="AT38" i="35" s="1"/>
  <c r="AH38" i="35"/>
  <c r="L38" i="35"/>
  <c r="K38" i="35"/>
  <c r="AW37" i="35"/>
  <c r="AY37" i="35" s="1"/>
  <c r="AV37" i="35"/>
  <c r="AX37" i="35" s="1"/>
  <c r="AS37" i="35"/>
  <c r="AU37" i="35" s="1"/>
  <c r="AR37" i="35"/>
  <c r="AT37" i="35" s="1"/>
  <c r="AH37" i="35"/>
  <c r="L37" i="35"/>
  <c r="K37" i="35"/>
  <c r="AW36" i="35"/>
  <c r="AY36" i="35" s="1"/>
  <c r="AV36" i="35"/>
  <c r="AX36" i="35" s="1"/>
  <c r="AS36" i="35"/>
  <c r="AU36" i="35" s="1"/>
  <c r="AR36" i="35"/>
  <c r="AT36" i="35" s="1"/>
  <c r="AH36" i="35"/>
  <c r="L36" i="35"/>
  <c r="K36" i="35"/>
  <c r="AW35" i="35"/>
  <c r="AY35" i="35" s="1"/>
  <c r="AV35" i="35"/>
  <c r="AX35" i="35" s="1"/>
  <c r="AS35" i="35"/>
  <c r="AU35" i="35" s="1"/>
  <c r="AR35" i="35"/>
  <c r="AT35" i="35" s="1"/>
  <c r="AH35" i="35"/>
  <c r="L35" i="35"/>
  <c r="K35" i="35"/>
  <c r="AW34" i="35"/>
  <c r="AY34" i="35" s="1"/>
  <c r="AV34" i="35"/>
  <c r="AX34" i="35" s="1"/>
  <c r="AS34" i="35"/>
  <c r="AU34" i="35" s="1"/>
  <c r="AR34" i="35"/>
  <c r="AT34" i="35" s="1"/>
  <c r="AH34" i="35"/>
  <c r="L34" i="35"/>
  <c r="K34" i="35"/>
  <c r="AW33" i="35"/>
  <c r="AY33" i="35" s="1"/>
  <c r="AV33" i="35"/>
  <c r="AX33" i="35" s="1"/>
  <c r="AS33" i="35"/>
  <c r="AU33" i="35" s="1"/>
  <c r="AR33" i="35"/>
  <c r="AT33" i="35" s="1"/>
  <c r="AH33" i="35"/>
  <c r="L33" i="35"/>
  <c r="K33" i="35"/>
  <c r="AW32" i="35"/>
  <c r="AY32" i="35" s="1"/>
  <c r="AV32" i="35"/>
  <c r="AX32" i="35" s="1"/>
  <c r="AS32" i="35"/>
  <c r="AU32" i="35" s="1"/>
  <c r="AR32" i="35"/>
  <c r="AT32" i="35" s="1"/>
  <c r="AH32" i="35"/>
  <c r="L32" i="35"/>
  <c r="K32" i="35"/>
  <c r="AW31" i="35"/>
  <c r="AY31" i="35" s="1"/>
  <c r="AV31" i="35"/>
  <c r="AX31" i="35" s="1"/>
  <c r="AS31" i="35"/>
  <c r="AU31" i="35" s="1"/>
  <c r="AR31" i="35"/>
  <c r="AT31" i="35" s="1"/>
  <c r="AH31" i="35"/>
  <c r="L31" i="35"/>
  <c r="K31" i="35"/>
  <c r="AW30" i="35"/>
  <c r="AY30" i="35" s="1"/>
  <c r="AV30" i="35"/>
  <c r="AX30" i="35" s="1"/>
  <c r="AS30" i="35"/>
  <c r="AU30" i="35" s="1"/>
  <c r="AR30" i="35"/>
  <c r="AT30" i="35" s="1"/>
  <c r="AH30" i="35"/>
  <c r="L30" i="35"/>
  <c r="K30" i="35"/>
  <c r="AW29" i="35"/>
  <c r="AY29" i="35" s="1"/>
  <c r="AV29" i="35"/>
  <c r="AX29" i="35" s="1"/>
  <c r="AS29" i="35"/>
  <c r="AU29" i="35" s="1"/>
  <c r="AR29" i="35"/>
  <c r="AT29" i="35" s="1"/>
  <c r="AH29" i="35"/>
  <c r="L29" i="35"/>
  <c r="K29" i="35"/>
  <c r="AW28" i="35"/>
  <c r="AY28" i="35" s="1"/>
  <c r="AV28" i="35"/>
  <c r="AX28" i="35" s="1"/>
  <c r="AS28" i="35"/>
  <c r="AU28" i="35" s="1"/>
  <c r="AR28" i="35"/>
  <c r="AT28" i="35" s="1"/>
  <c r="AH28" i="35"/>
  <c r="L28" i="35"/>
  <c r="K28" i="35"/>
  <c r="AW27" i="35"/>
  <c r="AY27" i="35" s="1"/>
  <c r="AV27" i="35"/>
  <c r="AX27" i="35" s="1"/>
  <c r="AS27" i="35"/>
  <c r="AU27" i="35" s="1"/>
  <c r="AR27" i="35"/>
  <c r="AT27" i="35" s="1"/>
  <c r="AH27" i="35"/>
  <c r="L27" i="35"/>
  <c r="K27" i="35"/>
  <c r="AW26" i="35"/>
  <c r="AY26" i="35" s="1"/>
  <c r="AV26" i="35"/>
  <c r="AX26" i="35" s="1"/>
  <c r="AS26" i="35"/>
  <c r="AU26" i="35" s="1"/>
  <c r="AR26" i="35"/>
  <c r="AT26" i="35" s="1"/>
  <c r="AH26" i="35"/>
  <c r="L26" i="35"/>
  <c r="K26" i="35"/>
  <c r="AW25" i="35"/>
  <c r="AY25" i="35" s="1"/>
  <c r="AV25" i="35"/>
  <c r="AX25" i="35" s="1"/>
  <c r="AS25" i="35"/>
  <c r="AU25" i="35" s="1"/>
  <c r="AR25" i="35"/>
  <c r="AT25" i="35" s="1"/>
  <c r="AH25" i="35"/>
  <c r="L25" i="35"/>
  <c r="K25" i="35"/>
  <c r="AW24" i="35"/>
  <c r="AY24" i="35" s="1"/>
  <c r="AV24" i="35"/>
  <c r="AX24" i="35" s="1"/>
  <c r="AS24" i="35"/>
  <c r="AU24" i="35" s="1"/>
  <c r="AR24" i="35"/>
  <c r="AT24" i="35" s="1"/>
  <c r="AH24" i="35"/>
  <c r="L24" i="35"/>
  <c r="K24" i="35"/>
  <c r="AW23" i="35"/>
  <c r="AY23" i="35" s="1"/>
  <c r="AV23" i="35"/>
  <c r="AX23" i="35" s="1"/>
  <c r="AS23" i="35"/>
  <c r="AU23" i="35" s="1"/>
  <c r="AR23" i="35"/>
  <c r="AT23" i="35" s="1"/>
  <c r="AH23" i="35"/>
  <c r="L23" i="35"/>
  <c r="K23" i="35"/>
  <c r="AW22" i="35"/>
  <c r="AY22" i="35" s="1"/>
  <c r="AV22" i="35"/>
  <c r="AX22" i="35" s="1"/>
  <c r="AS22" i="35"/>
  <c r="AU22" i="35" s="1"/>
  <c r="AR22" i="35"/>
  <c r="AT22" i="35" s="1"/>
  <c r="AH22" i="35"/>
  <c r="L22" i="35"/>
  <c r="K22" i="35"/>
  <c r="AW21" i="35"/>
  <c r="AY21" i="35" s="1"/>
  <c r="AV21" i="35"/>
  <c r="AX21" i="35" s="1"/>
  <c r="AS21" i="35"/>
  <c r="AU21" i="35" s="1"/>
  <c r="AR21" i="35"/>
  <c r="AT21" i="35" s="1"/>
  <c r="AH21" i="35"/>
  <c r="L21" i="35"/>
  <c r="K21" i="35"/>
  <c r="AW20" i="35"/>
  <c r="AY20" i="35" s="1"/>
  <c r="AV20" i="35"/>
  <c r="AX20" i="35" s="1"/>
  <c r="AS20" i="35"/>
  <c r="AU20" i="35" s="1"/>
  <c r="AR20" i="35"/>
  <c r="AT20" i="35" s="1"/>
  <c r="AH20" i="35"/>
  <c r="L20" i="35"/>
  <c r="K20" i="35"/>
  <c r="AW19" i="35"/>
  <c r="AY19" i="35" s="1"/>
  <c r="AV19" i="35"/>
  <c r="AX19" i="35" s="1"/>
  <c r="AS19" i="35"/>
  <c r="AU19" i="35" s="1"/>
  <c r="AR19" i="35"/>
  <c r="AT19" i="35" s="1"/>
  <c r="AH19" i="35"/>
  <c r="L19" i="35"/>
  <c r="K19" i="35"/>
  <c r="AW18" i="35"/>
  <c r="AY18" i="35" s="1"/>
  <c r="AV18" i="35"/>
  <c r="AX18" i="35" s="1"/>
  <c r="AS18" i="35"/>
  <c r="AU18" i="35" s="1"/>
  <c r="AR18" i="35"/>
  <c r="AT18" i="35" s="1"/>
  <c r="AH18" i="35"/>
  <c r="L18" i="35"/>
  <c r="K18" i="35"/>
  <c r="AW17" i="35"/>
  <c r="AY17" i="35" s="1"/>
  <c r="AV17" i="35"/>
  <c r="AX17" i="35" s="1"/>
  <c r="AS17" i="35"/>
  <c r="AU17" i="35" s="1"/>
  <c r="AR17" i="35"/>
  <c r="AT17" i="35" s="1"/>
  <c r="AH17" i="35"/>
  <c r="L17" i="35"/>
  <c r="K17" i="35"/>
  <c r="AW16" i="35"/>
  <c r="AY16" i="35" s="1"/>
  <c r="AV16" i="35"/>
  <c r="AX16" i="35" s="1"/>
  <c r="AS16" i="35"/>
  <c r="AU16" i="35" s="1"/>
  <c r="AR16" i="35"/>
  <c r="AT16" i="35" s="1"/>
  <c r="AH16" i="35"/>
  <c r="L16" i="35"/>
  <c r="K16" i="35"/>
  <c r="AW15" i="35"/>
  <c r="AY15" i="35" s="1"/>
  <c r="AV15" i="35"/>
  <c r="AX15" i="35" s="1"/>
  <c r="AS15" i="35"/>
  <c r="AU15" i="35" s="1"/>
  <c r="AR15" i="35"/>
  <c r="AT15" i="35" s="1"/>
  <c r="AH15" i="35"/>
  <c r="L15" i="35"/>
  <c r="K15" i="35"/>
  <c r="AW14" i="35"/>
  <c r="AY14" i="35" s="1"/>
  <c r="AV14" i="35"/>
  <c r="AX14" i="35" s="1"/>
  <c r="AS14" i="35"/>
  <c r="AU14" i="35" s="1"/>
  <c r="AR14" i="35"/>
  <c r="AT14" i="35" s="1"/>
  <c r="AH14" i="35"/>
  <c r="L14" i="35"/>
  <c r="K14" i="35"/>
  <c r="AW13" i="35"/>
  <c r="AY13" i="35" s="1"/>
  <c r="AV13" i="35"/>
  <c r="AX13" i="35" s="1"/>
  <c r="AS13" i="35"/>
  <c r="AU13" i="35" s="1"/>
  <c r="AR13" i="35"/>
  <c r="AT13" i="35" s="1"/>
  <c r="AH13" i="35"/>
  <c r="L13" i="35"/>
  <c r="K13" i="35"/>
  <c r="AW12" i="35"/>
  <c r="AY12" i="35" s="1"/>
  <c r="AV12" i="35"/>
  <c r="AX12" i="35" s="1"/>
  <c r="AU12" i="35"/>
  <c r="AS12" i="35"/>
  <c r="AR12" i="35"/>
  <c r="AT12" i="35" s="1"/>
  <c r="AH12" i="35"/>
  <c r="L12" i="35"/>
  <c r="K12" i="35"/>
  <c r="AW11" i="35"/>
  <c r="AY11" i="35" s="1"/>
  <c r="AV11" i="35"/>
  <c r="AX11" i="35" s="1"/>
  <c r="AS11" i="35"/>
  <c r="AU11" i="35" s="1"/>
  <c r="AR11" i="35"/>
  <c r="AT11" i="35" s="1"/>
  <c r="AH11" i="35"/>
  <c r="L11" i="35"/>
  <c r="K11" i="35"/>
  <c r="AW10" i="35"/>
  <c r="AY10" i="35" s="1"/>
  <c r="AV10" i="35"/>
  <c r="AX10" i="35" s="1"/>
  <c r="AS10" i="35"/>
  <c r="AU10" i="35" s="1"/>
  <c r="AR10" i="35"/>
  <c r="AT10" i="35" s="1"/>
  <c r="AH10" i="35"/>
  <c r="L10" i="35"/>
  <c r="K10" i="35"/>
  <c r="AW9" i="35"/>
  <c r="AY9" i="35" s="1"/>
  <c r="AV9" i="35"/>
  <c r="AX9" i="35" s="1"/>
  <c r="AS9" i="35"/>
  <c r="AU9" i="35" s="1"/>
  <c r="AR9" i="35"/>
  <c r="AT9" i="35" s="1"/>
  <c r="AH9" i="35"/>
  <c r="L9" i="35"/>
  <c r="K9" i="35"/>
  <c r="AW8" i="35"/>
  <c r="AY8" i="35" s="1"/>
  <c r="AV8" i="35"/>
  <c r="AX8" i="35" s="1"/>
  <c r="AS8" i="35"/>
  <c r="AU8" i="35" s="1"/>
  <c r="AR8" i="35"/>
  <c r="AT8" i="35" s="1"/>
  <c r="AH8" i="35"/>
  <c r="L8" i="35"/>
  <c r="K8" i="35"/>
  <c r="AW7" i="35"/>
  <c r="AY7" i="35" s="1"/>
  <c r="AV7" i="35"/>
  <c r="AX7" i="35" s="1"/>
  <c r="AT7" i="35"/>
  <c r="AS7" i="35"/>
  <c r="AU7" i="35" s="1"/>
  <c r="AR7" i="35"/>
  <c r="AH7" i="35"/>
  <c r="L7" i="35"/>
  <c r="K7" i="35"/>
  <c r="AW6" i="35"/>
  <c r="AY6" i="35" s="1"/>
  <c r="AV6" i="35"/>
  <c r="AX6" i="35" s="1"/>
  <c r="AT6" i="35"/>
  <c r="AS6" i="35"/>
  <c r="AU6" i="35" s="1"/>
  <c r="AR6" i="35"/>
  <c r="AH6" i="35"/>
  <c r="L6" i="35"/>
  <c r="K6" i="35"/>
  <c r="AW5" i="35"/>
  <c r="AY5" i="35" s="1"/>
  <c r="AV5" i="35"/>
  <c r="AX5" i="35" s="1"/>
  <c r="AS5" i="35"/>
  <c r="AU5" i="35" s="1"/>
  <c r="AR5" i="35"/>
  <c r="AT5" i="35" s="1"/>
  <c r="AH5" i="35"/>
  <c r="L5" i="35"/>
  <c r="K5" i="35"/>
  <c r="AW4" i="35"/>
  <c r="AY4" i="35" s="1"/>
  <c r="AV4" i="35"/>
  <c r="AX4" i="35" s="1"/>
  <c r="AS4" i="35"/>
  <c r="AU4" i="35" s="1"/>
  <c r="AR4" i="35"/>
  <c r="AT4" i="35" s="1"/>
  <c r="AH4" i="35"/>
  <c r="L4" i="35"/>
  <c r="K4" i="35"/>
  <c r="AW3" i="35"/>
  <c r="AY3" i="35" s="1"/>
  <c r="AV3" i="35"/>
  <c r="AX3" i="35" s="1"/>
  <c r="AS3" i="35"/>
  <c r="AU3" i="35" s="1"/>
  <c r="AR3" i="35"/>
  <c r="AT3" i="35" s="1"/>
  <c r="AH3" i="35"/>
  <c r="L3" i="35"/>
  <c r="K3" i="35"/>
  <c r="L119" i="34"/>
  <c r="E118" i="34"/>
  <c r="R116" i="34"/>
  <c r="Q116" i="34"/>
  <c r="P116" i="34"/>
  <c r="O116" i="34"/>
  <c r="N116" i="34"/>
  <c r="M116" i="34"/>
  <c r="L116" i="34"/>
  <c r="K116" i="34"/>
  <c r="J116" i="34"/>
  <c r="I116" i="34"/>
  <c r="H116" i="34"/>
  <c r="G116" i="34"/>
  <c r="F116" i="34"/>
  <c r="E116" i="34"/>
  <c r="R113" i="34"/>
  <c r="Q113" i="34"/>
  <c r="P113" i="34"/>
  <c r="L113" i="34"/>
  <c r="K113" i="34"/>
  <c r="J113" i="34"/>
  <c r="I113" i="34"/>
  <c r="F113" i="34"/>
  <c r="E113" i="34"/>
  <c r="R112" i="34"/>
  <c r="Q112" i="34"/>
  <c r="P112" i="34"/>
  <c r="O112" i="34"/>
  <c r="N112" i="34"/>
  <c r="M112" i="34"/>
  <c r="L112" i="34"/>
  <c r="K112" i="34"/>
  <c r="I112" i="34"/>
  <c r="H112" i="34"/>
  <c r="G112" i="34"/>
  <c r="F112" i="34"/>
  <c r="E112" i="34"/>
  <c r="O111" i="34"/>
  <c r="N111" i="34"/>
  <c r="M111" i="34"/>
  <c r="J111" i="34"/>
  <c r="R110" i="34"/>
  <c r="Q110" i="34"/>
  <c r="P110" i="34"/>
  <c r="O110" i="34"/>
  <c r="N110" i="34"/>
  <c r="M110" i="34"/>
  <c r="L110" i="34"/>
  <c r="K110" i="34"/>
  <c r="J110" i="34"/>
  <c r="I110" i="34"/>
  <c r="H110" i="34"/>
  <c r="G110" i="34"/>
  <c r="F110" i="34"/>
  <c r="E110" i="34"/>
  <c r="H108" i="34"/>
  <c r="R107" i="34"/>
  <c r="Q107" i="34"/>
  <c r="Q119" i="34" s="1"/>
  <c r="P107" i="34"/>
  <c r="P119" i="34" s="1"/>
  <c r="L107" i="34"/>
  <c r="K107" i="34"/>
  <c r="K119" i="34" s="1"/>
  <c r="J107" i="34"/>
  <c r="J119" i="34" s="1"/>
  <c r="I107" i="34"/>
  <c r="I119" i="34" s="1"/>
  <c r="H107" i="34"/>
  <c r="F107" i="34"/>
  <c r="F119" i="34" s="1"/>
  <c r="E107" i="34"/>
  <c r="R106" i="34"/>
  <c r="R118" i="34" s="1"/>
  <c r="Q106" i="34"/>
  <c r="Q118" i="34" s="1"/>
  <c r="P106" i="34"/>
  <c r="P118" i="34" s="1"/>
  <c r="O106" i="34"/>
  <c r="N106" i="34"/>
  <c r="N118" i="34" s="1"/>
  <c r="M106" i="34"/>
  <c r="M118" i="34" s="1"/>
  <c r="L106" i="34"/>
  <c r="L118" i="34" s="1"/>
  <c r="K106" i="34"/>
  <c r="I106" i="34"/>
  <c r="I118" i="34" s="1"/>
  <c r="H106" i="34"/>
  <c r="H118" i="34" s="1"/>
  <c r="G106" i="34"/>
  <c r="F106" i="34"/>
  <c r="F118" i="34" s="1"/>
  <c r="E106" i="34"/>
  <c r="D106" i="34"/>
  <c r="Q105" i="34"/>
  <c r="P105" i="34"/>
  <c r="O105" i="34"/>
  <c r="O117" i="34" s="1"/>
  <c r="N105" i="34"/>
  <c r="N117" i="34" s="1"/>
  <c r="M105" i="34"/>
  <c r="M117" i="34" s="1"/>
  <c r="J105" i="34"/>
  <c r="J117" i="34" s="1"/>
  <c r="I105" i="34"/>
  <c r="H105" i="34"/>
  <c r="E105" i="34"/>
  <c r="D105" i="34"/>
  <c r="R104" i="34"/>
  <c r="Q104" i="34"/>
  <c r="P104" i="34"/>
  <c r="O104" i="34"/>
  <c r="N104" i="34"/>
  <c r="M104" i="34"/>
  <c r="L104" i="34"/>
  <c r="K104" i="34"/>
  <c r="J104" i="34"/>
  <c r="I104" i="34"/>
  <c r="H104" i="34"/>
  <c r="G104" i="34"/>
  <c r="F104" i="34"/>
  <c r="E104" i="34"/>
  <c r="R99" i="34"/>
  <c r="Q99" i="34"/>
  <c r="P99" i="34"/>
  <c r="L99" i="34"/>
  <c r="K99" i="34"/>
  <c r="J99" i="34"/>
  <c r="I99" i="34"/>
  <c r="F99" i="34"/>
  <c r="E99" i="34"/>
  <c r="R98" i="34"/>
  <c r="Q98" i="34"/>
  <c r="P98" i="34"/>
  <c r="O98" i="34"/>
  <c r="N98" i="34"/>
  <c r="M98" i="34"/>
  <c r="L98" i="34"/>
  <c r="K98" i="34"/>
  <c r="I98" i="34"/>
  <c r="H98" i="34"/>
  <c r="G98" i="34"/>
  <c r="F98" i="34"/>
  <c r="E98" i="34"/>
  <c r="O97" i="34"/>
  <c r="N97" i="34"/>
  <c r="M97" i="34"/>
  <c r="J97" i="34"/>
  <c r="R96" i="34"/>
  <c r="Q96" i="34"/>
  <c r="P96" i="34"/>
  <c r="O96" i="34"/>
  <c r="N96" i="34"/>
  <c r="M96" i="34"/>
  <c r="L96" i="34"/>
  <c r="K96" i="34"/>
  <c r="J96" i="34"/>
  <c r="I96" i="34"/>
  <c r="H96" i="34"/>
  <c r="G96" i="34"/>
  <c r="F96" i="34"/>
  <c r="E96" i="34"/>
  <c r="O93" i="34"/>
  <c r="O94" i="34" s="1"/>
  <c r="N93" i="34"/>
  <c r="N94" i="34" s="1"/>
  <c r="M93" i="34"/>
  <c r="M94" i="34" s="1"/>
  <c r="H93" i="34"/>
  <c r="G93" i="34"/>
  <c r="G99" i="34" s="1"/>
  <c r="D93" i="34"/>
  <c r="J92" i="34"/>
  <c r="J94" i="34" s="1"/>
  <c r="D92" i="34"/>
  <c r="R91" i="34"/>
  <c r="R94" i="34" s="1"/>
  <c r="Q91" i="34"/>
  <c r="Q94" i="34" s="1"/>
  <c r="P91" i="34"/>
  <c r="P94" i="34" s="1"/>
  <c r="L91" i="34"/>
  <c r="L94" i="34" s="1"/>
  <c r="K91" i="34"/>
  <c r="K94" i="34" s="1"/>
  <c r="I91" i="34"/>
  <c r="I94" i="34" s="1"/>
  <c r="H91" i="34"/>
  <c r="H94" i="34" s="1"/>
  <c r="G91" i="34"/>
  <c r="G94" i="34" s="1"/>
  <c r="F91" i="34"/>
  <c r="F94" i="34" s="1"/>
  <c r="F100" i="34" s="1"/>
  <c r="E91" i="34"/>
  <c r="E94" i="34" s="1"/>
  <c r="D91" i="34"/>
  <c r="R90" i="34"/>
  <c r="Q90" i="34"/>
  <c r="P90" i="34"/>
  <c r="O90" i="34"/>
  <c r="N90" i="34"/>
  <c r="M90" i="34"/>
  <c r="L90" i="34"/>
  <c r="K90" i="34"/>
  <c r="J90" i="34"/>
  <c r="I90" i="34"/>
  <c r="H90" i="34"/>
  <c r="G90" i="34"/>
  <c r="F90" i="34"/>
  <c r="E90" i="34"/>
  <c r="Q88" i="34"/>
  <c r="Q100" i="34" s="1"/>
  <c r="P88" i="34"/>
  <c r="I88" i="34"/>
  <c r="H88" i="34"/>
  <c r="E88" i="34"/>
  <c r="O87" i="34"/>
  <c r="O88" i="34" s="1"/>
  <c r="N87" i="34"/>
  <c r="M87" i="34"/>
  <c r="H87" i="34"/>
  <c r="H99" i="34" s="1"/>
  <c r="G87" i="34"/>
  <c r="D87" i="34"/>
  <c r="T86" i="34"/>
  <c r="J86" i="34"/>
  <c r="J88" i="34" s="1"/>
  <c r="J100" i="34" s="1"/>
  <c r="D86" i="34"/>
  <c r="R85" i="34"/>
  <c r="R88" i="34" s="1"/>
  <c r="Q85" i="34"/>
  <c r="P85" i="34"/>
  <c r="P97" i="34" s="1"/>
  <c r="L85" i="34"/>
  <c r="K85" i="34"/>
  <c r="K88" i="34" s="1"/>
  <c r="I85" i="34"/>
  <c r="H85" i="34"/>
  <c r="H97" i="34" s="1"/>
  <c r="G85" i="34"/>
  <c r="G88" i="34" s="1"/>
  <c r="F85" i="34"/>
  <c r="F88" i="34" s="1"/>
  <c r="E85" i="34"/>
  <c r="D85" i="34"/>
  <c r="D97" i="34" s="1"/>
  <c r="R84" i="34"/>
  <c r="Q84" i="34"/>
  <c r="P84" i="34"/>
  <c r="O84" i="34"/>
  <c r="N84" i="34"/>
  <c r="M84" i="34"/>
  <c r="L84" i="34"/>
  <c r="K84" i="34"/>
  <c r="J84" i="34"/>
  <c r="I84" i="34"/>
  <c r="H84" i="34"/>
  <c r="G84" i="34"/>
  <c r="F84" i="34"/>
  <c r="E84" i="34"/>
  <c r="R80" i="34"/>
  <c r="Q80" i="34"/>
  <c r="P80" i="34"/>
  <c r="L80" i="34"/>
  <c r="K80" i="34"/>
  <c r="J80" i="34"/>
  <c r="I80" i="34"/>
  <c r="F80" i="34"/>
  <c r="E80" i="34"/>
  <c r="R79" i="34"/>
  <c r="Q79" i="34"/>
  <c r="P79" i="34"/>
  <c r="O79" i="34"/>
  <c r="N79" i="34"/>
  <c r="M79" i="34"/>
  <c r="L79" i="34"/>
  <c r="K79" i="34"/>
  <c r="I79" i="34"/>
  <c r="H79" i="34"/>
  <c r="G79" i="34"/>
  <c r="F79" i="34"/>
  <c r="E79" i="34"/>
  <c r="O78" i="34"/>
  <c r="N78" i="34"/>
  <c r="M78" i="34"/>
  <c r="J78" i="34"/>
  <c r="O74" i="34"/>
  <c r="O75" i="34" s="1"/>
  <c r="N74" i="34"/>
  <c r="N75" i="34" s="1"/>
  <c r="M74" i="34"/>
  <c r="H74" i="34"/>
  <c r="H113" i="34" s="1"/>
  <c r="G74" i="34"/>
  <c r="G113" i="34" s="1"/>
  <c r="D74" i="34"/>
  <c r="J73" i="34"/>
  <c r="J75" i="34" s="1"/>
  <c r="D73" i="34"/>
  <c r="D112" i="34" s="1"/>
  <c r="R72" i="34"/>
  <c r="R75" i="34" s="1"/>
  <c r="Q72" i="34"/>
  <c r="Q78" i="34" s="1"/>
  <c r="P72" i="34"/>
  <c r="P111" i="34" s="1"/>
  <c r="P114" i="34" s="1"/>
  <c r="L72" i="34"/>
  <c r="K72" i="34"/>
  <c r="K75" i="34" s="1"/>
  <c r="I72" i="34"/>
  <c r="I75" i="34" s="1"/>
  <c r="H72" i="34"/>
  <c r="H111" i="34" s="1"/>
  <c r="H114" i="34" s="1"/>
  <c r="G72" i="34"/>
  <c r="F72" i="34"/>
  <c r="E72" i="34"/>
  <c r="E75" i="34" s="1"/>
  <c r="D72" i="34"/>
  <c r="D111" i="34" s="1"/>
  <c r="R71" i="34"/>
  <c r="Q71" i="34"/>
  <c r="P71" i="34"/>
  <c r="O71" i="34"/>
  <c r="N71" i="34"/>
  <c r="M71" i="34"/>
  <c r="L71" i="34"/>
  <c r="K71" i="34"/>
  <c r="J71" i="34"/>
  <c r="I71" i="34"/>
  <c r="H71" i="34"/>
  <c r="G71" i="34"/>
  <c r="F71" i="34"/>
  <c r="E71" i="34"/>
  <c r="Q69" i="34"/>
  <c r="P69" i="34"/>
  <c r="M69" i="34"/>
  <c r="I69" i="34"/>
  <c r="H69" i="34"/>
  <c r="E69" i="34"/>
  <c r="O68" i="34"/>
  <c r="O107" i="34" s="1"/>
  <c r="N68" i="34"/>
  <c r="M68" i="34"/>
  <c r="H68" i="34"/>
  <c r="G68" i="34"/>
  <c r="G107" i="34" s="1"/>
  <c r="D68" i="34"/>
  <c r="T67" i="34"/>
  <c r="J67" i="34"/>
  <c r="J106" i="34" s="1"/>
  <c r="D67" i="34"/>
  <c r="R66" i="34"/>
  <c r="Q66" i="34"/>
  <c r="P66" i="34"/>
  <c r="L66" i="34"/>
  <c r="K66" i="34"/>
  <c r="I66" i="34"/>
  <c r="H66" i="34"/>
  <c r="G66" i="34"/>
  <c r="F66" i="34"/>
  <c r="E66" i="34"/>
  <c r="D66" i="34"/>
  <c r="AW60" i="34"/>
  <c r="AY60" i="34" s="1"/>
  <c r="AV60" i="34"/>
  <c r="AX60" i="34" s="1"/>
  <c r="AS60" i="34"/>
  <c r="AU60" i="34" s="1"/>
  <c r="AR60" i="34"/>
  <c r="AT60" i="34" s="1"/>
  <c r="AH60" i="34"/>
  <c r="L60" i="34"/>
  <c r="K60" i="34"/>
  <c r="AW59" i="34"/>
  <c r="AY59" i="34" s="1"/>
  <c r="AV59" i="34"/>
  <c r="AX59" i="34" s="1"/>
  <c r="AS59" i="34"/>
  <c r="AU59" i="34" s="1"/>
  <c r="AR59" i="34"/>
  <c r="AT59" i="34" s="1"/>
  <c r="AH59" i="34"/>
  <c r="L59" i="34"/>
  <c r="K59" i="34"/>
  <c r="AW58" i="34"/>
  <c r="AY58" i="34" s="1"/>
  <c r="AV58" i="34"/>
  <c r="AX58" i="34" s="1"/>
  <c r="AS58" i="34"/>
  <c r="AU58" i="34" s="1"/>
  <c r="AR58" i="34"/>
  <c r="AT58" i="34" s="1"/>
  <c r="AH58" i="34"/>
  <c r="L58" i="34"/>
  <c r="K58" i="34"/>
  <c r="AW57" i="34"/>
  <c r="AY57" i="34" s="1"/>
  <c r="AV57" i="34"/>
  <c r="AX57" i="34" s="1"/>
  <c r="AS57" i="34"/>
  <c r="AU57" i="34" s="1"/>
  <c r="AR57" i="34"/>
  <c r="AT57" i="34" s="1"/>
  <c r="AH57" i="34"/>
  <c r="L57" i="34"/>
  <c r="K57" i="34"/>
  <c r="AW56" i="34"/>
  <c r="AY56" i="34" s="1"/>
  <c r="AV56" i="34"/>
  <c r="AX56" i="34" s="1"/>
  <c r="AS56" i="34"/>
  <c r="AU56" i="34" s="1"/>
  <c r="AR56" i="34"/>
  <c r="AT56" i="34" s="1"/>
  <c r="AH56" i="34"/>
  <c r="L56" i="34"/>
  <c r="K56" i="34"/>
  <c r="AW55" i="34"/>
  <c r="AY55" i="34" s="1"/>
  <c r="AV55" i="34"/>
  <c r="AX55" i="34" s="1"/>
  <c r="AS55" i="34"/>
  <c r="AU55" i="34" s="1"/>
  <c r="AR55" i="34"/>
  <c r="AT55" i="34" s="1"/>
  <c r="AH55" i="34"/>
  <c r="L55" i="34"/>
  <c r="K55" i="34"/>
  <c r="AW54" i="34"/>
  <c r="AY54" i="34" s="1"/>
  <c r="AV54" i="34"/>
  <c r="AX54" i="34" s="1"/>
  <c r="AS54" i="34"/>
  <c r="AU54" i="34" s="1"/>
  <c r="AR54" i="34"/>
  <c r="AT54" i="34" s="1"/>
  <c r="AH54" i="34"/>
  <c r="L54" i="34"/>
  <c r="K54" i="34"/>
  <c r="AW53" i="34"/>
  <c r="AY53" i="34" s="1"/>
  <c r="AV53" i="34"/>
  <c r="AX53" i="34" s="1"/>
  <c r="AS53" i="34"/>
  <c r="AU53" i="34" s="1"/>
  <c r="AR53" i="34"/>
  <c r="AT53" i="34" s="1"/>
  <c r="AH53" i="34"/>
  <c r="L53" i="34"/>
  <c r="K53" i="34"/>
  <c r="AW52" i="34"/>
  <c r="AY52" i="34" s="1"/>
  <c r="AV52" i="34"/>
  <c r="AX52" i="34" s="1"/>
  <c r="AS52" i="34"/>
  <c r="AU52" i="34" s="1"/>
  <c r="AR52" i="34"/>
  <c r="AT52" i="34" s="1"/>
  <c r="AH52" i="34"/>
  <c r="L52" i="34"/>
  <c r="K52" i="34"/>
  <c r="AW51" i="34"/>
  <c r="AY51" i="34" s="1"/>
  <c r="AV51" i="34"/>
  <c r="AX51" i="34" s="1"/>
  <c r="AS51" i="34"/>
  <c r="AU51" i="34" s="1"/>
  <c r="AR51" i="34"/>
  <c r="AT51" i="34" s="1"/>
  <c r="AH51" i="34"/>
  <c r="L51" i="34"/>
  <c r="K51" i="34"/>
  <c r="AW50" i="34"/>
  <c r="AY50" i="34" s="1"/>
  <c r="AV50" i="34"/>
  <c r="AX50" i="34" s="1"/>
  <c r="AS50" i="34"/>
  <c r="AU50" i="34" s="1"/>
  <c r="AR50" i="34"/>
  <c r="AT50" i="34" s="1"/>
  <c r="AH50" i="34"/>
  <c r="L50" i="34"/>
  <c r="K50" i="34"/>
  <c r="AW49" i="34"/>
  <c r="AY49" i="34" s="1"/>
  <c r="AV49" i="34"/>
  <c r="AX49" i="34" s="1"/>
  <c r="AS49" i="34"/>
  <c r="AU49" i="34" s="1"/>
  <c r="AR49" i="34"/>
  <c r="AT49" i="34" s="1"/>
  <c r="AH49" i="34"/>
  <c r="L49" i="34"/>
  <c r="K49" i="34"/>
  <c r="AW48" i="34"/>
  <c r="AY48" i="34" s="1"/>
  <c r="AV48" i="34"/>
  <c r="AX48" i="34" s="1"/>
  <c r="AS48" i="34"/>
  <c r="AU48" i="34" s="1"/>
  <c r="AR48" i="34"/>
  <c r="AT48" i="34" s="1"/>
  <c r="AH48" i="34"/>
  <c r="L48" i="34"/>
  <c r="K48" i="34"/>
  <c r="AY47" i="34"/>
  <c r="AW47" i="34"/>
  <c r="AV47" i="34"/>
  <c r="AX47" i="34" s="1"/>
  <c r="AU47" i="34"/>
  <c r="AS47" i="34"/>
  <c r="AR47" i="34"/>
  <c r="AT47" i="34" s="1"/>
  <c r="AH47" i="34"/>
  <c r="L47" i="34"/>
  <c r="K47" i="34"/>
  <c r="AW46" i="34"/>
  <c r="AY46" i="34" s="1"/>
  <c r="AV46" i="34"/>
  <c r="AX46" i="34" s="1"/>
  <c r="AS46" i="34"/>
  <c r="AU46" i="34" s="1"/>
  <c r="AR46" i="34"/>
  <c r="AT46" i="34" s="1"/>
  <c r="AH46" i="34"/>
  <c r="L46" i="34"/>
  <c r="K46" i="34"/>
  <c r="AW45" i="34"/>
  <c r="AY45" i="34" s="1"/>
  <c r="AV45" i="34"/>
  <c r="AX45" i="34" s="1"/>
  <c r="AS45" i="34"/>
  <c r="AU45" i="34" s="1"/>
  <c r="AR45" i="34"/>
  <c r="AT45" i="34" s="1"/>
  <c r="AH45" i="34"/>
  <c r="L45" i="34"/>
  <c r="K45" i="34"/>
  <c r="AW44" i="34"/>
  <c r="AY44" i="34" s="1"/>
  <c r="AV44" i="34"/>
  <c r="AX44" i="34" s="1"/>
  <c r="AS44" i="34"/>
  <c r="AU44" i="34" s="1"/>
  <c r="AR44" i="34"/>
  <c r="AT44" i="34" s="1"/>
  <c r="AH44" i="34"/>
  <c r="L44" i="34"/>
  <c r="K44" i="34"/>
  <c r="AW43" i="34"/>
  <c r="AY43" i="34" s="1"/>
  <c r="AV43" i="34"/>
  <c r="AX43" i="34" s="1"/>
  <c r="AU43" i="34"/>
  <c r="AS43" i="34"/>
  <c r="AR43" i="34"/>
  <c r="AT43" i="34" s="1"/>
  <c r="AH43" i="34"/>
  <c r="L43" i="34"/>
  <c r="K43" i="34"/>
  <c r="AW42" i="34"/>
  <c r="AY42" i="34" s="1"/>
  <c r="AV42" i="34"/>
  <c r="AX42" i="34" s="1"/>
  <c r="AS42" i="34"/>
  <c r="AU42" i="34" s="1"/>
  <c r="AR42" i="34"/>
  <c r="AT42" i="34" s="1"/>
  <c r="AH42" i="34"/>
  <c r="L42" i="34"/>
  <c r="K42" i="34"/>
  <c r="AW41" i="34"/>
  <c r="AY41" i="34" s="1"/>
  <c r="AV41" i="34"/>
  <c r="AX41" i="34" s="1"/>
  <c r="AS41" i="34"/>
  <c r="AU41" i="34" s="1"/>
  <c r="AR41" i="34"/>
  <c r="AT41" i="34" s="1"/>
  <c r="AH41" i="34"/>
  <c r="L41" i="34"/>
  <c r="K41" i="34"/>
  <c r="AW40" i="34"/>
  <c r="AY40" i="34" s="1"/>
  <c r="AV40" i="34"/>
  <c r="AX40" i="34" s="1"/>
  <c r="AS40" i="34"/>
  <c r="AU40" i="34" s="1"/>
  <c r="AR40" i="34"/>
  <c r="AT40" i="34" s="1"/>
  <c r="AH40" i="34"/>
  <c r="L40" i="34"/>
  <c r="K40" i="34"/>
  <c r="AW39" i="34"/>
  <c r="AY39" i="34" s="1"/>
  <c r="AV39" i="34"/>
  <c r="AX39" i="34" s="1"/>
  <c r="AS39" i="34"/>
  <c r="AU39" i="34" s="1"/>
  <c r="AR39" i="34"/>
  <c r="AT39" i="34" s="1"/>
  <c r="AH39" i="34"/>
  <c r="L39" i="34"/>
  <c r="K39" i="34"/>
  <c r="AW38" i="34"/>
  <c r="AY38" i="34" s="1"/>
  <c r="AV38" i="34"/>
  <c r="AX38" i="34" s="1"/>
  <c r="AS38" i="34"/>
  <c r="AU38" i="34" s="1"/>
  <c r="AR38" i="34"/>
  <c r="AT38" i="34" s="1"/>
  <c r="AH38" i="34"/>
  <c r="L38" i="34"/>
  <c r="K38" i="34"/>
  <c r="AW37" i="34"/>
  <c r="AY37" i="34" s="1"/>
  <c r="AV37" i="34"/>
  <c r="AX37" i="34" s="1"/>
  <c r="AS37" i="34"/>
  <c r="AU37" i="34" s="1"/>
  <c r="AR37" i="34"/>
  <c r="AT37" i="34" s="1"/>
  <c r="AH37" i="34"/>
  <c r="L37" i="34"/>
  <c r="K37" i="34"/>
  <c r="AW36" i="34"/>
  <c r="AY36" i="34" s="1"/>
  <c r="AV36" i="34"/>
  <c r="AX36" i="34" s="1"/>
  <c r="AS36" i="34"/>
  <c r="AU36" i="34" s="1"/>
  <c r="AR36" i="34"/>
  <c r="AT36" i="34" s="1"/>
  <c r="AH36" i="34"/>
  <c r="L36" i="34"/>
  <c r="K36" i="34"/>
  <c r="AY35" i="34"/>
  <c r="AW35" i="34"/>
  <c r="AV35" i="34"/>
  <c r="AX35" i="34" s="1"/>
  <c r="AU35" i="34"/>
  <c r="AS35" i="34"/>
  <c r="AR35" i="34"/>
  <c r="AT35" i="34" s="1"/>
  <c r="AH35" i="34"/>
  <c r="L35" i="34"/>
  <c r="K35" i="34"/>
  <c r="AW34" i="34"/>
  <c r="AY34" i="34" s="1"/>
  <c r="AV34" i="34"/>
  <c r="AX34" i="34" s="1"/>
  <c r="AS34" i="34"/>
  <c r="AU34" i="34" s="1"/>
  <c r="AR34" i="34"/>
  <c r="AT34" i="34" s="1"/>
  <c r="AH34" i="34"/>
  <c r="L34" i="34"/>
  <c r="K34" i="34"/>
  <c r="AW33" i="34"/>
  <c r="AY33" i="34" s="1"/>
  <c r="AV33" i="34"/>
  <c r="AX33" i="34" s="1"/>
  <c r="AS33" i="34"/>
  <c r="AU33" i="34" s="1"/>
  <c r="AR33" i="34"/>
  <c r="AT33" i="34" s="1"/>
  <c r="AH33" i="34"/>
  <c r="L33" i="34"/>
  <c r="K33" i="34"/>
  <c r="AY32" i="34"/>
  <c r="AW32" i="34"/>
  <c r="AV32" i="34"/>
  <c r="AX32" i="34" s="1"/>
  <c r="AS32" i="34"/>
  <c r="AU32" i="34" s="1"/>
  <c r="AR32" i="34"/>
  <c r="AT32" i="34" s="1"/>
  <c r="AH32" i="34"/>
  <c r="L32" i="34"/>
  <c r="K32" i="34"/>
  <c r="AY31" i="34"/>
  <c r="AW31" i="34"/>
  <c r="AV31" i="34"/>
  <c r="AX31" i="34" s="1"/>
  <c r="AS31" i="34"/>
  <c r="AU31" i="34" s="1"/>
  <c r="AR31" i="34"/>
  <c r="AT31" i="34" s="1"/>
  <c r="AH31" i="34"/>
  <c r="L31" i="34"/>
  <c r="K31" i="34"/>
  <c r="AW30" i="34"/>
  <c r="AY30" i="34" s="1"/>
  <c r="AV30" i="34"/>
  <c r="AX30" i="34" s="1"/>
  <c r="AS30" i="34"/>
  <c r="AU30" i="34" s="1"/>
  <c r="AR30" i="34"/>
  <c r="AT30" i="34" s="1"/>
  <c r="AH30" i="34"/>
  <c r="L30" i="34"/>
  <c r="K30" i="34"/>
  <c r="AW29" i="34"/>
  <c r="AY29" i="34" s="1"/>
  <c r="AV29" i="34"/>
  <c r="AX29" i="34" s="1"/>
  <c r="AS29" i="34"/>
  <c r="AU29" i="34" s="1"/>
  <c r="AR29" i="34"/>
  <c r="AT29" i="34" s="1"/>
  <c r="AH29" i="34"/>
  <c r="L29" i="34"/>
  <c r="K29" i="34"/>
  <c r="AW28" i="34"/>
  <c r="AY28" i="34" s="1"/>
  <c r="AV28" i="34"/>
  <c r="AX28" i="34" s="1"/>
  <c r="AS28" i="34"/>
  <c r="AU28" i="34" s="1"/>
  <c r="AR28" i="34"/>
  <c r="AT28" i="34" s="1"/>
  <c r="AH28" i="34"/>
  <c r="L28" i="34"/>
  <c r="K28" i="34"/>
  <c r="AW27" i="34"/>
  <c r="AY27" i="34" s="1"/>
  <c r="AV27" i="34"/>
  <c r="AX27" i="34" s="1"/>
  <c r="AT27" i="34"/>
  <c r="AS27" i="34"/>
  <c r="AU27" i="34" s="1"/>
  <c r="AR27" i="34"/>
  <c r="AH27" i="34"/>
  <c r="L27" i="34"/>
  <c r="K27" i="34"/>
  <c r="AW26" i="34"/>
  <c r="AY26" i="34" s="1"/>
  <c r="AV26" i="34"/>
  <c r="AX26" i="34" s="1"/>
  <c r="AS26" i="34"/>
  <c r="AU26" i="34" s="1"/>
  <c r="AR26" i="34"/>
  <c r="AT26" i="34" s="1"/>
  <c r="AH26" i="34"/>
  <c r="L26" i="34"/>
  <c r="K26" i="34"/>
  <c r="AW25" i="34"/>
  <c r="AY25" i="34" s="1"/>
  <c r="AV25" i="34"/>
  <c r="AX25" i="34" s="1"/>
  <c r="AS25" i="34"/>
  <c r="AU25" i="34" s="1"/>
  <c r="AR25" i="34"/>
  <c r="AT25" i="34" s="1"/>
  <c r="AH25" i="34"/>
  <c r="L25" i="34"/>
  <c r="K25" i="34"/>
  <c r="AW24" i="34"/>
  <c r="AY24" i="34" s="1"/>
  <c r="AV24" i="34"/>
  <c r="AX24" i="34" s="1"/>
  <c r="AS24" i="34"/>
  <c r="AU24" i="34" s="1"/>
  <c r="AR24" i="34"/>
  <c r="AT24" i="34" s="1"/>
  <c r="AH24" i="34"/>
  <c r="L24" i="34"/>
  <c r="K24" i="34"/>
  <c r="AW23" i="34"/>
  <c r="AY23" i="34" s="1"/>
  <c r="AV23" i="34"/>
  <c r="AX23" i="34" s="1"/>
  <c r="AS23" i="34"/>
  <c r="AU23" i="34" s="1"/>
  <c r="AR23" i="34"/>
  <c r="AT23" i="34" s="1"/>
  <c r="AH23" i="34"/>
  <c r="L23" i="34"/>
  <c r="K23" i="34"/>
  <c r="AW22" i="34"/>
  <c r="AY22" i="34" s="1"/>
  <c r="AV22" i="34"/>
  <c r="AX22" i="34" s="1"/>
  <c r="AS22" i="34"/>
  <c r="AU22" i="34" s="1"/>
  <c r="AR22" i="34"/>
  <c r="AT22" i="34" s="1"/>
  <c r="AH22" i="34"/>
  <c r="L22" i="34"/>
  <c r="K22" i="34"/>
  <c r="AW21" i="34"/>
  <c r="AY21" i="34" s="1"/>
  <c r="AV21" i="34"/>
  <c r="AX21" i="34" s="1"/>
  <c r="AS21" i="34"/>
  <c r="AU21" i="34" s="1"/>
  <c r="AR21" i="34"/>
  <c r="AT21" i="34" s="1"/>
  <c r="AH21" i="34"/>
  <c r="L21" i="34"/>
  <c r="K21" i="34"/>
  <c r="AW20" i="34"/>
  <c r="AY20" i="34" s="1"/>
  <c r="AV20" i="34"/>
  <c r="AX20" i="34" s="1"/>
  <c r="AS20" i="34"/>
  <c r="AU20" i="34" s="1"/>
  <c r="AR20" i="34"/>
  <c r="AT20" i="34" s="1"/>
  <c r="AH20" i="34"/>
  <c r="L20" i="34"/>
  <c r="K20" i="34"/>
  <c r="AW19" i="34"/>
  <c r="AY19" i="34" s="1"/>
  <c r="AV19" i="34"/>
  <c r="AX19" i="34" s="1"/>
  <c r="AS19" i="34"/>
  <c r="AU19" i="34" s="1"/>
  <c r="AR19" i="34"/>
  <c r="AT19" i="34" s="1"/>
  <c r="AH19" i="34"/>
  <c r="L19" i="34"/>
  <c r="K19" i="34"/>
  <c r="AW18" i="34"/>
  <c r="AY18" i="34" s="1"/>
  <c r="AV18" i="34"/>
  <c r="AX18" i="34" s="1"/>
  <c r="AS18" i="34"/>
  <c r="AU18" i="34" s="1"/>
  <c r="AR18" i="34"/>
  <c r="AT18" i="34" s="1"/>
  <c r="AH18" i="34"/>
  <c r="L18" i="34"/>
  <c r="K18" i="34"/>
  <c r="AW17" i="34"/>
  <c r="AY17" i="34" s="1"/>
  <c r="AV17" i="34"/>
  <c r="AX17" i="34" s="1"/>
  <c r="AS17" i="34"/>
  <c r="AU17" i="34" s="1"/>
  <c r="AR17" i="34"/>
  <c r="AT17" i="34" s="1"/>
  <c r="AH17" i="34"/>
  <c r="L17" i="34"/>
  <c r="K17" i="34"/>
  <c r="AW16" i="34"/>
  <c r="AY16" i="34" s="1"/>
  <c r="AV16" i="34"/>
  <c r="AX16" i="34" s="1"/>
  <c r="AS16" i="34"/>
  <c r="AU16" i="34" s="1"/>
  <c r="AR16" i="34"/>
  <c r="AT16" i="34" s="1"/>
  <c r="AH16" i="34"/>
  <c r="L16" i="34"/>
  <c r="K16" i="34"/>
  <c r="AW15" i="34"/>
  <c r="AY15" i="34" s="1"/>
  <c r="AV15" i="34"/>
  <c r="AX15" i="34" s="1"/>
  <c r="AS15" i="34"/>
  <c r="AU15" i="34" s="1"/>
  <c r="AR15" i="34"/>
  <c r="AT15" i="34" s="1"/>
  <c r="AH15" i="34"/>
  <c r="L15" i="34"/>
  <c r="K15" i="34"/>
  <c r="AW14" i="34"/>
  <c r="AY14" i="34" s="1"/>
  <c r="AV14" i="34"/>
  <c r="AX14" i="34" s="1"/>
  <c r="AS14" i="34"/>
  <c r="AU14" i="34" s="1"/>
  <c r="AR14" i="34"/>
  <c r="AT14" i="34" s="1"/>
  <c r="AH14" i="34"/>
  <c r="L14" i="34"/>
  <c r="K14" i="34"/>
  <c r="AW13" i="34"/>
  <c r="AY13" i="34" s="1"/>
  <c r="AV13" i="34"/>
  <c r="AX13" i="34" s="1"/>
  <c r="AS13" i="34"/>
  <c r="AU13" i="34" s="1"/>
  <c r="AR13" i="34"/>
  <c r="AT13" i="34" s="1"/>
  <c r="AH13" i="34"/>
  <c r="L13" i="34"/>
  <c r="K13" i="34"/>
  <c r="AW12" i="34"/>
  <c r="AY12" i="34" s="1"/>
  <c r="AV12" i="34"/>
  <c r="AX12" i="34" s="1"/>
  <c r="AS12" i="34"/>
  <c r="AU12" i="34" s="1"/>
  <c r="AR12" i="34"/>
  <c r="AT12" i="34" s="1"/>
  <c r="AH12" i="34"/>
  <c r="L12" i="34"/>
  <c r="K12" i="34"/>
  <c r="AW11" i="34"/>
  <c r="AY11" i="34" s="1"/>
  <c r="AV11" i="34"/>
  <c r="AX11" i="34" s="1"/>
  <c r="AU11" i="34"/>
  <c r="AS11" i="34"/>
  <c r="AR11" i="34"/>
  <c r="AT11" i="34" s="1"/>
  <c r="AH11" i="34"/>
  <c r="L11" i="34"/>
  <c r="K11" i="34"/>
  <c r="AW10" i="34"/>
  <c r="AY10" i="34" s="1"/>
  <c r="AV10" i="34"/>
  <c r="AX10" i="34" s="1"/>
  <c r="AS10" i="34"/>
  <c r="AU10" i="34" s="1"/>
  <c r="AR10" i="34"/>
  <c r="AT10" i="34" s="1"/>
  <c r="AH10" i="34"/>
  <c r="L10" i="34"/>
  <c r="K10" i="34"/>
  <c r="AW9" i="34"/>
  <c r="AY9" i="34" s="1"/>
  <c r="AV9" i="34"/>
  <c r="AX9" i="34" s="1"/>
  <c r="AS9" i="34"/>
  <c r="AU9" i="34" s="1"/>
  <c r="AR9" i="34"/>
  <c r="AT9" i="34" s="1"/>
  <c r="AH9" i="34"/>
  <c r="L9" i="34"/>
  <c r="K9" i="34"/>
  <c r="AW8" i="34"/>
  <c r="AY8" i="34" s="1"/>
  <c r="AV8" i="34"/>
  <c r="AX8" i="34" s="1"/>
  <c r="AS8" i="34"/>
  <c r="AU8" i="34" s="1"/>
  <c r="AR8" i="34"/>
  <c r="AT8" i="34" s="1"/>
  <c r="AH8" i="34"/>
  <c r="L8" i="34"/>
  <c r="K8" i="34"/>
  <c r="AY7" i="34"/>
  <c r="AW7" i="34"/>
  <c r="AV7" i="34"/>
  <c r="AX7" i="34" s="1"/>
  <c r="AS7" i="34"/>
  <c r="AU7" i="34" s="1"/>
  <c r="AR7" i="34"/>
  <c r="AT7" i="34" s="1"/>
  <c r="AH7" i="34"/>
  <c r="L7" i="34"/>
  <c r="K7" i="34"/>
  <c r="AW6" i="34"/>
  <c r="AY6" i="34" s="1"/>
  <c r="AV6" i="34"/>
  <c r="AX6" i="34" s="1"/>
  <c r="AS6" i="34"/>
  <c r="AU6" i="34" s="1"/>
  <c r="AR6" i="34"/>
  <c r="AT6" i="34" s="1"/>
  <c r="AH6" i="34"/>
  <c r="L6" i="34"/>
  <c r="K6" i="34"/>
  <c r="AW5" i="34"/>
  <c r="AY5" i="34" s="1"/>
  <c r="AV5" i="34"/>
  <c r="AX5" i="34" s="1"/>
  <c r="AS5" i="34"/>
  <c r="AU5" i="34" s="1"/>
  <c r="AR5" i="34"/>
  <c r="AT5" i="34" s="1"/>
  <c r="AH5" i="34"/>
  <c r="L5" i="34"/>
  <c r="K5" i="34"/>
  <c r="AW4" i="34"/>
  <c r="AY4" i="34" s="1"/>
  <c r="AV4" i="34"/>
  <c r="AX4" i="34" s="1"/>
  <c r="AS4" i="34"/>
  <c r="AU4" i="34" s="1"/>
  <c r="AR4" i="34"/>
  <c r="AT4" i="34" s="1"/>
  <c r="AH4" i="34"/>
  <c r="L4" i="34"/>
  <c r="K4" i="34"/>
  <c r="AW3" i="34"/>
  <c r="AY3" i="34" s="1"/>
  <c r="AV3" i="34"/>
  <c r="AX3" i="34" s="1"/>
  <c r="AS3" i="34"/>
  <c r="AU3" i="34" s="1"/>
  <c r="AR3" i="34"/>
  <c r="AT3" i="34" s="1"/>
  <c r="AH3" i="34"/>
  <c r="L3" i="34"/>
  <c r="K3" i="34"/>
  <c r="L119" i="33"/>
  <c r="E118" i="33"/>
  <c r="R116" i="33"/>
  <c r="Q116" i="33"/>
  <c r="P116" i="33"/>
  <c r="O116" i="33"/>
  <c r="N116" i="33"/>
  <c r="M116" i="33"/>
  <c r="L116" i="33"/>
  <c r="K116" i="33"/>
  <c r="J116" i="33"/>
  <c r="I116" i="33"/>
  <c r="H116" i="33"/>
  <c r="G116" i="33"/>
  <c r="F116" i="33"/>
  <c r="E116" i="33"/>
  <c r="R113" i="33"/>
  <c r="Q113" i="33"/>
  <c r="P113" i="33"/>
  <c r="L113" i="33"/>
  <c r="K113" i="33"/>
  <c r="J113" i="33"/>
  <c r="I113" i="33"/>
  <c r="F113" i="33"/>
  <c r="E113" i="33"/>
  <c r="R112" i="33"/>
  <c r="Q112" i="33"/>
  <c r="P112" i="33"/>
  <c r="O112" i="33"/>
  <c r="N112" i="33"/>
  <c r="M112" i="33"/>
  <c r="L112" i="33"/>
  <c r="K112" i="33"/>
  <c r="I112" i="33"/>
  <c r="H112" i="33"/>
  <c r="G112" i="33"/>
  <c r="F112" i="33"/>
  <c r="E112" i="33"/>
  <c r="O111" i="33"/>
  <c r="N111" i="33"/>
  <c r="M111" i="33"/>
  <c r="J111" i="33"/>
  <c r="R110" i="33"/>
  <c r="Q110" i="33"/>
  <c r="P110" i="33"/>
  <c r="O110" i="33"/>
  <c r="N110" i="33"/>
  <c r="M110" i="33"/>
  <c r="L110" i="33"/>
  <c r="K110" i="33"/>
  <c r="J110" i="33"/>
  <c r="I110" i="33"/>
  <c r="H110" i="33"/>
  <c r="G110" i="33"/>
  <c r="F110" i="33"/>
  <c r="E110" i="33"/>
  <c r="R107" i="33"/>
  <c r="Q107" i="33"/>
  <c r="Q119" i="33" s="1"/>
  <c r="P107" i="33"/>
  <c r="P119" i="33" s="1"/>
  <c r="L107" i="33"/>
  <c r="K107" i="33"/>
  <c r="K119" i="33" s="1"/>
  <c r="J107" i="33"/>
  <c r="J119" i="33" s="1"/>
  <c r="I107" i="33"/>
  <c r="I119" i="33" s="1"/>
  <c r="H107" i="33"/>
  <c r="F107" i="33"/>
  <c r="F119" i="33" s="1"/>
  <c r="E107" i="33"/>
  <c r="R106" i="33"/>
  <c r="R118" i="33" s="1"/>
  <c r="Q106" i="33"/>
  <c r="Q118" i="33" s="1"/>
  <c r="P106" i="33"/>
  <c r="P118" i="33" s="1"/>
  <c r="O106" i="33"/>
  <c r="N106" i="33"/>
  <c r="N118" i="33" s="1"/>
  <c r="M106" i="33"/>
  <c r="M118" i="33" s="1"/>
  <c r="L106" i="33"/>
  <c r="L118" i="33" s="1"/>
  <c r="K106" i="33"/>
  <c r="I106" i="33"/>
  <c r="I118" i="33" s="1"/>
  <c r="H106" i="33"/>
  <c r="H118" i="33" s="1"/>
  <c r="G106" i="33"/>
  <c r="G118" i="33" s="1"/>
  <c r="F106" i="33"/>
  <c r="F118" i="33" s="1"/>
  <c r="E106" i="33"/>
  <c r="D106" i="33"/>
  <c r="Q105" i="33"/>
  <c r="P105" i="33"/>
  <c r="O105" i="33"/>
  <c r="O117" i="33" s="1"/>
  <c r="N105" i="33"/>
  <c r="N117" i="33" s="1"/>
  <c r="M105" i="33"/>
  <c r="M117" i="33" s="1"/>
  <c r="J105" i="33"/>
  <c r="I105" i="33"/>
  <c r="H105" i="33"/>
  <c r="E105" i="33"/>
  <c r="D105" i="33"/>
  <c r="R104" i="33"/>
  <c r="Q104" i="33"/>
  <c r="P104" i="33"/>
  <c r="O104" i="33"/>
  <c r="N104" i="33"/>
  <c r="M104" i="33"/>
  <c r="L104" i="33"/>
  <c r="K104" i="33"/>
  <c r="J104" i="33"/>
  <c r="I104" i="33"/>
  <c r="H104" i="33"/>
  <c r="G104" i="33"/>
  <c r="F104" i="33"/>
  <c r="E104" i="33"/>
  <c r="R99" i="33"/>
  <c r="Q99" i="33"/>
  <c r="P99" i="33"/>
  <c r="L99" i="33"/>
  <c r="K99" i="33"/>
  <c r="J99" i="33"/>
  <c r="I99" i="33"/>
  <c r="F99" i="33"/>
  <c r="E99" i="33"/>
  <c r="R98" i="33"/>
  <c r="Q98" i="33"/>
  <c r="P98" i="33"/>
  <c r="O98" i="33"/>
  <c r="N98" i="33"/>
  <c r="M98" i="33"/>
  <c r="L98" i="33"/>
  <c r="K98" i="33"/>
  <c r="I98" i="33"/>
  <c r="H98" i="33"/>
  <c r="G98" i="33"/>
  <c r="F98" i="33"/>
  <c r="E98" i="33"/>
  <c r="O97" i="33"/>
  <c r="N97" i="33"/>
  <c r="M97" i="33"/>
  <c r="J97" i="33"/>
  <c r="R96" i="33"/>
  <c r="Q96" i="33"/>
  <c r="P96" i="33"/>
  <c r="O96" i="33"/>
  <c r="N96" i="33"/>
  <c r="M96" i="33"/>
  <c r="L96" i="33"/>
  <c r="K96" i="33"/>
  <c r="J96" i="33"/>
  <c r="I96" i="33"/>
  <c r="H96" i="33"/>
  <c r="G96" i="33"/>
  <c r="F96" i="33"/>
  <c r="E96" i="33"/>
  <c r="O93" i="33"/>
  <c r="N93" i="33"/>
  <c r="N94" i="33" s="1"/>
  <c r="M93" i="33"/>
  <c r="M94" i="33" s="1"/>
  <c r="H93" i="33"/>
  <c r="G93" i="33"/>
  <c r="D93" i="33"/>
  <c r="J92" i="33"/>
  <c r="J94" i="33" s="1"/>
  <c r="D92" i="33"/>
  <c r="R91" i="33"/>
  <c r="R94" i="33" s="1"/>
  <c r="Q91" i="33"/>
  <c r="Q94" i="33" s="1"/>
  <c r="P91" i="33"/>
  <c r="P94" i="33" s="1"/>
  <c r="L91" i="33"/>
  <c r="L94" i="33" s="1"/>
  <c r="K91" i="33"/>
  <c r="K94" i="33" s="1"/>
  <c r="I91" i="33"/>
  <c r="I94" i="33" s="1"/>
  <c r="H91" i="33"/>
  <c r="H94" i="33" s="1"/>
  <c r="G91" i="33"/>
  <c r="F91" i="33"/>
  <c r="F94" i="33" s="1"/>
  <c r="F100" i="33" s="1"/>
  <c r="E91" i="33"/>
  <c r="E94" i="33" s="1"/>
  <c r="D91" i="33"/>
  <c r="R90" i="33"/>
  <c r="Q90" i="33"/>
  <c r="P90" i="33"/>
  <c r="O90" i="33"/>
  <c r="N90" i="33"/>
  <c r="M90" i="33"/>
  <c r="L90" i="33"/>
  <c r="K90" i="33"/>
  <c r="J90" i="33"/>
  <c r="I90" i="33"/>
  <c r="H90" i="33"/>
  <c r="G90" i="33"/>
  <c r="F90" i="33"/>
  <c r="E90" i="33"/>
  <c r="Q88" i="33"/>
  <c r="Q100" i="33" s="1"/>
  <c r="P88" i="33"/>
  <c r="I88" i="33"/>
  <c r="H88" i="33"/>
  <c r="E88" i="33"/>
  <c r="O87" i="33"/>
  <c r="O88" i="33" s="1"/>
  <c r="N87" i="33"/>
  <c r="M87" i="33"/>
  <c r="H87" i="33"/>
  <c r="G87" i="33"/>
  <c r="D87" i="33"/>
  <c r="T86" i="33"/>
  <c r="J86" i="33"/>
  <c r="J88" i="33" s="1"/>
  <c r="D86" i="33"/>
  <c r="R85" i="33"/>
  <c r="R88" i="33" s="1"/>
  <c r="Q85" i="33"/>
  <c r="P85" i="33"/>
  <c r="L85" i="33"/>
  <c r="K85" i="33"/>
  <c r="K88" i="33" s="1"/>
  <c r="I85" i="33"/>
  <c r="H85" i="33"/>
  <c r="G85" i="33"/>
  <c r="G88" i="33" s="1"/>
  <c r="F85" i="33"/>
  <c r="F88" i="33" s="1"/>
  <c r="E85" i="33"/>
  <c r="D85" i="33"/>
  <c r="R84" i="33"/>
  <c r="Q84" i="33"/>
  <c r="P84" i="33"/>
  <c r="O84" i="33"/>
  <c r="N84" i="33"/>
  <c r="M84" i="33"/>
  <c r="L84" i="33"/>
  <c r="K84" i="33"/>
  <c r="J84" i="33"/>
  <c r="I84" i="33"/>
  <c r="H84" i="33"/>
  <c r="G84" i="33"/>
  <c r="F84" i="33"/>
  <c r="E84" i="33"/>
  <c r="R80" i="33"/>
  <c r="Q80" i="33"/>
  <c r="P80" i="33"/>
  <c r="L80" i="33"/>
  <c r="K80" i="33"/>
  <c r="J80" i="33"/>
  <c r="I80" i="33"/>
  <c r="F80" i="33"/>
  <c r="E80" i="33"/>
  <c r="R79" i="33"/>
  <c r="Q79" i="33"/>
  <c r="P79" i="33"/>
  <c r="O79" i="33"/>
  <c r="N79" i="33"/>
  <c r="M79" i="33"/>
  <c r="L79" i="33"/>
  <c r="K79" i="33"/>
  <c r="I79" i="33"/>
  <c r="H79" i="33"/>
  <c r="G79" i="33"/>
  <c r="F79" i="33"/>
  <c r="E79" i="33"/>
  <c r="O78" i="33"/>
  <c r="N78" i="33"/>
  <c r="M78" i="33"/>
  <c r="J78" i="33"/>
  <c r="O74" i="33"/>
  <c r="O75" i="33" s="1"/>
  <c r="N74" i="33"/>
  <c r="N75" i="33" s="1"/>
  <c r="M74" i="33"/>
  <c r="M113" i="33" s="1"/>
  <c r="H74" i="33"/>
  <c r="G74" i="33"/>
  <c r="G113" i="33" s="1"/>
  <c r="D74" i="33"/>
  <c r="J73" i="33"/>
  <c r="J75" i="33" s="1"/>
  <c r="D73" i="33"/>
  <c r="R72" i="33"/>
  <c r="R75" i="33" s="1"/>
  <c r="Q72" i="33"/>
  <c r="Q111" i="33" s="1"/>
  <c r="Q114" i="33" s="1"/>
  <c r="P72" i="33"/>
  <c r="P78" i="33" s="1"/>
  <c r="L72" i="33"/>
  <c r="K72" i="33"/>
  <c r="K75" i="33" s="1"/>
  <c r="I72" i="33"/>
  <c r="I111" i="33" s="1"/>
  <c r="I114" i="33" s="1"/>
  <c r="H72" i="33"/>
  <c r="G72" i="33"/>
  <c r="F72" i="33"/>
  <c r="F75" i="33" s="1"/>
  <c r="E72" i="33"/>
  <c r="E111" i="33" s="1"/>
  <c r="E114" i="33" s="1"/>
  <c r="D72" i="33"/>
  <c r="D111" i="33" s="1"/>
  <c r="R71" i="33"/>
  <c r="Q71" i="33"/>
  <c r="P71" i="33"/>
  <c r="O71" i="33"/>
  <c r="N71" i="33"/>
  <c r="M71" i="33"/>
  <c r="L71" i="33"/>
  <c r="K71" i="33"/>
  <c r="J71" i="33"/>
  <c r="I71" i="33"/>
  <c r="H71" i="33"/>
  <c r="G71" i="33"/>
  <c r="F71" i="33"/>
  <c r="E71" i="33"/>
  <c r="Q69" i="33"/>
  <c r="P69" i="33"/>
  <c r="M69" i="33"/>
  <c r="I69" i="33"/>
  <c r="H69" i="33"/>
  <c r="E69" i="33"/>
  <c r="O68" i="33"/>
  <c r="O107" i="33" s="1"/>
  <c r="N68" i="33"/>
  <c r="M68" i="33"/>
  <c r="H68" i="33"/>
  <c r="G68" i="33"/>
  <c r="G107" i="33" s="1"/>
  <c r="D68" i="33"/>
  <c r="T67" i="33"/>
  <c r="J67" i="33"/>
  <c r="J106" i="33" s="1"/>
  <c r="D67" i="33"/>
  <c r="R66" i="33"/>
  <c r="Q66" i="33"/>
  <c r="P66" i="33"/>
  <c r="L66" i="33"/>
  <c r="K66" i="33"/>
  <c r="I66" i="33"/>
  <c r="H66" i="33"/>
  <c r="G66" i="33"/>
  <c r="F66" i="33"/>
  <c r="E66" i="33"/>
  <c r="D66" i="33"/>
  <c r="AW60" i="33"/>
  <c r="AY60" i="33" s="1"/>
  <c r="AV60" i="33"/>
  <c r="AX60" i="33" s="1"/>
  <c r="AS60" i="33"/>
  <c r="AU60" i="33" s="1"/>
  <c r="AR60" i="33"/>
  <c r="AT60" i="33" s="1"/>
  <c r="AH60" i="33"/>
  <c r="L60" i="33"/>
  <c r="K60" i="33"/>
  <c r="AW59" i="33"/>
  <c r="AY59" i="33" s="1"/>
  <c r="AV59" i="33"/>
  <c r="AX59" i="33" s="1"/>
  <c r="AS59" i="33"/>
  <c r="AU59" i="33" s="1"/>
  <c r="AR59" i="33"/>
  <c r="AT59" i="33" s="1"/>
  <c r="AH59" i="33"/>
  <c r="L59" i="33"/>
  <c r="K59" i="33"/>
  <c r="AW58" i="33"/>
  <c r="AY58" i="33" s="1"/>
  <c r="AV58" i="33"/>
  <c r="AX58" i="33" s="1"/>
  <c r="AS58" i="33"/>
  <c r="AU58" i="33" s="1"/>
  <c r="AR58" i="33"/>
  <c r="AT58" i="33" s="1"/>
  <c r="AH58" i="33"/>
  <c r="L58" i="33"/>
  <c r="K58" i="33"/>
  <c r="AW57" i="33"/>
  <c r="AY57" i="33" s="1"/>
  <c r="AV57" i="33"/>
  <c r="AX57" i="33" s="1"/>
  <c r="AS57" i="33"/>
  <c r="AU57" i="33" s="1"/>
  <c r="AR57" i="33"/>
  <c r="AT57" i="33" s="1"/>
  <c r="AH57" i="33"/>
  <c r="L57" i="33"/>
  <c r="K57" i="33"/>
  <c r="AW56" i="33"/>
  <c r="AY56" i="33" s="1"/>
  <c r="AV56" i="33"/>
  <c r="AX56" i="33" s="1"/>
  <c r="AS56" i="33"/>
  <c r="AU56" i="33" s="1"/>
  <c r="AR56" i="33"/>
  <c r="AT56" i="33" s="1"/>
  <c r="AH56" i="33"/>
  <c r="L56" i="33"/>
  <c r="K56" i="33"/>
  <c r="AW55" i="33"/>
  <c r="AY55" i="33" s="1"/>
  <c r="AV55" i="33"/>
  <c r="AX55" i="33" s="1"/>
  <c r="AS55" i="33"/>
  <c r="AU55" i="33" s="1"/>
  <c r="AR55" i="33"/>
  <c r="AT55" i="33" s="1"/>
  <c r="AH55" i="33"/>
  <c r="L55" i="33"/>
  <c r="K55" i="33"/>
  <c r="AW54" i="33"/>
  <c r="AY54" i="33" s="1"/>
  <c r="AV54" i="33"/>
  <c r="AX54" i="33" s="1"/>
  <c r="AS54" i="33"/>
  <c r="AU54" i="33" s="1"/>
  <c r="AR54" i="33"/>
  <c r="AT54" i="33" s="1"/>
  <c r="AH54" i="33"/>
  <c r="L54" i="33"/>
  <c r="K54" i="33"/>
  <c r="AW53" i="33"/>
  <c r="AY53" i="33" s="1"/>
  <c r="AV53" i="33"/>
  <c r="AX53" i="33" s="1"/>
  <c r="AU53" i="33"/>
  <c r="AS53" i="33"/>
  <c r="AR53" i="33"/>
  <c r="AT53" i="33" s="1"/>
  <c r="AH53" i="33"/>
  <c r="L53" i="33"/>
  <c r="K53" i="33"/>
  <c r="AW52" i="33"/>
  <c r="AY52" i="33" s="1"/>
  <c r="AV52" i="33"/>
  <c r="AX52" i="33" s="1"/>
  <c r="AS52" i="33"/>
  <c r="AU52" i="33" s="1"/>
  <c r="AR52" i="33"/>
  <c r="AT52" i="33" s="1"/>
  <c r="AH52" i="33"/>
  <c r="L52" i="33"/>
  <c r="K52" i="33"/>
  <c r="AW51" i="33"/>
  <c r="AY51" i="33" s="1"/>
  <c r="AV51" i="33"/>
  <c r="AX51" i="33" s="1"/>
  <c r="AS51" i="33"/>
  <c r="AU51" i="33" s="1"/>
  <c r="AR51" i="33"/>
  <c r="AT51" i="33" s="1"/>
  <c r="AH51" i="33"/>
  <c r="L51" i="33"/>
  <c r="K51" i="33"/>
  <c r="AW50" i="33"/>
  <c r="AY50" i="33" s="1"/>
  <c r="AV50" i="33"/>
  <c r="AX50" i="33" s="1"/>
  <c r="AS50" i="33"/>
  <c r="AU50" i="33" s="1"/>
  <c r="AR50" i="33"/>
  <c r="AT50" i="33" s="1"/>
  <c r="AH50" i="33"/>
  <c r="L50" i="33"/>
  <c r="K50" i="33"/>
  <c r="AW49" i="33"/>
  <c r="AY49" i="33" s="1"/>
  <c r="AV49" i="33"/>
  <c r="AX49" i="33" s="1"/>
  <c r="AS49" i="33"/>
  <c r="AU49" i="33" s="1"/>
  <c r="AR49" i="33"/>
  <c r="AT49" i="33" s="1"/>
  <c r="AH49" i="33"/>
  <c r="L49" i="33"/>
  <c r="K49" i="33"/>
  <c r="AW48" i="33"/>
  <c r="AY48" i="33" s="1"/>
  <c r="AV48" i="33"/>
  <c r="AX48" i="33" s="1"/>
  <c r="AU48" i="33"/>
  <c r="AS48" i="33"/>
  <c r="AR48" i="33"/>
  <c r="AT48" i="33" s="1"/>
  <c r="AH48" i="33"/>
  <c r="L48" i="33"/>
  <c r="K48" i="33"/>
  <c r="AW47" i="33"/>
  <c r="AY47" i="33" s="1"/>
  <c r="AV47" i="33"/>
  <c r="AX47" i="33" s="1"/>
  <c r="AS47" i="33"/>
  <c r="AU47" i="33" s="1"/>
  <c r="AR47" i="33"/>
  <c r="AT47" i="33" s="1"/>
  <c r="AH47" i="33"/>
  <c r="L47" i="33"/>
  <c r="K47" i="33"/>
  <c r="AW46" i="33"/>
  <c r="AY46" i="33" s="1"/>
  <c r="AV46" i="33"/>
  <c r="AX46" i="33" s="1"/>
  <c r="AS46" i="33"/>
  <c r="AU46" i="33" s="1"/>
  <c r="AR46" i="33"/>
  <c r="AT46" i="33" s="1"/>
  <c r="AH46" i="33"/>
  <c r="L46" i="33"/>
  <c r="K46" i="33"/>
  <c r="AW45" i="33"/>
  <c r="AY45" i="33" s="1"/>
  <c r="AV45" i="33"/>
  <c r="AX45" i="33" s="1"/>
  <c r="AS45" i="33"/>
  <c r="AU45" i="33" s="1"/>
  <c r="AR45" i="33"/>
  <c r="AT45" i="33" s="1"/>
  <c r="AH45" i="33"/>
  <c r="L45" i="33"/>
  <c r="K45" i="33"/>
  <c r="AW44" i="33"/>
  <c r="AY44" i="33" s="1"/>
  <c r="AV44" i="33"/>
  <c r="AX44" i="33" s="1"/>
  <c r="AS44" i="33"/>
  <c r="AU44" i="33" s="1"/>
  <c r="AR44" i="33"/>
  <c r="AT44" i="33" s="1"/>
  <c r="AH44" i="33"/>
  <c r="L44" i="33"/>
  <c r="K44" i="33"/>
  <c r="AW43" i="33"/>
  <c r="AY43" i="33" s="1"/>
  <c r="AV43" i="33"/>
  <c r="AX43" i="33" s="1"/>
  <c r="AS43" i="33"/>
  <c r="AU43" i="33" s="1"/>
  <c r="AR43" i="33"/>
  <c r="AT43" i="33" s="1"/>
  <c r="AH43" i="33"/>
  <c r="L43" i="33"/>
  <c r="K43" i="33"/>
  <c r="AW42" i="33"/>
  <c r="AY42" i="33" s="1"/>
  <c r="AV42" i="33"/>
  <c r="AX42" i="33" s="1"/>
  <c r="AS42" i="33"/>
  <c r="AU42" i="33" s="1"/>
  <c r="AR42" i="33"/>
  <c r="AT42" i="33" s="1"/>
  <c r="AH42" i="33"/>
  <c r="L42" i="33"/>
  <c r="K42" i="33"/>
  <c r="AW41" i="33"/>
  <c r="AY41" i="33" s="1"/>
  <c r="AV41" i="33"/>
  <c r="AX41" i="33" s="1"/>
  <c r="AS41" i="33"/>
  <c r="AU41" i="33" s="1"/>
  <c r="AR41" i="33"/>
  <c r="AT41" i="33" s="1"/>
  <c r="AH41" i="33"/>
  <c r="L41" i="33"/>
  <c r="K41" i="33"/>
  <c r="AW40" i="33"/>
  <c r="AY40" i="33" s="1"/>
  <c r="AV40" i="33"/>
  <c r="AX40" i="33" s="1"/>
  <c r="AU40" i="33"/>
  <c r="AS40" i="33"/>
  <c r="AR40" i="33"/>
  <c r="AT40" i="33" s="1"/>
  <c r="AH40" i="33"/>
  <c r="L40" i="33"/>
  <c r="K40" i="33"/>
  <c r="AW39" i="33"/>
  <c r="AY39" i="33" s="1"/>
  <c r="AV39" i="33"/>
  <c r="AX39" i="33" s="1"/>
  <c r="AS39" i="33"/>
  <c r="AU39" i="33" s="1"/>
  <c r="AR39" i="33"/>
  <c r="AT39" i="33" s="1"/>
  <c r="AH39" i="33"/>
  <c r="L39" i="33"/>
  <c r="K39" i="33"/>
  <c r="AW38" i="33"/>
  <c r="AY38" i="33" s="1"/>
  <c r="AV38" i="33"/>
  <c r="AX38" i="33" s="1"/>
  <c r="AS38" i="33"/>
  <c r="AU38" i="33" s="1"/>
  <c r="AR38" i="33"/>
  <c r="AT38" i="33" s="1"/>
  <c r="AH38" i="33"/>
  <c r="L38" i="33"/>
  <c r="K38" i="33"/>
  <c r="AW37" i="33"/>
  <c r="AY37" i="33" s="1"/>
  <c r="AV37" i="33"/>
  <c r="AX37" i="33" s="1"/>
  <c r="AS37" i="33"/>
  <c r="AU37" i="33" s="1"/>
  <c r="AR37" i="33"/>
  <c r="AT37" i="33" s="1"/>
  <c r="AH37" i="33"/>
  <c r="L37" i="33"/>
  <c r="K37" i="33"/>
  <c r="AW36" i="33"/>
  <c r="AY36" i="33" s="1"/>
  <c r="AV36" i="33"/>
  <c r="AX36" i="33" s="1"/>
  <c r="AS36" i="33"/>
  <c r="AU36" i="33" s="1"/>
  <c r="AR36" i="33"/>
  <c r="AT36" i="33" s="1"/>
  <c r="AH36" i="33"/>
  <c r="L36" i="33"/>
  <c r="K36" i="33"/>
  <c r="AW35" i="33"/>
  <c r="AY35" i="33" s="1"/>
  <c r="AV35" i="33"/>
  <c r="AX35" i="33" s="1"/>
  <c r="AS35" i="33"/>
  <c r="AU35" i="33" s="1"/>
  <c r="AR35" i="33"/>
  <c r="AT35" i="33" s="1"/>
  <c r="AH35" i="33"/>
  <c r="L35" i="33"/>
  <c r="K35" i="33"/>
  <c r="AW34" i="33"/>
  <c r="AY34" i="33" s="1"/>
  <c r="AV34" i="33"/>
  <c r="AX34" i="33" s="1"/>
  <c r="AS34" i="33"/>
  <c r="AU34" i="33" s="1"/>
  <c r="AR34" i="33"/>
  <c r="AT34" i="33" s="1"/>
  <c r="AH34" i="33"/>
  <c r="L34" i="33"/>
  <c r="K34" i="33"/>
  <c r="AW33" i="33"/>
  <c r="AY33" i="33" s="1"/>
  <c r="AV33" i="33"/>
  <c r="AX33" i="33" s="1"/>
  <c r="AS33" i="33"/>
  <c r="AU33" i="33" s="1"/>
  <c r="AR33" i="33"/>
  <c r="AT33" i="33" s="1"/>
  <c r="AH33" i="33"/>
  <c r="L33" i="33"/>
  <c r="K33" i="33"/>
  <c r="AW32" i="33"/>
  <c r="AY32" i="33" s="1"/>
  <c r="AV32" i="33"/>
  <c r="AX32" i="33" s="1"/>
  <c r="AU32" i="33"/>
  <c r="AS32" i="33"/>
  <c r="AR32" i="33"/>
  <c r="AT32" i="33" s="1"/>
  <c r="AH32" i="33"/>
  <c r="L32" i="33"/>
  <c r="K32" i="33"/>
  <c r="AW31" i="33"/>
  <c r="AY31" i="33" s="1"/>
  <c r="AV31" i="33"/>
  <c r="AX31" i="33" s="1"/>
  <c r="AS31" i="33"/>
  <c r="AU31" i="33" s="1"/>
  <c r="AR31" i="33"/>
  <c r="AT31" i="33" s="1"/>
  <c r="AH31" i="33"/>
  <c r="L31" i="33"/>
  <c r="K31" i="33"/>
  <c r="AW30" i="33"/>
  <c r="AY30" i="33" s="1"/>
  <c r="AV30" i="33"/>
  <c r="AX30" i="33" s="1"/>
  <c r="AS30" i="33"/>
  <c r="AU30" i="33" s="1"/>
  <c r="AR30" i="33"/>
  <c r="AT30" i="33" s="1"/>
  <c r="AH30" i="33"/>
  <c r="L30" i="33"/>
  <c r="K30" i="33"/>
  <c r="AW29" i="33"/>
  <c r="AY29" i="33" s="1"/>
  <c r="AV29" i="33"/>
  <c r="AX29" i="33" s="1"/>
  <c r="AS29" i="33"/>
  <c r="AU29" i="33" s="1"/>
  <c r="AR29" i="33"/>
  <c r="AT29" i="33" s="1"/>
  <c r="AH29" i="33"/>
  <c r="L29" i="33"/>
  <c r="K29" i="33"/>
  <c r="AW28" i="33"/>
  <c r="AY28" i="33" s="1"/>
  <c r="AV28" i="33"/>
  <c r="AX28" i="33" s="1"/>
  <c r="AS28" i="33"/>
  <c r="AU28" i="33" s="1"/>
  <c r="AR28" i="33"/>
  <c r="AT28" i="33" s="1"/>
  <c r="AH28" i="33"/>
  <c r="L28" i="33"/>
  <c r="K28" i="33"/>
  <c r="AW27" i="33"/>
  <c r="AY27" i="33" s="1"/>
  <c r="AV27" i="33"/>
  <c r="AX27" i="33" s="1"/>
  <c r="AS27" i="33"/>
  <c r="AU27" i="33" s="1"/>
  <c r="AR27" i="33"/>
  <c r="AT27" i="33" s="1"/>
  <c r="AH27" i="33"/>
  <c r="L27" i="33"/>
  <c r="K27" i="33"/>
  <c r="AW26" i="33"/>
  <c r="AY26" i="33" s="1"/>
  <c r="AV26" i="33"/>
  <c r="AX26" i="33" s="1"/>
  <c r="AS26" i="33"/>
  <c r="AU26" i="33" s="1"/>
  <c r="AR26" i="33"/>
  <c r="AT26" i="33" s="1"/>
  <c r="AH26" i="33"/>
  <c r="L26" i="33"/>
  <c r="K26" i="33"/>
  <c r="AW25" i="33"/>
  <c r="AY25" i="33" s="1"/>
  <c r="AV25" i="33"/>
  <c r="AX25" i="33" s="1"/>
  <c r="AS25" i="33"/>
  <c r="AU25" i="33" s="1"/>
  <c r="AR25" i="33"/>
  <c r="AT25" i="33" s="1"/>
  <c r="AH25" i="33"/>
  <c r="L25" i="33"/>
  <c r="K25" i="33"/>
  <c r="AW24" i="33"/>
  <c r="AY24" i="33" s="1"/>
  <c r="AV24" i="33"/>
  <c r="AX24" i="33" s="1"/>
  <c r="AU24" i="33"/>
  <c r="AS24" i="33"/>
  <c r="AR24" i="33"/>
  <c r="AT24" i="33" s="1"/>
  <c r="AH24" i="33"/>
  <c r="L24" i="33"/>
  <c r="K24" i="33"/>
  <c r="AW23" i="33"/>
  <c r="AY23" i="33" s="1"/>
  <c r="AV23" i="33"/>
  <c r="AX23" i="33" s="1"/>
  <c r="AS23" i="33"/>
  <c r="AU23" i="33" s="1"/>
  <c r="AR23" i="33"/>
  <c r="AT23" i="33" s="1"/>
  <c r="AH23" i="33"/>
  <c r="L23" i="33"/>
  <c r="K23" i="33"/>
  <c r="AW22" i="33"/>
  <c r="AY22" i="33" s="1"/>
  <c r="AV22" i="33"/>
  <c r="AX22" i="33" s="1"/>
  <c r="AS22" i="33"/>
  <c r="AU22" i="33" s="1"/>
  <c r="AR22" i="33"/>
  <c r="AT22" i="33" s="1"/>
  <c r="AH22" i="33"/>
  <c r="L22" i="33"/>
  <c r="K22" i="33"/>
  <c r="AW21" i="33"/>
  <c r="AY21" i="33" s="1"/>
  <c r="AV21" i="33"/>
  <c r="AX21" i="33" s="1"/>
  <c r="AS21" i="33"/>
  <c r="AU21" i="33" s="1"/>
  <c r="AR21" i="33"/>
  <c r="AT21" i="33" s="1"/>
  <c r="AH21" i="33"/>
  <c r="L21" i="33"/>
  <c r="K21" i="33"/>
  <c r="AW20" i="33"/>
  <c r="AY20" i="33" s="1"/>
  <c r="AV20" i="33"/>
  <c r="AX20" i="33" s="1"/>
  <c r="AS20" i="33"/>
  <c r="AU20" i="33" s="1"/>
  <c r="AR20" i="33"/>
  <c r="AT20" i="33" s="1"/>
  <c r="AH20" i="33"/>
  <c r="L20" i="33"/>
  <c r="K20" i="33"/>
  <c r="AW19" i="33"/>
  <c r="AY19" i="33" s="1"/>
  <c r="AV19" i="33"/>
  <c r="AX19" i="33" s="1"/>
  <c r="AS19" i="33"/>
  <c r="AU19" i="33" s="1"/>
  <c r="AR19" i="33"/>
  <c r="AT19" i="33" s="1"/>
  <c r="AH19" i="33"/>
  <c r="L19" i="33"/>
  <c r="K19" i="33"/>
  <c r="AW18" i="33"/>
  <c r="AY18" i="33" s="1"/>
  <c r="AV18" i="33"/>
  <c r="AX18" i="33" s="1"/>
  <c r="AS18" i="33"/>
  <c r="AU18" i="33" s="1"/>
  <c r="AR18" i="33"/>
  <c r="AT18" i="33" s="1"/>
  <c r="AH18" i="33"/>
  <c r="L18" i="33"/>
  <c r="K18" i="33"/>
  <c r="AW17" i="33"/>
  <c r="AY17" i="33" s="1"/>
  <c r="AV17" i="33"/>
  <c r="AX17" i="33" s="1"/>
  <c r="AS17" i="33"/>
  <c r="AU17" i="33" s="1"/>
  <c r="AR17" i="33"/>
  <c r="AT17" i="33" s="1"/>
  <c r="AH17" i="33"/>
  <c r="L17" i="33"/>
  <c r="K17" i="33"/>
  <c r="AW16" i="33"/>
  <c r="AY16" i="33" s="1"/>
  <c r="AV16" i="33"/>
  <c r="AX16" i="33" s="1"/>
  <c r="AU16" i="33"/>
  <c r="AS16" i="33"/>
  <c r="AR16" i="33"/>
  <c r="AT16" i="33" s="1"/>
  <c r="AH16" i="33"/>
  <c r="L16" i="33"/>
  <c r="K16" i="33"/>
  <c r="AW15" i="33"/>
  <c r="AY15" i="33" s="1"/>
  <c r="AV15" i="33"/>
  <c r="AX15" i="33" s="1"/>
  <c r="AS15" i="33"/>
  <c r="AU15" i="33" s="1"/>
  <c r="AR15" i="33"/>
  <c r="AT15" i="33" s="1"/>
  <c r="AH15" i="33"/>
  <c r="L15" i="33"/>
  <c r="K15" i="33"/>
  <c r="AW14" i="33"/>
  <c r="AY14" i="33" s="1"/>
  <c r="AV14" i="33"/>
  <c r="AX14" i="33" s="1"/>
  <c r="AS14" i="33"/>
  <c r="AU14" i="33" s="1"/>
  <c r="AR14" i="33"/>
  <c r="AT14" i="33" s="1"/>
  <c r="AH14" i="33"/>
  <c r="L14" i="33"/>
  <c r="K14" i="33"/>
  <c r="AW13" i="33"/>
  <c r="AY13" i="33" s="1"/>
  <c r="AV13" i="33"/>
  <c r="AX13" i="33" s="1"/>
  <c r="AS13" i="33"/>
  <c r="AU13" i="33" s="1"/>
  <c r="AR13" i="33"/>
  <c r="AT13" i="33" s="1"/>
  <c r="AH13" i="33"/>
  <c r="L13" i="33"/>
  <c r="K13" i="33"/>
  <c r="AW12" i="33"/>
  <c r="AY12" i="33" s="1"/>
  <c r="AV12" i="33"/>
  <c r="AX12" i="33" s="1"/>
  <c r="AS12" i="33"/>
  <c r="AU12" i="33" s="1"/>
  <c r="AR12" i="33"/>
  <c r="AT12" i="33" s="1"/>
  <c r="AH12" i="33"/>
  <c r="L12" i="33"/>
  <c r="K12" i="33"/>
  <c r="AW11" i="33"/>
  <c r="AY11" i="33" s="1"/>
  <c r="AV11" i="33"/>
  <c r="AX11" i="33" s="1"/>
  <c r="AS11" i="33"/>
  <c r="AU11" i="33" s="1"/>
  <c r="AR11" i="33"/>
  <c r="AT11" i="33" s="1"/>
  <c r="AH11" i="33"/>
  <c r="L11" i="33"/>
  <c r="K11" i="33"/>
  <c r="AW10" i="33"/>
  <c r="AY10" i="33" s="1"/>
  <c r="AV10" i="33"/>
  <c r="AX10" i="33" s="1"/>
  <c r="AS10" i="33"/>
  <c r="AU10" i="33" s="1"/>
  <c r="AR10" i="33"/>
  <c r="AT10" i="33" s="1"/>
  <c r="AH10" i="33"/>
  <c r="L10" i="33"/>
  <c r="K10" i="33"/>
  <c r="AW9" i="33"/>
  <c r="AY9" i="33" s="1"/>
  <c r="AV9" i="33"/>
  <c r="AX9" i="33" s="1"/>
  <c r="AS9" i="33"/>
  <c r="AU9" i="33" s="1"/>
  <c r="AR9" i="33"/>
  <c r="AT9" i="33" s="1"/>
  <c r="AH9" i="33"/>
  <c r="L9" i="33"/>
  <c r="K9" i="33"/>
  <c r="AW8" i="33"/>
  <c r="AY8" i="33" s="1"/>
  <c r="AV8" i="33"/>
  <c r="AX8" i="33" s="1"/>
  <c r="AU8" i="33"/>
  <c r="AS8" i="33"/>
  <c r="AR8" i="33"/>
  <c r="AT8" i="33" s="1"/>
  <c r="AH8" i="33"/>
  <c r="L8" i="33"/>
  <c r="K8" i="33"/>
  <c r="AW7" i="33"/>
  <c r="AY7" i="33" s="1"/>
  <c r="AV7" i="33"/>
  <c r="AX7" i="33" s="1"/>
  <c r="AS7" i="33"/>
  <c r="AU7" i="33" s="1"/>
  <c r="AR7" i="33"/>
  <c r="AT7" i="33" s="1"/>
  <c r="AH7" i="33"/>
  <c r="L7" i="33"/>
  <c r="K7" i="33"/>
  <c r="AW6" i="33"/>
  <c r="AY6" i="33" s="1"/>
  <c r="AV6" i="33"/>
  <c r="AX6" i="33" s="1"/>
  <c r="AS6" i="33"/>
  <c r="AU6" i="33" s="1"/>
  <c r="AR6" i="33"/>
  <c r="AT6" i="33" s="1"/>
  <c r="AH6" i="33"/>
  <c r="L6" i="33"/>
  <c r="K6" i="33"/>
  <c r="AW5" i="33"/>
  <c r="AY5" i="33" s="1"/>
  <c r="AV5" i="33"/>
  <c r="AX5" i="33" s="1"/>
  <c r="AS5" i="33"/>
  <c r="AU5" i="33" s="1"/>
  <c r="AR5" i="33"/>
  <c r="AT5" i="33" s="1"/>
  <c r="AH5" i="33"/>
  <c r="L5" i="33"/>
  <c r="K5" i="33"/>
  <c r="AW4" i="33"/>
  <c r="AY4" i="33" s="1"/>
  <c r="AV4" i="33"/>
  <c r="AX4" i="33" s="1"/>
  <c r="AS4" i="33"/>
  <c r="AU4" i="33" s="1"/>
  <c r="AR4" i="33"/>
  <c r="AT4" i="33" s="1"/>
  <c r="AH4" i="33"/>
  <c r="L4" i="33"/>
  <c r="K4" i="33"/>
  <c r="AW3" i="33"/>
  <c r="AY3" i="33" s="1"/>
  <c r="AV3" i="33"/>
  <c r="AX3" i="33" s="1"/>
  <c r="AS3" i="33"/>
  <c r="AU3" i="33" s="1"/>
  <c r="AR3" i="33"/>
  <c r="AT3" i="33" s="1"/>
  <c r="AH3" i="33"/>
  <c r="L3" i="33"/>
  <c r="K3" i="33"/>
  <c r="R116" i="32"/>
  <c r="Q116" i="32"/>
  <c r="P116" i="32"/>
  <c r="O116" i="32"/>
  <c r="N116" i="32"/>
  <c r="M116" i="32"/>
  <c r="L116" i="32"/>
  <c r="K116" i="32"/>
  <c r="J116" i="32"/>
  <c r="I116" i="32"/>
  <c r="H116" i="32"/>
  <c r="G116" i="32"/>
  <c r="F116" i="32"/>
  <c r="E116" i="32"/>
  <c r="R113" i="32"/>
  <c r="Q113" i="32"/>
  <c r="P113" i="32"/>
  <c r="L113" i="32"/>
  <c r="K113" i="32"/>
  <c r="J113" i="32"/>
  <c r="I113" i="32"/>
  <c r="F113" i="32"/>
  <c r="E113" i="32"/>
  <c r="R112" i="32"/>
  <c r="Q112" i="32"/>
  <c r="P112" i="32"/>
  <c r="O112" i="32"/>
  <c r="N112" i="32"/>
  <c r="M112" i="32"/>
  <c r="L112" i="32"/>
  <c r="K112" i="32"/>
  <c r="I112" i="32"/>
  <c r="H112" i="32"/>
  <c r="G112" i="32"/>
  <c r="F112" i="32"/>
  <c r="E112" i="32"/>
  <c r="O111" i="32"/>
  <c r="N111" i="32"/>
  <c r="M111" i="32"/>
  <c r="J111" i="32"/>
  <c r="R110" i="32"/>
  <c r="Q110" i="32"/>
  <c r="P110" i="32"/>
  <c r="O110" i="32"/>
  <c r="N110" i="32"/>
  <c r="M110" i="32"/>
  <c r="L110" i="32"/>
  <c r="K110" i="32"/>
  <c r="J110" i="32"/>
  <c r="I110" i="32"/>
  <c r="H110" i="32"/>
  <c r="G110" i="32"/>
  <c r="F110" i="32"/>
  <c r="E110" i="32"/>
  <c r="R107" i="32"/>
  <c r="R119" i="32" s="1"/>
  <c r="Q107" i="32"/>
  <c r="Q119" i="32" s="1"/>
  <c r="P107" i="32"/>
  <c r="P119" i="32" s="1"/>
  <c r="L107" i="32"/>
  <c r="L119" i="32" s="1"/>
  <c r="K107" i="32"/>
  <c r="K119" i="32" s="1"/>
  <c r="J107" i="32"/>
  <c r="J119" i="32" s="1"/>
  <c r="I107" i="32"/>
  <c r="I119" i="32" s="1"/>
  <c r="H107" i="32"/>
  <c r="F107" i="32"/>
  <c r="F119" i="32" s="1"/>
  <c r="E107" i="32"/>
  <c r="R106" i="32"/>
  <c r="R118" i="32" s="1"/>
  <c r="Q106" i="32"/>
  <c r="Q118" i="32" s="1"/>
  <c r="P106" i="32"/>
  <c r="P118" i="32" s="1"/>
  <c r="O106" i="32"/>
  <c r="O118" i="32" s="1"/>
  <c r="N106" i="32"/>
  <c r="N118" i="32" s="1"/>
  <c r="M106" i="32"/>
  <c r="M118" i="32" s="1"/>
  <c r="L106" i="32"/>
  <c r="L118" i="32" s="1"/>
  <c r="K106" i="32"/>
  <c r="K118" i="32" s="1"/>
  <c r="I106" i="32"/>
  <c r="I118" i="32" s="1"/>
  <c r="H106" i="32"/>
  <c r="H118" i="32" s="1"/>
  <c r="G106" i="32"/>
  <c r="G118" i="32" s="1"/>
  <c r="F106" i="32"/>
  <c r="F118" i="32" s="1"/>
  <c r="E106" i="32"/>
  <c r="D106" i="32"/>
  <c r="P105" i="32"/>
  <c r="O105" i="32"/>
  <c r="O117" i="32" s="1"/>
  <c r="N105" i="32"/>
  <c r="N117" i="32" s="1"/>
  <c r="M105" i="32"/>
  <c r="M117" i="32" s="1"/>
  <c r="L105" i="32"/>
  <c r="J105" i="32"/>
  <c r="J117" i="32" s="1"/>
  <c r="R104" i="32"/>
  <c r="Q104" i="32"/>
  <c r="P104" i="32"/>
  <c r="O104" i="32"/>
  <c r="N104" i="32"/>
  <c r="M104" i="32"/>
  <c r="L104" i="32"/>
  <c r="K104" i="32"/>
  <c r="J104" i="32"/>
  <c r="I104" i="32"/>
  <c r="H104" i="32"/>
  <c r="G104" i="32"/>
  <c r="F104" i="32"/>
  <c r="E104" i="32"/>
  <c r="R99" i="32"/>
  <c r="Q99" i="32"/>
  <c r="P99" i="32"/>
  <c r="L99" i="32"/>
  <c r="K99" i="32"/>
  <c r="J99" i="32"/>
  <c r="I99" i="32"/>
  <c r="F99" i="32"/>
  <c r="E99" i="32"/>
  <c r="R98" i="32"/>
  <c r="Q98" i="32"/>
  <c r="P98" i="32"/>
  <c r="O98" i="32"/>
  <c r="N98" i="32"/>
  <c r="M98" i="32"/>
  <c r="L98" i="32"/>
  <c r="K98" i="32"/>
  <c r="I98" i="32"/>
  <c r="H98" i="32"/>
  <c r="G98" i="32"/>
  <c r="F98" i="32"/>
  <c r="E98" i="32"/>
  <c r="O97" i="32"/>
  <c r="N97" i="32"/>
  <c r="M97" i="32"/>
  <c r="J97" i="32"/>
  <c r="R96" i="32"/>
  <c r="Q96" i="32"/>
  <c r="P96" i="32"/>
  <c r="O96" i="32"/>
  <c r="N96" i="32"/>
  <c r="M96" i="32"/>
  <c r="L96" i="32"/>
  <c r="K96" i="32"/>
  <c r="J96" i="32"/>
  <c r="I96" i="32"/>
  <c r="H96" i="32"/>
  <c r="G96" i="32"/>
  <c r="F96" i="32"/>
  <c r="E96" i="32"/>
  <c r="O93" i="32"/>
  <c r="O94" i="32" s="1"/>
  <c r="N93" i="32"/>
  <c r="N94" i="32" s="1"/>
  <c r="M93" i="32"/>
  <c r="M94" i="32" s="1"/>
  <c r="H93" i="32"/>
  <c r="G93" i="32"/>
  <c r="G99" i="32" s="1"/>
  <c r="D93" i="32"/>
  <c r="J92" i="32"/>
  <c r="J94" i="32" s="1"/>
  <c r="J100" i="32" s="1"/>
  <c r="D92" i="32"/>
  <c r="R91" i="32"/>
  <c r="R94" i="32" s="1"/>
  <c r="Q91" i="32"/>
  <c r="Q94" i="32" s="1"/>
  <c r="P91" i="32"/>
  <c r="P94" i="32" s="1"/>
  <c r="L91" i="32"/>
  <c r="L94" i="32" s="1"/>
  <c r="K91" i="32"/>
  <c r="K94" i="32" s="1"/>
  <c r="I91" i="32"/>
  <c r="I94" i="32" s="1"/>
  <c r="H91" i="32"/>
  <c r="H94" i="32" s="1"/>
  <c r="G91" i="32"/>
  <c r="F91" i="32"/>
  <c r="E91" i="32"/>
  <c r="E94" i="32" s="1"/>
  <c r="D91" i="32"/>
  <c r="R90" i="32"/>
  <c r="Q90" i="32"/>
  <c r="P90" i="32"/>
  <c r="O90" i="32"/>
  <c r="N90" i="32"/>
  <c r="M90" i="32"/>
  <c r="L90" i="32"/>
  <c r="K90" i="32"/>
  <c r="J90" i="32"/>
  <c r="I90" i="32"/>
  <c r="H90" i="32"/>
  <c r="G90" i="32"/>
  <c r="F90" i="32"/>
  <c r="E90" i="32"/>
  <c r="Q88" i="32"/>
  <c r="Q100" i="32" s="1"/>
  <c r="P88" i="32"/>
  <c r="I88" i="32"/>
  <c r="H88" i="32"/>
  <c r="E88" i="32"/>
  <c r="O87" i="32"/>
  <c r="O88" i="32" s="1"/>
  <c r="N87" i="32"/>
  <c r="N88" i="32" s="1"/>
  <c r="M87" i="32"/>
  <c r="H87" i="32"/>
  <c r="G87" i="32"/>
  <c r="T87" i="32" s="1"/>
  <c r="D87" i="32"/>
  <c r="T86" i="32"/>
  <c r="J86" i="32"/>
  <c r="J88" i="32" s="1"/>
  <c r="D86" i="32"/>
  <c r="D98" i="32" s="1"/>
  <c r="R85" i="32"/>
  <c r="R88" i="32" s="1"/>
  <c r="Q85" i="32"/>
  <c r="P85" i="32"/>
  <c r="L85" i="32"/>
  <c r="K85" i="32"/>
  <c r="I85" i="32"/>
  <c r="H85" i="32"/>
  <c r="G85" i="32"/>
  <c r="F85" i="32"/>
  <c r="F88" i="32" s="1"/>
  <c r="E85" i="32"/>
  <c r="D85" i="32"/>
  <c r="R84" i="32"/>
  <c r="Q84" i="32"/>
  <c r="P84" i="32"/>
  <c r="O84" i="32"/>
  <c r="N84" i="32"/>
  <c r="M84" i="32"/>
  <c r="L84" i="32"/>
  <c r="K84" i="32"/>
  <c r="J84" i="32"/>
  <c r="I84" i="32"/>
  <c r="H84" i="32"/>
  <c r="G84" i="32"/>
  <c r="F84" i="32"/>
  <c r="E84" i="32"/>
  <c r="R80" i="32"/>
  <c r="Q80" i="32"/>
  <c r="P80" i="32"/>
  <c r="L80" i="32"/>
  <c r="K80" i="32"/>
  <c r="J80" i="32"/>
  <c r="I80" i="32"/>
  <c r="F80" i="32"/>
  <c r="E80" i="32"/>
  <c r="R79" i="32"/>
  <c r="Q79" i="32"/>
  <c r="P79" i="32"/>
  <c r="O79" i="32"/>
  <c r="N79" i="32"/>
  <c r="M79" i="32"/>
  <c r="L79" i="32"/>
  <c r="K79" i="32"/>
  <c r="I79" i="32"/>
  <c r="H79" i="32"/>
  <c r="G79" i="32"/>
  <c r="F79" i="32"/>
  <c r="E79" i="32"/>
  <c r="Q78" i="32"/>
  <c r="O78" i="32"/>
  <c r="N78" i="32"/>
  <c r="M78" i="32"/>
  <c r="J78" i="32"/>
  <c r="I75" i="32"/>
  <c r="O74" i="32"/>
  <c r="O75" i="32" s="1"/>
  <c r="N74" i="32"/>
  <c r="N75" i="32" s="1"/>
  <c r="M74" i="32"/>
  <c r="H74" i="32"/>
  <c r="H113" i="32" s="1"/>
  <c r="G74" i="32"/>
  <c r="D74" i="32"/>
  <c r="J73" i="32"/>
  <c r="J75" i="32" s="1"/>
  <c r="D73" i="32"/>
  <c r="D112" i="32" s="1"/>
  <c r="D118" i="32" s="1"/>
  <c r="R72" i="32"/>
  <c r="R75" i="32" s="1"/>
  <c r="Q72" i="32"/>
  <c r="Q75" i="32" s="1"/>
  <c r="P72" i="32"/>
  <c r="L72" i="32"/>
  <c r="L111" i="32" s="1"/>
  <c r="L114" i="32" s="1"/>
  <c r="K72" i="32"/>
  <c r="I72" i="32"/>
  <c r="H72" i="32"/>
  <c r="G72" i="32"/>
  <c r="F72" i="32"/>
  <c r="F75" i="32" s="1"/>
  <c r="E72" i="32"/>
  <c r="E78" i="32" s="1"/>
  <c r="D72" i="32"/>
  <c r="D111" i="32" s="1"/>
  <c r="R71" i="32"/>
  <c r="Q71" i="32"/>
  <c r="P71" i="32"/>
  <c r="O71" i="32"/>
  <c r="N71" i="32"/>
  <c r="M71" i="32"/>
  <c r="L71" i="32"/>
  <c r="K71" i="32"/>
  <c r="J71" i="32"/>
  <c r="I71" i="32"/>
  <c r="H71" i="32"/>
  <c r="G71" i="32"/>
  <c r="F71" i="32"/>
  <c r="E71" i="32"/>
  <c r="Q69" i="32"/>
  <c r="P69" i="32"/>
  <c r="M69" i="32"/>
  <c r="J69" i="32"/>
  <c r="I69" i="32"/>
  <c r="H69" i="32"/>
  <c r="E69" i="32"/>
  <c r="D69" i="32"/>
  <c r="O68" i="32"/>
  <c r="O107" i="32" s="1"/>
  <c r="N68" i="32"/>
  <c r="M68" i="32"/>
  <c r="M107" i="32" s="1"/>
  <c r="H68" i="32"/>
  <c r="G68" i="32"/>
  <c r="G107" i="32" s="1"/>
  <c r="D68" i="32"/>
  <c r="D107" i="32" s="1"/>
  <c r="T67" i="32"/>
  <c r="J67" i="32"/>
  <c r="J106" i="32" s="1"/>
  <c r="D67" i="32"/>
  <c r="R66" i="32"/>
  <c r="Q66" i="32"/>
  <c r="Q105" i="32" s="1"/>
  <c r="P66" i="32"/>
  <c r="L66" i="32"/>
  <c r="K66" i="32"/>
  <c r="I66" i="32"/>
  <c r="I105" i="32" s="1"/>
  <c r="H66" i="32"/>
  <c r="G66" i="32"/>
  <c r="F66" i="32"/>
  <c r="E66" i="32"/>
  <c r="E105" i="32" s="1"/>
  <c r="D66" i="32"/>
  <c r="D105" i="32" s="1"/>
  <c r="AW60" i="32"/>
  <c r="AY60" i="32" s="1"/>
  <c r="AV60" i="32"/>
  <c r="AX60" i="32" s="1"/>
  <c r="AS60" i="32"/>
  <c r="AU60" i="32" s="1"/>
  <c r="AR60" i="32"/>
  <c r="AT60" i="32" s="1"/>
  <c r="AH60" i="32"/>
  <c r="L60" i="32"/>
  <c r="K60" i="32"/>
  <c r="AW59" i="32"/>
  <c r="AY59" i="32" s="1"/>
  <c r="AV59" i="32"/>
  <c r="AX59" i="32" s="1"/>
  <c r="AS59" i="32"/>
  <c r="AU59" i="32" s="1"/>
  <c r="AR59" i="32"/>
  <c r="AT59" i="32" s="1"/>
  <c r="AH59" i="32"/>
  <c r="L59" i="32"/>
  <c r="K59" i="32"/>
  <c r="AW58" i="32"/>
  <c r="AY58" i="32" s="1"/>
  <c r="AV58" i="32"/>
  <c r="AX58" i="32" s="1"/>
  <c r="AS58" i="32"/>
  <c r="AU58" i="32" s="1"/>
  <c r="AR58" i="32"/>
  <c r="AT58" i="32" s="1"/>
  <c r="AH58" i="32"/>
  <c r="L58" i="32"/>
  <c r="K58" i="32"/>
  <c r="AW57" i="32"/>
  <c r="AY57" i="32" s="1"/>
  <c r="AV57" i="32"/>
  <c r="AX57" i="32" s="1"/>
  <c r="AS57" i="32"/>
  <c r="AU57" i="32" s="1"/>
  <c r="AR57" i="32"/>
  <c r="AT57" i="32" s="1"/>
  <c r="AH57" i="32"/>
  <c r="L57" i="32"/>
  <c r="K57" i="32"/>
  <c r="AW56" i="32"/>
  <c r="AY56" i="32" s="1"/>
  <c r="AV56" i="32"/>
  <c r="AX56" i="32" s="1"/>
  <c r="AS56" i="32"/>
  <c r="AU56" i="32" s="1"/>
  <c r="AR56" i="32"/>
  <c r="AT56" i="32" s="1"/>
  <c r="AH56" i="32"/>
  <c r="L56" i="32"/>
  <c r="K56" i="32"/>
  <c r="AW55" i="32"/>
  <c r="AY55" i="32" s="1"/>
  <c r="AV55" i="32"/>
  <c r="AX55" i="32" s="1"/>
  <c r="AS55" i="32"/>
  <c r="AU55" i="32" s="1"/>
  <c r="AR55" i="32"/>
  <c r="AT55" i="32" s="1"/>
  <c r="AH55" i="32"/>
  <c r="L55" i="32"/>
  <c r="K55" i="32"/>
  <c r="AW54" i="32"/>
  <c r="AY54" i="32" s="1"/>
  <c r="AV54" i="32"/>
  <c r="AX54" i="32" s="1"/>
  <c r="AS54" i="32"/>
  <c r="AU54" i="32" s="1"/>
  <c r="AR54" i="32"/>
  <c r="AT54" i="32" s="1"/>
  <c r="AH54" i="32"/>
  <c r="L54" i="32"/>
  <c r="K54" i="32"/>
  <c r="AW53" i="32"/>
  <c r="AY53" i="32" s="1"/>
  <c r="AV53" i="32"/>
  <c r="AX53" i="32" s="1"/>
  <c r="AS53" i="32"/>
  <c r="AU53" i="32" s="1"/>
  <c r="AR53" i="32"/>
  <c r="AT53" i="32" s="1"/>
  <c r="AH53" i="32"/>
  <c r="L53" i="32"/>
  <c r="K53" i="32"/>
  <c r="AW52" i="32"/>
  <c r="AY52" i="32" s="1"/>
  <c r="AV52" i="32"/>
  <c r="AX52" i="32" s="1"/>
  <c r="AS52" i="32"/>
  <c r="AU52" i="32" s="1"/>
  <c r="AR52" i="32"/>
  <c r="AT52" i="32" s="1"/>
  <c r="AH52" i="32"/>
  <c r="L52" i="32"/>
  <c r="K52" i="32"/>
  <c r="AW51" i="32"/>
  <c r="AY51" i="32" s="1"/>
  <c r="AV51" i="32"/>
  <c r="AX51" i="32" s="1"/>
  <c r="AS51" i="32"/>
  <c r="AU51" i="32" s="1"/>
  <c r="AR51" i="32"/>
  <c r="AT51" i="32" s="1"/>
  <c r="AH51" i="32"/>
  <c r="L51" i="32"/>
  <c r="K51" i="32"/>
  <c r="AW50" i="32"/>
  <c r="AY50" i="32" s="1"/>
  <c r="AV50" i="32"/>
  <c r="AX50" i="32" s="1"/>
  <c r="AS50" i="32"/>
  <c r="AU50" i="32" s="1"/>
  <c r="AR50" i="32"/>
  <c r="AT50" i="32" s="1"/>
  <c r="AH50" i="32"/>
  <c r="L50" i="32"/>
  <c r="K50" i="32"/>
  <c r="AW49" i="32"/>
  <c r="AY49" i="32" s="1"/>
  <c r="AV49" i="32"/>
  <c r="AX49" i="32" s="1"/>
  <c r="AS49" i="32"/>
  <c r="AU49" i="32" s="1"/>
  <c r="AR49" i="32"/>
  <c r="AT49" i="32" s="1"/>
  <c r="AH49" i="32"/>
  <c r="L49" i="32"/>
  <c r="K49" i="32"/>
  <c r="AW48" i="32"/>
  <c r="AY48" i="32" s="1"/>
  <c r="AV48" i="32"/>
  <c r="AX48" i="32" s="1"/>
  <c r="AS48" i="32"/>
  <c r="AU48" i="32" s="1"/>
  <c r="AR48" i="32"/>
  <c r="AT48" i="32" s="1"/>
  <c r="AH48" i="32"/>
  <c r="L48" i="32"/>
  <c r="K48" i="32"/>
  <c r="AW47" i="32"/>
  <c r="AY47" i="32" s="1"/>
  <c r="AV47" i="32"/>
  <c r="AX47" i="32" s="1"/>
  <c r="AS47" i="32"/>
  <c r="AU47" i="32" s="1"/>
  <c r="AR47" i="32"/>
  <c r="AT47" i="32" s="1"/>
  <c r="AH47" i="32"/>
  <c r="L47" i="32"/>
  <c r="K47" i="32"/>
  <c r="AW46" i="32"/>
  <c r="AY46" i="32" s="1"/>
  <c r="AV46" i="32"/>
  <c r="AX46" i="32" s="1"/>
  <c r="AS46" i="32"/>
  <c r="AU46" i="32" s="1"/>
  <c r="AR46" i="32"/>
  <c r="AT46" i="32" s="1"/>
  <c r="AH46" i="32"/>
  <c r="L46" i="32"/>
  <c r="K46" i="32"/>
  <c r="AW45" i="32"/>
  <c r="AY45" i="32" s="1"/>
  <c r="AV45" i="32"/>
  <c r="AX45" i="32" s="1"/>
  <c r="AS45" i="32"/>
  <c r="AU45" i="32" s="1"/>
  <c r="AR45" i="32"/>
  <c r="AT45" i="32" s="1"/>
  <c r="AH45" i="32"/>
  <c r="L45" i="32"/>
  <c r="K45" i="32"/>
  <c r="AW44" i="32"/>
  <c r="AY44" i="32" s="1"/>
  <c r="AV44" i="32"/>
  <c r="AX44" i="32" s="1"/>
  <c r="AS44" i="32"/>
  <c r="AU44" i="32" s="1"/>
  <c r="AR44" i="32"/>
  <c r="AT44" i="32" s="1"/>
  <c r="AH44" i="32"/>
  <c r="L44" i="32"/>
  <c r="K44" i="32"/>
  <c r="AW43" i="32"/>
  <c r="AY43" i="32" s="1"/>
  <c r="AV43" i="32"/>
  <c r="AX43" i="32" s="1"/>
  <c r="AS43" i="32"/>
  <c r="AU43" i="32" s="1"/>
  <c r="AR43" i="32"/>
  <c r="AT43" i="32" s="1"/>
  <c r="AH43" i="32"/>
  <c r="L43" i="32"/>
  <c r="K43" i="32"/>
  <c r="AW42" i="32"/>
  <c r="AY42" i="32" s="1"/>
  <c r="AV42" i="32"/>
  <c r="AX42" i="32" s="1"/>
  <c r="AS42" i="32"/>
  <c r="AU42" i="32" s="1"/>
  <c r="AR42" i="32"/>
  <c r="AT42" i="32" s="1"/>
  <c r="AH42" i="32"/>
  <c r="L42" i="32"/>
  <c r="K42" i="32"/>
  <c r="AW41" i="32"/>
  <c r="AY41" i="32" s="1"/>
  <c r="AV41" i="32"/>
  <c r="AX41" i="32" s="1"/>
  <c r="AT41" i="32"/>
  <c r="AS41" i="32"/>
  <c r="AU41" i="32" s="1"/>
  <c r="AR41" i="32"/>
  <c r="AH41" i="32"/>
  <c r="L41" i="32"/>
  <c r="K41" i="32"/>
  <c r="AW40" i="32"/>
  <c r="AY40" i="32" s="1"/>
  <c r="AV40" i="32"/>
  <c r="AX40" i="32" s="1"/>
  <c r="AT40" i="32"/>
  <c r="AS40" i="32"/>
  <c r="AU40" i="32" s="1"/>
  <c r="AR40" i="32"/>
  <c r="AH40" i="32"/>
  <c r="L40" i="32"/>
  <c r="K40" i="32"/>
  <c r="AW39" i="32"/>
  <c r="AY39" i="32" s="1"/>
  <c r="AV39" i="32"/>
  <c r="AX39" i="32" s="1"/>
  <c r="AS39" i="32"/>
  <c r="AU39" i="32" s="1"/>
  <c r="AR39" i="32"/>
  <c r="AT39" i="32" s="1"/>
  <c r="AH39" i="32"/>
  <c r="L39" i="32"/>
  <c r="K39" i="32"/>
  <c r="AW38" i="32"/>
  <c r="AY38" i="32" s="1"/>
  <c r="AV38" i="32"/>
  <c r="AX38" i="32" s="1"/>
  <c r="AS38" i="32"/>
  <c r="AU38" i="32" s="1"/>
  <c r="AR38" i="32"/>
  <c r="AT38" i="32" s="1"/>
  <c r="AH38" i="32"/>
  <c r="L38" i="32"/>
  <c r="K38" i="32"/>
  <c r="AW37" i="32"/>
  <c r="AY37" i="32" s="1"/>
  <c r="AV37" i="32"/>
  <c r="AX37" i="32" s="1"/>
  <c r="AS37" i="32"/>
  <c r="AU37" i="32" s="1"/>
  <c r="AR37" i="32"/>
  <c r="AT37" i="32" s="1"/>
  <c r="AH37" i="32"/>
  <c r="L37" i="32"/>
  <c r="K37" i="32"/>
  <c r="AW36" i="32"/>
  <c r="AY36" i="32" s="1"/>
  <c r="AV36" i="32"/>
  <c r="AX36" i="32" s="1"/>
  <c r="AS36" i="32"/>
  <c r="AU36" i="32" s="1"/>
  <c r="AR36" i="32"/>
  <c r="AT36" i="32" s="1"/>
  <c r="AH36" i="32"/>
  <c r="L36" i="32"/>
  <c r="K36" i="32"/>
  <c r="AW35" i="32"/>
  <c r="AY35" i="32" s="1"/>
  <c r="AV35" i="32"/>
  <c r="AX35" i="32" s="1"/>
  <c r="AS35" i="32"/>
  <c r="AU35" i="32" s="1"/>
  <c r="AR35" i="32"/>
  <c r="AT35" i="32" s="1"/>
  <c r="AH35" i="32"/>
  <c r="L35" i="32"/>
  <c r="K35" i="32"/>
  <c r="AW34" i="32"/>
  <c r="AY34" i="32" s="1"/>
  <c r="AV34" i="32"/>
  <c r="AX34" i="32" s="1"/>
  <c r="AS34" i="32"/>
  <c r="AU34" i="32" s="1"/>
  <c r="AR34" i="32"/>
  <c r="AT34" i="32" s="1"/>
  <c r="AH34" i="32"/>
  <c r="L34" i="32"/>
  <c r="K34" i="32"/>
  <c r="AW33" i="32"/>
  <c r="AY33" i="32" s="1"/>
  <c r="AV33" i="32"/>
  <c r="AX33" i="32" s="1"/>
  <c r="AS33" i="32"/>
  <c r="AU33" i="32" s="1"/>
  <c r="AR33" i="32"/>
  <c r="AT33" i="32" s="1"/>
  <c r="AH33" i="32"/>
  <c r="L33" i="32"/>
  <c r="K33" i="32"/>
  <c r="AW32" i="32"/>
  <c r="AY32" i="32" s="1"/>
  <c r="AV32" i="32"/>
  <c r="AX32" i="32" s="1"/>
  <c r="AS32" i="32"/>
  <c r="AU32" i="32" s="1"/>
  <c r="AR32" i="32"/>
  <c r="AT32" i="32" s="1"/>
  <c r="AH32" i="32"/>
  <c r="L32" i="32"/>
  <c r="K32" i="32"/>
  <c r="AW31" i="32"/>
  <c r="AY31" i="32" s="1"/>
  <c r="AV31" i="32"/>
  <c r="AX31" i="32" s="1"/>
  <c r="AS31" i="32"/>
  <c r="AU31" i="32" s="1"/>
  <c r="AR31" i="32"/>
  <c r="AT31" i="32" s="1"/>
  <c r="AH31" i="32"/>
  <c r="L31" i="32"/>
  <c r="K31" i="32"/>
  <c r="AW30" i="32"/>
  <c r="AY30" i="32" s="1"/>
  <c r="AV30" i="32"/>
  <c r="AX30" i="32" s="1"/>
  <c r="AS30" i="32"/>
  <c r="AU30" i="32" s="1"/>
  <c r="AR30" i="32"/>
  <c r="AT30" i="32" s="1"/>
  <c r="AH30" i="32"/>
  <c r="L30" i="32"/>
  <c r="K30" i="32"/>
  <c r="AW29" i="32"/>
  <c r="AY29" i="32" s="1"/>
  <c r="AV29" i="32"/>
  <c r="AX29" i="32" s="1"/>
  <c r="AT29" i="32"/>
  <c r="AS29" i="32"/>
  <c r="AU29" i="32" s="1"/>
  <c r="AR29" i="32"/>
  <c r="AH29" i="32"/>
  <c r="L29" i="32"/>
  <c r="K29" i="32"/>
  <c r="AW28" i="32"/>
  <c r="AY28" i="32" s="1"/>
  <c r="AV28" i="32"/>
  <c r="AX28" i="32" s="1"/>
  <c r="AT28" i="32"/>
  <c r="AS28" i="32"/>
  <c r="AU28" i="32" s="1"/>
  <c r="AR28" i="32"/>
  <c r="AH28" i="32"/>
  <c r="L28" i="32"/>
  <c r="K28" i="32"/>
  <c r="AW27" i="32"/>
  <c r="AY27" i="32" s="1"/>
  <c r="AV27" i="32"/>
  <c r="AX27" i="32" s="1"/>
  <c r="AS27" i="32"/>
  <c r="AU27" i="32" s="1"/>
  <c r="AR27" i="32"/>
  <c r="AT27" i="32" s="1"/>
  <c r="AH27" i="32"/>
  <c r="L27" i="32"/>
  <c r="K27" i="32"/>
  <c r="AW26" i="32"/>
  <c r="AY26" i="32" s="1"/>
  <c r="AV26" i="32"/>
  <c r="AX26" i="32" s="1"/>
  <c r="AS26" i="32"/>
  <c r="AU26" i="32" s="1"/>
  <c r="AR26" i="32"/>
  <c r="AT26" i="32" s="1"/>
  <c r="AH26" i="32"/>
  <c r="L26" i="32"/>
  <c r="K26" i="32"/>
  <c r="AW25" i="32"/>
  <c r="AY25" i="32" s="1"/>
  <c r="AV25" i="32"/>
  <c r="AX25" i="32" s="1"/>
  <c r="AS25" i="32"/>
  <c r="AU25" i="32" s="1"/>
  <c r="AR25" i="32"/>
  <c r="AT25" i="32" s="1"/>
  <c r="AH25" i="32"/>
  <c r="L25" i="32"/>
  <c r="K25" i="32"/>
  <c r="AW24" i="32"/>
  <c r="AY24" i="32" s="1"/>
  <c r="AV24" i="32"/>
  <c r="AX24" i="32" s="1"/>
  <c r="AS24" i="32"/>
  <c r="AU24" i="32" s="1"/>
  <c r="AR24" i="32"/>
  <c r="AT24" i="32" s="1"/>
  <c r="AH24" i="32"/>
  <c r="L24" i="32"/>
  <c r="K24" i="32"/>
  <c r="AW23" i="32"/>
  <c r="AY23" i="32" s="1"/>
  <c r="AV23" i="32"/>
  <c r="AX23" i="32" s="1"/>
  <c r="AS23" i="32"/>
  <c r="AU23" i="32" s="1"/>
  <c r="AR23" i="32"/>
  <c r="AT23" i="32" s="1"/>
  <c r="AH23" i="32"/>
  <c r="L23" i="32"/>
  <c r="K23" i="32"/>
  <c r="AW22" i="32"/>
  <c r="AY22" i="32" s="1"/>
  <c r="AV22" i="32"/>
  <c r="AX22" i="32" s="1"/>
  <c r="AS22" i="32"/>
  <c r="AU22" i="32" s="1"/>
  <c r="AR22" i="32"/>
  <c r="AT22" i="32" s="1"/>
  <c r="AH22" i="32"/>
  <c r="L22" i="32"/>
  <c r="K22" i="32"/>
  <c r="AW21" i="32"/>
  <c r="AY21" i="32" s="1"/>
  <c r="AV21" i="32"/>
  <c r="AX21" i="32" s="1"/>
  <c r="AU21" i="32"/>
  <c r="AS21" i="32"/>
  <c r="AR21" i="32"/>
  <c r="AT21" i="32" s="1"/>
  <c r="AH21" i="32"/>
  <c r="L21" i="32"/>
  <c r="K21" i="32"/>
  <c r="AW20" i="32"/>
  <c r="AY20" i="32" s="1"/>
  <c r="AV20" i="32"/>
  <c r="AX20" i="32" s="1"/>
  <c r="AS20" i="32"/>
  <c r="AU20" i="32" s="1"/>
  <c r="AR20" i="32"/>
  <c r="AT20" i="32" s="1"/>
  <c r="AH20" i="32"/>
  <c r="L20" i="32"/>
  <c r="K20" i="32"/>
  <c r="AW19" i="32"/>
  <c r="AY19" i="32" s="1"/>
  <c r="AV19" i="32"/>
  <c r="AX19" i="32" s="1"/>
  <c r="AS19" i="32"/>
  <c r="AU19" i="32" s="1"/>
  <c r="AR19" i="32"/>
  <c r="AT19" i="32" s="1"/>
  <c r="AH19" i="32"/>
  <c r="L19" i="32"/>
  <c r="K19" i="32"/>
  <c r="AW18" i="32"/>
  <c r="AY18" i="32" s="1"/>
  <c r="AV18" i="32"/>
  <c r="AX18" i="32" s="1"/>
  <c r="AS18" i="32"/>
  <c r="AU18" i="32" s="1"/>
  <c r="AR18" i="32"/>
  <c r="AT18" i="32" s="1"/>
  <c r="AH18" i="32"/>
  <c r="L18" i="32"/>
  <c r="K18" i="32"/>
  <c r="AW17" i="32"/>
  <c r="AY17" i="32" s="1"/>
  <c r="AV17" i="32"/>
  <c r="AX17" i="32" s="1"/>
  <c r="AS17" i="32"/>
  <c r="AU17" i="32" s="1"/>
  <c r="AR17" i="32"/>
  <c r="AT17" i="32" s="1"/>
  <c r="AH17" i="32"/>
  <c r="L17" i="32"/>
  <c r="K17" i="32"/>
  <c r="AW16" i="32"/>
  <c r="AY16" i="32" s="1"/>
  <c r="AV16" i="32"/>
  <c r="AX16" i="32" s="1"/>
  <c r="AS16" i="32"/>
  <c r="AU16" i="32" s="1"/>
  <c r="AR16" i="32"/>
  <c r="AT16" i="32" s="1"/>
  <c r="AH16" i="32"/>
  <c r="L16" i="32"/>
  <c r="K16" i="32"/>
  <c r="AW15" i="32"/>
  <c r="AY15" i="32" s="1"/>
  <c r="AV15" i="32"/>
  <c r="AX15" i="32" s="1"/>
  <c r="AS15" i="32"/>
  <c r="AU15" i="32" s="1"/>
  <c r="AR15" i="32"/>
  <c r="AT15" i="32" s="1"/>
  <c r="AH15" i="32"/>
  <c r="L15" i="32"/>
  <c r="K15" i="32"/>
  <c r="AW14" i="32"/>
  <c r="AY14" i="32" s="1"/>
  <c r="AV14" i="32"/>
  <c r="AX14" i="32" s="1"/>
  <c r="AS14" i="32"/>
  <c r="AU14" i="32" s="1"/>
  <c r="AR14" i="32"/>
  <c r="AT14" i="32" s="1"/>
  <c r="AH14" i="32"/>
  <c r="L14" i="32"/>
  <c r="K14" i="32"/>
  <c r="AY13" i="32"/>
  <c r="AW13" i="32"/>
  <c r="AV13" i="32"/>
  <c r="AX13" i="32" s="1"/>
  <c r="AU13" i="32"/>
  <c r="AT13" i="32"/>
  <c r="AS13" i="32"/>
  <c r="AR13" i="32"/>
  <c r="AH13" i="32"/>
  <c r="L13" i="32"/>
  <c r="K13" i="32"/>
  <c r="AW12" i="32"/>
  <c r="AY12" i="32" s="1"/>
  <c r="AV12" i="32"/>
  <c r="AX12" i="32" s="1"/>
  <c r="AS12" i="32"/>
  <c r="AU12" i="32" s="1"/>
  <c r="AR12" i="32"/>
  <c r="AT12" i="32" s="1"/>
  <c r="AH12" i="32"/>
  <c r="L12" i="32"/>
  <c r="K12" i="32"/>
  <c r="AW11" i="32"/>
  <c r="AY11" i="32" s="1"/>
  <c r="AV11" i="32"/>
  <c r="AX11" i="32" s="1"/>
  <c r="AS11" i="32"/>
  <c r="AU11" i="32" s="1"/>
  <c r="AR11" i="32"/>
  <c r="AT11" i="32" s="1"/>
  <c r="AH11" i="32"/>
  <c r="L11" i="32"/>
  <c r="K11" i="32"/>
  <c r="AW10" i="32"/>
  <c r="AY10" i="32" s="1"/>
  <c r="AV10" i="32"/>
  <c r="AX10" i="32" s="1"/>
  <c r="AS10" i="32"/>
  <c r="AU10" i="32" s="1"/>
  <c r="AR10" i="32"/>
  <c r="AT10" i="32" s="1"/>
  <c r="AH10" i="32"/>
  <c r="L10" i="32"/>
  <c r="K10" i="32"/>
  <c r="AW9" i="32"/>
  <c r="AY9" i="32" s="1"/>
  <c r="AV9" i="32"/>
  <c r="AX9" i="32" s="1"/>
  <c r="AS9" i="32"/>
  <c r="AU9" i="32" s="1"/>
  <c r="AR9" i="32"/>
  <c r="AT9" i="32" s="1"/>
  <c r="AH9" i="32"/>
  <c r="L9" i="32"/>
  <c r="K9" i="32"/>
  <c r="AW8" i="32"/>
  <c r="AY8" i="32" s="1"/>
  <c r="AV8" i="32"/>
  <c r="AX8" i="32" s="1"/>
  <c r="AS8" i="32"/>
  <c r="AU8" i="32" s="1"/>
  <c r="AR8" i="32"/>
  <c r="AT8" i="32" s="1"/>
  <c r="AH8" i="32"/>
  <c r="L8" i="32"/>
  <c r="K8" i="32"/>
  <c r="AW7" i="32"/>
  <c r="AY7" i="32" s="1"/>
  <c r="AV7" i="32"/>
  <c r="AX7" i="32" s="1"/>
  <c r="AS7" i="32"/>
  <c r="AU7" i="32" s="1"/>
  <c r="AR7" i="32"/>
  <c r="AT7" i="32" s="1"/>
  <c r="AH7" i="32"/>
  <c r="L7" i="32"/>
  <c r="K7" i="32"/>
  <c r="AW6" i="32"/>
  <c r="AY6" i="32" s="1"/>
  <c r="AV6" i="32"/>
  <c r="AX6" i="32" s="1"/>
  <c r="AS6" i="32"/>
  <c r="AU6" i="32" s="1"/>
  <c r="AR6" i="32"/>
  <c r="AT6" i="32" s="1"/>
  <c r="AH6" i="32"/>
  <c r="L6" i="32"/>
  <c r="K6" i="32"/>
  <c r="AW5" i="32"/>
  <c r="AY5" i="32" s="1"/>
  <c r="AV5" i="32"/>
  <c r="AX5" i="32" s="1"/>
  <c r="AT5" i="32"/>
  <c r="AS5" i="32"/>
  <c r="AU5" i="32" s="1"/>
  <c r="AR5" i="32"/>
  <c r="AH5" i="32"/>
  <c r="L5" i="32"/>
  <c r="K5" i="32"/>
  <c r="AW4" i="32"/>
  <c r="AY4" i="32" s="1"/>
  <c r="AV4" i="32"/>
  <c r="AX4" i="32" s="1"/>
  <c r="AT4" i="32"/>
  <c r="AS4" i="32"/>
  <c r="AU4" i="32" s="1"/>
  <c r="AR4" i="32"/>
  <c r="AH4" i="32"/>
  <c r="L4" i="32"/>
  <c r="K4" i="32"/>
  <c r="AW3" i="32"/>
  <c r="AY3" i="32" s="1"/>
  <c r="AV3" i="32"/>
  <c r="AX3" i="32" s="1"/>
  <c r="AS3" i="32"/>
  <c r="AU3" i="32" s="1"/>
  <c r="AR3" i="32"/>
  <c r="AT3" i="32" s="1"/>
  <c r="AH3" i="32"/>
  <c r="L3" i="32"/>
  <c r="K3" i="32"/>
  <c r="L119" i="31"/>
  <c r="E118" i="31"/>
  <c r="R116" i="31"/>
  <c r="Q116" i="31"/>
  <c r="P116" i="31"/>
  <c r="O116" i="31"/>
  <c r="N116" i="31"/>
  <c r="M116" i="31"/>
  <c r="L116" i="31"/>
  <c r="K116" i="31"/>
  <c r="J116" i="31"/>
  <c r="I116" i="31"/>
  <c r="H116" i="31"/>
  <c r="G116" i="31"/>
  <c r="F116" i="31"/>
  <c r="E116" i="31"/>
  <c r="R113" i="31"/>
  <c r="Q113" i="31"/>
  <c r="P113" i="31"/>
  <c r="L113" i="31"/>
  <c r="K113" i="31"/>
  <c r="J113" i="31"/>
  <c r="I113" i="31"/>
  <c r="F113" i="31"/>
  <c r="E113" i="31"/>
  <c r="R112" i="31"/>
  <c r="Q112" i="31"/>
  <c r="P112" i="31"/>
  <c r="O112" i="31"/>
  <c r="N112" i="31"/>
  <c r="M112" i="31"/>
  <c r="L112" i="31"/>
  <c r="K112" i="31"/>
  <c r="I112" i="31"/>
  <c r="H112" i="31"/>
  <c r="G112" i="31"/>
  <c r="F112" i="31"/>
  <c r="E112" i="31"/>
  <c r="O111" i="31"/>
  <c r="N111" i="31"/>
  <c r="M111" i="31"/>
  <c r="J111" i="31"/>
  <c r="R110" i="31"/>
  <c r="Q110" i="31"/>
  <c r="P110" i="31"/>
  <c r="O110" i="31"/>
  <c r="N110" i="31"/>
  <c r="M110" i="31"/>
  <c r="L110" i="31"/>
  <c r="K110" i="31"/>
  <c r="J110" i="31"/>
  <c r="I110" i="31"/>
  <c r="H110" i="31"/>
  <c r="G110" i="31"/>
  <c r="F110" i="31"/>
  <c r="E110" i="31"/>
  <c r="R107" i="31"/>
  <c r="Q107" i="31"/>
  <c r="Q119" i="31" s="1"/>
  <c r="P107" i="31"/>
  <c r="P119" i="31" s="1"/>
  <c r="L107" i="31"/>
  <c r="K107" i="31"/>
  <c r="K119" i="31" s="1"/>
  <c r="J107" i="31"/>
  <c r="J119" i="31" s="1"/>
  <c r="I107" i="31"/>
  <c r="I119" i="31" s="1"/>
  <c r="H107" i="31"/>
  <c r="F107" i="31"/>
  <c r="F119" i="31" s="1"/>
  <c r="E107" i="31"/>
  <c r="E119" i="31" s="1"/>
  <c r="R106" i="31"/>
  <c r="R118" i="31" s="1"/>
  <c r="Q106" i="31"/>
  <c r="Q118" i="31" s="1"/>
  <c r="P106" i="31"/>
  <c r="P118" i="31" s="1"/>
  <c r="O106" i="31"/>
  <c r="N106" i="31"/>
  <c r="N118" i="31" s="1"/>
  <c r="M106" i="31"/>
  <c r="M118" i="31" s="1"/>
  <c r="L106" i="31"/>
  <c r="L118" i="31" s="1"/>
  <c r="K106" i="31"/>
  <c r="I106" i="31"/>
  <c r="I118" i="31" s="1"/>
  <c r="H106" i="31"/>
  <c r="H118" i="31" s="1"/>
  <c r="G106" i="31"/>
  <c r="G118" i="31" s="1"/>
  <c r="F106" i="31"/>
  <c r="F118" i="31" s="1"/>
  <c r="E106" i="31"/>
  <c r="D106" i="31"/>
  <c r="Q105" i="31"/>
  <c r="P105" i="31"/>
  <c r="O105" i="31"/>
  <c r="O117" i="31" s="1"/>
  <c r="N105" i="31"/>
  <c r="N117" i="31" s="1"/>
  <c r="M105" i="31"/>
  <c r="M117" i="31" s="1"/>
  <c r="J105" i="31"/>
  <c r="J117" i="31" s="1"/>
  <c r="I105" i="31"/>
  <c r="H105" i="31"/>
  <c r="E105" i="31"/>
  <c r="D105" i="31"/>
  <c r="R104" i="31"/>
  <c r="Q104" i="31"/>
  <c r="P104" i="31"/>
  <c r="O104" i="31"/>
  <c r="N104" i="31"/>
  <c r="M104" i="31"/>
  <c r="L104" i="31"/>
  <c r="K104" i="31"/>
  <c r="J104" i="31"/>
  <c r="I104" i="31"/>
  <c r="H104" i="31"/>
  <c r="G104" i="31"/>
  <c r="F104" i="31"/>
  <c r="E104" i="31"/>
  <c r="R99" i="31"/>
  <c r="Q99" i="31"/>
  <c r="P99" i="31"/>
  <c r="L99" i="31"/>
  <c r="K99" i="31"/>
  <c r="J99" i="31"/>
  <c r="I99" i="31"/>
  <c r="F99" i="31"/>
  <c r="E99" i="31"/>
  <c r="R98" i="31"/>
  <c r="Q98" i="31"/>
  <c r="P98" i="31"/>
  <c r="O98" i="31"/>
  <c r="N98" i="31"/>
  <c r="M98" i="31"/>
  <c r="L98" i="31"/>
  <c r="K98" i="31"/>
  <c r="I98" i="31"/>
  <c r="H98" i="31"/>
  <c r="G98" i="31"/>
  <c r="F98" i="31"/>
  <c r="E98" i="31"/>
  <c r="O97" i="31"/>
  <c r="N97" i="31"/>
  <c r="M97" i="31"/>
  <c r="J97" i="31"/>
  <c r="R96" i="31"/>
  <c r="Q96" i="31"/>
  <c r="P96" i="31"/>
  <c r="O96" i="31"/>
  <c r="N96" i="31"/>
  <c r="M96" i="31"/>
  <c r="L96" i="31"/>
  <c r="K96" i="31"/>
  <c r="J96" i="31"/>
  <c r="I96" i="31"/>
  <c r="H96" i="31"/>
  <c r="G96" i="31"/>
  <c r="F96" i="31"/>
  <c r="E96" i="31"/>
  <c r="O93" i="31"/>
  <c r="O94" i="31" s="1"/>
  <c r="N93" i="31"/>
  <c r="N94" i="31" s="1"/>
  <c r="M93" i="31"/>
  <c r="M94" i="31" s="1"/>
  <c r="H93" i="31"/>
  <c r="G93" i="31"/>
  <c r="G99" i="31" s="1"/>
  <c r="D93" i="31"/>
  <c r="J92" i="31"/>
  <c r="J94" i="31" s="1"/>
  <c r="D92" i="31"/>
  <c r="R91" i="31"/>
  <c r="R94" i="31" s="1"/>
  <c r="R100" i="31" s="1"/>
  <c r="Q91" i="31"/>
  <c r="Q94" i="31" s="1"/>
  <c r="P91" i="31"/>
  <c r="P94" i="31" s="1"/>
  <c r="L91" i="31"/>
  <c r="L94" i="31" s="1"/>
  <c r="K91" i="31"/>
  <c r="K94" i="31" s="1"/>
  <c r="I91" i="31"/>
  <c r="I94" i="31" s="1"/>
  <c r="H91" i="31"/>
  <c r="G91" i="31"/>
  <c r="G94" i="31" s="1"/>
  <c r="F91" i="31"/>
  <c r="F94" i="31" s="1"/>
  <c r="F100" i="31" s="1"/>
  <c r="E91" i="31"/>
  <c r="E94" i="31" s="1"/>
  <c r="D91" i="31"/>
  <c r="R90" i="31"/>
  <c r="Q90" i="31"/>
  <c r="P90" i="31"/>
  <c r="O90" i="31"/>
  <c r="N90" i="31"/>
  <c r="M90" i="31"/>
  <c r="L90" i="31"/>
  <c r="K90" i="31"/>
  <c r="J90" i="31"/>
  <c r="I90" i="31"/>
  <c r="H90" i="31"/>
  <c r="G90" i="31"/>
  <c r="F90" i="31"/>
  <c r="E90" i="31"/>
  <c r="Q88" i="31"/>
  <c r="P88" i="31"/>
  <c r="I88" i="31"/>
  <c r="H88" i="31"/>
  <c r="E88" i="31"/>
  <c r="O87" i="31"/>
  <c r="O88" i="31" s="1"/>
  <c r="O100" i="31" s="1"/>
  <c r="N87" i="31"/>
  <c r="N88" i="31" s="1"/>
  <c r="N100" i="31" s="1"/>
  <c r="M87" i="31"/>
  <c r="H87" i="31"/>
  <c r="G87" i="31"/>
  <c r="D87" i="31"/>
  <c r="D99" i="31" s="1"/>
  <c r="T86" i="31"/>
  <c r="J86" i="31"/>
  <c r="J88" i="31" s="1"/>
  <c r="D86" i="31"/>
  <c r="R85" i="31"/>
  <c r="R88" i="31" s="1"/>
  <c r="Q85" i="31"/>
  <c r="Q97" i="31" s="1"/>
  <c r="P85" i="31"/>
  <c r="L85" i="31"/>
  <c r="K85" i="31"/>
  <c r="K88" i="31" s="1"/>
  <c r="I85" i="31"/>
  <c r="I97" i="31" s="1"/>
  <c r="H85" i="31"/>
  <c r="G85" i="31"/>
  <c r="G88" i="31" s="1"/>
  <c r="F85" i="31"/>
  <c r="F88" i="31" s="1"/>
  <c r="E85" i="31"/>
  <c r="D85" i="31"/>
  <c r="R84" i="31"/>
  <c r="Q84" i="31"/>
  <c r="P84" i="31"/>
  <c r="O84" i="31"/>
  <c r="N84" i="31"/>
  <c r="M84" i="31"/>
  <c r="L84" i="31"/>
  <c r="K84" i="31"/>
  <c r="J84" i="31"/>
  <c r="I84" i="31"/>
  <c r="H84" i="31"/>
  <c r="G84" i="31"/>
  <c r="F84" i="31"/>
  <c r="E84" i="31"/>
  <c r="R80" i="31"/>
  <c r="Q80" i="31"/>
  <c r="P80" i="31"/>
  <c r="L80" i="31"/>
  <c r="K80" i="31"/>
  <c r="J80" i="31"/>
  <c r="I80" i="31"/>
  <c r="F80" i="31"/>
  <c r="E80" i="31"/>
  <c r="R79" i="31"/>
  <c r="Q79" i="31"/>
  <c r="P79" i="31"/>
  <c r="O79" i="31"/>
  <c r="N79" i="31"/>
  <c r="M79" i="31"/>
  <c r="L79" i="31"/>
  <c r="K79" i="31"/>
  <c r="I79" i="31"/>
  <c r="H79" i="31"/>
  <c r="G79" i="31"/>
  <c r="F79" i="31"/>
  <c r="E79" i="31"/>
  <c r="O78" i="31"/>
  <c r="N78" i="31"/>
  <c r="M78" i="31"/>
  <c r="J78" i="31"/>
  <c r="O74" i="31"/>
  <c r="O75" i="31" s="1"/>
  <c r="N74" i="31"/>
  <c r="N75" i="31" s="1"/>
  <c r="M74" i="31"/>
  <c r="H74" i="31"/>
  <c r="G74" i="31"/>
  <c r="G113" i="31" s="1"/>
  <c r="D74" i="31"/>
  <c r="D113" i="31" s="1"/>
  <c r="J73" i="31"/>
  <c r="J75" i="31" s="1"/>
  <c r="D73" i="31"/>
  <c r="R72" i="31"/>
  <c r="R75" i="31" s="1"/>
  <c r="Q72" i="31"/>
  <c r="Q111" i="31" s="1"/>
  <c r="Q114" i="31" s="1"/>
  <c r="P72" i="31"/>
  <c r="L72" i="31"/>
  <c r="K72" i="31"/>
  <c r="K75" i="31" s="1"/>
  <c r="I72" i="31"/>
  <c r="I111" i="31" s="1"/>
  <c r="I114" i="31" s="1"/>
  <c r="H72" i="31"/>
  <c r="G72" i="31"/>
  <c r="G75" i="31" s="1"/>
  <c r="F72" i="31"/>
  <c r="F75" i="31" s="1"/>
  <c r="E72" i="31"/>
  <c r="E111" i="31" s="1"/>
  <c r="E114" i="31" s="1"/>
  <c r="D72" i="31"/>
  <c r="R71" i="31"/>
  <c r="Q71" i="31"/>
  <c r="P71" i="31"/>
  <c r="O71" i="31"/>
  <c r="N71" i="31"/>
  <c r="M71" i="31"/>
  <c r="L71" i="31"/>
  <c r="K71" i="31"/>
  <c r="J71" i="31"/>
  <c r="I71" i="31"/>
  <c r="H71" i="31"/>
  <c r="G71" i="31"/>
  <c r="F71" i="31"/>
  <c r="E71" i="31"/>
  <c r="Q69" i="31"/>
  <c r="P69" i="31"/>
  <c r="I69" i="31"/>
  <c r="H69" i="31"/>
  <c r="E69" i="31"/>
  <c r="O68" i="31"/>
  <c r="O107" i="31" s="1"/>
  <c r="N68" i="31"/>
  <c r="M68" i="31"/>
  <c r="M107" i="31" s="1"/>
  <c r="H68" i="31"/>
  <c r="G68" i="31"/>
  <c r="G107" i="31" s="1"/>
  <c r="D68" i="31"/>
  <c r="D107" i="31" s="1"/>
  <c r="T67" i="31"/>
  <c r="J67" i="31"/>
  <c r="J106" i="31" s="1"/>
  <c r="D67" i="31"/>
  <c r="R66" i="31"/>
  <c r="Q66" i="31"/>
  <c r="P66" i="31"/>
  <c r="L66" i="31"/>
  <c r="L105" i="31" s="1"/>
  <c r="K66" i="31"/>
  <c r="I66" i="31"/>
  <c r="H66" i="31"/>
  <c r="G66" i="31"/>
  <c r="F66" i="31"/>
  <c r="T66" i="31" s="1"/>
  <c r="E66" i="31"/>
  <c r="D66" i="31"/>
  <c r="AW60" i="31"/>
  <c r="AY60" i="31" s="1"/>
  <c r="AV60" i="31"/>
  <c r="AX60" i="31" s="1"/>
  <c r="AS60" i="31"/>
  <c r="AU60" i="31" s="1"/>
  <c r="AR60" i="31"/>
  <c r="AT60" i="31" s="1"/>
  <c r="AH60" i="31"/>
  <c r="L60" i="31"/>
  <c r="K60" i="31"/>
  <c r="AW59" i="31"/>
  <c r="AY59" i="31" s="1"/>
  <c r="AV59" i="31"/>
  <c r="AX59" i="31" s="1"/>
  <c r="AS59" i="31"/>
  <c r="AU59" i="31" s="1"/>
  <c r="AR59" i="31"/>
  <c r="AT59" i="31" s="1"/>
  <c r="AH59" i="31"/>
  <c r="L59" i="31"/>
  <c r="K59" i="31"/>
  <c r="AW58" i="31"/>
  <c r="AY58" i="31" s="1"/>
  <c r="AV58" i="31"/>
  <c r="AX58" i="31" s="1"/>
  <c r="AS58" i="31"/>
  <c r="AU58" i="31" s="1"/>
  <c r="AR58" i="31"/>
  <c r="AT58" i="31" s="1"/>
  <c r="AH58" i="31"/>
  <c r="L58" i="31"/>
  <c r="K58" i="31"/>
  <c r="AW57" i="31"/>
  <c r="AY57" i="31" s="1"/>
  <c r="AV57" i="31"/>
  <c r="AX57" i="31" s="1"/>
  <c r="AS57" i="31"/>
  <c r="AU57" i="31" s="1"/>
  <c r="AR57" i="31"/>
  <c r="AT57" i="31" s="1"/>
  <c r="AH57" i="31"/>
  <c r="L57" i="31"/>
  <c r="K57" i="31"/>
  <c r="AY56" i="31"/>
  <c r="AW56" i="31"/>
  <c r="AV56" i="31"/>
  <c r="AX56" i="31" s="1"/>
  <c r="AT56" i="31"/>
  <c r="AS56" i="31"/>
  <c r="AU56" i="31" s="1"/>
  <c r="AR56" i="31"/>
  <c r="AH56" i="31"/>
  <c r="L56" i="31"/>
  <c r="K56" i="31"/>
  <c r="AW55" i="31"/>
  <c r="AY55" i="31" s="1"/>
  <c r="AV55" i="31"/>
  <c r="AX55" i="31" s="1"/>
  <c r="AS55" i="31"/>
  <c r="AU55" i="31" s="1"/>
  <c r="AR55" i="31"/>
  <c r="AT55" i="31" s="1"/>
  <c r="AH55" i="31"/>
  <c r="L55" i="31"/>
  <c r="K55" i="31"/>
  <c r="AW54" i="31"/>
  <c r="AY54" i="31" s="1"/>
  <c r="AV54" i="31"/>
  <c r="AX54" i="31" s="1"/>
  <c r="AS54" i="31"/>
  <c r="AU54" i="31" s="1"/>
  <c r="AR54" i="31"/>
  <c r="AT54" i="31" s="1"/>
  <c r="AH54" i="31"/>
  <c r="L54" i="31"/>
  <c r="K54" i="31"/>
  <c r="AW53" i="31"/>
  <c r="AY53" i="31" s="1"/>
  <c r="AV53" i="31"/>
  <c r="AX53" i="31" s="1"/>
  <c r="AS53" i="31"/>
  <c r="AU53" i="31" s="1"/>
  <c r="AR53" i="31"/>
  <c r="AT53" i="31" s="1"/>
  <c r="AH53" i="31"/>
  <c r="L53" i="31"/>
  <c r="K53" i="31"/>
  <c r="AW52" i="31"/>
  <c r="AY52" i="31" s="1"/>
  <c r="AV52" i="31"/>
  <c r="AX52" i="31" s="1"/>
  <c r="AS52" i="31"/>
  <c r="AU52" i="31" s="1"/>
  <c r="AR52" i="31"/>
  <c r="AT52" i="31" s="1"/>
  <c r="AH52" i="31"/>
  <c r="L52" i="31"/>
  <c r="K52" i="31"/>
  <c r="AW51" i="31"/>
  <c r="AY51" i="31" s="1"/>
  <c r="AV51" i="31"/>
  <c r="AX51" i="31" s="1"/>
  <c r="AS51" i="31"/>
  <c r="AU51" i="31" s="1"/>
  <c r="AR51" i="31"/>
  <c r="AT51" i="31" s="1"/>
  <c r="AH51" i="31"/>
  <c r="L51" i="31"/>
  <c r="K51" i="31"/>
  <c r="AW50" i="31"/>
  <c r="AY50" i="31" s="1"/>
  <c r="AV50" i="31"/>
  <c r="AX50" i="31" s="1"/>
  <c r="AS50" i="31"/>
  <c r="AU50" i="31" s="1"/>
  <c r="AR50" i="31"/>
  <c r="AT50" i="31" s="1"/>
  <c r="AH50" i="31"/>
  <c r="L50" i="31"/>
  <c r="K50" i="31"/>
  <c r="AW49" i="31"/>
  <c r="AY49" i="31" s="1"/>
  <c r="AV49" i="31"/>
  <c r="AX49" i="31" s="1"/>
  <c r="AS49" i="31"/>
  <c r="AU49" i="31" s="1"/>
  <c r="AR49" i="31"/>
  <c r="AT49" i="31" s="1"/>
  <c r="AH49" i="31"/>
  <c r="L49" i="31"/>
  <c r="K49" i="31"/>
  <c r="AW48" i="31"/>
  <c r="AY48" i="31" s="1"/>
  <c r="AV48" i="31"/>
  <c r="AX48" i="31" s="1"/>
  <c r="AU48" i="31"/>
  <c r="AS48" i="31"/>
  <c r="AR48" i="31"/>
  <c r="AT48" i="31" s="1"/>
  <c r="AH48" i="31"/>
  <c r="L48" i="31"/>
  <c r="K48" i="31"/>
  <c r="AW47" i="31"/>
  <c r="AY47" i="31" s="1"/>
  <c r="AV47" i="31"/>
  <c r="AX47" i="31" s="1"/>
  <c r="AS47" i="31"/>
  <c r="AU47" i="31" s="1"/>
  <c r="AR47" i="31"/>
  <c r="AT47" i="31" s="1"/>
  <c r="AH47" i="31"/>
  <c r="L47" i="31"/>
  <c r="K47" i="31"/>
  <c r="AW46" i="31"/>
  <c r="AY46" i="31" s="1"/>
  <c r="AV46" i="31"/>
  <c r="AX46" i="31" s="1"/>
  <c r="AS46" i="31"/>
  <c r="AU46" i="31" s="1"/>
  <c r="AR46" i="31"/>
  <c r="AT46" i="31" s="1"/>
  <c r="AH46" i="31"/>
  <c r="L46" i="31"/>
  <c r="K46" i="31"/>
  <c r="AW45" i="31"/>
  <c r="AY45" i="31" s="1"/>
  <c r="AV45" i="31"/>
  <c r="AX45" i="31" s="1"/>
  <c r="AS45" i="31"/>
  <c r="AU45" i="31" s="1"/>
  <c r="AR45" i="31"/>
  <c r="AT45" i="31" s="1"/>
  <c r="AH45" i="31"/>
  <c r="L45" i="31"/>
  <c r="K45" i="31"/>
  <c r="AW44" i="31"/>
  <c r="AY44" i="31" s="1"/>
  <c r="AV44" i="31"/>
  <c r="AX44" i="31" s="1"/>
  <c r="AS44" i="31"/>
  <c r="AU44" i="31" s="1"/>
  <c r="AR44" i="31"/>
  <c r="AT44" i="31" s="1"/>
  <c r="AH44" i="31"/>
  <c r="L44" i="31"/>
  <c r="K44" i="31"/>
  <c r="AW43" i="31"/>
  <c r="AY43" i="31" s="1"/>
  <c r="AV43" i="31"/>
  <c r="AX43" i="31" s="1"/>
  <c r="AT43" i="31"/>
  <c r="AS43" i="31"/>
  <c r="AU43" i="31" s="1"/>
  <c r="AR43" i="31"/>
  <c r="AH43" i="31"/>
  <c r="L43" i="31"/>
  <c r="K43" i="31"/>
  <c r="AW42" i="31"/>
  <c r="AY42" i="31" s="1"/>
  <c r="AV42" i="31"/>
  <c r="AX42" i="31" s="1"/>
  <c r="AS42" i="31"/>
  <c r="AU42" i="31" s="1"/>
  <c r="AR42" i="31"/>
  <c r="AT42" i="31" s="1"/>
  <c r="AH42" i="31"/>
  <c r="L42" i="31"/>
  <c r="K42" i="31"/>
  <c r="AW41" i="31"/>
  <c r="AY41" i="31" s="1"/>
  <c r="AV41" i="31"/>
  <c r="AX41" i="31" s="1"/>
  <c r="AS41" i="31"/>
  <c r="AU41" i="31" s="1"/>
  <c r="AR41" i="31"/>
  <c r="AT41" i="31" s="1"/>
  <c r="AH41" i="31"/>
  <c r="L41" i="31"/>
  <c r="K41" i="31"/>
  <c r="AW40" i="31"/>
  <c r="AY40" i="31" s="1"/>
  <c r="AV40" i="31"/>
  <c r="AX40" i="31" s="1"/>
  <c r="AU40" i="31"/>
  <c r="AS40" i="31"/>
  <c r="AR40" i="31"/>
  <c r="AT40" i="31" s="1"/>
  <c r="AH40" i="31"/>
  <c r="L40" i="31"/>
  <c r="K40" i="31"/>
  <c r="AW39" i="31"/>
  <c r="AY39" i="31" s="1"/>
  <c r="AV39" i="31"/>
  <c r="AX39" i="31" s="1"/>
  <c r="AS39" i="31"/>
  <c r="AU39" i="31" s="1"/>
  <c r="AR39" i="31"/>
  <c r="AT39" i="31" s="1"/>
  <c r="AH39" i="31"/>
  <c r="L39" i="31"/>
  <c r="K39" i="31"/>
  <c r="AW38" i="31"/>
  <c r="AY38" i="31" s="1"/>
  <c r="AV38" i="31"/>
  <c r="AX38" i="31" s="1"/>
  <c r="AS38" i="31"/>
  <c r="AU38" i="31" s="1"/>
  <c r="AR38" i="31"/>
  <c r="AT38" i="31" s="1"/>
  <c r="AH38" i="31"/>
  <c r="L38" i="31"/>
  <c r="K38" i="31"/>
  <c r="AW37" i="31"/>
  <c r="AY37" i="31" s="1"/>
  <c r="AV37" i="31"/>
  <c r="AX37" i="31" s="1"/>
  <c r="AS37" i="31"/>
  <c r="AU37" i="31" s="1"/>
  <c r="AR37" i="31"/>
  <c r="AT37" i="31" s="1"/>
  <c r="AH37" i="31"/>
  <c r="L37" i="31"/>
  <c r="K37" i="31"/>
  <c r="AW36" i="31"/>
  <c r="AY36" i="31" s="1"/>
  <c r="AV36" i="31"/>
  <c r="AX36" i="31" s="1"/>
  <c r="AS36" i="31"/>
  <c r="AU36" i="31" s="1"/>
  <c r="AR36" i="31"/>
  <c r="AT36" i="31" s="1"/>
  <c r="AH36" i="31"/>
  <c r="L36" i="31"/>
  <c r="K36" i="31"/>
  <c r="AW35" i="31"/>
  <c r="AY35" i="31" s="1"/>
  <c r="AV35" i="31"/>
  <c r="AX35" i="31" s="1"/>
  <c r="AS35" i="31"/>
  <c r="AU35" i="31" s="1"/>
  <c r="AR35" i="31"/>
  <c r="AT35" i="31" s="1"/>
  <c r="AH35" i="31"/>
  <c r="L35" i="31"/>
  <c r="K35" i="31"/>
  <c r="AW34" i="31"/>
  <c r="AY34" i="31" s="1"/>
  <c r="AV34" i="31"/>
  <c r="AX34" i="31" s="1"/>
  <c r="AS34" i="31"/>
  <c r="AU34" i="31" s="1"/>
  <c r="AR34" i="31"/>
  <c r="AT34" i="31" s="1"/>
  <c r="AH34" i="31"/>
  <c r="L34" i="31"/>
  <c r="K34" i="31"/>
  <c r="AW33" i="31"/>
  <c r="AY33" i="31" s="1"/>
  <c r="AV33" i="31"/>
  <c r="AX33" i="31" s="1"/>
  <c r="AS33" i="31"/>
  <c r="AU33" i="31" s="1"/>
  <c r="AR33" i="31"/>
  <c r="AT33" i="31" s="1"/>
  <c r="AH33" i="31"/>
  <c r="L33" i="31"/>
  <c r="K33" i="31"/>
  <c r="AW32" i="31"/>
  <c r="AY32" i="31" s="1"/>
  <c r="AV32" i="31"/>
  <c r="AX32" i="31" s="1"/>
  <c r="AS32" i="31"/>
  <c r="AU32" i="31" s="1"/>
  <c r="AR32" i="31"/>
  <c r="AT32" i="31" s="1"/>
  <c r="AH32" i="31"/>
  <c r="L32" i="31"/>
  <c r="K32" i="31"/>
  <c r="AW31" i="31"/>
  <c r="AY31" i="31" s="1"/>
  <c r="AV31" i="31"/>
  <c r="AX31" i="31" s="1"/>
  <c r="AS31" i="31"/>
  <c r="AU31" i="31" s="1"/>
  <c r="AR31" i="31"/>
  <c r="AT31" i="31" s="1"/>
  <c r="AH31" i="31"/>
  <c r="L31" i="31"/>
  <c r="K31" i="31"/>
  <c r="AW30" i="31"/>
  <c r="AY30" i="31" s="1"/>
  <c r="AV30" i="31"/>
  <c r="AX30" i="31" s="1"/>
  <c r="AS30" i="31"/>
  <c r="AU30" i="31" s="1"/>
  <c r="AR30" i="31"/>
  <c r="AT30" i="31" s="1"/>
  <c r="AH30" i="31"/>
  <c r="L30" i="31"/>
  <c r="K30" i="31"/>
  <c r="AW29" i="31"/>
  <c r="AY29" i="31" s="1"/>
  <c r="AV29" i="31"/>
  <c r="AX29" i="31" s="1"/>
  <c r="AS29" i="31"/>
  <c r="AU29" i="31" s="1"/>
  <c r="AR29" i="31"/>
  <c r="AT29" i="31" s="1"/>
  <c r="AH29" i="31"/>
  <c r="L29" i="31"/>
  <c r="K29" i="31"/>
  <c r="AW28" i="31"/>
  <c r="AY28" i="31" s="1"/>
  <c r="AV28" i="31"/>
  <c r="AX28" i="31" s="1"/>
  <c r="AS28" i="31"/>
  <c r="AU28" i="31" s="1"/>
  <c r="AR28" i="31"/>
  <c r="AT28" i="31" s="1"/>
  <c r="AH28" i="31"/>
  <c r="L28" i="31"/>
  <c r="K28" i="31"/>
  <c r="AW27" i="31"/>
  <c r="AY27" i="31" s="1"/>
  <c r="AV27" i="31"/>
  <c r="AX27" i="31" s="1"/>
  <c r="AS27" i="31"/>
  <c r="AU27" i="31" s="1"/>
  <c r="AR27" i="31"/>
  <c r="AT27" i="31" s="1"/>
  <c r="AH27" i="31"/>
  <c r="L27" i="31"/>
  <c r="K27" i="31"/>
  <c r="AW26" i="31"/>
  <c r="AY26" i="31" s="1"/>
  <c r="AV26" i="31"/>
  <c r="AX26" i="31" s="1"/>
  <c r="AS26" i="31"/>
  <c r="AU26" i="31" s="1"/>
  <c r="AR26" i="31"/>
  <c r="AT26" i="31" s="1"/>
  <c r="AH26" i="31"/>
  <c r="L26" i="31"/>
  <c r="K26" i="31"/>
  <c r="AW25" i="31"/>
  <c r="AY25" i="31" s="1"/>
  <c r="AV25" i="31"/>
  <c r="AX25" i="31" s="1"/>
  <c r="AS25" i="31"/>
  <c r="AU25" i="31" s="1"/>
  <c r="AR25" i="31"/>
  <c r="AT25" i="31" s="1"/>
  <c r="AH25" i="31"/>
  <c r="L25" i="31"/>
  <c r="K25" i="31"/>
  <c r="AW24" i="31"/>
  <c r="AY24" i="31" s="1"/>
  <c r="AV24" i="31"/>
  <c r="AX24" i="31" s="1"/>
  <c r="AU24" i="31"/>
  <c r="AS24" i="31"/>
  <c r="AR24" i="31"/>
  <c r="AT24" i="31" s="1"/>
  <c r="AH24" i="31"/>
  <c r="L24" i="31"/>
  <c r="K24" i="31"/>
  <c r="AW23" i="31"/>
  <c r="AY23" i="31" s="1"/>
  <c r="AV23" i="31"/>
  <c r="AX23" i="31" s="1"/>
  <c r="AS23" i="31"/>
  <c r="AU23" i="31" s="1"/>
  <c r="AR23" i="31"/>
  <c r="AT23" i="31" s="1"/>
  <c r="AH23" i="31"/>
  <c r="L23" i="31"/>
  <c r="K23" i="31"/>
  <c r="AW22" i="31"/>
  <c r="AY22" i="31" s="1"/>
  <c r="AV22" i="31"/>
  <c r="AX22" i="31" s="1"/>
  <c r="AS22" i="31"/>
  <c r="AU22" i="31" s="1"/>
  <c r="AR22" i="31"/>
  <c r="AT22" i="31" s="1"/>
  <c r="AH22" i="31"/>
  <c r="L22" i="31"/>
  <c r="K22" i="31"/>
  <c r="AW21" i="31"/>
  <c r="AY21" i="31" s="1"/>
  <c r="AV21" i="31"/>
  <c r="AX21" i="31" s="1"/>
  <c r="AS21" i="31"/>
  <c r="AU21" i="31" s="1"/>
  <c r="AR21" i="31"/>
  <c r="AT21" i="31" s="1"/>
  <c r="AH21" i="31"/>
  <c r="L21" i="31"/>
  <c r="K21" i="31"/>
  <c r="AW20" i="31"/>
  <c r="AY20" i="31" s="1"/>
  <c r="AV20" i="31"/>
  <c r="AX20" i="31" s="1"/>
  <c r="AS20" i="31"/>
  <c r="AU20" i="31" s="1"/>
  <c r="AR20" i="31"/>
  <c r="AT20" i="31" s="1"/>
  <c r="AH20" i="31"/>
  <c r="L20" i="31"/>
  <c r="K20" i="31"/>
  <c r="AW19" i="31"/>
  <c r="AY19" i="31" s="1"/>
  <c r="AV19" i="31"/>
  <c r="AX19" i="31" s="1"/>
  <c r="AS19" i="31"/>
  <c r="AU19" i="31" s="1"/>
  <c r="AR19" i="31"/>
  <c r="AT19" i="31" s="1"/>
  <c r="AH19" i="31"/>
  <c r="L19" i="31"/>
  <c r="K19" i="31"/>
  <c r="AW18" i="31"/>
  <c r="AY18" i="31" s="1"/>
  <c r="AV18" i="31"/>
  <c r="AX18" i="31" s="1"/>
  <c r="AS18" i="31"/>
  <c r="AU18" i="31" s="1"/>
  <c r="AR18" i="31"/>
  <c r="AT18" i="31" s="1"/>
  <c r="AH18" i="31"/>
  <c r="L18" i="31"/>
  <c r="K18" i="31"/>
  <c r="AW17" i="31"/>
  <c r="AY17" i="31" s="1"/>
  <c r="AV17" i="31"/>
  <c r="AX17" i="31" s="1"/>
  <c r="AS17" i="31"/>
  <c r="AU17" i="31" s="1"/>
  <c r="AR17" i="31"/>
  <c r="AT17" i="31" s="1"/>
  <c r="AH17" i="31"/>
  <c r="L17" i="31"/>
  <c r="K17" i="31"/>
  <c r="AW16" i="31"/>
  <c r="AY16" i="31" s="1"/>
  <c r="AV16" i="31"/>
  <c r="AX16" i="31" s="1"/>
  <c r="AU16" i="31"/>
  <c r="AS16" i="31"/>
  <c r="AR16" i="31"/>
  <c r="AT16" i="31" s="1"/>
  <c r="AH16" i="31"/>
  <c r="L16" i="31"/>
  <c r="K16" i="31"/>
  <c r="AW15" i="31"/>
  <c r="AY15" i="31" s="1"/>
  <c r="AV15" i="31"/>
  <c r="AX15" i="31" s="1"/>
  <c r="AT15" i="31"/>
  <c r="AS15" i="31"/>
  <c r="AU15" i="31" s="1"/>
  <c r="AR15" i="31"/>
  <c r="AH15" i="31"/>
  <c r="L15" i="31"/>
  <c r="K15" i="31"/>
  <c r="AW14" i="31"/>
  <c r="AY14" i="31" s="1"/>
  <c r="AV14" i="31"/>
  <c r="AX14" i="31" s="1"/>
  <c r="AT14" i="31"/>
  <c r="AS14" i="31"/>
  <c r="AU14" i="31" s="1"/>
  <c r="AR14" i="31"/>
  <c r="AH14" i="31"/>
  <c r="L14" i="31"/>
  <c r="K14" i="31"/>
  <c r="AW13" i="31"/>
  <c r="AY13" i="31" s="1"/>
  <c r="AV13" i="31"/>
  <c r="AX13" i="31" s="1"/>
  <c r="AS13" i="31"/>
  <c r="AU13" i="31" s="1"/>
  <c r="AR13" i="31"/>
  <c r="AT13" i="31" s="1"/>
  <c r="AH13" i="31"/>
  <c r="L13" i="31"/>
  <c r="K13" i="31"/>
  <c r="AW12" i="31"/>
  <c r="AY12" i="31" s="1"/>
  <c r="AV12" i="31"/>
  <c r="AX12" i="31" s="1"/>
  <c r="AS12" i="31"/>
  <c r="AU12" i="31" s="1"/>
  <c r="AR12" i="31"/>
  <c r="AT12" i="31" s="1"/>
  <c r="AH12" i="31"/>
  <c r="L12" i="31"/>
  <c r="K12" i="31"/>
  <c r="AW11" i="31"/>
  <c r="AY11" i="31" s="1"/>
  <c r="AV11" i="31"/>
  <c r="AX11" i="31" s="1"/>
  <c r="AS11" i="31"/>
  <c r="AU11" i="31" s="1"/>
  <c r="AR11" i="31"/>
  <c r="AT11" i="31" s="1"/>
  <c r="AH11" i="31"/>
  <c r="L11" i="31"/>
  <c r="K11" i="31"/>
  <c r="AW10" i="31"/>
  <c r="AY10" i="31" s="1"/>
  <c r="AV10" i="31"/>
  <c r="AX10" i="31" s="1"/>
  <c r="AS10" i="31"/>
  <c r="AU10" i="31" s="1"/>
  <c r="AR10" i="31"/>
  <c r="AT10" i="31" s="1"/>
  <c r="AH10" i="31"/>
  <c r="L10" i="31"/>
  <c r="K10" i="31"/>
  <c r="AW9" i="31"/>
  <c r="AY9" i="31" s="1"/>
  <c r="AV9" i="31"/>
  <c r="AX9" i="31" s="1"/>
  <c r="AS9" i="31"/>
  <c r="AU9" i="31" s="1"/>
  <c r="AR9" i="31"/>
  <c r="AT9" i="31" s="1"/>
  <c r="AH9" i="31"/>
  <c r="L9" i="31"/>
  <c r="K9" i="31"/>
  <c r="AW8" i="31"/>
  <c r="AY8" i="31" s="1"/>
  <c r="AV8" i="31"/>
  <c r="AX8" i="31" s="1"/>
  <c r="AS8" i="31"/>
  <c r="AU8" i="31" s="1"/>
  <c r="AR8" i="31"/>
  <c r="AT8" i="31" s="1"/>
  <c r="AH8" i="31"/>
  <c r="L8" i="31"/>
  <c r="K8" i="31"/>
  <c r="AW7" i="31"/>
  <c r="AY7" i="31" s="1"/>
  <c r="AV7" i="31"/>
  <c r="AX7" i="31" s="1"/>
  <c r="AS7" i="31"/>
  <c r="AU7" i="31" s="1"/>
  <c r="AR7" i="31"/>
  <c r="AT7" i="31" s="1"/>
  <c r="AH7" i="31"/>
  <c r="L7" i="31"/>
  <c r="K7" i="31"/>
  <c r="AW6" i="31"/>
  <c r="AY6" i="31" s="1"/>
  <c r="AV6" i="31"/>
  <c r="AX6" i="31" s="1"/>
  <c r="AS6" i="31"/>
  <c r="AU6" i="31" s="1"/>
  <c r="AR6" i="31"/>
  <c r="AT6" i="31" s="1"/>
  <c r="AH6" i="31"/>
  <c r="L6" i="31"/>
  <c r="K6" i="31"/>
  <c r="AW5" i="31"/>
  <c r="AY5" i="31" s="1"/>
  <c r="AV5" i="31"/>
  <c r="AX5" i="31" s="1"/>
  <c r="AS5" i="31"/>
  <c r="AU5" i="31" s="1"/>
  <c r="AR5" i="31"/>
  <c r="AT5" i="31" s="1"/>
  <c r="AH5" i="31"/>
  <c r="L5" i="31"/>
  <c r="K5" i="31"/>
  <c r="AW4" i="31"/>
  <c r="AY4" i="31" s="1"/>
  <c r="AV4" i="31"/>
  <c r="AX4" i="31" s="1"/>
  <c r="AS4" i="31"/>
  <c r="AU4" i="31" s="1"/>
  <c r="AR4" i="31"/>
  <c r="AT4" i="31" s="1"/>
  <c r="AH4" i="31"/>
  <c r="L4" i="31"/>
  <c r="K4" i="31"/>
  <c r="AW3" i="31"/>
  <c r="AY3" i="31" s="1"/>
  <c r="AV3" i="31"/>
  <c r="AX3" i="31" s="1"/>
  <c r="AS3" i="31"/>
  <c r="AU3" i="31" s="1"/>
  <c r="AR3" i="31"/>
  <c r="AT3" i="31" s="1"/>
  <c r="AH3" i="31"/>
  <c r="L3" i="31"/>
  <c r="K3" i="31"/>
  <c r="D112" i="37" l="1"/>
  <c r="D118" i="37" s="1"/>
  <c r="H99" i="37"/>
  <c r="D94" i="37"/>
  <c r="H94" i="37"/>
  <c r="H100" i="37" s="1"/>
  <c r="G100" i="37"/>
  <c r="L97" i="37"/>
  <c r="T92" i="37"/>
  <c r="H113" i="37"/>
  <c r="H119" i="37" s="1"/>
  <c r="H80" i="37"/>
  <c r="D97" i="37"/>
  <c r="H97" i="37"/>
  <c r="D111" i="37"/>
  <c r="D117" i="37" s="1"/>
  <c r="H111" i="37"/>
  <c r="P111" i="37"/>
  <c r="P114" i="37" s="1"/>
  <c r="J79" i="37"/>
  <c r="T79" i="37" s="1"/>
  <c r="I111" i="36"/>
  <c r="I114" i="36" s="1"/>
  <c r="Q111" i="36"/>
  <c r="Q114" i="36" s="1"/>
  <c r="G113" i="36"/>
  <c r="G119" i="36" s="1"/>
  <c r="R100" i="36"/>
  <c r="D99" i="36"/>
  <c r="N100" i="36"/>
  <c r="I100" i="36"/>
  <c r="G94" i="36"/>
  <c r="E111" i="36"/>
  <c r="D113" i="36"/>
  <c r="D119" i="36" s="1"/>
  <c r="E75" i="36"/>
  <c r="E81" i="36" s="1"/>
  <c r="M113" i="36"/>
  <c r="M119" i="36" s="1"/>
  <c r="Q75" i="36"/>
  <c r="Q81" i="36" s="1"/>
  <c r="I78" i="36"/>
  <c r="F100" i="36"/>
  <c r="O99" i="36"/>
  <c r="I75" i="35"/>
  <c r="G94" i="35"/>
  <c r="Q78" i="35"/>
  <c r="G113" i="35"/>
  <c r="T113" i="35" s="1"/>
  <c r="H114" i="35"/>
  <c r="D94" i="35"/>
  <c r="E78" i="35"/>
  <c r="D97" i="35"/>
  <c r="H97" i="35"/>
  <c r="P97" i="35"/>
  <c r="H99" i="35"/>
  <c r="T92" i="35"/>
  <c r="O99" i="35"/>
  <c r="M114" i="35"/>
  <c r="J112" i="35"/>
  <c r="T112" i="35" s="1"/>
  <c r="H80" i="35"/>
  <c r="I100" i="35"/>
  <c r="P75" i="35"/>
  <c r="H78" i="35"/>
  <c r="E97" i="35"/>
  <c r="J98" i="35"/>
  <c r="T98" i="35" s="1"/>
  <c r="E117" i="35"/>
  <c r="G119" i="33"/>
  <c r="I75" i="33"/>
  <c r="K100" i="33"/>
  <c r="R100" i="33"/>
  <c r="G94" i="33"/>
  <c r="Q78" i="33"/>
  <c r="Q75" i="33"/>
  <c r="Q81" i="33" s="1"/>
  <c r="E81" i="33"/>
  <c r="I78" i="33"/>
  <c r="O113" i="33"/>
  <c r="O119" i="33" s="1"/>
  <c r="E75" i="33"/>
  <c r="I100" i="33"/>
  <c r="E117" i="33"/>
  <c r="K100" i="34"/>
  <c r="R100" i="34"/>
  <c r="G97" i="34"/>
  <c r="D94" i="34"/>
  <c r="T92" i="34"/>
  <c r="E78" i="34"/>
  <c r="H100" i="34"/>
  <c r="I78" i="34"/>
  <c r="J98" i="34"/>
  <c r="T98" i="34" s="1"/>
  <c r="Q75" i="34"/>
  <c r="Q81" i="34" s="1"/>
  <c r="E81" i="34"/>
  <c r="G94" i="32"/>
  <c r="L97" i="32"/>
  <c r="O100" i="32"/>
  <c r="H97" i="32"/>
  <c r="P97" i="32"/>
  <c r="H99" i="32"/>
  <c r="D79" i="32"/>
  <c r="H80" i="32"/>
  <c r="D94" i="32"/>
  <c r="T74" i="32"/>
  <c r="D97" i="32"/>
  <c r="T92" i="32"/>
  <c r="G100" i="31"/>
  <c r="L97" i="31"/>
  <c r="D98" i="31"/>
  <c r="D94" i="31"/>
  <c r="H94" i="31"/>
  <c r="L111" i="31"/>
  <c r="L114" i="31" s="1"/>
  <c r="D112" i="31"/>
  <c r="D118" i="31" s="1"/>
  <c r="H113" i="31"/>
  <c r="H119" i="31" s="1"/>
  <c r="I78" i="31"/>
  <c r="D119" i="31"/>
  <c r="E75" i="31"/>
  <c r="O119" i="31"/>
  <c r="D111" i="31"/>
  <c r="D117" i="31" s="1"/>
  <c r="H111" i="31"/>
  <c r="P111" i="31"/>
  <c r="P114" i="31" s="1"/>
  <c r="Q75" i="31"/>
  <c r="K100" i="31"/>
  <c r="I117" i="31"/>
  <c r="O113" i="31"/>
  <c r="G97" i="33"/>
  <c r="D113" i="37"/>
  <c r="D119" i="37" s="1"/>
  <c r="D80" i="37"/>
  <c r="E81" i="31"/>
  <c r="Q81" i="31"/>
  <c r="T73" i="31"/>
  <c r="H75" i="31"/>
  <c r="D78" i="31"/>
  <c r="P78" i="31"/>
  <c r="D97" i="31"/>
  <c r="H97" i="31"/>
  <c r="P97" i="31"/>
  <c r="J100" i="31"/>
  <c r="H99" i="31"/>
  <c r="T92" i="31"/>
  <c r="O114" i="31"/>
  <c r="D75" i="32"/>
  <c r="D81" i="32" s="1"/>
  <c r="D94" i="33"/>
  <c r="J112" i="31"/>
  <c r="J114" i="31" s="1"/>
  <c r="N113" i="37"/>
  <c r="N114" i="37" s="1"/>
  <c r="N80" i="37"/>
  <c r="N75" i="37"/>
  <c r="H81" i="31"/>
  <c r="I75" i="31"/>
  <c r="I81" i="31" s="1"/>
  <c r="E78" i="31"/>
  <c r="Q78" i="31"/>
  <c r="E97" i="31"/>
  <c r="H100" i="31"/>
  <c r="J98" i="31"/>
  <c r="T98" i="31" s="1"/>
  <c r="O99" i="31"/>
  <c r="Q117" i="31"/>
  <c r="K111" i="31"/>
  <c r="K114" i="31" s="1"/>
  <c r="R111" i="31"/>
  <c r="R114" i="31" s="1"/>
  <c r="H111" i="32"/>
  <c r="H114" i="32" s="1"/>
  <c r="H75" i="32"/>
  <c r="H81" i="32" s="1"/>
  <c r="P111" i="32"/>
  <c r="P114" i="32" s="1"/>
  <c r="P78" i="32"/>
  <c r="P75" i="32"/>
  <c r="P81" i="32" s="1"/>
  <c r="J112" i="32"/>
  <c r="J114" i="32" s="1"/>
  <c r="T73" i="32"/>
  <c r="E100" i="32"/>
  <c r="G119" i="31"/>
  <c r="P81" i="31"/>
  <c r="P100" i="31"/>
  <c r="P75" i="31"/>
  <c r="H78" i="31"/>
  <c r="D79" i="31"/>
  <c r="H80" i="31"/>
  <c r="T93" i="31"/>
  <c r="H117" i="31"/>
  <c r="T93" i="33"/>
  <c r="G99" i="33"/>
  <c r="O94" i="33"/>
  <c r="O100" i="33" s="1"/>
  <c r="O99" i="33"/>
  <c r="L78" i="32"/>
  <c r="I81" i="32"/>
  <c r="Q81" i="32"/>
  <c r="E111" i="32"/>
  <c r="E114" i="32" s="1"/>
  <c r="I111" i="32"/>
  <c r="I114" i="32" s="1"/>
  <c r="Q111" i="32"/>
  <c r="Q114" i="32" s="1"/>
  <c r="M113" i="32"/>
  <c r="M119" i="32" s="1"/>
  <c r="E75" i="32"/>
  <c r="E81" i="32" s="1"/>
  <c r="M75" i="32"/>
  <c r="M81" i="32" s="1"/>
  <c r="I78" i="32"/>
  <c r="E97" i="32"/>
  <c r="I97" i="32"/>
  <c r="Q97" i="32"/>
  <c r="J98" i="32"/>
  <c r="T98" i="32" s="1"/>
  <c r="N99" i="32"/>
  <c r="H111" i="33"/>
  <c r="H117" i="33" s="1"/>
  <c r="H78" i="33"/>
  <c r="P111" i="33"/>
  <c r="P114" i="33" s="1"/>
  <c r="P75" i="33"/>
  <c r="P81" i="33" s="1"/>
  <c r="H113" i="33"/>
  <c r="H80" i="33"/>
  <c r="D78" i="33"/>
  <c r="G100" i="33"/>
  <c r="D98" i="33"/>
  <c r="P100" i="33"/>
  <c r="P117" i="33"/>
  <c r="F111" i="33"/>
  <c r="F114" i="33" s="1"/>
  <c r="J112" i="33"/>
  <c r="J114" i="33" s="1"/>
  <c r="P81" i="36"/>
  <c r="D111" i="36"/>
  <c r="D117" i="36" s="1"/>
  <c r="D78" i="36"/>
  <c r="H111" i="36"/>
  <c r="H117" i="36" s="1"/>
  <c r="H75" i="36"/>
  <c r="H81" i="36" s="1"/>
  <c r="H78" i="36"/>
  <c r="P111" i="36"/>
  <c r="P114" i="36" s="1"/>
  <c r="P78" i="36"/>
  <c r="J75" i="36"/>
  <c r="T73" i="36"/>
  <c r="J112" i="36"/>
  <c r="T112" i="36" s="1"/>
  <c r="P75" i="36"/>
  <c r="H78" i="32"/>
  <c r="J81" i="32"/>
  <c r="D113" i="32"/>
  <c r="D114" i="32" s="1"/>
  <c r="D99" i="32"/>
  <c r="I100" i="32"/>
  <c r="O99" i="32"/>
  <c r="L117" i="32"/>
  <c r="T112" i="32"/>
  <c r="T73" i="33"/>
  <c r="H75" i="33"/>
  <c r="H81" i="33" s="1"/>
  <c r="E78" i="33"/>
  <c r="D97" i="33"/>
  <c r="H97" i="33"/>
  <c r="P97" i="33"/>
  <c r="J100" i="33"/>
  <c r="H99" i="33"/>
  <c r="E100" i="33"/>
  <c r="T92" i="33"/>
  <c r="J98" i="33"/>
  <c r="T98" i="33" s="1"/>
  <c r="O114" i="33"/>
  <c r="E100" i="34"/>
  <c r="K111" i="34"/>
  <c r="K114" i="34" s="1"/>
  <c r="R111" i="34"/>
  <c r="R114" i="34" s="1"/>
  <c r="N75" i="35"/>
  <c r="N113" i="35"/>
  <c r="P100" i="32"/>
  <c r="H119" i="33"/>
  <c r="K111" i="33"/>
  <c r="K114" i="33" s="1"/>
  <c r="R111" i="33"/>
  <c r="R114" i="33" s="1"/>
  <c r="F75" i="34"/>
  <c r="F111" i="34"/>
  <c r="F114" i="34" s="1"/>
  <c r="F75" i="35"/>
  <c r="F111" i="35"/>
  <c r="F114" i="35" s="1"/>
  <c r="K75" i="35"/>
  <c r="K111" i="35"/>
  <c r="K114" i="35" s="1"/>
  <c r="R75" i="35"/>
  <c r="R111" i="35"/>
  <c r="R114" i="35" s="1"/>
  <c r="H100" i="35"/>
  <c r="G119" i="34"/>
  <c r="P75" i="34"/>
  <c r="P81" i="34" s="1"/>
  <c r="H78" i="34"/>
  <c r="D79" i="34"/>
  <c r="H80" i="34"/>
  <c r="E97" i="34"/>
  <c r="I97" i="34"/>
  <c r="Q97" i="34"/>
  <c r="M99" i="34"/>
  <c r="P117" i="34"/>
  <c r="I81" i="35"/>
  <c r="T74" i="35"/>
  <c r="D79" i="35"/>
  <c r="K100" i="35"/>
  <c r="R100" i="35"/>
  <c r="T93" i="35"/>
  <c r="L97" i="36"/>
  <c r="D98" i="36"/>
  <c r="P100" i="36"/>
  <c r="H94" i="36"/>
  <c r="H100" i="36" s="1"/>
  <c r="J94" i="36"/>
  <c r="J100" i="36" s="1"/>
  <c r="T92" i="36"/>
  <c r="F75" i="37"/>
  <c r="F81" i="37" s="1"/>
  <c r="F111" i="37"/>
  <c r="F114" i="37" s="1"/>
  <c r="P100" i="37"/>
  <c r="I100" i="34"/>
  <c r="T93" i="34"/>
  <c r="O99" i="34"/>
  <c r="J112" i="34"/>
  <c r="J114" i="34" s="1"/>
  <c r="O113" i="34"/>
  <c r="G119" i="35"/>
  <c r="P81" i="35"/>
  <c r="E75" i="35"/>
  <c r="Q75" i="35"/>
  <c r="Q81" i="35" s="1"/>
  <c r="I78" i="35"/>
  <c r="G100" i="35"/>
  <c r="D98" i="35"/>
  <c r="P100" i="35"/>
  <c r="H120" i="35"/>
  <c r="D118" i="35"/>
  <c r="H119" i="35"/>
  <c r="E120" i="35"/>
  <c r="O114" i="35"/>
  <c r="O113" i="35"/>
  <c r="J98" i="36"/>
  <c r="T98" i="36" s="1"/>
  <c r="G75" i="37"/>
  <c r="L111" i="37"/>
  <c r="L114" i="37" s="1"/>
  <c r="L120" i="37" s="1"/>
  <c r="L78" i="37"/>
  <c r="L75" i="37"/>
  <c r="L81" i="37" s="1"/>
  <c r="D112" i="33"/>
  <c r="D118" i="33" s="1"/>
  <c r="D79" i="33"/>
  <c r="E97" i="33"/>
  <c r="I97" i="33"/>
  <c r="Q97" i="33"/>
  <c r="M99" i="33"/>
  <c r="H100" i="33"/>
  <c r="M114" i="33"/>
  <c r="H81" i="34"/>
  <c r="E111" i="34"/>
  <c r="I111" i="34"/>
  <c r="I114" i="34" s="1"/>
  <c r="Q111" i="34"/>
  <c r="Q114" i="34" s="1"/>
  <c r="T73" i="34"/>
  <c r="M113" i="34"/>
  <c r="M114" i="34" s="1"/>
  <c r="H75" i="34"/>
  <c r="D78" i="34"/>
  <c r="P78" i="34"/>
  <c r="G100" i="34"/>
  <c r="D98" i="34"/>
  <c r="O100" i="34"/>
  <c r="P100" i="34"/>
  <c r="D118" i="34"/>
  <c r="H119" i="34"/>
  <c r="J118" i="35"/>
  <c r="E81" i="35"/>
  <c r="T73" i="35"/>
  <c r="H75" i="35"/>
  <c r="H81" i="35" s="1"/>
  <c r="D78" i="35"/>
  <c r="P78" i="35"/>
  <c r="E100" i="35"/>
  <c r="G99" i="35"/>
  <c r="T99" i="35" s="1"/>
  <c r="L111" i="36"/>
  <c r="L114" i="36" s="1"/>
  <c r="D112" i="36"/>
  <c r="D118" i="36" s="1"/>
  <c r="H113" i="36"/>
  <c r="H119" i="36" s="1"/>
  <c r="T93" i="36"/>
  <c r="J112" i="37"/>
  <c r="N99" i="37"/>
  <c r="D97" i="36"/>
  <c r="H97" i="36"/>
  <c r="P97" i="36"/>
  <c r="H99" i="36"/>
  <c r="E100" i="36"/>
  <c r="Q100" i="36"/>
  <c r="O114" i="36"/>
  <c r="J118" i="37"/>
  <c r="N81" i="37"/>
  <c r="J75" i="37"/>
  <c r="J81" i="37" s="1"/>
  <c r="J98" i="37"/>
  <c r="O119" i="36"/>
  <c r="I75" i="36"/>
  <c r="I81" i="36" s="1"/>
  <c r="E78" i="36"/>
  <c r="Q78" i="36"/>
  <c r="E97" i="36"/>
  <c r="I97" i="36"/>
  <c r="Q97" i="36"/>
  <c r="M99" i="36"/>
  <c r="D94" i="36"/>
  <c r="E111" i="37"/>
  <c r="E114" i="37" s="1"/>
  <c r="I111" i="37"/>
  <c r="I114" i="37" s="1"/>
  <c r="Q111" i="37"/>
  <c r="Q114" i="37" s="1"/>
  <c r="D100" i="37"/>
  <c r="J114" i="37"/>
  <c r="T112" i="37"/>
  <c r="M107" i="37"/>
  <c r="M80" i="37"/>
  <c r="M69" i="37"/>
  <c r="T74" i="37"/>
  <c r="G113" i="37"/>
  <c r="M99" i="37"/>
  <c r="M88" i="37"/>
  <c r="M100" i="37" s="1"/>
  <c r="R105" i="37"/>
  <c r="R78" i="37"/>
  <c r="D75" i="37"/>
  <c r="D81" i="37" s="1"/>
  <c r="D78" i="37"/>
  <c r="P78" i="37"/>
  <c r="F97" i="37"/>
  <c r="P108" i="37"/>
  <c r="R111" i="37"/>
  <c r="R114" i="37" s="1"/>
  <c r="K105" i="37"/>
  <c r="K78" i="37"/>
  <c r="K69" i="37"/>
  <c r="K88" i="37"/>
  <c r="K100" i="37" s="1"/>
  <c r="K97" i="37"/>
  <c r="G108" i="37"/>
  <c r="G107" i="37"/>
  <c r="G80" i="37"/>
  <c r="T68" i="37"/>
  <c r="O107" i="37"/>
  <c r="O80" i="37"/>
  <c r="O69" i="37"/>
  <c r="R69" i="37"/>
  <c r="R81" i="37" s="1"/>
  <c r="M113" i="37"/>
  <c r="M114" i="37" s="1"/>
  <c r="M75" i="37"/>
  <c r="F78" i="37"/>
  <c r="T87" i="37"/>
  <c r="L100" i="37"/>
  <c r="T93" i="37"/>
  <c r="R97" i="37"/>
  <c r="H105" i="37"/>
  <c r="T106" i="37"/>
  <c r="T105" i="37"/>
  <c r="E108" i="37"/>
  <c r="I108" i="37"/>
  <c r="Q108" i="37"/>
  <c r="Q120" i="37" s="1"/>
  <c r="O75" i="37"/>
  <c r="O113" i="37"/>
  <c r="O114" i="37" s="1"/>
  <c r="F108" i="37"/>
  <c r="K75" i="37"/>
  <c r="K111" i="37"/>
  <c r="K114" i="37" s="1"/>
  <c r="H75" i="37"/>
  <c r="H81" i="37" s="1"/>
  <c r="P75" i="37"/>
  <c r="P81" i="37" s="1"/>
  <c r="T98" i="37"/>
  <c r="J117" i="37"/>
  <c r="T66" i="37"/>
  <c r="T69" i="37" s="1"/>
  <c r="E69" i="37"/>
  <c r="I69" i="37"/>
  <c r="Q69" i="37"/>
  <c r="T72" i="37"/>
  <c r="E75" i="37"/>
  <c r="I75" i="37"/>
  <c r="Q75" i="37"/>
  <c r="E78" i="37"/>
  <c r="I78" i="37"/>
  <c r="Q78" i="37"/>
  <c r="T85" i="37"/>
  <c r="T88" i="37" s="1"/>
  <c r="E88" i="37"/>
  <c r="E100" i="37" s="1"/>
  <c r="I88" i="37"/>
  <c r="I100" i="37" s="1"/>
  <c r="Q88" i="37"/>
  <c r="Q100" i="37" s="1"/>
  <c r="T91" i="37"/>
  <c r="G97" i="37"/>
  <c r="T97" i="37" s="1"/>
  <c r="G99" i="37"/>
  <c r="O99" i="37"/>
  <c r="G111" i="37"/>
  <c r="G114" i="37" s="1"/>
  <c r="E118" i="37"/>
  <c r="T118" i="37" s="1"/>
  <c r="E119" i="37"/>
  <c r="J108" i="37"/>
  <c r="N108" i="37"/>
  <c r="G69" i="37"/>
  <c r="G81" i="37" s="1"/>
  <c r="G78" i="37"/>
  <c r="L108" i="36"/>
  <c r="K105" i="36"/>
  <c r="K78" i="36"/>
  <c r="K69" i="36"/>
  <c r="M69" i="36"/>
  <c r="G105" i="36"/>
  <c r="G78" i="36"/>
  <c r="G69" i="36"/>
  <c r="N107" i="36"/>
  <c r="N80" i="36"/>
  <c r="N69" i="36"/>
  <c r="N81" i="36" s="1"/>
  <c r="T74" i="36"/>
  <c r="T87" i="36"/>
  <c r="O100" i="36"/>
  <c r="N99" i="36"/>
  <c r="H108" i="36"/>
  <c r="N113" i="36"/>
  <c r="N114" i="36" s="1"/>
  <c r="F105" i="36"/>
  <c r="T105" i="36" s="1"/>
  <c r="T108" i="36" s="1"/>
  <c r="F78" i="36"/>
  <c r="F69" i="36"/>
  <c r="F81" i="36" s="1"/>
  <c r="R105" i="36"/>
  <c r="R78" i="36"/>
  <c r="R69" i="36"/>
  <c r="R81" i="36" s="1"/>
  <c r="G75" i="36"/>
  <c r="G111" i="36"/>
  <c r="T72" i="36"/>
  <c r="G88" i="36"/>
  <c r="G100" i="36" s="1"/>
  <c r="G97" i="36"/>
  <c r="T85" i="36"/>
  <c r="D108" i="36"/>
  <c r="E114" i="36"/>
  <c r="D75" i="36"/>
  <c r="D81" i="36" s="1"/>
  <c r="L75" i="36"/>
  <c r="L81" i="36" s="1"/>
  <c r="D88" i="36"/>
  <c r="L88" i="36"/>
  <c r="L100" i="36" s="1"/>
  <c r="F97" i="36"/>
  <c r="T107" i="36"/>
  <c r="F111" i="36"/>
  <c r="F114" i="36" s="1"/>
  <c r="K75" i="36"/>
  <c r="K111" i="36"/>
  <c r="K114" i="36" s="1"/>
  <c r="M75" i="36"/>
  <c r="L78" i="36"/>
  <c r="D80" i="36"/>
  <c r="M80" i="36"/>
  <c r="K88" i="36"/>
  <c r="K100" i="36" s="1"/>
  <c r="K97" i="36"/>
  <c r="M88" i="36"/>
  <c r="M100" i="36" s="1"/>
  <c r="T91" i="36"/>
  <c r="R97" i="36"/>
  <c r="I117" i="36"/>
  <c r="P108" i="36"/>
  <c r="P120" i="36" s="1"/>
  <c r="R111" i="36"/>
  <c r="R114" i="36" s="1"/>
  <c r="E108" i="36"/>
  <c r="I108" i="36"/>
  <c r="I120" i="36" s="1"/>
  <c r="M108" i="36"/>
  <c r="Q108" i="36"/>
  <c r="E117" i="36"/>
  <c r="E118" i="36"/>
  <c r="E119" i="36"/>
  <c r="J69" i="36"/>
  <c r="J79" i="36"/>
  <c r="T79" i="36" s="1"/>
  <c r="J108" i="36"/>
  <c r="N108" i="36"/>
  <c r="T68" i="36"/>
  <c r="T69" i="36" s="1"/>
  <c r="O69" i="36"/>
  <c r="O81" i="36" s="1"/>
  <c r="G80" i="36"/>
  <c r="O80" i="36"/>
  <c r="O108" i="36"/>
  <c r="O120" i="36" s="1"/>
  <c r="Q117" i="35"/>
  <c r="Q108" i="35"/>
  <c r="Q120" i="35" s="1"/>
  <c r="K105" i="35"/>
  <c r="K78" i="35"/>
  <c r="K69" i="35"/>
  <c r="K81" i="35" s="1"/>
  <c r="R105" i="35"/>
  <c r="R78" i="35"/>
  <c r="R69" i="35"/>
  <c r="L97" i="35"/>
  <c r="L88" i="35"/>
  <c r="L100" i="35" s="1"/>
  <c r="N88" i="35"/>
  <c r="N100" i="35" s="1"/>
  <c r="N99" i="35"/>
  <c r="G105" i="35"/>
  <c r="G78" i="35"/>
  <c r="G69" i="35"/>
  <c r="L105" i="35"/>
  <c r="L78" i="35"/>
  <c r="L69" i="35"/>
  <c r="D107" i="35"/>
  <c r="D80" i="35"/>
  <c r="D69" i="35"/>
  <c r="N107" i="35"/>
  <c r="N119" i="35" s="1"/>
  <c r="N80" i="35"/>
  <c r="N69" i="35"/>
  <c r="T87" i="35"/>
  <c r="I117" i="35"/>
  <c r="I108" i="35"/>
  <c r="I120" i="35" s="1"/>
  <c r="J114" i="35"/>
  <c r="P108" i="35"/>
  <c r="P120" i="35" s="1"/>
  <c r="F105" i="35"/>
  <c r="F78" i="35"/>
  <c r="F69" i="35"/>
  <c r="M107" i="35"/>
  <c r="M119" i="35" s="1"/>
  <c r="M80" i="35"/>
  <c r="T85" i="35"/>
  <c r="T88" i="35" s="1"/>
  <c r="D99" i="35"/>
  <c r="D88" i="35"/>
  <c r="D100" i="35" s="1"/>
  <c r="H117" i="35"/>
  <c r="M69" i="35"/>
  <c r="G75" i="35"/>
  <c r="G111" i="35"/>
  <c r="L111" i="35"/>
  <c r="L114" i="35" s="1"/>
  <c r="L75" i="35"/>
  <c r="T72" i="35"/>
  <c r="D113" i="35"/>
  <c r="D114" i="35" s="1"/>
  <c r="D75" i="35"/>
  <c r="J100" i="35"/>
  <c r="Q100" i="35"/>
  <c r="G97" i="35"/>
  <c r="P117" i="35"/>
  <c r="T107" i="35"/>
  <c r="E119" i="35"/>
  <c r="J119" i="35"/>
  <c r="M108" i="35"/>
  <c r="M120" i="35" s="1"/>
  <c r="N114" i="35"/>
  <c r="O119" i="35"/>
  <c r="K97" i="35"/>
  <c r="R97" i="35"/>
  <c r="T106" i="35"/>
  <c r="R119" i="35"/>
  <c r="M75" i="35"/>
  <c r="M88" i="35"/>
  <c r="M100" i="35" s="1"/>
  <c r="T91" i="35"/>
  <c r="F97" i="35"/>
  <c r="K118" i="35"/>
  <c r="O118" i="35"/>
  <c r="J69" i="35"/>
  <c r="J81" i="35" s="1"/>
  <c r="J79" i="35"/>
  <c r="T79" i="35" s="1"/>
  <c r="J108" i="35"/>
  <c r="N108" i="35"/>
  <c r="T68" i="35"/>
  <c r="T69" i="35" s="1"/>
  <c r="O69" i="35"/>
  <c r="O81" i="35" s="1"/>
  <c r="G80" i="35"/>
  <c r="O80" i="35"/>
  <c r="O108" i="35"/>
  <c r="G75" i="34"/>
  <c r="G111" i="34"/>
  <c r="G114" i="34" s="1"/>
  <c r="L111" i="34"/>
  <c r="L114" i="34" s="1"/>
  <c r="L75" i="34"/>
  <c r="T72" i="34"/>
  <c r="D113" i="34"/>
  <c r="D114" i="34" s="1"/>
  <c r="D75" i="34"/>
  <c r="E119" i="34"/>
  <c r="T74" i="34"/>
  <c r="Q108" i="34"/>
  <c r="G118" i="34"/>
  <c r="P108" i="34"/>
  <c r="P120" i="34" s="1"/>
  <c r="O114" i="34"/>
  <c r="F105" i="34"/>
  <c r="F78" i="34"/>
  <c r="F69" i="34"/>
  <c r="K105" i="34"/>
  <c r="K78" i="34"/>
  <c r="K69" i="34"/>
  <c r="K81" i="34" s="1"/>
  <c r="R105" i="34"/>
  <c r="R78" i="34"/>
  <c r="R69" i="34"/>
  <c r="R81" i="34" s="1"/>
  <c r="M107" i="34"/>
  <c r="M80" i="34"/>
  <c r="L97" i="34"/>
  <c r="L88" i="34"/>
  <c r="L100" i="34" s="1"/>
  <c r="T85" i="34"/>
  <c r="D99" i="34"/>
  <c r="D88" i="34"/>
  <c r="N88" i="34"/>
  <c r="N100" i="34" s="1"/>
  <c r="N99" i="34"/>
  <c r="H117" i="34"/>
  <c r="E108" i="34"/>
  <c r="N113" i="34"/>
  <c r="T113" i="34" s="1"/>
  <c r="D117" i="34"/>
  <c r="G105" i="34"/>
  <c r="G78" i="34"/>
  <c r="G69" i="34"/>
  <c r="G81" i="34" s="1"/>
  <c r="L105" i="34"/>
  <c r="L78" i="34"/>
  <c r="L69" i="34"/>
  <c r="T66" i="34"/>
  <c r="D107" i="34"/>
  <c r="D80" i="34"/>
  <c r="D69" i="34"/>
  <c r="N107" i="34"/>
  <c r="N119" i="34" s="1"/>
  <c r="N80" i="34"/>
  <c r="N69" i="34"/>
  <c r="N81" i="34" s="1"/>
  <c r="I81" i="34"/>
  <c r="T87" i="34"/>
  <c r="I117" i="34"/>
  <c r="I108" i="34"/>
  <c r="I120" i="34" s="1"/>
  <c r="H120" i="34"/>
  <c r="O119" i="34"/>
  <c r="K97" i="34"/>
  <c r="R97" i="34"/>
  <c r="T106" i="34"/>
  <c r="R119" i="34"/>
  <c r="M75" i="34"/>
  <c r="M81" i="34" s="1"/>
  <c r="M88" i="34"/>
  <c r="M100" i="34" s="1"/>
  <c r="T91" i="34"/>
  <c r="F97" i="34"/>
  <c r="K118" i="34"/>
  <c r="O118" i="34"/>
  <c r="J69" i="34"/>
  <c r="J81" i="34" s="1"/>
  <c r="J79" i="34"/>
  <c r="T79" i="34" s="1"/>
  <c r="J108" i="34"/>
  <c r="J120" i="34" s="1"/>
  <c r="N108" i="34"/>
  <c r="T68" i="34"/>
  <c r="O69" i="34"/>
  <c r="O81" i="34" s="1"/>
  <c r="G80" i="34"/>
  <c r="O80" i="34"/>
  <c r="O108" i="34"/>
  <c r="L111" i="33"/>
  <c r="L114" i="33" s="1"/>
  <c r="L75" i="33"/>
  <c r="E119" i="33"/>
  <c r="Q117" i="33"/>
  <c r="Q108" i="33"/>
  <c r="Q120" i="33" s="1"/>
  <c r="F105" i="33"/>
  <c r="F78" i="33"/>
  <c r="F69" i="33"/>
  <c r="F81" i="33" s="1"/>
  <c r="K105" i="33"/>
  <c r="K78" i="33"/>
  <c r="K69" i="33"/>
  <c r="K81" i="33" s="1"/>
  <c r="R105" i="33"/>
  <c r="R78" i="33"/>
  <c r="R69" i="33"/>
  <c r="R81" i="33" s="1"/>
  <c r="M107" i="33"/>
  <c r="M80" i="33"/>
  <c r="L97" i="33"/>
  <c r="L88" i="33"/>
  <c r="L100" i="33" s="1"/>
  <c r="T85" i="33"/>
  <c r="T88" i="33" s="1"/>
  <c r="D99" i="33"/>
  <c r="D88" i="33"/>
  <c r="D100" i="33" s="1"/>
  <c r="N88" i="33"/>
  <c r="N100" i="33" s="1"/>
  <c r="N99" i="33"/>
  <c r="E108" i="33"/>
  <c r="E120" i="33" s="1"/>
  <c r="N113" i="33"/>
  <c r="T113" i="33" s="1"/>
  <c r="D117" i="33"/>
  <c r="G75" i="33"/>
  <c r="G111" i="33"/>
  <c r="G114" i="33" s="1"/>
  <c r="T72" i="33"/>
  <c r="D113" i="33"/>
  <c r="D75" i="33"/>
  <c r="T74" i="33"/>
  <c r="P108" i="33"/>
  <c r="P120" i="33" s="1"/>
  <c r="G105" i="33"/>
  <c r="G78" i="33"/>
  <c r="G69" i="33"/>
  <c r="G81" i="33" s="1"/>
  <c r="L105" i="33"/>
  <c r="L78" i="33"/>
  <c r="L69" i="33"/>
  <c r="T66" i="33"/>
  <c r="D107" i="33"/>
  <c r="D80" i="33"/>
  <c r="D69" i="33"/>
  <c r="D81" i="33" s="1"/>
  <c r="N107" i="33"/>
  <c r="N80" i="33"/>
  <c r="N69" i="33"/>
  <c r="N81" i="33" s="1"/>
  <c r="I81" i="33"/>
  <c r="T87" i="33"/>
  <c r="I117" i="33"/>
  <c r="I108" i="33"/>
  <c r="I120" i="33" s="1"/>
  <c r="H108" i="33"/>
  <c r="K97" i="33"/>
  <c r="R97" i="33"/>
  <c r="J117" i="33"/>
  <c r="T106" i="33"/>
  <c r="R119" i="33"/>
  <c r="M75" i="33"/>
  <c r="M81" i="33" s="1"/>
  <c r="M88" i="33"/>
  <c r="M100" i="33" s="1"/>
  <c r="T91" i="33"/>
  <c r="F97" i="33"/>
  <c r="T105" i="33"/>
  <c r="K118" i="33"/>
  <c r="O118" i="33"/>
  <c r="J69" i="33"/>
  <c r="J81" i="33" s="1"/>
  <c r="J79" i="33"/>
  <c r="T79" i="33" s="1"/>
  <c r="J108" i="33"/>
  <c r="T68" i="33"/>
  <c r="O69" i="33"/>
  <c r="O81" i="33" s="1"/>
  <c r="G80" i="33"/>
  <c r="O80" i="33"/>
  <c r="O108" i="33"/>
  <c r="F94" i="32"/>
  <c r="F100" i="32" s="1"/>
  <c r="T91" i="32"/>
  <c r="F111" i="32"/>
  <c r="F114" i="32" s="1"/>
  <c r="D108" i="32"/>
  <c r="D117" i="32"/>
  <c r="R100" i="32"/>
  <c r="N100" i="32"/>
  <c r="E117" i="32"/>
  <c r="E108" i="32"/>
  <c r="I117" i="32"/>
  <c r="I108" i="32"/>
  <c r="I120" i="32" s="1"/>
  <c r="Q117" i="32"/>
  <c r="Q108" i="32"/>
  <c r="Q120" i="32" s="1"/>
  <c r="P108" i="32"/>
  <c r="R97" i="32"/>
  <c r="H119" i="32"/>
  <c r="L108" i="32"/>
  <c r="L120" i="32" s="1"/>
  <c r="F105" i="32"/>
  <c r="F78" i="32"/>
  <c r="F69" i="32"/>
  <c r="F81" i="32" s="1"/>
  <c r="K105" i="32"/>
  <c r="K78" i="32"/>
  <c r="K69" i="32"/>
  <c r="R105" i="32"/>
  <c r="R78" i="32"/>
  <c r="R69" i="32"/>
  <c r="R81" i="32" s="1"/>
  <c r="L69" i="32"/>
  <c r="K75" i="32"/>
  <c r="K111" i="32"/>
  <c r="K114" i="32" s="1"/>
  <c r="L75" i="32"/>
  <c r="D78" i="32"/>
  <c r="D88" i="32"/>
  <c r="L88" i="32"/>
  <c r="L100" i="32" s="1"/>
  <c r="T93" i="32"/>
  <c r="R111" i="32"/>
  <c r="R114" i="32" s="1"/>
  <c r="G105" i="32"/>
  <c r="G78" i="32"/>
  <c r="G69" i="32"/>
  <c r="T66" i="32"/>
  <c r="T69" i="32" s="1"/>
  <c r="N107" i="32"/>
  <c r="T107" i="32" s="1"/>
  <c r="N80" i="32"/>
  <c r="N69" i="32"/>
  <c r="N81" i="32" s="1"/>
  <c r="G75" i="32"/>
  <c r="G111" i="32"/>
  <c r="T72" i="32"/>
  <c r="D80" i="32"/>
  <c r="M80" i="32"/>
  <c r="K88" i="32"/>
  <c r="K100" i="32" s="1"/>
  <c r="K97" i="32"/>
  <c r="M99" i="32"/>
  <c r="M88" i="32"/>
  <c r="M100" i="32" s="1"/>
  <c r="H105" i="32"/>
  <c r="T106" i="32"/>
  <c r="N113" i="32"/>
  <c r="N114" i="32" s="1"/>
  <c r="G88" i="32"/>
  <c r="G100" i="32" s="1"/>
  <c r="G97" i="32"/>
  <c r="T85" i="32"/>
  <c r="T88" i="32" s="1"/>
  <c r="H100" i="32"/>
  <c r="F97" i="32"/>
  <c r="M108" i="32"/>
  <c r="G113" i="32"/>
  <c r="G119" i="32" s="1"/>
  <c r="O113" i="32"/>
  <c r="O114" i="32" s="1"/>
  <c r="E118" i="32"/>
  <c r="E119" i="32"/>
  <c r="J79" i="32"/>
  <c r="T79" i="32" s="1"/>
  <c r="J108" i="32"/>
  <c r="N108" i="32"/>
  <c r="T68" i="32"/>
  <c r="O69" i="32"/>
  <c r="O81" i="32" s="1"/>
  <c r="G80" i="32"/>
  <c r="O80" i="32"/>
  <c r="O108" i="32"/>
  <c r="L108" i="31"/>
  <c r="L120" i="31" s="1"/>
  <c r="L117" i="31"/>
  <c r="D108" i="31"/>
  <c r="T69" i="31"/>
  <c r="K105" i="31"/>
  <c r="K78" i="31"/>
  <c r="K69" i="31"/>
  <c r="K81" i="31" s="1"/>
  <c r="G97" i="31"/>
  <c r="M108" i="31"/>
  <c r="G105" i="31"/>
  <c r="G78" i="31"/>
  <c r="G69" i="31"/>
  <c r="G81" i="31" s="1"/>
  <c r="N107" i="31"/>
  <c r="N80" i="31"/>
  <c r="N69" i="31"/>
  <c r="N81" i="31" s="1"/>
  <c r="T74" i="31"/>
  <c r="T87" i="31"/>
  <c r="I100" i="31"/>
  <c r="Q100" i="31"/>
  <c r="H108" i="31"/>
  <c r="P108" i="31"/>
  <c r="F111" i="31"/>
  <c r="F114" i="31" s="1"/>
  <c r="E117" i="31"/>
  <c r="R105" i="31"/>
  <c r="R78" i="31"/>
  <c r="R69" i="31"/>
  <c r="R81" i="31" s="1"/>
  <c r="M69" i="31"/>
  <c r="T107" i="31"/>
  <c r="E108" i="31"/>
  <c r="E120" i="31" s="1"/>
  <c r="N113" i="31"/>
  <c r="N114" i="31" s="1"/>
  <c r="D75" i="31"/>
  <c r="L75" i="31"/>
  <c r="D88" i="31"/>
  <c r="D100" i="31" s="1"/>
  <c r="L88" i="31"/>
  <c r="L100" i="31" s="1"/>
  <c r="K97" i="31"/>
  <c r="R97" i="31"/>
  <c r="N99" i="31"/>
  <c r="T106" i="31"/>
  <c r="R119" i="31"/>
  <c r="I108" i="31"/>
  <c r="I120" i="31" s="1"/>
  <c r="Q108" i="31"/>
  <c r="Q120" i="31" s="1"/>
  <c r="G111" i="31"/>
  <c r="G114" i="31" s="1"/>
  <c r="F105" i="31"/>
  <c r="T105" i="31" s="1"/>
  <c r="T108" i="31" s="1"/>
  <c r="F78" i="31"/>
  <c r="F69" i="31"/>
  <c r="F81" i="31" s="1"/>
  <c r="T72" i="31"/>
  <c r="T85" i="31"/>
  <c r="T88" i="31" s="1"/>
  <c r="D69" i="31"/>
  <c r="L69" i="31"/>
  <c r="M113" i="31"/>
  <c r="M119" i="31" s="1"/>
  <c r="M75" i="31"/>
  <c r="L78" i="31"/>
  <c r="D80" i="31"/>
  <c r="M80" i="31"/>
  <c r="M99" i="31"/>
  <c r="E100" i="31"/>
  <c r="M88" i="31"/>
  <c r="M100" i="31" s="1"/>
  <c r="T91" i="31"/>
  <c r="F97" i="31"/>
  <c r="K118" i="31"/>
  <c r="O118" i="31"/>
  <c r="J69" i="31"/>
  <c r="J81" i="31" s="1"/>
  <c r="J79" i="31"/>
  <c r="T79" i="31" s="1"/>
  <c r="J108" i="31"/>
  <c r="N108" i="31"/>
  <c r="T68" i="31"/>
  <c r="O69" i="31"/>
  <c r="O81" i="31" s="1"/>
  <c r="G80" i="31"/>
  <c r="O80" i="31"/>
  <c r="O108" i="31"/>
  <c r="L4" i="4"/>
  <c r="L5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3" i="4"/>
  <c r="K4" i="4"/>
  <c r="K5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3" i="4"/>
  <c r="D114" i="37" l="1"/>
  <c r="D120" i="37" s="1"/>
  <c r="E117" i="37"/>
  <c r="N120" i="37"/>
  <c r="F120" i="37"/>
  <c r="H114" i="37"/>
  <c r="T80" i="37"/>
  <c r="P117" i="37"/>
  <c r="Q117" i="37"/>
  <c r="N119" i="37"/>
  <c r="F117" i="37"/>
  <c r="T99" i="37"/>
  <c r="P120" i="37"/>
  <c r="J114" i="36"/>
  <c r="J118" i="36"/>
  <c r="T118" i="36" s="1"/>
  <c r="E120" i="36"/>
  <c r="P117" i="36"/>
  <c r="T99" i="36"/>
  <c r="Q120" i="36"/>
  <c r="T94" i="36"/>
  <c r="Q117" i="36"/>
  <c r="G114" i="36"/>
  <c r="L120" i="36"/>
  <c r="T80" i="36"/>
  <c r="J120" i="36"/>
  <c r="L117" i="36"/>
  <c r="M114" i="36"/>
  <c r="M120" i="36" s="1"/>
  <c r="T78" i="36"/>
  <c r="T81" i="36" s="1"/>
  <c r="O120" i="35"/>
  <c r="N120" i="35"/>
  <c r="R81" i="35"/>
  <c r="J120" i="35"/>
  <c r="F81" i="35"/>
  <c r="T78" i="35"/>
  <c r="D114" i="33"/>
  <c r="N119" i="33"/>
  <c r="J120" i="33"/>
  <c r="O120" i="33"/>
  <c r="T80" i="33"/>
  <c r="T112" i="33"/>
  <c r="T80" i="34"/>
  <c r="Q120" i="34"/>
  <c r="T94" i="34"/>
  <c r="D100" i="34"/>
  <c r="T112" i="34"/>
  <c r="D81" i="34"/>
  <c r="L81" i="34"/>
  <c r="Q117" i="34"/>
  <c r="F81" i="34"/>
  <c r="M114" i="32"/>
  <c r="T99" i="32"/>
  <c r="N120" i="32"/>
  <c r="D119" i="32"/>
  <c r="D100" i="32"/>
  <c r="T75" i="31"/>
  <c r="P117" i="31"/>
  <c r="D114" i="31"/>
  <c r="D120" i="31" s="1"/>
  <c r="H114" i="31"/>
  <c r="H120" i="31" s="1"/>
  <c r="D81" i="31"/>
  <c r="O120" i="31"/>
  <c r="T94" i="31"/>
  <c r="P120" i="31"/>
  <c r="T99" i="31"/>
  <c r="N114" i="33"/>
  <c r="T97" i="34"/>
  <c r="T80" i="35"/>
  <c r="T81" i="35" s="1"/>
  <c r="T118" i="35"/>
  <c r="T75" i="35"/>
  <c r="T75" i="36"/>
  <c r="T78" i="37"/>
  <c r="I120" i="37"/>
  <c r="K81" i="37"/>
  <c r="H114" i="33"/>
  <c r="H120" i="33" s="1"/>
  <c r="T97" i="33"/>
  <c r="T80" i="31"/>
  <c r="J120" i="31"/>
  <c r="T80" i="32"/>
  <c r="J120" i="32"/>
  <c r="P117" i="32"/>
  <c r="D120" i="32"/>
  <c r="T94" i="33"/>
  <c r="O120" i="34"/>
  <c r="D119" i="34"/>
  <c r="T99" i="34"/>
  <c r="T78" i="34"/>
  <c r="T97" i="35"/>
  <c r="T100" i="35" s="1"/>
  <c r="N81" i="35"/>
  <c r="J81" i="36"/>
  <c r="T113" i="36"/>
  <c r="T97" i="36"/>
  <c r="T100" i="36" s="1"/>
  <c r="H114" i="36"/>
  <c r="H120" i="36" s="1"/>
  <c r="N119" i="36"/>
  <c r="I117" i="37"/>
  <c r="L117" i="37"/>
  <c r="O119" i="37"/>
  <c r="J118" i="33"/>
  <c r="T112" i="31"/>
  <c r="T75" i="33"/>
  <c r="J118" i="31"/>
  <c r="T118" i="31" s="1"/>
  <c r="T97" i="32"/>
  <c r="T100" i="32" s="1"/>
  <c r="P120" i="32"/>
  <c r="T97" i="31"/>
  <c r="T100" i="31" s="1"/>
  <c r="T78" i="31"/>
  <c r="T81" i="31" s="1"/>
  <c r="T111" i="31"/>
  <c r="T75" i="32"/>
  <c r="K81" i="32"/>
  <c r="T78" i="32"/>
  <c r="T81" i="32" s="1"/>
  <c r="T118" i="33"/>
  <c r="T99" i="33"/>
  <c r="T78" i="33"/>
  <c r="T81" i="33" s="1"/>
  <c r="T111" i="34"/>
  <c r="T114" i="34" s="1"/>
  <c r="T94" i="35"/>
  <c r="D119" i="35"/>
  <c r="G81" i="35"/>
  <c r="N120" i="36"/>
  <c r="T119" i="36"/>
  <c r="D100" i="36"/>
  <c r="D114" i="36"/>
  <c r="D120" i="36" s="1"/>
  <c r="K81" i="36"/>
  <c r="J120" i="37"/>
  <c r="E120" i="37"/>
  <c r="T113" i="37"/>
  <c r="M119" i="37"/>
  <c r="E114" i="34"/>
  <c r="E120" i="34" s="1"/>
  <c r="E117" i="34"/>
  <c r="J118" i="34"/>
  <c r="T118" i="34" s="1"/>
  <c r="J118" i="32"/>
  <c r="T118" i="32" s="1"/>
  <c r="T100" i="37"/>
  <c r="G120" i="37"/>
  <c r="R117" i="37"/>
  <c r="R108" i="37"/>
  <c r="R120" i="37" s="1"/>
  <c r="O108" i="37"/>
  <c r="O120" i="37" s="1"/>
  <c r="M108" i="37"/>
  <c r="M120" i="37" s="1"/>
  <c r="T94" i="37"/>
  <c r="Q81" i="37"/>
  <c r="G117" i="37"/>
  <c r="I81" i="37"/>
  <c r="H108" i="37"/>
  <c r="H120" i="37" s="1"/>
  <c r="H117" i="37"/>
  <c r="T111" i="37"/>
  <c r="O81" i="37"/>
  <c r="K117" i="37"/>
  <c r="K108" i="37"/>
  <c r="K120" i="37" s="1"/>
  <c r="M81" i="37"/>
  <c r="T75" i="37"/>
  <c r="E81" i="37"/>
  <c r="T107" i="37"/>
  <c r="T108" i="37" s="1"/>
  <c r="G119" i="37"/>
  <c r="G117" i="36"/>
  <c r="G108" i="36"/>
  <c r="G120" i="36" s="1"/>
  <c r="F117" i="36"/>
  <c r="F108" i="36"/>
  <c r="F120" i="36" s="1"/>
  <c r="K117" i="36"/>
  <c r="K108" i="36"/>
  <c r="K120" i="36" s="1"/>
  <c r="T111" i="36"/>
  <c r="T88" i="36"/>
  <c r="R117" i="36"/>
  <c r="R108" i="36"/>
  <c r="R120" i="36" s="1"/>
  <c r="G81" i="36"/>
  <c r="M81" i="36"/>
  <c r="T119" i="35"/>
  <c r="D108" i="35"/>
  <c r="D120" i="35" s="1"/>
  <c r="L81" i="35"/>
  <c r="R117" i="35"/>
  <c r="R108" i="35"/>
  <c r="R120" i="35" s="1"/>
  <c r="G114" i="35"/>
  <c r="T111" i="35"/>
  <c r="T114" i="35" s="1"/>
  <c r="F117" i="35"/>
  <c r="F108" i="35"/>
  <c r="F120" i="35" s="1"/>
  <c r="D81" i="35"/>
  <c r="G117" i="35"/>
  <c r="G108" i="35"/>
  <c r="M81" i="35"/>
  <c r="K117" i="35"/>
  <c r="K108" i="35"/>
  <c r="K120" i="35" s="1"/>
  <c r="T105" i="35"/>
  <c r="T108" i="35" s="1"/>
  <c r="L108" i="35"/>
  <c r="L120" i="35" s="1"/>
  <c r="L117" i="35"/>
  <c r="T81" i="34"/>
  <c r="L108" i="34"/>
  <c r="L120" i="34" s="1"/>
  <c r="L117" i="34"/>
  <c r="T105" i="34"/>
  <c r="T69" i="34"/>
  <c r="F117" i="34"/>
  <c r="F108" i="34"/>
  <c r="F120" i="34" s="1"/>
  <c r="N114" i="34"/>
  <c r="N120" i="34" s="1"/>
  <c r="T88" i="34"/>
  <c r="M119" i="34"/>
  <c r="T119" i="34" s="1"/>
  <c r="M108" i="34"/>
  <c r="M120" i="34" s="1"/>
  <c r="K117" i="34"/>
  <c r="K108" i="34"/>
  <c r="K120" i="34" s="1"/>
  <c r="D108" i="34"/>
  <c r="D120" i="34" s="1"/>
  <c r="T75" i="34"/>
  <c r="G117" i="34"/>
  <c r="G108" i="34"/>
  <c r="G120" i="34" s="1"/>
  <c r="R117" i="34"/>
  <c r="R108" i="34"/>
  <c r="R120" i="34" s="1"/>
  <c r="T107" i="34"/>
  <c r="R117" i="33"/>
  <c r="R108" i="33"/>
  <c r="R120" i="33" s="1"/>
  <c r="L81" i="33"/>
  <c r="M119" i="33"/>
  <c r="T119" i="33" s="1"/>
  <c r="M108" i="33"/>
  <c r="M120" i="33" s="1"/>
  <c r="G117" i="33"/>
  <c r="G108" i="33"/>
  <c r="G120" i="33" s="1"/>
  <c r="F117" i="33"/>
  <c r="F108" i="33"/>
  <c r="F120" i="33" s="1"/>
  <c r="T69" i="33"/>
  <c r="N108" i="33"/>
  <c r="N120" i="33" s="1"/>
  <c r="T111" i="33"/>
  <c r="T114" i="33" s="1"/>
  <c r="D119" i="33"/>
  <c r="L108" i="33"/>
  <c r="L120" i="33" s="1"/>
  <c r="L117" i="33"/>
  <c r="D108" i="33"/>
  <c r="D120" i="33" s="1"/>
  <c r="K117" i="33"/>
  <c r="K108" i="33"/>
  <c r="K120" i="33" s="1"/>
  <c r="T107" i="33"/>
  <c r="T108" i="33" s="1"/>
  <c r="O120" i="32"/>
  <c r="M120" i="32"/>
  <c r="O119" i="32"/>
  <c r="G81" i="32"/>
  <c r="F117" i="32"/>
  <c r="F108" i="32"/>
  <c r="F120" i="32" s="1"/>
  <c r="T105" i="32"/>
  <c r="T108" i="32" s="1"/>
  <c r="T113" i="32"/>
  <c r="L81" i="32"/>
  <c r="H108" i="32"/>
  <c r="H120" i="32" s="1"/>
  <c r="H117" i="32"/>
  <c r="K117" i="32"/>
  <c r="K108" i="32"/>
  <c r="K120" i="32" s="1"/>
  <c r="T94" i="32"/>
  <c r="G114" i="32"/>
  <c r="N119" i="32"/>
  <c r="T119" i="32" s="1"/>
  <c r="G117" i="32"/>
  <c r="G108" i="32"/>
  <c r="R117" i="32"/>
  <c r="R108" i="32"/>
  <c r="R120" i="32" s="1"/>
  <c r="T111" i="32"/>
  <c r="E120" i="32"/>
  <c r="N119" i="31"/>
  <c r="T119" i="31" s="1"/>
  <c r="K117" i="31"/>
  <c r="K108" i="31"/>
  <c r="K120" i="31" s="1"/>
  <c r="T113" i="31"/>
  <c r="F117" i="31"/>
  <c r="F108" i="31"/>
  <c r="F120" i="31" s="1"/>
  <c r="G117" i="31"/>
  <c r="G108" i="31"/>
  <c r="G120" i="31" s="1"/>
  <c r="L81" i="31"/>
  <c r="R117" i="31"/>
  <c r="R108" i="31"/>
  <c r="R120" i="31" s="1"/>
  <c r="M114" i="31"/>
  <c r="M120" i="31" s="1"/>
  <c r="N120" i="31"/>
  <c r="M81" i="31"/>
  <c r="AR3" i="4"/>
  <c r="AT3" i="4" s="1"/>
  <c r="AS3" i="4"/>
  <c r="AU3" i="4" s="1"/>
  <c r="AV3" i="4"/>
  <c r="AX3" i="4" s="1"/>
  <c r="AW3" i="4"/>
  <c r="AY3" i="4" s="1"/>
  <c r="AR4" i="4"/>
  <c r="AT4" i="4" s="1"/>
  <c r="AS4" i="4"/>
  <c r="AU4" i="4" s="1"/>
  <c r="AV4" i="4"/>
  <c r="AX4" i="4" s="1"/>
  <c r="AW4" i="4"/>
  <c r="AY4" i="4" s="1"/>
  <c r="AR5" i="4"/>
  <c r="AT5" i="4" s="1"/>
  <c r="AS5" i="4"/>
  <c r="AU5" i="4" s="1"/>
  <c r="AV5" i="4"/>
  <c r="AX5" i="4" s="1"/>
  <c r="AW5" i="4"/>
  <c r="AY5" i="4" s="1"/>
  <c r="AR8" i="4"/>
  <c r="AT8" i="4" s="1"/>
  <c r="AS8" i="4"/>
  <c r="AU8" i="4" s="1"/>
  <c r="AV8" i="4"/>
  <c r="AX8" i="4" s="1"/>
  <c r="AW8" i="4"/>
  <c r="AY8" i="4" s="1"/>
  <c r="AR9" i="4"/>
  <c r="AT9" i="4" s="1"/>
  <c r="AS9" i="4"/>
  <c r="AU9" i="4" s="1"/>
  <c r="AV9" i="4"/>
  <c r="AX9" i="4" s="1"/>
  <c r="AW9" i="4"/>
  <c r="AY9" i="4" s="1"/>
  <c r="AR10" i="4"/>
  <c r="AT10" i="4" s="1"/>
  <c r="AS10" i="4"/>
  <c r="AU10" i="4" s="1"/>
  <c r="AV10" i="4"/>
  <c r="AX10" i="4" s="1"/>
  <c r="AW10" i="4"/>
  <c r="AY10" i="4" s="1"/>
  <c r="AR11" i="4"/>
  <c r="AT11" i="4" s="1"/>
  <c r="AS11" i="4"/>
  <c r="AU11" i="4" s="1"/>
  <c r="AV11" i="4"/>
  <c r="AX11" i="4" s="1"/>
  <c r="AW11" i="4"/>
  <c r="AY11" i="4" s="1"/>
  <c r="AR12" i="4"/>
  <c r="AT12" i="4" s="1"/>
  <c r="AS12" i="4"/>
  <c r="AU12" i="4" s="1"/>
  <c r="AV12" i="4"/>
  <c r="AX12" i="4" s="1"/>
  <c r="AW12" i="4"/>
  <c r="AY12" i="4" s="1"/>
  <c r="AR13" i="4"/>
  <c r="AT13" i="4" s="1"/>
  <c r="AS13" i="4"/>
  <c r="AU13" i="4" s="1"/>
  <c r="AV13" i="4"/>
  <c r="AX13" i="4" s="1"/>
  <c r="AW13" i="4"/>
  <c r="AY13" i="4" s="1"/>
  <c r="AR14" i="4"/>
  <c r="AT14" i="4" s="1"/>
  <c r="AS14" i="4"/>
  <c r="AU14" i="4" s="1"/>
  <c r="AV14" i="4"/>
  <c r="AX14" i="4" s="1"/>
  <c r="AW14" i="4"/>
  <c r="AY14" i="4" s="1"/>
  <c r="AR15" i="4"/>
  <c r="AT15" i="4" s="1"/>
  <c r="AS15" i="4"/>
  <c r="AU15" i="4" s="1"/>
  <c r="AV15" i="4"/>
  <c r="AX15" i="4" s="1"/>
  <c r="AW15" i="4"/>
  <c r="AY15" i="4" s="1"/>
  <c r="AR16" i="4"/>
  <c r="AT16" i="4" s="1"/>
  <c r="AS16" i="4"/>
  <c r="AU16" i="4" s="1"/>
  <c r="AV16" i="4"/>
  <c r="AX16" i="4" s="1"/>
  <c r="AW16" i="4"/>
  <c r="AY16" i="4" s="1"/>
  <c r="AR17" i="4"/>
  <c r="AT17" i="4" s="1"/>
  <c r="AS17" i="4"/>
  <c r="AU17" i="4" s="1"/>
  <c r="AV17" i="4"/>
  <c r="AX17" i="4" s="1"/>
  <c r="AW17" i="4"/>
  <c r="AY17" i="4" s="1"/>
  <c r="AR18" i="4"/>
  <c r="AT18" i="4" s="1"/>
  <c r="AS18" i="4"/>
  <c r="AU18" i="4" s="1"/>
  <c r="AV18" i="4"/>
  <c r="AX18" i="4" s="1"/>
  <c r="AW18" i="4"/>
  <c r="AY18" i="4" s="1"/>
  <c r="AR19" i="4"/>
  <c r="AT19" i="4" s="1"/>
  <c r="AS19" i="4"/>
  <c r="AU19" i="4" s="1"/>
  <c r="AV19" i="4"/>
  <c r="AX19" i="4" s="1"/>
  <c r="AW19" i="4"/>
  <c r="AY19" i="4" s="1"/>
  <c r="AR20" i="4"/>
  <c r="AT20" i="4" s="1"/>
  <c r="AS20" i="4"/>
  <c r="AU20" i="4" s="1"/>
  <c r="AV20" i="4"/>
  <c r="AX20" i="4" s="1"/>
  <c r="AW20" i="4"/>
  <c r="AY20" i="4" s="1"/>
  <c r="AR21" i="4"/>
  <c r="AT21" i="4" s="1"/>
  <c r="AS21" i="4"/>
  <c r="AU21" i="4" s="1"/>
  <c r="AV21" i="4"/>
  <c r="AX21" i="4" s="1"/>
  <c r="AW21" i="4"/>
  <c r="AY21" i="4" s="1"/>
  <c r="AR22" i="4"/>
  <c r="AT22" i="4" s="1"/>
  <c r="AS22" i="4"/>
  <c r="AU22" i="4" s="1"/>
  <c r="AV22" i="4"/>
  <c r="AX22" i="4" s="1"/>
  <c r="AW22" i="4"/>
  <c r="AY22" i="4" s="1"/>
  <c r="AR23" i="4"/>
  <c r="AT23" i="4" s="1"/>
  <c r="AS23" i="4"/>
  <c r="AU23" i="4" s="1"/>
  <c r="AV23" i="4"/>
  <c r="AX23" i="4" s="1"/>
  <c r="AW23" i="4"/>
  <c r="AY23" i="4" s="1"/>
  <c r="AR24" i="4"/>
  <c r="AT24" i="4" s="1"/>
  <c r="AS24" i="4"/>
  <c r="AU24" i="4" s="1"/>
  <c r="AV24" i="4"/>
  <c r="AX24" i="4" s="1"/>
  <c r="AW24" i="4"/>
  <c r="AY24" i="4" s="1"/>
  <c r="AR25" i="4"/>
  <c r="AT25" i="4" s="1"/>
  <c r="AS25" i="4"/>
  <c r="AU25" i="4" s="1"/>
  <c r="AV25" i="4"/>
  <c r="AX25" i="4" s="1"/>
  <c r="AW25" i="4"/>
  <c r="AY25" i="4" s="1"/>
  <c r="AR26" i="4"/>
  <c r="AT26" i="4" s="1"/>
  <c r="AS26" i="4"/>
  <c r="AU26" i="4" s="1"/>
  <c r="AV26" i="4"/>
  <c r="AX26" i="4" s="1"/>
  <c r="AW26" i="4"/>
  <c r="AY26" i="4" s="1"/>
  <c r="AR27" i="4"/>
  <c r="AT27" i="4" s="1"/>
  <c r="AS27" i="4"/>
  <c r="AU27" i="4" s="1"/>
  <c r="AV27" i="4"/>
  <c r="AX27" i="4" s="1"/>
  <c r="AW27" i="4"/>
  <c r="AY27" i="4" s="1"/>
  <c r="AR28" i="4"/>
  <c r="AT28" i="4" s="1"/>
  <c r="AS28" i="4"/>
  <c r="AU28" i="4" s="1"/>
  <c r="AV28" i="4"/>
  <c r="AX28" i="4" s="1"/>
  <c r="AW28" i="4"/>
  <c r="AY28" i="4" s="1"/>
  <c r="AR29" i="4"/>
  <c r="AT29" i="4" s="1"/>
  <c r="AS29" i="4"/>
  <c r="AU29" i="4" s="1"/>
  <c r="AV29" i="4"/>
  <c r="AX29" i="4" s="1"/>
  <c r="AW29" i="4"/>
  <c r="AY29" i="4" s="1"/>
  <c r="AR30" i="4"/>
  <c r="AT30" i="4" s="1"/>
  <c r="AS30" i="4"/>
  <c r="AU30" i="4" s="1"/>
  <c r="AV30" i="4"/>
  <c r="AX30" i="4" s="1"/>
  <c r="AW30" i="4"/>
  <c r="AY30" i="4" s="1"/>
  <c r="AR31" i="4"/>
  <c r="AT31" i="4" s="1"/>
  <c r="AS31" i="4"/>
  <c r="AU31" i="4" s="1"/>
  <c r="AV31" i="4"/>
  <c r="AX31" i="4" s="1"/>
  <c r="AW31" i="4"/>
  <c r="AY31" i="4" s="1"/>
  <c r="AR32" i="4"/>
  <c r="AT32" i="4" s="1"/>
  <c r="AS32" i="4"/>
  <c r="AU32" i="4" s="1"/>
  <c r="AV32" i="4"/>
  <c r="AX32" i="4" s="1"/>
  <c r="AW32" i="4"/>
  <c r="AY32" i="4" s="1"/>
  <c r="AR33" i="4"/>
  <c r="AT33" i="4" s="1"/>
  <c r="AS33" i="4"/>
  <c r="AU33" i="4" s="1"/>
  <c r="AV33" i="4"/>
  <c r="AX33" i="4" s="1"/>
  <c r="AW33" i="4"/>
  <c r="AY33" i="4" s="1"/>
  <c r="AR34" i="4"/>
  <c r="AT34" i="4" s="1"/>
  <c r="AS34" i="4"/>
  <c r="AU34" i="4" s="1"/>
  <c r="AV34" i="4"/>
  <c r="AX34" i="4" s="1"/>
  <c r="AW34" i="4"/>
  <c r="AY34" i="4" s="1"/>
  <c r="AR35" i="4"/>
  <c r="AT35" i="4" s="1"/>
  <c r="AS35" i="4"/>
  <c r="AU35" i="4" s="1"/>
  <c r="AV35" i="4"/>
  <c r="AX35" i="4" s="1"/>
  <c r="AW35" i="4"/>
  <c r="AY35" i="4" s="1"/>
  <c r="AR36" i="4"/>
  <c r="AT36" i="4" s="1"/>
  <c r="AS36" i="4"/>
  <c r="AU36" i="4" s="1"/>
  <c r="AV36" i="4"/>
  <c r="AX36" i="4" s="1"/>
  <c r="AW36" i="4"/>
  <c r="AY36" i="4" s="1"/>
  <c r="AR37" i="4"/>
  <c r="AT37" i="4" s="1"/>
  <c r="AS37" i="4"/>
  <c r="AU37" i="4" s="1"/>
  <c r="AV37" i="4"/>
  <c r="AX37" i="4" s="1"/>
  <c r="AW37" i="4"/>
  <c r="AY37" i="4" s="1"/>
  <c r="AR38" i="4"/>
  <c r="AT38" i="4" s="1"/>
  <c r="AS38" i="4"/>
  <c r="AU38" i="4" s="1"/>
  <c r="AV38" i="4"/>
  <c r="AX38" i="4" s="1"/>
  <c r="AW38" i="4"/>
  <c r="AY38" i="4" s="1"/>
  <c r="AR39" i="4"/>
  <c r="AT39" i="4" s="1"/>
  <c r="AS39" i="4"/>
  <c r="AU39" i="4" s="1"/>
  <c r="AV39" i="4"/>
  <c r="AX39" i="4" s="1"/>
  <c r="AW39" i="4"/>
  <c r="AY39" i="4" s="1"/>
  <c r="AR40" i="4"/>
  <c r="AT40" i="4" s="1"/>
  <c r="AS40" i="4"/>
  <c r="AU40" i="4" s="1"/>
  <c r="AV40" i="4"/>
  <c r="AX40" i="4" s="1"/>
  <c r="AW40" i="4"/>
  <c r="AY40" i="4" s="1"/>
  <c r="AR41" i="4"/>
  <c r="AT41" i="4" s="1"/>
  <c r="AS41" i="4"/>
  <c r="AU41" i="4" s="1"/>
  <c r="AV41" i="4"/>
  <c r="AX41" i="4" s="1"/>
  <c r="AW41" i="4"/>
  <c r="AY41" i="4" s="1"/>
  <c r="AR42" i="4"/>
  <c r="AT42" i="4" s="1"/>
  <c r="AS42" i="4"/>
  <c r="AU42" i="4" s="1"/>
  <c r="AV42" i="4"/>
  <c r="AX42" i="4" s="1"/>
  <c r="AW42" i="4"/>
  <c r="AY42" i="4" s="1"/>
  <c r="AR43" i="4"/>
  <c r="AT43" i="4" s="1"/>
  <c r="AS43" i="4"/>
  <c r="AU43" i="4" s="1"/>
  <c r="AV43" i="4"/>
  <c r="AX43" i="4" s="1"/>
  <c r="AW43" i="4"/>
  <c r="AY43" i="4" s="1"/>
  <c r="AR44" i="4"/>
  <c r="AT44" i="4" s="1"/>
  <c r="AS44" i="4"/>
  <c r="AU44" i="4" s="1"/>
  <c r="AV44" i="4"/>
  <c r="AX44" i="4" s="1"/>
  <c r="AW44" i="4"/>
  <c r="AY44" i="4" s="1"/>
  <c r="AR45" i="4"/>
  <c r="AT45" i="4" s="1"/>
  <c r="AS45" i="4"/>
  <c r="AU45" i="4" s="1"/>
  <c r="AV45" i="4"/>
  <c r="AX45" i="4" s="1"/>
  <c r="AW45" i="4"/>
  <c r="AY45" i="4" s="1"/>
  <c r="AR46" i="4"/>
  <c r="AT46" i="4" s="1"/>
  <c r="AS46" i="4"/>
  <c r="AU46" i="4" s="1"/>
  <c r="AV46" i="4"/>
  <c r="AX46" i="4" s="1"/>
  <c r="AW46" i="4"/>
  <c r="AY46" i="4" s="1"/>
  <c r="AR47" i="4"/>
  <c r="AT47" i="4" s="1"/>
  <c r="AS47" i="4"/>
  <c r="AU47" i="4" s="1"/>
  <c r="AV47" i="4"/>
  <c r="AX47" i="4" s="1"/>
  <c r="AW47" i="4"/>
  <c r="AY47" i="4" s="1"/>
  <c r="AR48" i="4"/>
  <c r="AT48" i="4" s="1"/>
  <c r="AS48" i="4"/>
  <c r="AU48" i="4" s="1"/>
  <c r="AV48" i="4"/>
  <c r="AX48" i="4" s="1"/>
  <c r="AW48" i="4"/>
  <c r="AY48" i="4" s="1"/>
  <c r="AR49" i="4"/>
  <c r="AT49" i="4" s="1"/>
  <c r="AS49" i="4"/>
  <c r="AU49" i="4" s="1"/>
  <c r="AV49" i="4"/>
  <c r="AX49" i="4" s="1"/>
  <c r="AW49" i="4"/>
  <c r="AY49" i="4" s="1"/>
  <c r="AR50" i="4"/>
  <c r="AT50" i="4" s="1"/>
  <c r="AS50" i="4"/>
  <c r="AU50" i="4" s="1"/>
  <c r="AV50" i="4"/>
  <c r="AX50" i="4" s="1"/>
  <c r="AW50" i="4"/>
  <c r="AY50" i="4" s="1"/>
  <c r="AR51" i="4"/>
  <c r="AT51" i="4" s="1"/>
  <c r="AS51" i="4"/>
  <c r="AU51" i="4" s="1"/>
  <c r="AV51" i="4"/>
  <c r="AX51" i="4" s="1"/>
  <c r="AW51" i="4"/>
  <c r="AY51" i="4" s="1"/>
  <c r="AR52" i="4"/>
  <c r="AT52" i="4" s="1"/>
  <c r="AS52" i="4"/>
  <c r="AU52" i="4" s="1"/>
  <c r="AV52" i="4"/>
  <c r="AX52" i="4" s="1"/>
  <c r="AW52" i="4"/>
  <c r="AY52" i="4" s="1"/>
  <c r="AR53" i="4"/>
  <c r="AT53" i="4" s="1"/>
  <c r="AS53" i="4"/>
  <c r="AU53" i="4" s="1"/>
  <c r="AV53" i="4"/>
  <c r="AX53" i="4" s="1"/>
  <c r="AW53" i="4"/>
  <c r="AY53" i="4" s="1"/>
  <c r="AR54" i="4"/>
  <c r="AT54" i="4" s="1"/>
  <c r="AS54" i="4"/>
  <c r="AU54" i="4" s="1"/>
  <c r="AV54" i="4"/>
  <c r="AX54" i="4" s="1"/>
  <c r="AW54" i="4"/>
  <c r="AY54" i="4" s="1"/>
  <c r="AR55" i="4"/>
  <c r="AT55" i="4" s="1"/>
  <c r="AS55" i="4"/>
  <c r="AU55" i="4" s="1"/>
  <c r="AV55" i="4"/>
  <c r="AX55" i="4" s="1"/>
  <c r="AW55" i="4"/>
  <c r="AY55" i="4" s="1"/>
  <c r="AR56" i="4"/>
  <c r="AT56" i="4" s="1"/>
  <c r="AS56" i="4"/>
  <c r="AU56" i="4" s="1"/>
  <c r="AV56" i="4"/>
  <c r="AX56" i="4" s="1"/>
  <c r="AW56" i="4"/>
  <c r="AY56" i="4" s="1"/>
  <c r="AR57" i="4"/>
  <c r="AT57" i="4" s="1"/>
  <c r="AS57" i="4"/>
  <c r="AU57" i="4" s="1"/>
  <c r="AV57" i="4"/>
  <c r="AX57" i="4" s="1"/>
  <c r="AW57" i="4"/>
  <c r="AY57" i="4" s="1"/>
  <c r="AR58" i="4"/>
  <c r="AT58" i="4" s="1"/>
  <c r="AS58" i="4"/>
  <c r="AU58" i="4" s="1"/>
  <c r="AV58" i="4"/>
  <c r="AX58" i="4" s="1"/>
  <c r="AW58" i="4"/>
  <c r="AY58" i="4" s="1"/>
  <c r="AR59" i="4"/>
  <c r="AT59" i="4" s="1"/>
  <c r="AS59" i="4"/>
  <c r="AU59" i="4" s="1"/>
  <c r="AV59" i="4"/>
  <c r="AX59" i="4" s="1"/>
  <c r="AW59" i="4"/>
  <c r="AY59" i="4" s="1"/>
  <c r="T81" i="37" l="1"/>
  <c r="T119" i="37"/>
  <c r="T114" i="37"/>
  <c r="T114" i="36"/>
  <c r="T117" i="36"/>
  <c r="T120" i="36" s="1"/>
  <c r="T100" i="33"/>
  <c r="G120" i="32"/>
  <c r="T114" i="32"/>
  <c r="T114" i="31"/>
  <c r="T117" i="31"/>
  <c r="T120" i="31" s="1"/>
  <c r="T117" i="32"/>
  <c r="T120" i="32" s="1"/>
  <c r="T117" i="37"/>
  <c r="T120" i="37" s="1"/>
  <c r="T100" i="34"/>
  <c r="G120" i="35"/>
  <c r="T117" i="35"/>
  <c r="T120" i="35" s="1"/>
  <c r="T117" i="34"/>
  <c r="T120" i="34" s="1"/>
  <c r="T108" i="34"/>
  <c r="T117" i="33"/>
  <c r="T120" i="33" s="1"/>
  <c r="AH4" i="4" l="1"/>
  <c r="AH10" i="4"/>
  <c r="AH14" i="4"/>
  <c r="AH18" i="4"/>
  <c r="AH22" i="4"/>
  <c r="AH26" i="4"/>
  <c r="AH30" i="4"/>
  <c r="AH34" i="4"/>
  <c r="AH38" i="4"/>
  <c r="AH42" i="4"/>
  <c r="AH46" i="4"/>
  <c r="AH50" i="4"/>
  <c r="AH54" i="4"/>
  <c r="AH58" i="4"/>
  <c r="AH3" i="4"/>
  <c r="AH5" i="4"/>
  <c r="AH8" i="4"/>
  <c r="AH9" i="4"/>
  <c r="AH11" i="4"/>
  <c r="AH12" i="4"/>
  <c r="AH13" i="4"/>
  <c r="AH15" i="4"/>
  <c r="AH16" i="4"/>
  <c r="AH17" i="4"/>
  <c r="AH19" i="4"/>
  <c r="AH20" i="4"/>
  <c r="AH21" i="4"/>
  <c r="AH23" i="4"/>
  <c r="AH24" i="4"/>
  <c r="AH25" i="4"/>
  <c r="AH27" i="4"/>
  <c r="AH28" i="4"/>
  <c r="AH29" i="4"/>
  <c r="AH31" i="4"/>
  <c r="AH32" i="4"/>
  <c r="AH33" i="4"/>
  <c r="AH35" i="4"/>
  <c r="AH36" i="4"/>
  <c r="AH37" i="4"/>
  <c r="AH39" i="4"/>
  <c r="AH40" i="4"/>
  <c r="AH41" i="4"/>
  <c r="AH43" i="4"/>
  <c r="AH44" i="4"/>
  <c r="AH45" i="4"/>
  <c r="AH47" i="4"/>
  <c r="AH48" i="4"/>
  <c r="AH49" i="4"/>
  <c r="AH51" i="4"/>
  <c r="AH52" i="4"/>
  <c r="AH53" i="4"/>
  <c r="AH55" i="4"/>
  <c r="AH56" i="4"/>
  <c r="AH57" i="4"/>
  <c r="AH59" i="4"/>
  <c r="D7" i="2" l="1"/>
  <c r="D16" i="2" s="1"/>
  <c r="Q7" i="2"/>
  <c r="M7" i="2"/>
  <c r="J7" i="2"/>
  <c r="C7" i="2"/>
  <c r="C16" i="2" s="1"/>
  <c r="O92" i="4"/>
  <c r="O93" i="4" s="1"/>
  <c r="N92" i="4"/>
  <c r="N93" i="4" s="1"/>
  <c r="M92" i="4"/>
  <c r="M93" i="4" s="1"/>
  <c r="H92" i="4"/>
  <c r="G92" i="4"/>
  <c r="J91" i="4"/>
  <c r="J93" i="4" s="1"/>
  <c r="D91" i="4"/>
  <c r="R90" i="4"/>
  <c r="R93" i="4" s="1"/>
  <c r="Q90" i="4"/>
  <c r="Q93" i="4" s="1"/>
  <c r="P90" i="4"/>
  <c r="P93" i="4" s="1"/>
  <c r="L90" i="4"/>
  <c r="L93" i="4" s="1"/>
  <c r="K90" i="4"/>
  <c r="K93" i="4" s="1"/>
  <c r="I90" i="4"/>
  <c r="I93" i="4" s="1"/>
  <c r="H90" i="4"/>
  <c r="G90" i="4"/>
  <c r="F90" i="4"/>
  <c r="F93" i="4" s="1"/>
  <c r="E90" i="4"/>
  <c r="E93" i="4" s="1"/>
  <c r="D92" i="4"/>
  <c r="D90" i="4"/>
  <c r="O73" i="4"/>
  <c r="O74" i="4" s="1"/>
  <c r="N73" i="4"/>
  <c r="N74" i="4" s="1"/>
  <c r="M73" i="4"/>
  <c r="H73" i="4"/>
  <c r="G73" i="4"/>
  <c r="D73" i="4"/>
  <c r="J72" i="4"/>
  <c r="D72" i="4"/>
  <c r="R71" i="4"/>
  <c r="R74" i="4" s="1"/>
  <c r="Q71" i="4"/>
  <c r="P71" i="4"/>
  <c r="P74" i="4" s="1"/>
  <c r="L71" i="4"/>
  <c r="L74" i="4" s="1"/>
  <c r="K71" i="4"/>
  <c r="K74" i="4" s="1"/>
  <c r="I71" i="4"/>
  <c r="H71" i="4"/>
  <c r="G71" i="4"/>
  <c r="F71" i="4"/>
  <c r="E71" i="4"/>
  <c r="D71" i="4"/>
  <c r="E15" i="6"/>
  <c r="E14" i="6"/>
  <c r="E13" i="6"/>
  <c r="E12" i="6"/>
  <c r="E11" i="6"/>
  <c r="E10" i="6"/>
  <c r="E9" i="6"/>
  <c r="E8" i="6"/>
  <c r="E7" i="6"/>
  <c r="E6" i="6"/>
  <c r="E5" i="6"/>
  <c r="E4" i="6"/>
  <c r="J4" i="3"/>
  <c r="J12" i="3" s="1"/>
  <c r="I4" i="3"/>
  <c r="I12" i="3" s="1"/>
  <c r="G4" i="3"/>
  <c r="E4" i="3"/>
  <c r="R112" i="4"/>
  <c r="Q112" i="4"/>
  <c r="P112" i="4"/>
  <c r="L112" i="4"/>
  <c r="K112" i="4"/>
  <c r="J112" i="4"/>
  <c r="I112" i="4"/>
  <c r="F112" i="4"/>
  <c r="E112" i="4"/>
  <c r="R111" i="4"/>
  <c r="Q111" i="4"/>
  <c r="P111" i="4"/>
  <c r="O111" i="4"/>
  <c r="N111" i="4"/>
  <c r="M111" i="4"/>
  <c r="L111" i="4"/>
  <c r="K111" i="4"/>
  <c r="I111" i="4"/>
  <c r="H111" i="4"/>
  <c r="G111" i="4"/>
  <c r="F111" i="4"/>
  <c r="E111" i="4"/>
  <c r="O110" i="4"/>
  <c r="N110" i="4"/>
  <c r="M110" i="4"/>
  <c r="J110" i="4"/>
  <c r="R106" i="4"/>
  <c r="Q106" i="4"/>
  <c r="P106" i="4"/>
  <c r="L106" i="4"/>
  <c r="K106" i="4"/>
  <c r="J106" i="4"/>
  <c r="I106" i="4"/>
  <c r="F106" i="4"/>
  <c r="E106" i="4"/>
  <c r="R105" i="4"/>
  <c r="Q105" i="4"/>
  <c r="P105" i="4"/>
  <c r="O105" i="4"/>
  <c r="N105" i="4"/>
  <c r="M105" i="4"/>
  <c r="L105" i="4"/>
  <c r="K105" i="4"/>
  <c r="I105" i="4"/>
  <c r="H105" i="4"/>
  <c r="G105" i="4"/>
  <c r="F105" i="4"/>
  <c r="E105" i="4"/>
  <c r="O104" i="4"/>
  <c r="N104" i="4"/>
  <c r="M104" i="4"/>
  <c r="J104" i="4"/>
  <c r="R98" i="4"/>
  <c r="Q98" i="4"/>
  <c r="P98" i="4"/>
  <c r="L98" i="4"/>
  <c r="K98" i="4"/>
  <c r="J98" i="4"/>
  <c r="I98" i="4"/>
  <c r="F98" i="4"/>
  <c r="E98" i="4"/>
  <c r="R97" i="4"/>
  <c r="Q97" i="4"/>
  <c r="P97" i="4"/>
  <c r="O97" i="4"/>
  <c r="N97" i="4"/>
  <c r="M97" i="4"/>
  <c r="L97" i="4"/>
  <c r="K97" i="4"/>
  <c r="I97" i="4"/>
  <c r="H97" i="4"/>
  <c r="G97" i="4"/>
  <c r="F97" i="4"/>
  <c r="E97" i="4"/>
  <c r="O96" i="4"/>
  <c r="N96" i="4"/>
  <c r="M96" i="4"/>
  <c r="J96" i="4"/>
  <c r="O86" i="4"/>
  <c r="O87" i="4" s="1"/>
  <c r="N86" i="4"/>
  <c r="M86" i="4"/>
  <c r="H86" i="4"/>
  <c r="G86" i="4"/>
  <c r="D86" i="4"/>
  <c r="J85" i="4"/>
  <c r="J87" i="4" s="1"/>
  <c r="D85" i="4"/>
  <c r="R84" i="4"/>
  <c r="R87" i="4" s="1"/>
  <c r="Q84" i="4"/>
  <c r="P84" i="4"/>
  <c r="P87" i="4" s="1"/>
  <c r="L84" i="4"/>
  <c r="K84" i="4"/>
  <c r="I84" i="4"/>
  <c r="H84" i="4"/>
  <c r="G84" i="4"/>
  <c r="F84" i="4"/>
  <c r="F87" i="4" s="1"/>
  <c r="E84" i="4"/>
  <c r="D84" i="4"/>
  <c r="R79" i="4"/>
  <c r="Q79" i="4"/>
  <c r="P79" i="4"/>
  <c r="L79" i="4"/>
  <c r="K79" i="4"/>
  <c r="J79" i="4"/>
  <c r="I79" i="4"/>
  <c r="F79" i="4"/>
  <c r="E79" i="4"/>
  <c r="R78" i="4"/>
  <c r="Q78" i="4"/>
  <c r="P78" i="4"/>
  <c r="O78" i="4"/>
  <c r="N78" i="4"/>
  <c r="M78" i="4"/>
  <c r="L78" i="4"/>
  <c r="K78" i="4"/>
  <c r="I78" i="4"/>
  <c r="H78" i="4"/>
  <c r="G78" i="4"/>
  <c r="F78" i="4"/>
  <c r="E78" i="4"/>
  <c r="O77" i="4"/>
  <c r="N77" i="4"/>
  <c r="M77" i="4"/>
  <c r="J77" i="4"/>
  <c r="O67" i="4"/>
  <c r="O68" i="4" s="1"/>
  <c r="N67" i="4"/>
  <c r="N68" i="4" s="1"/>
  <c r="M67" i="4"/>
  <c r="H67" i="4"/>
  <c r="G67" i="4"/>
  <c r="D67" i="4"/>
  <c r="J66" i="4"/>
  <c r="D66" i="4"/>
  <c r="R65" i="4"/>
  <c r="Q65" i="4"/>
  <c r="P65" i="4"/>
  <c r="L65" i="4"/>
  <c r="K65" i="4"/>
  <c r="K68" i="4" s="1"/>
  <c r="I65" i="4"/>
  <c r="H65" i="4"/>
  <c r="G65" i="4"/>
  <c r="F65" i="4"/>
  <c r="E65" i="4"/>
  <c r="D65" i="4"/>
  <c r="Q89" i="4"/>
  <c r="P70" i="4"/>
  <c r="O103" i="4"/>
  <c r="M83" i="4"/>
  <c r="K115" i="4"/>
  <c r="I109" i="4"/>
  <c r="H83" i="4"/>
  <c r="G115" i="4"/>
  <c r="AO12" i="3"/>
  <c r="AB12" i="3"/>
  <c r="AB13" i="3" s="1"/>
  <c r="K11" i="3"/>
  <c r="G11" i="3"/>
  <c r="E10" i="3"/>
  <c r="AA10" i="3"/>
  <c r="Y10" i="3"/>
  <c r="Q10" i="3"/>
  <c r="D10" i="3"/>
  <c r="AA9" i="3"/>
  <c r="Y9" i="3"/>
  <c r="W9" i="3"/>
  <c r="Q9" i="3"/>
  <c r="D9" i="3"/>
  <c r="AA8" i="3"/>
  <c r="Y8" i="3"/>
  <c r="W8" i="3"/>
  <c r="Q8" i="3"/>
  <c r="D8" i="3"/>
  <c r="E7" i="3"/>
  <c r="Q7" i="3"/>
  <c r="Y7" i="3"/>
  <c r="AA6" i="3"/>
  <c r="Y6" i="3"/>
  <c r="W6" i="3"/>
  <c r="Q6" i="3"/>
  <c r="D6" i="3"/>
  <c r="AA5" i="3"/>
  <c r="Q5" i="3"/>
  <c r="D5" i="3"/>
  <c r="X16" i="2"/>
  <c r="B16" i="2"/>
  <c r="Z4" i="3" l="1"/>
  <c r="Z12" i="3" s="1"/>
  <c r="Y5" i="3"/>
  <c r="E5" i="3"/>
  <c r="E12" i="3" s="1"/>
  <c r="E8" i="3"/>
  <c r="H8" i="3" s="1"/>
  <c r="K8" i="3" s="1"/>
  <c r="H5" i="3"/>
  <c r="K5" i="3" s="1"/>
  <c r="W5" i="3"/>
  <c r="E9" i="3"/>
  <c r="T9" i="3" s="1"/>
  <c r="E6" i="3"/>
  <c r="T6" i="3" s="1"/>
  <c r="H10" i="3"/>
  <c r="K10" i="3" s="1"/>
  <c r="W10" i="3"/>
  <c r="T7" i="2"/>
  <c r="T16" i="2" s="1"/>
  <c r="N98" i="4"/>
  <c r="U7" i="2"/>
  <c r="U16" i="2" s="1"/>
  <c r="D78" i="4"/>
  <c r="P77" i="4"/>
  <c r="G117" i="4"/>
  <c r="L117" i="4"/>
  <c r="P117" i="4"/>
  <c r="L118" i="4"/>
  <c r="O116" i="4"/>
  <c r="H117" i="4"/>
  <c r="M117" i="4"/>
  <c r="Q117" i="4"/>
  <c r="I118" i="4"/>
  <c r="P118" i="4"/>
  <c r="D97" i="4"/>
  <c r="D96" i="4"/>
  <c r="K103" i="4"/>
  <c r="Q96" i="4"/>
  <c r="Q95" i="4"/>
  <c r="I96" i="4"/>
  <c r="S7" i="2"/>
  <c r="L96" i="4"/>
  <c r="G77" i="4"/>
  <c r="N106" i="4"/>
  <c r="N107" i="4" s="1"/>
  <c r="G74" i="4"/>
  <c r="O79" i="4"/>
  <c r="H98" i="4"/>
  <c r="R7" i="2"/>
  <c r="AN4" i="3"/>
  <c r="AN12" i="3" s="1"/>
  <c r="D112" i="4"/>
  <c r="J99" i="4"/>
  <c r="R99" i="4"/>
  <c r="P99" i="4"/>
  <c r="F99" i="4"/>
  <c r="E96" i="4"/>
  <c r="D98" i="4"/>
  <c r="L77" i="4"/>
  <c r="H77" i="4"/>
  <c r="D74" i="4"/>
  <c r="D4" i="3" s="1"/>
  <c r="AG4" i="3"/>
  <c r="AG12" i="3" s="1"/>
  <c r="G68" i="4"/>
  <c r="G80" i="4" s="1"/>
  <c r="O80" i="4"/>
  <c r="AH4" i="3"/>
  <c r="AH12" i="3" s="1"/>
  <c r="T73" i="4"/>
  <c r="M116" i="4"/>
  <c r="F117" i="4"/>
  <c r="K117" i="4"/>
  <c r="O117" i="4"/>
  <c r="K118" i="4"/>
  <c r="AE4" i="3"/>
  <c r="AE12" i="3" s="1"/>
  <c r="AI4" i="3"/>
  <c r="AI12" i="3" s="1"/>
  <c r="AM4" i="3"/>
  <c r="AM12" i="3" s="1"/>
  <c r="D68" i="4"/>
  <c r="N80" i="4"/>
  <c r="AC4" i="3"/>
  <c r="AC12" i="3" s="1"/>
  <c r="AC13" i="3" s="1"/>
  <c r="AK4" i="3"/>
  <c r="AK12" i="3" s="1"/>
  <c r="J116" i="4"/>
  <c r="I117" i="4"/>
  <c r="J118" i="4"/>
  <c r="Q118" i="4"/>
  <c r="AD4" i="3"/>
  <c r="AD12" i="3" s="1"/>
  <c r="AL4" i="3"/>
  <c r="AL12" i="3" s="1"/>
  <c r="D79" i="4"/>
  <c r="P68" i="4"/>
  <c r="P80" i="4" s="1"/>
  <c r="L68" i="4"/>
  <c r="L80" i="4" s="1"/>
  <c r="N79" i="4"/>
  <c r="AF4" i="3"/>
  <c r="AF12" i="3" s="1"/>
  <c r="AJ4" i="3"/>
  <c r="AJ12" i="3" s="1"/>
  <c r="G87" i="4"/>
  <c r="G110" i="4"/>
  <c r="L110" i="4"/>
  <c r="L113" i="4" s="1"/>
  <c r="O4" i="3" s="1"/>
  <c r="O12" i="3" s="1"/>
  <c r="D111" i="4"/>
  <c r="D93" i="4"/>
  <c r="H93" i="4"/>
  <c r="F110" i="4"/>
  <c r="F113" i="4" s="1"/>
  <c r="K110" i="4"/>
  <c r="K113" i="4" s="1"/>
  <c r="G112" i="4"/>
  <c r="O112" i="4"/>
  <c r="O113" i="4" s="1"/>
  <c r="G93" i="4"/>
  <c r="K104" i="4"/>
  <c r="R104" i="4"/>
  <c r="R107" i="4" s="1"/>
  <c r="M112" i="4"/>
  <c r="M113" i="4" s="1"/>
  <c r="L87" i="4"/>
  <c r="L99" i="4" s="1"/>
  <c r="F104" i="4"/>
  <c r="G106" i="4"/>
  <c r="O106" i="4"/>
  <c r="D110" i="4"/>
  <c r="H110" i="4"/>
  <c r="P110" i="4"/>
  <c r="P113" i="4" s="1"/>
  <c r="T85" i="4"/>
  <c r="N87" i="4"/>
  <c r="N99" i="4" s="1"/>
  <c r="T91" i="4"/>
  <c r="F96" i="4"/>
  <c r="G104" i="4"/>
  <c r="G116" i="4" s="1"/>
  <c r="L104" i="4"/>
  <c r="L116" i="4" s="1"/>
  <c r="R110" i="4"/>
  <c r="N112" i="4"/>
  <c r="N113" i="4" s="1"/>
  <c r="D104" i="4"/>
  <c r="H104" i="4"/>
  <c r="T92" i="4"/>
  <c r="J97" i="4"/>
  <c r="T97" i="4" s="1"/>
  <c r="D106" i="4"/>
  <c r="D118" i="4" s="1"/>
  <c r="L109" i="4"/>
  <c r="L95" i="4"/>
  <c r="L89" i="4"/>
  <c r="L115" i="4"/>
  <c r="L103" i="4"/>
  <c r="L83" i="4"/>
  <c r="E104" i="4"/>
  <c r="E77" i="4"/>
  <c r="E68" i="4"/>
  <c r="T65" i="4"/>
  <c r="Q104" i="4"/>
  <c r="Q77" i="4"/>
  <c r="Q68" i="4"/>
  <c r="L70" i="4"/>
  <c r="K80" i="4"/>
  <c r="H106" i="4"/>
  <c r="H79" i="4"/>
  <c r="H68" i="4"/>
  <c r="T67" i="4"/>
  <c r="J74" i="4"/>
  <c r="J111" i="4"/>
  <c r="J113" i="4" s="1"/>
  <c r="P4" i="3" s="1"/>
  <c r="P12" i="3" s="1"/>
  <c r="T72" i="4"/>
  <c r="H96" i="4"/>
  <c r="H87" i="4"/>
  <c r="H99" i="4" s="1"/>
  <c r="P96" i="4"/>
  <c r="P104" i="4"/>
  <c r="D87" i="4"/>
  <c r="D99" i="4" s="1"/>
  <c r="H109" i="4"/>
  <c r="H95" i="4"/>
  <c r="H89" i="4"/>
  <c r="H115" i="4"/>
  <c r="H103" i="4"/>
  <c r="P109" i="4"/>
  <c r="P95" i="4"/>
  <c r="P89" i="4"/>
  <c r="P115" i="4"/>
  <c r="P103" i="4"/>
  <c r="P83" i="4"/>
  <c r="I104" i="4"/>
  <c r="I77" i="4"/>
  <c r="I68" i="4"/>
  <c r="H112" i="4"/>
  <c r="H74" i="4"/>
  <c r="J105" i="4"/>
  <c r="T105" i="4" s="1"/>
  <c r="J68" i="4"/>
  <c r="J78" i="4"/>
  <c r="T78" i="4" s="1"/>
  <c r="T66" i="4"/>
  <c r="H70" i="4"/>
  <c r="E110" i="4"/>
  <c r="E74" i="4"/>
  <c r="T71" i="4"/>
  <c r="I110" i="4"/>
  <c r="I113" i="4" s="1"/>
  <c r="I74" i="4"/>
  <c r="Q110" i="4"/>
  <c r="Q113" i="4" s="1"/>
  <c r="Q74" i="4"/>
  <c r="E115" i="4"/>
  <c r="E103" i="4"/>
  <c r="I115" i="4"/>
  <c r="I103" i="4"/>
  <c r="M115" i="4"/>
  <c r="M103" i="4"/>
  <c r="Q115" i="4"/>
  <c r="Q103" i="4"/>
  <c r="M106" i="4"/>
  <c r="M118" i="4" s="1"/>
  <c r="M79" i="4"/>
  <c r="E70" i="4"/>
  <c r="I70" i="4"/>
  <c r="M70" i="4"/>
  <c r="Q70" i="4"/>
  <c r="D77" i="4"/>
  <c r="R77" i="4"/>
  <c r="I83" i="4"/>
  <c r="O83" i="4"/>
  <c r="M98" i="4"/>
  <c r="M87" i="4"/>
  <c r="M99" i="4" s="1"/>
  <c r="E89" i="4"/>
  <c r="E95" i="4"/>
  <c r="M109" i="4"/>
  <c r="F115" i="4"/>
  <c r="F103" i="4"/>
  <c r="F109" i="4"/>
  <c r="F95" i="4"/>
  <c r="F89" i="4"/>
  <c r="F83" i="4"/>
  <c r="J115" i="4"/>
  <c r="J103" i="4"/>
  <c r="J109" i="4"/>
  <c r="J95" i="4"/>
  <c r="J89" i="4"/>
  <c r="J83" i="4"/>
  <c r="N115" i="4"/>
  <c r="N103" i="4"/>
  <c r="N109" i="4"/>
  <c r="N95" i="4"/>
  <c r="N89" i="4"/>
  <c r="N83" i="4"/>
  <c r="R115" i="4"/>
  <c r="R103" i="4"/>
  <c r="R109" i="4"/>
  <c r="R95" i="4"/>
  <c r="R89" i="4"/>
  <c r="R83" i="4"/>
  <c r="M68" i="4"/>
  <c r="F70" i="4"/>
  <c r="J70" i="4"/>
  <c r="N70" i="4"/>
  <c r="R70" i="4"/>
  <c r="M74" i="4"/>
  <c r="G79" i="4"/>
  <c r="E83" i="4"/>
  <c r="K83" i="4"/>
  <c r="K87" i="4"/>
  <c r="K99" i="4" s="1"/>
  <c r="K96" i="4"/>
  <c r="I89" i="4"/>
  <c r="I95" i="4"/>
  <c r="R96" i="4"/>
  <c r="D105" i="4"/>
  <c r="F118" i="4"/>
  <c r="R118" i="4"/>
  <c r="Q109" i="4"/>
  <c r="G109" i="4"/>
  <c r="G95" i="4"/>
  <c r="G89" i="4"/>
  <c r="K109" i="4"/>
  <c r="K95" i="4"/>
  <c r="K89" i="4"/>
  <c r="O109" i="4"/>
  <c r="O95" i="4"/>
  <c r="O89" i="4"/>
  <c r="F68" i="4"/>
  <c r="R68" i="4"/>
  <c r="R80" i="4" s="1"/>
  <c r="G70" i="4"/>
  <c r="K70" i="4"/>
  <c r="O70" i="4"/>
  <c r="F74" i="4"/>
  <c r="F77" i="4"/>
  <c r="K77" i="4"/>
  <c r="G83" i="4"/>
  <c r="Q83" i="4"/>
  <c r="T86" i="4"/>
  <c r="O99" i="4"/>
  <c r="M89" i="4"/>
  <c r="M95" i="4"/>
  <c r="G103" i="4"/>
  <c r="N116" i="4"/>
  <c r="N117" i="4"/>
  <c r="R117" i="4"/>
  <c r="E109" i="4"/>
  <c r="O115" i="4"/>
  <c r="T84" i="4"/>
  <c r="E87" i="4"/>
  <c r="E99" i="4" s="1"/>
  <c r="I87" i="4"/>
  <c r="I99" i="4" s="1"/>
  <c r="Q87" i="4"/>
  <c r="Q99" i="4" s="1"/>
  <c r="T90" i="4"/>
  <c r="G96" i="4"/>
  <c r="G98" i="4"/>
  <c r="O98" i="4"/>
  <c r="E117" i="4"/>
  <c r="E118" i="4"/>
  <c r="G7" i="3"/>
  <c r="T7" i="3"/>
  <c r="S7" i="3"/>
  <c r="T10" i="3"/>
  <c r="S10" i="3"/>
  <c r="G10" i="3"/>
  <c r="R10" i="3" s="1"/>
  <c r="S5" i="3"/>
  <c r="T5" i="3"/>
  <c r="G8" i="3"/>
  <c r="R8" i="3" s="1"/>
  <c r="T8" i="3"/>
  <c r="G9" i="3"/>
  <c r="R9" i="3" s="1"/>
  <c r="S9" i="3"/>
  <c r="H9" i="3"/>
  <c r="K9" i="3" s="1"/>
  <c r="H6" i="3"/>
  <c r="K6" i="3" s="1"/>
  <c r="G6" i="3"/>
  <c r="R6" i="3" s="1"/>
  <c r="H7" i="3"/>
  <c r="K7" i="3" s="1"/>
  <c r="W7" i="3"/>
  <c r="AA7" i="3"/>
  <c r="F4" i="3"/>
  <c r="D7" i="3"/>
  <c r="Z7" i="2"/>
  <c r="M16" i="2"/>
  <c r="N7" i="2"/>
  <c r="V7" i="2"/>
  <c r="F7" i="2"/>
  <c r="G118" i="4" l="1"/>
  <c r="S6" i="3"/>
  <c r="S8" i="3"/>
  <c r="G5" i="3"/>
  <c r="R5" i="3" s="1"/>
  <c r="O118" i="4"/>
  <c r="U4" i="3"/>
  <c r="O107" i="4"/>
  <c r="O119" i="4" s="1"/>
  <c r="R4" i="3"/>
  <c r="O7" i="2"/>
  <c r="G7" i="2"/>
  <c r="L7" i="2"/>
  <c r="G99" i="4"/>
  <c r="F116" i="4"/>
  <c r="AD13" i="3"/>
  <c r="AE13" i="3" s="1"/>
  <c r="AF13" i="3" s="1"/>
  <c r="K116" i="4"/>
  <c r="D12" i="3"/>
  <c r="M80" i="4"/>
  <c r="X4" i="3" s="1"/>
  <c r="V4" i="3"/>
  <c r="R116" i="4"/>
  <c r="F80" i="4"/>
  <c r="N118" i="4"/>
  <c r="I80" i="4"/>
  <c r="D117" i="4"/>
  <c r="T79" i="4"/>
  <c r="G107" i="4"/>
  <c r="L107" i="4"/>
  <c r="L119" i="4" s="1"/>
  <c r="M4" i="3" s="1"/>
  <c r="M12" i="3" s="1"/>
  <c r="K107" i="4"/>
  <c r="K119" i="4" s="1"/>
  <c r="T77" i="4"/>
  <c r="G113" i="4"/>
  <c r="D80" i="4"/>
  <c r="C4" i="3" s="1"/>
  <c r="B4" i="3"/>
  <c r="E7" i="2" s="1"/>
  <c r="T112" i="4"/>
  <c r="H113" i="4"/>
  <c r="H116" i="4"/>
  <c r="D113" i="4"/>
  <c r="T96" i="4"/>
  <c r="F107" i="4"/>
  <c r="F119" i="4" s="1"/>
  <c r="D116" i="4"/>
  <c r="D107" i="4"/>
  <c r="T93" i="4"/>
  <c r="R113" i="4"/>
  <c r="R119" i="4" s="1"/>
  <c r="N119" i="4"/>
  <c r="T111" i="4"/>
  <c r="T106" i="4"/>
  <c r="J117" i="4"/>
  <c r="T117" i="4" s="1"/>
  <c r="J107" i="4"/>
  <c r="J119" i="4" s="1"/>
  <c r="T98" i="4"/>
  <c r="E113" i="4"/>
  <c r="T110" i="4"/>
  <c r="J80" i="4"/>
  <c r="I116" i="4"/>
  <c r="I107" i="4"/>
  <c r="I119" i="4" s="1"/>
  <c r="H80" i="4"/>
  <c r="T68" i="4"/>
  <c r="H118" i="4"/>
  <c r="H107" i="4"/>
  <c r="T74" i="4"/>
  <c r="P116" i="4"/>
  <c r="P107" i="4"/>
  <c r="P119" i="4" s="1"/>
  <c r="Q116" i="4"/>
  <c r="Q107" i="4"/>
  <c r="Q119" i="4" s="1"/>
  <c r="T104" i="4"/>
  <c r="E116" i="4"/>
  <c r="E107" i="4"/>
  <c r="E119" i="4" s="1"/>
  <c r="M107" i="4"/>
  <c r="M119" i="4" s="1"/>
  <c r="T87" i="4"/>
  <c r="Q80" i="4"/>
  <c r="E80" i="4"/>
  <c r="F12" i="3"/>
  <c r="R7" i="3"/>
  <c r="G12" i="3"/>
  <c r="F16" i="2"/>
  <c r="Z16" i="2"/>
  <c r="AA7" i="2"/>
  <c r="AA16" i="2" s="1"/>
  <c r="V16" i="2"/>
  <c r="Y7" i="2"/>
  <c r="Y16" i="2" s="1"/>
  <c r="W7" i="2"/>
  <c r="K7" i="2"/>
  <c r="C12" i="3" l="1"/>
  <c r="H7" i="2"/>
  <c r="I7" i="2" s="1"/>
  <c r="P7" i="2"/>
  <c r="T99" i="4"/>
  <c r="D119" i="4"/>
  <c r="T80" i="4"/>
  <c r="T113" i="4"/>
  <c r="Q4" i="3"/>
  <c r="Y4" i="3"/>
  <c r="Y12" i="3" s="1"/>
  <c r="X12" i="3"/>
  <c r="V12" i="3"/>
  <c r="W4" i="3"/>
  <c r="W12" i="3" s="1"/>
  <c r="G119" i="4"/>
  <c r="H119" i="4"/>
  <c r="N4" i="3"/>
  <c r="N12" i="3" s="1"/>
  <c r="T118" i="4"/>
  <c r="H4" i="3"/>
  <c r="B12" i="3"/>
  <c r="AF14" i="3" s="1"/>
  <c r="T4" i="3"/>
  <c r="S4" i="3"/>
  <c r="AA4" i="3"/>
  <c r="T116" i="4"/>
  <c r="T107" i="4"/>
  <c r="AG13" i="3"/>
  <c r="Q12" i="3"/>
  <c r="R12" i="3"/>
  <c r="AE14" i="3" l="1"/>
  <c r="T119" i="4"/>
  <c r="L4" i="3"/>
  <c r="L12" i="3" s="1"/>
  <c r="E17" i="3"/>
  <c r="AC14" i="3"/>
  <c r="AD14" i="3"/>
  <c r="AA12" i="3"/>
  <c r="S12" i="3"/>
  <c r="AB14" i="3"/>
  <c r="T12" i="3"/>
  <c r="K4" i="3"/>
  <c r="K12" i="3" s="1"/>
  <c r="H12" i="3"/>
  <c r="AG14" i="3"/>
  <c r="AH13" i="3"/>
  <c r="AH14" i="3" l="1"/>
  <c r="AI13" i="3"/>
  <c r="AI14" i="3" l="1"/>
  <c r="AJ13" i="3"/>
  <c r="AJ14" i="3" l="1"/>
  <c r="AK13" i="3"/>
  <c r="AK14" i="3" l="1"/>
  <c r="AL13" i="3"/>
  <c r="AL14" i="3" l="1"/>
  <c r="AM13" i="3"/>
  <c r="AM14" i="3" l="1"/>
  <c r="AN13" i="3"/>
  <c r="AN14" i="3" l="1"/>
  <c r="AO13" i="3"/>
  <c r="AO14" i="3" s="1"/>
</calcChain>
</file>

<file path=xl/sharedStrings.xml><?xml version="1.0" encoding="utf-8"?>
<sst xmlns="http://schemas.openxmlformats.org/spreadsheetml/2006/main" count="1851" uniqueCount="234">
  <si>
    <t>Budget comptable du portefeuille</t>
  </si>
  <si>
    <t>Appuis</t>
  </si>
  <si>
    <t>Budget Définitif</t>
  </si>
  <si>
    <t>Budget</t>
  </si>
  <si>
    <t>Nombre</t>
  </si>
  <si>
    <t>Budget exercice 
décalé</t>
  </si>
  <si>
    <t>en % du portefeuille
 total</t>
  </si>
  <si>
    <t>Dossiers</t>
  </si>
  <si>
    <t>Avancement décalés</t>
  </si>
  <si>
    <t>Budget 31/12</t>
  </si>
  <si>
    <t>en % du portefeuille</t>
  </si>
  <si>
    <t>Avancement 31/12</t>
  </si>
  <si>
    <t>BONI</t>
  </si>
  <si>
    <t>MALI</t>
  </si>
  <si>
    <t>Disponibilités</t>
  </si>
  <si>
    <t>Réalisés</t>
  </si>
  <si>
    <t>Disponibilités après appuis</t>
  </si>
  <si>
    <t>y compris dispo</t>
  </si>
  <si>
    <t>Sur ou sous réalisation</t>
  </si>
  <si>
    <t>Budget validé
 par DT début
 de campagne</t>
  </si>
  <si>
    <t>Montant lettre de mission</t>
  </si>
  <si>
    <t xml:space="preserve">Budget du comptable 
portefeuille </t>
  </si>
  <si>
    <t>Dossiers
total</t>
  </si>
  <si>
    <t xml:space="preserve">Montant </t>
  </si>
  <si>
    <t xml:space="preserve">% </t>
  </si>
  <si>
    <t>%</t>
  </si>
  <si>
    <t>Montant</t>
  </si>
  <si>
    <t>Tps 
restant
nécessaire</t>
  </si>
  <si>
    <t>Tps
restant
nécessaire</t>
  </si>
  <si>
    <t>Heures</t>
  </si>
  <si>
    <t>affectation pic</t>
  </si>
  <si>
    <t>Aurélie</t>
  </si>
  <si>
    <t>Total</t>
  </si>
  <si>
    <t>SIGNATURES</t>
  </si>
  <si>
    <t>Dossiers restant à produire</t>
  </si>
  <si>
    <t>Nombre de dossiers</t>
  </si>
  <si>
    <t>Réalisées</t>
  </si>
  <si>
    <t>Solde</t>
  </si>
  <si>
    <t>Base visa V5</t>
  </si>
  <si>
    <t>Nombre de dossier</t>
  </si>
  <si>
    <t>DECALES</t>
  </si>
  <si>
    <t xml:space="preserve">Avancement </t>
  </si>
  <si>
    <t>NOMBRE total</t>
  </si>
  <si>
    <t>NOMBRE de décalés</t>
  </si>
  <si>
    <t>NOMBRE de dossiers
31 12</t>
  </si>
  <si>
    <t>NOMBRE SIGNE CE JOUR</t>
  </si>
  <si>
    <t>NOMBRE de dossiers décalés</t>
  </si>
  <si>
    <t xml:space="preserve">Nombre de dossiers 31 12 </t>
  </si>
  <si>
    <t>RESTE A SIGNER</t>
  </si>
  <si>
    <t xml:space="preserve">Dossier en attente de visa
SM </t>
  </si>
  <si>
    <t xml:space="preserve">Dossier en attente de visa
FM </t>
  </si>
  <si>
    <t>Reste à signer en déduction des visas en attente dans la base</t>
  </si>
  <si>
    <t>SARL / SAS/
INDIV / ASSO /
EARL / SCEA / ETA</t>
  </si>
  <si>
    <t xml:space="preserve">SCI </t>
  </si>
  <si>
    <t>SARL / SAS/
INDIV / ASSO</t>
  </si>
  <si>
    <t>BNC
/
PROF LIB</t>
  </si>
  <si>
    <t>Avancement% décalés</t>
  </si>
  <si>
    <t>Avancement %
31/12/2019</t>
  </si>
  <si>
    <t>Avancement Total du Portefeuille</t>
  </si>
  <si>
    <t>Avancement y compris dossiers en attente base</t>
  </si>
  <si>
    <t>DELAI MOYEN
en jours
(à titre indicatif)</t>
  </si>
  <si>
    <t>NOMBRE PCR</t>
  </si>
  <si>
    <t>% PCR</t>
  </si>
  <si>
    <t>NOMBRE RA NOS</t>
  </si>
  <si>
    <t>% RA NOS</t>
  </si>
  <si>
    <t>REFUS</t>
  </si>
  <si>
    <t>% REFUS</t>
  </si>
  <si>
    <t>DOSSIERS SIGNES AVANT JUIN</t>
  </si>
  <si>
    <t>DOSSIERS SIGNES EN JUIN</t>
  </si>
  <si>
    <t>DOSSIERS SIGNES EN JUILLET</t>
  </si>
  <si>
    <t>DOSSIERS SIGNES EN AOUT</t>
  </si>
  <si>
    <t>DOSSIERS SIGNES EN SEPTEMBRE</t>
  </si>
  <si>
    <t>DOSSIERS SIGNES EN OCTOBRE</t>
  </si>
  <si>
    <t>DOSSIERS SIGNES EN NOVEMBRE</t>
  </si>
  <si>
    <t>DOSSIERS SIGNES EN DECEMBRE</t>
  </si>
  <si>
    <t>DOSSIERS SIGNES EN  JANVIER</t>
  </si>
  <si>
    <t>DOSSIERS SIGNES EN FEVRIER</t>
  </si>
  <si>
    <t>DOSSIERS SIGNES EN MARS</t>
  </si>
  <si>
    <t>DOSSIERS SIGNES EN AVRIL</t>
  </si>
  <si>
    <t>DOSSIERS SIGNES EN MAI</t>
  </si>
  <si>
    <t>Delphine</t>
  </si>
  <si>
    <t>Frédérique</t>
  </si>
  <si>
    <t>Sébastien</t>
  </si>
  <si>
    <t>Eric</t>
  </si>
  <si>
    <t>Guillaume</t>
  </si>
  <si>
    <t>Marie-Pierre</t>
  </si>
  <si>
    <t>TOTAL</t>
  </si>
  <si>
    <t>CUMUL</t>
  </si>
  <si>
    <t>% AVANCEMENT</t>
  </si>
  <si>
    <t>N° DOSSIER</t>
  </si>
  <si>
    <t>NOM DOSSIER</t>
  </si>
  <si>
    <t>TYPE DE MARCHE</t>
  </si>
  <si>
    <t>DATE DE CLOTURE</t>
  </si>
  <si>
    <t>REGIME JURIDIQUE</t>
  </si>
  <si>
    <t>REGIME IMPOSITION</t>
  </si>
  <si>
    <t>DATE
DE DEPOT</t>
  </si>
  <si>
    <t>DATE SIGNATURE</t>
  </si>
  <si>
    <t>MOIS</t>
  </si>
  <si>
    <t>DELAI</t>
  </si>
  <si>
    <t>PCR</t>
  </si>
  <si>
    <t>RA NOS</t>
  </si>
  <si>
    <t xml:space="preserve">QUI </t>
  </si>
  <si>
    <t>CR</t>
  </si>
  <si>
    <t>CR FAIT PAR LE COMPTABLE</t>
  </si>
  <si>
    <t>Prénom
AAC</t>
  </si>
  <si>
    <t>GRILLE ENJEUX</t>
  </si>
  <si>
    <t>Visa
Validé
enjeu 4 ou attestation enjeu</t>
  </si>
  <si>
    <t>VISA VCOMPTA</t>
  </si>
  <si>
    <t>MOTIF</t>
  </si>
  <si>
    <t>ACS</t>
  </si>
  <si>
    <t>SNC</t>
  </si>
  <si>
    <t>IR</t>
  </si>
  <si>
    <t>SARL</t>
  </si>
  <si>
    <t>COMPTABLE</t>
  </si>
  <si>
    <t>IS</t>
  </si>
  <si>
    <t>EURL</t>
  </si>
  <si>
    <t>INDIVIDUEL</t>
  </si>
  <si>
    <t>CONSEILLER</t>
  </si>
  <si>
    <t>SAS</t>
  </si>
  <si>
    <t>SCI</t>
  </si>
  <si>
    <t>PORTEFEUILLE</t>
  </si>
  <si>
    <t>BNC</t>
  </si>
  <si>
    <t>AGRI</t>
  </si>
  <si>
    <t>TOTAL DOSSIERS</t>
  </si>
  <si>
    <t>Association</t>
  </si>
  <si>
    <t>PROFESSION LIBERALE</t>
  </si>
  <si>
    <t>EARL</t>
  </si>
  <si>
    <t>ETA</t>
  </si>
  <si>
    <t>SCEA</t>
  </si>
  <si>
    <t>GROUPEMENT</t>
  </si>
  <si>
    <t>EIRL</t>
  </si>
  <si>
    <t>AUTRE</t>
  </si>
  <si>
    <t>dossiers déposés</t>
  </si>
  <si>
    <t>Reste à produire</t>
  </si>
  <si>
    <t>Données</t>
  </si>
  <si>
    <t>Année de campagne</t>
  </si>
  <si>
    <t>ASSOCIATION</t>
  </si>
  <si>
    <t>AUTRES</t>
  </si>
  <si>
    <t>DELPHINE</t>
  </si>
  <si>
    <t>FREDERIQUE</t>
  </si>
  <si>
    <t>SEBASTIEN</t>
  </si>
  <si>
    <t>ERIC</t>
  </si>
  <si>
    <t>GUILLAUME</t>
  </si>
  <si>
    <t>AURELIE T</t>
  </si>
  <si>
    <t>MARIE PIERRE</t>
  </si>
  <si>
    <t>AG
SIGNEE</t>
  </si>
  <si>
    <t>COMMENTAIRES</t>
  </si>
  <si>
    <t>Attestation
à faire signer par l'EC</t>
  </si>
  <si>
    <t>AAC</t>
  </si>
  <si>
    <t>AURELIE S</t>
  </si>
  <si>
    <t>PRENOM CONSEILLER</t>
  </si>
  <si>
    <t>THOMAS B</t>
  </si>
  <si>
    <t>KARINE V</t>
  </si>
  <si>
    <t>SYLVIE B</t>
  </si>
  <si>
    <t>OLIVIER F</t>
  </si>
  <si>
    <t>DIAN D</t>
  </si>
  <si>
    <t>HENRI A</t>
  </si>
  <si>
    <t>PCR COMPTABLE €</t>
  </si>
  <si>
    <t>PCR CONSEILLER €</t>
  </si>
  <si>
    <t>RA FAIT PAR LE
COMPTABLE €</t>
  </si>
  <si>
    <t>RA FAITE PAR LE CONSEILLER €</t>
  </si>
  <si>
    <t>POINT DE PILOTAGE €</t>
  </si>
  <si>
    <t>SAISIE PAR UNE AAC €</t>
  </si>
  <si>
    <t>SAISIE PAR LE COMPTABLE €</t>
  </si>
  <si>
    <t>TRAVAUX 
DE REVISION €</t>
  </si>
  <si>
    <t>DECLARATION TVA AAC €</t>
  </si>
  <si>
    <t>DECLARATION TVA COMPTABLE €</t>
  </si>
  <si>
    <t>MONTANT
RESPONSABLE RELATION CLIENT €</t>
  </si>
  <si>
    <t xml:space="preserve">TPS PASSE
COMPTABLE H
</t>
  </si>
  <si>
    <t>TPS PASSE 
AAC H</t>
  </si>
  <si>
    <t>BONI COMPTABLE</t>
  </si>
  <si>
    <t>MALI COMPTABLE</t>
  </si>
  <si>
    <t>BONI AAC</t>
  </si>
  <si>
    <t>MALI AAC</t>
  </si>
  <si>
    <t>Taux Horaire compta</t>
  </si>
  <si>
    <t>Taux Horaire AAC</t>
  </si>
  <si>
    <t>PRENOM DU COMPTABLE</t>
  </si>
  <si>
    <t>YANN L</t>
  </si>
  <si>
    <t>MONTANT TOTAL LETTRE DE MISION €</t>
  </si>
  <si>
    <t>ECART DE SAISE avec LETTRE DE MISSION €</t>
  </si>
  <si>
    <t>NBRE DOSSIER MALI AAC</t>
  </si>
  <si>
    <t>NOMBRE DOSSIER BONI AAC</t>
  </si>
  <si>
    <t>NOMBRE DOSSIER BONI COMPTABLE</t>
  </si>
  <si>
    <t>NOMBRE DE DOSSIER MALI COMPTABLE</t>
  </si>
  <si>
    <t>ABONNE COURT 
ABONNE LONG</t>
  </si>
  <si>
    <t>RECONDUCTION AUTOMATIQUE OS</t>
  </si>
  <si>
    <t>MISE EN PLACE SCAN BY CERFRANCE</t>
  </si>
  <si>
    <t>PRENOM PERSONNE AYANT DEPLOYEE SCAN BY CERFRANCE</t>
  </si>
  <si>
    <t>PICKING</t>
  </si>
  <si>
    <t>SCAN BY CERFRANCE</t>
  </si>
  <si>
    <t>SECRETAIRE</t>
  </si>
  <si>
    <t>MARIE M</t>
  </si>
  <si>
    <t>FABIENNE R</t>
  </si>
  <si>
    <t>LISTES</t>
  </si>
  <si>
    <t>SECRETAIRES AAC COMPTABLES</t>
  </si>
  <si>
    <t>Non car le client souhaite garder le scan</t>
  </si>
  <si>
    <t>Non – Cessation d’activité</t>
  </si>
  <si>
    <t>Non – Arrêt de travaux pour le moment</t>
  </si>
  <si>
    <t>essai1</t>
  </si>
  <si>
    <t>ABONNE COURT</t>
  </si>
  <si>
    <t>OUI</t>
  </si>
  <si>
    <t>Non car pour le moment pas disponible</t>
  </si>
  <si>
    <t>Non car dossier trop volumineux</t>
  </si>
  <si>
    <t>Non car le client fait la saisie sur place</t>
  </si>
  <si>
    <t>ESSAI3</t>
  </si>
  <si>
    <t>NON</t>
  </si>
  <si>
    <t>DECLARATION DE TVA</t>
  </si>
  <si>
    <t>PRENOM REALISATION TVA</t>
  </si>
  <si>
    <t>MENSUELLE</t>
  </si>
  <si>
    <t>X</t>
  </si>
  <si>
    <t>essai2</t>
  </si>
  <si>
    <t>AGOA COMPTABLE €</t>
  </si>
  <si>
    <t>AGOA CONSEILLER €</t>
  </si>
  <si>
    <t>VISA JURIDIQUE €</t>
  </si>
  <si>
    <t>Oui  ( CFC + SCAN BY CERFRANCE)</t>
  </si>
  <si>
    <t>N/C</t>
  </si>
  <si>
    <t>EDI</t>
  </si>
  <si>
    <t>Colonne1</t>
  </si>
  <si>
    <t>SUIVI RSA</t>
  </si>
  <si>
    <t>RSA EN DATE DU</t>
  </si>
  <si>
    <t>DIVERS</t>
  </si>
  <si>
    <t>Réponses</t>
  </si>
  <si>
    <t>A FAIRE</t>
  </si>
  <si>
    <t>A TERMINER</t>
  </si>
  <si>
    <t>N/A</t>
  </si>
  <si>
    <t>AURELIE_T</t>
  </si>
  <si>
    <t>MARIE_PIERRE</t>
  </si>
  <si>
    <t>AUTRE COMPTABLE</t>
  </si>
  <si>
    <t>FEDERIQUE</t>
  </si>
  <si>
    <t>DECLARATION DES REVENUS</t>
  </si>
  <si>
    <t>NOMBRE DE DECLARATION</t>
  </si>
  <si>
    <t>ok</t>
  </si>
  <si>
    <t>aucun</t>
  </si>
  <si>
    <t>Sans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</si>
</sst>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dd/mm/yy;@"/>
    <numFmt numFmtId="165" formatCode="000000"/>
    <numFmt numFmtId="166" formatCode="#,##0\ &quot;€&quot;"/>
    <numFmt numFmtId="167" formatCode="_-* #,##0\ &quot;€&quot;_-;\-* #,##0\ &quot;€&quot;_-;_-* &quot;-&quot;??\ &quot;€&quot;_-;_-@_-"/>
  </numFmts>
  <fonts count="1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u/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indexed="10"/>
      <name val="Calibri"/>
      <family val="2"/>
    </font>
    <font>
      <sz val="10"/>
      <name val="Calibri"/>
      <family val="2"/>
    </font>
    <font>
      <sz val="10"/>
      <color indexed="8"/>
      <name val="MS Sans Serif"/>
      <family val="2"/>
    </font>
    <font>
      <sz val="11"/>
      <color indexed="10"/>
      <name val="Calibri"/>
      <family val="2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45B5ED"/>
        <bgColor indexed="64"/>
      </patternFill>
    </fill>
    <fill>
      <patternFill patternType="solid">
        <fgColor rgb="FF3AF6F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  <xf numFmtId="0" fontId="5" fillId="0" borderId="0"/>
    <xf numFmtId="0" fontId="10" fillId="0" borderId="0"/>
    <xf numFmtId="0" fontId="5" fillId="0" borderId="0" applyNumberFormat="0" applyFont="0" applyFill="0" applyBorder="0" applyAlignment="0" applyProtection="0"/>
    <xf numFmtId="44" fontId="13" fillId="0" borderId="0" applyFont="0" applyFill="0" applyBorder="0" applyAlignment="0" applyProtection="0"/>
  </cellStyleXfs>
  <cellXfs count="283">
    <xf numFmtId="0" fontId="0" fillId="0" borderId="0" xfId="0"/>
    <xf numFmtId="0" fontId="0" fillId="3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6" borderId="4" xfId="0" applyFill="1" applyBorder="1" applyAlignment="1">
      <alignment horizontal="center" wrapText="1"/>
    </xf>
    <xf numFmtId="0" fontId="0" fillId="6" borderId="4" xfId="0" applyFill="1" applyBorder="1" applyAlignment="1">
      <alignment horizontal="center"/>
    </xf>
    <xf numFmtId="0" fontId="0" fillId="8" borderId="4" xfId="0" applyFill="1" applyBorder="1"/>
    <xf numFmtId="0" fontId="0" fillId="5" borderId="4" xfId="0" applyFill="1" applyBorder="1"/>
    <xf numFmtId="0" fontId="0" fillId="9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wrapText="1"/>
    </xf>
    <xf numFmtId="0" fontId="0" fillId="6" borderId="7" xfId="0" applyFill="1" applyBorder="1" applyAlignment="1"/>
    <xf numFmtId="0" fontId="0" fillId="6" borderId="7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7" xfId="0" applyFill="1" applyBorder="1" applyAlignment="1">
      <alignment horizontal="center" wrapText="1"/>
    </xf>
    <xf numFmtId="0" fontId="0" fillId="6" borderId="5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5" xfId="0" applyFill="1" applyBorder="1" applyAlignment="1">
      <alignment horizontal="center" wrapText="1"/>
    </xf>
    <xf numFmtId="0" fontId="0" fillId="3" borderId="5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7" xfId="0" applyFill="1" applyBorder="1" applyAlignment="1">
      <alignment horizontal="center" vertical="center"/>
    </xf>
    <xf numFmtId="0" fontId="0" fillId="9" borderId="8" xfId="0" applyFill="1" applyBorder="1"/>
    <xf numFmtId="44" fontId="1" fillId="9" borderId="9" xfId="1" applyFont="1" applyFill="1" applyBorder="1"/>
    <xf numFmtId="44" fontId="1" fillId="2" borderId="9" xfId="1" applyFont="1" applyFill="1" applyBorder="1"/>
    <xf numFmtId="0" fontId="0" fillId="2" borderId="9" xfId="0" applyFill="1" applyBorder="1"/>
    <xf numFmtId="0" fontId="0" fillId="6" borderId="9" xfId="0" applyFill="1" applyBorder="1" applyAlignment="1">
      <alignment horizontal="center"/>
    </xf>
    <xf numFmtId="9" fontId="1" fillId="6" borderId="9" xfId="2" applyFont="1" applyFill="1" applyBorder="1" applyAlignment="1">
      <alignment horizontal="center"/>
    </xf>
    <xf numFmtId="0" fontId="1" fillId="6" borderId="9" xfId="2" applyNumberFormat="1" applyFont="1" applyFill="1" applyBorder="1" applyAlignment="1">
      <alignment horizontal="center"/>
    </xf>
    <xf numFmtId="44" fontId="1" fillId="7" borderId="9" xfId="1" applyFont="1" applyFill="1" applyBorder="1" applyAlignment="1">
      <alignment horizontal="center"/>
    </xf>
    <xf numFmtId="9" fontId="1" fillId="7" borderId="9" xfId="2" applyFont="1" applyFill="1" applyBorder="1" applyAlignment="1">
      <alignment horizontal="center"/>
    </xf>
    <xf numFmtId="0" fontId="1" fillId="7" borderId="9" xfId="2" applyNumberFormat="1" applyFont="1" applyFill="1" applyBorder="1" applyAlignment="1">
      <alignment horizontal="center"/>
    </xf>
    <xf numFmtId="0" fontId="0" fillId="6" borderId="9" xfId="0" applyFill="1" applyBorder="1"/>
    <xf numFmtId="9" fontId="1" fillId="6" borderId="10" xfId="2" applyFont="1" applyFill="1" applyBorder="1"/>
    <xf numFmtId="44" fontId="1" fillId="7" borderId="10" xfId="1" applyFont="1" applyFill="1" applyBorder="1"/>
    <xf numFmtId="9" fontId="1" fillId="7" borderId="10" xfId="2" applyFont="1" applyFill="1" applyBorder="1" applyAlignment="1">
      <alignment horizontal="center" vertical="center"/>
    </xf>
    <xf numFmtId="0" fontId="1" fillId="7" borderId="10" xfId="2" applyNumberFormat="1" applyFont="1" applyFill="1" applyBorder="1" applyAlignment="1">
      <alignment horizontal="center" vertical="center"/>
    </xf>
    <xf numFmtId="44" fontId="1" fillId="3" borderId="10" xfId="1" applyFont="1" applyFill="1" applyBorder="1"/>
    <xf numFmtId="44" fontId="1" fillId="8" borderId="9" xfId="1" applyFont="1" applyFill="1" applyBorder="1" applyAlignment="1">
      <alignment horizontal="center"/>
    </xf>
    <xf numFmtId="0" fontId="1" fillId="8" borderId="9" xfId="1" applyNumberFormat="1" applyFont="1" applyFill="1" applyBorder="1" applyAlignment="1">
      <alignment horizontal="center"/>
    </xf>
    <xf numFmtId="44" fontId="1" fillId="5" borderId="9" xfId="1" applyFont="1" applyFill="1" applyBorder="1"/>
    <xf numFmtId="44" fontId="0" fillId="8" borderId="11" xfId="0" applyNumberFormat="1" applyFill="1" applyBorder="1"/>
    <xf numFmtId="0" fontId="0" fillId="9" borderId="12" xfId="0" applyFill="1" applyBorder="1"/>
    <xf numFmtId="44" fontId="1" fillId="9" borderId="4" xfId="1" applyFont="1" applyFill="1" applyBorder="1"/>
    <xf numFmtId="44" fontId="1" fillId="2" borderId="4" xfId="1" applyFont="1" applyFill="1" applyBorder="1"/>
    <xf numFmtId="0" fontId="0" fillId="2" borderId="4" xfId="0" applyFill="1" applyBorder="1"/>
    <xf numFmtId="0" fontId="0" fillId="6" borderId="4" xfId="0" applyFill="1" applyBorder="1"/>
    <xf numFmtId="0" fontId="0" fillId="6" borderId="4" xfId="0" applyNumberFormat="1" applyFill="1" applyBorder="1"/>
    <xf numFmtId="44" fontId="1" fillId="7" borderId="4" xfId="1" applyFont="1" applyFill="1" applyBorder="1"/>
    <xf numFmtId="0" fontId="0" fillId="7" borderId="4" xfId="0" applyNumberFormat="1" applyFill="1" applyBorder="1"/>
    <xf numFmtId="0" fontId="0" fillId="6" borderId="1" xfId="0" applyFill="1" applyBorder="1"/>
    <xf numFmtId="44" fontId="1" fillId="7" borderId="1" xfId="1" applyFont="1" applyFill="1" applyBorder="1"/>
    <xf numFmtId="0" fontId="0" fillId="7" borderId="1" xfId="0" applyFill="1" applyBorder="1"/>
    <xf numFmtId="0" fontId="0" fillId="7" borderId="1" xfId="0" applyNumberFormat="1" applyFill="1" applyBorder="1"/>
    <xf numFmtId="44" fontId="1" fillId="3" borderId="1" xfId="1" applyFont="1" applyFill="1" applyBorder="1"/>
    <xf numFmtId="44" fontId="1" fillId="8" borderId="4" xfId="1" applyFont="1" applyFill="1" applyBorder="1" applyAlignment="1">
      <alignment horizontal="center"/>
    </xf>
    <xf numFmtId="0" fontId="1" fillId="8" borderId="4" xfId="1" applyNumberFormat="1" applyFont="1" applyFill="1" applyBorder="1" applyAlignment="1">
      <alignment horizontal="center"/>
    </xf>
    <xf numFmtId="44" fontId="1" fillId="5" borderId="4" xfId="1" applyFont="1" applyFill="1" applyBorder="1"/>
    <xf numFmtId="0" fontId="0" fillId="5" borderId="13" xfId="0" applyFill="1" applyBorder="1"/>
    <xf numFmtId="0" fontId="0" fillId="9" borderId="14" xfId="0" applyFill="1" applyBorder="1"/>
    <xf numFmtId="44" fontId="1" fillId="9" borderId="7" xfId="1" applyFont="1" applyFill="1" applyBorder="1"/>
    <xf numFmtId="44" fontId="1" fillId="2" borderId="7" xfId="1" applyFont="1" applyFill="1" applyBorder="1"/>
    <xf numFmtId="0" fontId="0" fillId="2" borderId="7" xfId="0" applyFill="1" applyBorder="1"/>
    <xf numFmtId="0" fontId="0" fillId="6" borderId="7" xfId="0" applyFill="1" applyBorder="1"/>
    <xf numFmtId="0" fontId="0" fillId="6" borderId="7" xfId="0" applyNumberFormat="1" applyFill="1" applyBorder="1"/>
    <xf numFmtId="44" fontId="1" fillId="7" borderId="7" xfId="1" applyFont="1" applyFill="1" applyBorder="1"/>
    <xf numFmtId="0" fontId="0" fillId="9" borderId="15" xfId="0" applyFill="1" applyBorder="1"/>
    <xf numFmtId="44" fontId="1" fillId="9" borderId="16" xfId="1" applyFont="1" applyFill="1" applyBorder="1"/>
    <xf numFmtId="44" fontId="1" fillId="2" borderId="16" xfId="1" applyFont="1" applyFill="1" applyBorder="1"/>
    <xf numFmtId="0" fontId="0" fillId="2" borderId="16" xfId="0" applyFill="1" applyBorder="1"/>
    <xf numFmtId="0" fontId="0" fillId="6" borderId="16" xfId="0" applyFill="1" applyBorder="1"/>
    <xf numFmtId="0" fontId="0" fillId="6" borderId="16" xfId="0" applyNumberFormat="1" applyFill="1" applyBorder="1"/>
    <xf numFmtId="44" fontId="1" fillId="7" borderId="16" xfId="1" applyFont="1" applyFill="1" applyBorder="1"/>
    <xf numFmtId="0" fontId="0" fillId="7" borderId="16" xfId="0" applyNumberFormat="1" applyFill="1" applyBorder="1"/>
    <xf numFmtId="0" fontId="0" fillId="6" borderId="17" xfId="0" applyFill="1" applyBorder="1"/>
    <xf numFmtId="44" fontId="1" fillId="7" borderId="17" xfId="1" applyFont="1" applyFill="1" applyBorder="1"/>
    <xf numFmtId="0" fontId="0" fillId="7" borderId="17" xfId="0" applyFill="1" applyBorder="1"/>
    <xf numFmtId="0" fontId="0" fillId="7" borderId="17" xfId="0" applyNumberFormat="1" applyFill="1" applyBorder="1"/>
    <xf numFmtId="44" fontId="1" fillId="3" borderId="17" xfId="1" applyFont="1" applyFill="1" applyBorder="1"/>
    <xf numFmtId="44" fontId="1" fillId="8" borderId="16" xfId="1" applyFont="1" applyFill="1" applyBorder="1" applyAlignment="1">
      <alignment horizontal="center"/>
    </xf>
    <xf numFmtId="0" fontId="1" fillId="8" borderId="16" xfId="1" applyNumberFormat="1" applyFont="1" applyFill="1" applyBorder="1" applyAlignment="1">
      <alignment horizontal="center"/>
    </xf>
    <xf numFmtId="44" fontId="1" fillId="5" borderId="16" xfId="1" applyFont="1" applyFill="1" applyBorder="1"/>
    <xf numFmtId="0" fontId="0" fillId="5" borderId="18" xfId="0" applyFill="1" applyBorder="1"/>
    <xf numFmtId="0" fontId="0" fillId="9" borderId="19" xfId="0" applyFill="1" applyBorder="1"/>
    <xf numFmtId="0" fontId="0" fillId="2" borderId="19" xfId="0" applyFill="1" applyBorder="1"/>
    <xf numFmtId="0" fontId="0" fillId="2" borderId="20" xfId="0" applyFill="1" applyBorder="1"/>
    <xf numFmtId="44" fontId="0" fillId="3" borderId="20" xfId="0" applyNumberFormat="1" applyFill="1" applyBorder="1"/>
    <xf numFmtId="44" fontId="0" fillId="4" borderId="19" xfId="0" applyNumberFormat="1" applyFill="1" applyBorder="1"/>
    <xf numFmtId="44" fontId="0" fillId="5" borderId="19" xfId="0" applyNumberFormat="1" applyFill="1" applyBorder="1"/>
    <xf numFmtId="0" fontId="0" fillId="0" borderId="0" xfId="0" applyAlignment="1"/>
    <xf numFmtId="0" fontId="0" fillId="0" borderId="0" xfId="0" applyFont="1"/>
    <xf numFmtId="0" fontId="0" fillId="0" borderId="0" xfId="0" applyFont="1" applyFill="1"/>
    <xf numFmtId="0" fontId="2" fillId="4" borderId="20" xfId="0" applyFont="1" applyFill="1" applyBorder="1" applyAlignment="1">
      <alignment horizontal="center" vertical="center"/>
    </xf>
    <xf numFmtId="0" fontId="4" fillId="10" borderId="4" xfId="0" applyFont="1" applyFill="1" applyBorder="1" applyAlignment="1"/>
    <xf numFmtId="0" fontId="6" fillId="0" borderId="4" xfId="3" applyFont="1" applyBorder="1" applyAlignment="1">
      <alignment horizontal="center" vertical="center" wrapText="1"/>
    </xf>
    <xf numFmtId="0" fontId="6" fillId="9" borderId="4" xfId="3" applyFont="1" applyFill="1" applyBorder="1" applyAlignment="1">
      <alignment horizontal="center" vertical="center" wrapText="1"/>
    </xf>
    <xf numFmtId="0" fontId="6" fillId="4" borderId="4" xfId="3" applyFont="1" applyFill="1" applyBorder="1" applyAlignment="1">
      <alignment horizontal="center" vertical="center" wrapText="1"/>
    </xf>
    <xf numFmtId="0" fontId="6" fillId="11" borderId="4" xfId="3" applyFont="1" applyFill="1" applyBorder="1" applyAlignment="1">
      <alignment horizontal="center" vertical="center" wrapText="1"/>
    </xf>
    <xf numFmtId="0" fontId="6" fillId="10" borderId="4" xfId="3" applyFont="1" applyFill="1" applyBorder="1" applyAlignment="1">
      <alignment horizontal="center" vertical="center" wrapText="1"/>
    </xf>
    <xf numFmtId="0" fontId="6" fillId="6" borderId="4" xfId="3" applyFont="1" applyFill="1" applyBorder="1" applyAlignment="1">
      <alignment horizontal="center" vertical="center" wrapText="1"/>
    </xf>
    <xf numFmtId="0" fontId="6" fillId="0" borderId="4" xfId="3" applyFont="1" applyFill="1" applyBorder="1" applyAlignment="1">
      <alignment horizontal="center" vertical="center" wrapText="1"/>
    </xf>
    <xf numFmtId="0" fontId="6" fillId="0" borderId="4" xfId="3" applyFont="1" applyFill="1" applyBorder="1" applyAlignment="1">
      <alignment horizontal="left" vertical="center" wrapText="1"/>
    </xf>
    <xf numFmtId="0" fontId="6" fillId="9" borderId="4" xfId="3" applyFont="1" applyFill="1" applyBorder="1"/>
    <xf numFmtId="0" fontId="6" fillId="4" borderId="4" xfId="3" applyFont="1" applyFill="1" applyBorder="1"/>
    <xf numFmtId="0" fontId="7" fillId="4" borderId="4" xfId="3" applyFont="1" applyFill="1" applyBorder="1"/>
    <xf numFmtId="0" fontId="0" fillId="11" borderId="4" xfId="0" applyFont="1" applyFill="1" applyBorder="1"/>
    <xf numFmtId="0" fontId="7" fillId="10" borderId="4" xfId="3" applyFont="1" applyFill="1" applyBorder="1"/>
    <xf numFmtId="0" fontId="7" fillId="10" borderId="4" xfId="3" applyFont="1" applyFill="1" applyBorder="1" applyAlignment="1">
      <alignment horizontal="right"/>
    </xf>
    <xf numFmtId="10" fontId="6" fillId="6" borderId="4" xfId="3" applyNumberFormat="1" applyFont="1" applyFill="1" applyBorder="1"/>
    <xf numFmtId="0" fontId="6" fillId="0" borderId="4" xfId="3" applyFont="1" applyBorder="1"/>
    <xf numFmtId="9" fontId="6" fillId="0" borderId="4" xfId="2" applyFont="1" applyBorder="1" applyAlignment="1">
      <alignment horizontal="center" vertical="center"/>
    </xf>
    <xf numFmtId="0" fontId="6" fillId="0" borderId="4" xfId="3" applyFont="1" applyFill="1" applyBorder="1"/>
    <xf numFmtId="0" fontId="6" fillId="11" borderId="4" xfId="3" applyFont="1" applyFill="1" applyBorder="1"/>
    <xf numFmtId="0" fontId="6" fillId="6" borderId="4" xfId="3" applyFont="1" applyFill="1" applyBorder="1"/>
    <xf numFmtId="9" fontId="6" fillId="0" borderId="4" xfId="2" applyFont="1" applyBorder="1"/>
    <xf numFmtId="0" fontId="7" fillId="12" borderId="4" xfId="3" applyFont="1" applyFill="1" applyBorder="1"/>
    <xf numFmtId="10" fontId="7" fillId="12" borderId="4" xfId="3" applyNumberFormat="1" applyFont="1" applyFill="1" applyBorder="1"/>
    <xf numFmtId="9" fontId="7" fillId="12" borderId="4" xfId="2" applyFont="1" applyFill="1" applyBorder="1"/>
    <xf numFmtId="10" fontId="7" fillId="12" borderId="4" xfId="2" applyNumberFormat="1" applyFont="1" applyFill="1" applyBorder="1"/>
    <xf numFmtId="0" fontId="8" fillId="0" borderId="0" xfId="3" applyFont="1"/>
    <xf numFmtId="0" fontId="6" fillId="0" borderId="0" xfId="3" applyFont="1"/>
    <xf numFmtId="0" fontId="6" fillId="0" borderId="4" xfId="0" applyFont="1" applyFill="1" applyBorder="1"/>
    <xf numFmtId="0" fontId="0" fillId="0" borderId="4" xfId="0" applyFont="1" applyBorder="1"/>
    <xf numFmtId="0" fontId="0" fillId="0" borderId="4" xfId="0" applyFont="1" applyFill="1" applyBorder="1"/>
    <xf numFmtId="0" fontId="0" fillId="0" borderId="4" xfId="0" applyBorder="1"/>
    <xf numFmtId="0" fontId="0" fillId="0" borderId="3" xfId="0" applyFont="1" applyFill="1" applyBorder="1"/>
    <xf numFmtId="0" fontId="4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1" xfId="0" applyFont="1" applyFill="1" applyBorder="1" applyAlignment="1"/>
    <xf numFmtId="0" fontId="0" fillId="0" borderId="2" xfId="0" applyFont="1" applyFill="1" applyBorder="1" applyAlignment="1"/>
    <xf numFmtId="0" fontId="0" fillId="0" borderId="3" xfId="0" applyFont="1" applyFill="1" applyBorder="1" applyAlignment="1"/>
    <xf numFmtId="0" fontId="0" fillId="0" borderId="2" xfId="0" applyFont="1" applyFill="1" applyBorder="1"/>
    <xf numFmtId="0" fontId="0" fillId="10" borderId="0" xfId="0" applyFont="1" applyFill="1"/>
    <xf numFmtId="0" fontId="0" fillId="10" borderId="4" xfId="0" applyFont="1" applyFill="1" applyBorder="1"/>
    <xf numFmtId="0" fontId="0" fillId="10" borderId="0" xfId="0" applyFont="1" applyFill="1" applyBorder="1"/>
    <xf numFmtId="0" fontId="4" fillId="10" borderId="1" xfId="0" applyFont="1" applyFill="1" applyBorder="1" applyAlignment="1">
      <alignment horizontal="center"/>
    </xf>
    <xf numFmtId="0" fontId="7" fillId="10" borderId="3" xfId="0" applyFont="1" applyFill="1" applyBorder="1" applyAlignment="1">
      <alignment horizontal="center"/>
    </xf>
    <xf numFmtId="0" fontId="7" fillId="10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 vertical="center"/>
    </xf>
    <xf numFmtId="0" fontId="6" fillId="10" borderId="4" xfId="0" applyFont="1" applyFill="1" applyBorder="1"/>
    <xf numFmtId="0" fontId="0" fillId="10" borderId="1" xfId="0" applyNumberFormat="1" applyFont="1" applyFill="1" applyBorder="1"/>
    <xf numFmtId="0" fontId="0" fillId="10" borderId="3" xfId="0" applyFont="1" applyFill="1" applyBorder="1"/>
    <xf numFmtId="0" fontId="0" fillId="10" borderId="1" xfId="0" applyFont="1" applyFill="1" applyBorder="1" applyAlignment="1">
      <alignment horizontal="center"/>
    </xf>
    <xf numFmtId="0" fontId="0" fillId="10" borderId="2" xfId="0" applyFont="1" applyFill="1" applyBorder="1" applyAlignment="1">
      <alignment horizontal="center"/>
    </xf>
    <xf numFmtId="0" fontId="0" fillId="10" borderId="3" xfId="0" applyFont="1" applyFill="1" applyBorder="1" applyAlignment="1">
      <alignment horizontal="center"/>
    </xf>
    <xf numFmtId="0" fontId="0" fillId="10" borderId="1" xfId="0" applyFont="1" applyFill="1" applyBorder="1"/>
    <xf numFmtId="0" fontId="0" fillId="10" borderId="1" xfId="0" applyFont="1" applyFill="1" applyBorder="1" applyAlignment="1"/>
    <xf numFmtId="0" fontId="0" fillId="10" borderId="2" xfId="0" applyFont="1" applyFill="1" applyBorder="1" applyAlignment="1"/>
    <xf numFmtId="0" fontId="0" fillId="10" borderId="3" xfId="0" applyFont="1" applyFill="1" applyBorder="1" applyAlignment="1"/>
    <xf numFmtId="0" fontId="0" fillId="10" borderId="2" xfId="0" applyFont="1" applyFill="1" applyBorder="1"/>
    <xf numFmtId="0" fontId="4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" xfId="0" applyBorder="1"/>
    <xf numFmtId="0" fontId="0" fillId="0" borderId="4" xfId="0" applyFill="1" applyBorder="1"/>
    <xf numFmtId="0" fontId="0" fillId="0" borderId="1" xfId="0" applyNumberFormat="1" applyBorder="1"/>
    <xf numFmtId="0" fontId="0" fillId="0" borderId="1" xfId="0" applyFill="1" applyBorder="1"/>
    <xf numFmtId="0" fontId="0" fillId="0" borderId="0" xfId="0" applyFont="1" applyBorder="1" applyAlignment="1"/>
    <xf numFmtId="0" fontId="6" fillId="0" borderId="4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0" fillId="0" borderId="0" xfId="0"/>
    <xf numFmtId="0" fontId="0" fillId="0" borderId="19" xfId="0" applyFont="1" applyBorder="1" applyAlignment="1" applyProtection="1">
      <alignment horizontal="center"/>
      <protection locked="0"/>
    </xf>
    <xf numFmtId="0" fontId="6" fillId="0" borderId="3" xfId="0" applyNumberFormat="1" applyFont="1" applyFill="1" applyBorder="1" applyAlignment="1" applyProtection="1">
      <alignment horizontal="center"/>
      <protection locked="0"/>
    </xf>
    <xf numFmtId="14" fontId="6" fillId="0" borderId="4" xfId="0" applyNumberFormat="1" applyFont="1" applyFill="1" applyBorder="1" applyAlignment="1" applyProtection="1">
      <alignment horizontal="center"/>
      <protection locked="0"/>
    </xf>
    <xf numFmtId="0" fontId="0" fillId="0" borderId="4" xfId="0" applyFont="1" applyBorder="1" applyAlignment="1" applyProtection="1">
      <alignment horizontal="center"/>
      <protection locked="0"/>
    </xf>
    <xf numFmtId="0" fontId="6" fillId="0" borderId="3" xfId="0" applyFont="1" applyFill="1" applyBorder="1" applyAlignment="1" applyProtection="1">
      <alignment horizontal="center"/>
      <protection locked="0"/>
    </xf>
    <xf numFmtId="0" fontId="12" fillId="0" borderId="4" xfId="6" quotePrefix="1" applyNumberFormat="1" applyFont="1" applyFill="1" applyBorder="1" applyAlignment="1" applyProtection="1">
      <alignment horizontal="center" vertical="top"/>
      <protection locked="0"/>
    </xf>
    <xf numFmtId="0" fontId="6" fillId="0" borderId="4" xfId="0" applyFont="1" applyFill="1" applyBorder="1" applyAlignment="1" applyProtection="1">
      <alignment horizontal="center" vertical="top"/>
      <protection locked="0"/>
    </xf>
    <xf numFmtId="0" fontId="0" fillId="0" borderId="4" xfId="0" applyFont="1" applyFill="1" applyBorder="1" applyAlignment="1" applyProtection="1">
      <alignment horizontal="center"/>
      <protection locked="0"/>
    </xf>
    <xf numFmtId="165" fontId="6" fillId="0" borderId="3" xfId="6" applyNumberFormat="1" applyFont="1" applyFill="1" applyBorder="1" applyAlignment="1" applyProtection="1">
      <alignment horizontal="center" vertical="center"/>
      <protection locked="0"/>
    </xf>
    <xf numFmtId="49" fontId="1" fillId="0" borderId="3" xfId="0" applyNumberFormat="1" applyFont="1" applyFill="1" applyBorder="1" applyAlignment="1" applyProtection="1">
      <alignment horizontal="center"/>
      <protection locked="0"/>
    </xf>
    <xf numFmtId="0" fontId="0" fillId="0" borderId="3" xfId="0" applyFont="1" applyFill="1" applyBorder="1" applyAlignment="1" applyProtection="1">
      <alignment horizontal="center"/>
      <protection locked="0"/>
    </xf>
    <xf numFmtId="49" fontId="6" fillId="0" borderId="3" xfId="0" applyNumberFormat="1" applyFont="1" applyFill="1" applyBorder="1" applyAlignment="1" applyProtection="1">
      <alignment horizontal="center"/>
      <protection locked="0"/>
    </xf>
    <xf numFmtId="49" fontId="0" fillId="0" borderId="3" xfId="0" applyNumberFormat="1" applyFont="1" applyFill="1" applyBorder="1" applyAlignment="1" applyProtection="1">
      <alignment horizontal="center"/>
      <protection locked="0"/>
    </xf>
    <xf numFmtId="0" fontId="6" fillId="0" borderId="6" xfId="0" applyNumberFormat="1" applyFont="1" applyFill="1" applyBorder="1" applyAlignment="1" applyProtection="1">
      <alignment horizontal="center"/>
      <protection locked="0"/>
    </xf>
    <xf numFmtId="0" fontId="6" fillId="0" borderId="7" xfId="0" applyFont="1" applyFill="1" applyBorder="1" applyAlignment="1" applyProtection="1">
      <alignment horizontal="center"/>
      <protection locked="0"/>
    </xf>
    <xf numFmtId="14" fontId="6" fillId="0" borderId="7" xfId="0" applyNumberFormat="1" applyFont="1" applyFill="1" applyBorder="1" applyAlignment="1" applyProtection="1">
      <alignment horizont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6" xfId="0" applyFont="1" applyBorder="1" applyAlignment="1" applyProtection="1">
      <alignment horizont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14" fontId="6" fillId="0" borderId="4" xfId="0" applyNumberFormat="1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</xf>
    <xf numFmtId="0" fontId="6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19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center" vertical="center"/>
      <protection locked="0"/>
    </xf>
    <xf numFmtId="0" fontId="0" fillId="0" borderId="4" xfId="0" applyFont="1" applyFill="1" applyBorder="1" applyAlignment="1" applyProtection="1">
      <alignment horizontal="center" vertical="center"/>
      <protection locked="0"/>
    </xf>
    <xf numFmtId="0" fontId="11" fillId="0" borderId="4" xfId="0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 applyProtection="1">
      <alignment horizontal="center" vertical="center"/>
      <protection locked="0"/>
    </xf>
    <xf numFmtId="14" fontId="6" fillId="0" borderId="4" xfId="0" applyNumberFormat="1" applyFont="1" applyBorder="1" applyAlignment="1" applyProtection="1">
      <alignment horizontal="center" vertical="center"/>
      <protection locked="0"/>
    </xf>
    <xf numFmtId="14" fontId="6" fillId="0" borderId="7" xfId="0" applyNumberFormat="1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0" fillId="0" borderId="7" xfId="0" applyFont="1" applyFill="1" applyBorder="1" applyAlignment="1" applyProtection="1">
      <alignment horizontal="center" vertical="center"/>
      <protection locked="0"/>
    </xf>
    <xf numFmtId="14" fontId="0" fillId="0" borderId="4" xfId="0" applyNumberFormat="1" applyFont="1" applyBorder="1" applyAlignment="1" applyProtection="1">
      <alignment horizontal="center" vertical="center"/>
      <protection locked="0"/>
    </xf>
    <xf numFmtId="14" fontId="0" fillId="0" borderId="7" xfId="0" applyNumberFormat="1" applyFon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 vertical="center"/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166" fontId="6" fillId="0" borderId="4" xfId="0" applyNumberFormat="1" applyFont="1" applyFill="1" applyBorder="1" applyAlignment="1" applyProtection="1">
      <alignment horizontal="center" vertical="center"/>
      <protection locked="0"/>
    </xf>
    <xf numFmtId="166" fontId="0" fillId="0" borderId="4" xfId="0" applyNumberFormat="1" applyFont="1" applyFill="1" applyBorder="1" applyAlignment="1" applyProtection="1">
      <alignment horizontal="center" vertical="center"/>
      <protection locked="0"/>
    </xf>
    <xf numFmtId="166" fontId="11" fillId="0" borderId="4" xfId="0" applyNumberFormat="1" applyFont="1" applyFill="1" applyBorder="1" applyAlignment="1" applyProtection="1">
      <alignment horizontal="center" vertical="center"/>
      <protection locked="0"/>
    </xf>
    <xf numFmtId="166" fontId="0" fillId="0" borderId="7" xfId="0" applyNumberFormat="1" applyFont="1" applyFill="1" applyBorder="1" applyAlignment="1" applyProtection="1">
      <alignment horizontal="center" vertical="center"/>
      <protection locked="0"/>
    </xf>
    <xf numFmtId="166" fontId="0" fillId="0" borderId="4" xfId="0" applyNumberFormat="1" applyFont="1" applyBorder="1" applyAlignment="1" applyProtection="1">
      <alignment horizontal="center" vertical="center"/>
      <protection locked="0"/>
    </xf>
    <xf numFmtId="166" fontId="0" fillId="0" borderId="7" xfId="0" applyNumberFormat="1" applyFont="1" applyBorder="1" applyAlignment="1" applyProtection="1">
      <alignment horizontal="center" vertical="center"/>
      <protection locked="0"/>
    </xf>
    <xf numFmtId="167" fontId="6" fillId="0" borderId="4" xfId="7" applyNumberFormat="1" applyFont="1" applyFill="1" applyBorder="1" applyAlignment="1" applyProtection="1">
      <alignment horizontal="center" vertical="center"/>
      <protection locked="0"/>
    </xf>
    <xf numFmtId="167" fontId="0" fillId="0" borderId="4" xfId="7" applyNumberFormat="1" applyFont="1" applyFill="1" applyBorder="1" applyAlignment="1" applyProtection="1">
      <alignment horizontal="center" vertical="center"/>
      <protection locked="0"/>
    </xf>
    <xf numFmtId="167" fontId="11" fillId="0" borderId="4" xfId="7" applyNumberFormat="1" applyFont="1" applyFill="1" applyBorder="1" applyAlignment="1" applyProtection="1">
      <alignment horizontal="center" vertical="center"/>
      <protection locked="0"/>
    </xf>
    <xf numFmtId="167" fontId="0" fillId="0" borderId="7" xfId="7" applyNumberFormat="1" applyFont="1" applyFill="1" applyBorder="1" applyAlignment="1" applyProtection="1">
      <alignment horizontal="center" vertical="center"/>
      <protection locked="0"/>
    </xf>
    <xf numFmtId="167" fontId="0" fillId="0" borderId="4" xfId="7" applyNumberFormat="1" applyFont="1" applyBorder="1" applyAlignment="1" applyProtection="1">
      <alignment horizontal="center" vertical="center"/>
      <protection locked="0"/>
    </xf>
    <xf numFmtId="167" fontId="0" fillId="0" borderId="7" xfId="7" applyNumberFormat="1" applyFont="1" applyBorder="1" applyAlignment="1" applyProtection="1">
      <alignment horizontal="center" vertical="center"/>
      <protection locked="0"/>
    </xf>
    <xf numFmtId="167" fontId="6" fillId="0" borderId="4" xfId="7" applyNumberFormat="1" applyFont="1" applyFill="1" applyBorder="1" applyAlignment="1" applyProtection="1">
      <protection locked="0"/>
    </xf>
    <xf numFmtId="167" fontId="0" fillId="0" borderId="4" xfId="7" applyNumberFormat="1" applyFont="1" applyFill="1" applyBorder="1" applyAlignment="1" applyProtection="1">
      <protection locked="0"/>
    </xf>
    <xf numFmtId="167" fontId="11" fillId="0" borderId="4" xfId="7" applyNumberFormat="1" applyFont="1" applyFill="1" applyBorder="1" applyAlignment="1" applyProtection="1">
      <protection locked="0"/>
    </xf>
    <xf numFmtId="167" fontId="0" fillId="0" borderId="7" xfId="7" applyNumberFormat="1" applyFont="1" applyFill="1" applyBorder="1" applyAlignment="1" applyProtection="1">
      <protection locked="0"/>
    </xf>
    <xf numFmtId="167" fontId="0" fillId="0" borderId="4" xfId="7" applyNumberFormat="1" applyFont="1" applyBorder="1" applyAlignment="1" applyProtection="1">
      <protection locked="0"/>
    </xf>
    <xf numFmtId="167" fontId="0" fillId="0" borderId="7" xfId="7" applyNumberFormat="1" applyFont="1" applyBorder="1" applyAlignment="1" applyProtection="1">
      <protection locked="0"/>
    </xf>
    <xf numFmtId="167" fontId="6" fillId="0" borderId="4" xfId="7" applyNumberFormat="1" applyFont="1" applyFill="1" applyBorder="1" applyAlignment="1" applyProtection="1">
      <alignment horizontal="center" vertical="center"/>
    </xf>
    <xf numFmtId="0" fontId="9" fillId="13" borderId="4" xfId="3" applyFont="1" applyFill="1" applyBorder="1" applyAlignment="1" applyProtection="1">
      <alignment horizontal="center" vertical="center" wrapText="1"/>
    </xf>
    <xf numFmtId="0" fontId="9" fillId="14" borderId="4" xfId="3" applyFont="1" applyFill="1" applyBorder="1" applyAlignment="1" applyProtection="1">
      <alignment horizontal="center" vertical="center" wrapText="1"/>
    </xf>
    <xf numFmtId="0" fontId="9" fillId="14" borderId="21" xfId="3" applyFont="1" applyFill="1" applyBorder="1" applyAlignment="1" applyProtection="1">
      <alignment horizontal="center" vertical="center" wrapText="1"/>
    </xf>
    <xf numFmtId="0" fontId="9" fillId="13" borderId="4" xfId="4" applyFont="1" applyFill="1" applyBorder="1" applyAlignment="1" applyProtection="1">
      <alignment horizontal="center" vertical="center" wrapText="1"/>
    </xf>
    <xf numFmtId="0" fontId="9" fillId="13" borderId="4" xfId="3" applyNumberFormat="1" applyFont="1" applyFill="1" applyBorder="1" applyAlignment="1" applyProtection="1">
      <alignment horizontal="center" vertical="center" wrapText="1"/>
    </xf>
    <xf numFmtId="0" fontId="9" fillId="13" borderId="4" xfId="5" applyNumberFormat="1" applyFont="1" applyFill="1" applyBorder="1" applyAlignment="1" applyProtection="1">
      <alignment horizontal="center" vertical="center" wrapText="1"/>
    </xf>
    <xf numFmtId="164" fontId="9" fillId="13" borderId="4" xfId="3" applyNumberFormat="1" applyFont="1" applyFill="1" applyBorder="1" applyAlignment="1" applyProtection="1">
      <alignment horizontal="center" vertical="center" wrapText="1"/>
    </xf>
    <xf numFmtId="0" fontId="9" fillId="15" borderId="21" xfId="3" applyFont="1" applyFill="1" applyBorder="1" applyAlignment="1" applyProtection="1">
      <alignment horizontal="center" vertical="center" wrapText="1"/>
    </xf>
    <xf numFmtId="0" fontId="6" fillId="15" borderId="3" xfId="3" applyFont="1" applyFill="1" applyBorder="1" applyAlignment="1" applyProtection="1">
      <alignment horizontal="center" vertical="center" wrapText="1"/>
    </xf>
    <xf numFmtId="0" fontId="6" fillId="15" borderId="4" xfId="3" applyFont="1" applyFill="1" applyBorder="1" applyAlignment="1" applyProtection="1">
      <alignment horizontal="center" vertical="center" wrapText="1"/>
    </xf>
    <xf numFmtId="0" fontId="9" fillId="15" borderId="4" xfId="4" applyFont="1" applyFill="1" applyBorder="1" applyAlignment="1" applyProtection="1">
      <alignment horizontal="center" vertical="center" wrapText="1"/>
    </xf>
    <xf numFmtId="0" fontId="9" fillId="15" borderId="4" xfId="5" applyNumberFormat="1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16" borderId="4" xfId="0" applyFont="1" applyFill="1" applyBorder="1"/>
    <xf numFmtId="0" fontId="4" fillId="10" borderId="4" xfId="0" applyFont="1" applyFill="1" applyBorder="1" applyAlignment="1">
      <alignment horizontal="center"/>
    </xf>
    <xf numFmtId="0" fontId="0" fillId="0" borderId="0" xfId="0"/>
    <xf numFmtId="0" fontId="15" fillId="0" borderId="0" xfId="0" applyFont="1" applyFill="1" applyAlignment="1"/>
    <xf numFmtId="0" fontId="14" fillId="0" borderId="0" xfId="0" applyFont="1" applyFill="1" applyAlignment="1"/>
    <xf numFmtId="0" fontId="0" fillId="0" borderId="19" xfId="0" applyBorder="1"/>
    <xf numFmtId="0" fontId="0" fillId="0" borderId="21" xfId="0" applyFill="1" applyBorder="1"/>
    <xf numFmtId="0" fontId="6" fillId="0" borderId="7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5" xfId="0" applyFill="1" applyBorder="1" applyAlignment="1">
      <alignment horizontal="center" wrapText="1"/>
    </xf>
    <xf numFmtId="0" fontId="0" fillId="6" borderId="6" xfId="0" applyFill="1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7" borderId="2" xfId="0" applyFill="1" applyBorder="1" applyAlignment="1">
      <alignment horizontal="center" wrapText="1"/>
    </xf>
    <xf numFmtId="0" fontId="0" fillId="7" borderId="3" xfId="0" applyFill="1" applyBorder="1" applyAlignment="1">
      <alignment horizontal="center" wrapText="1"/>
    </xf>
    <xf numFmtId="0" fontId="0" fillId="6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11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16" fontId="4" fillId="10" borderId="4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7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/>
    </xf>
    <xf numFmtId="16" fontId="0" fillId="0" borderId="7" xfId="0" applyNumberFormat="1" applyFont="1" applyFill="1" applyBorder="1" applyAlignment="1">
      <alignment horizontal="center" vertical="center"/>
    </xf>
    <xf numFmtId="0" fontId="0" fillId="10" borderId="7" xfId="0" applyFont="1" applyFill="1" applyBorder="1" applyAlignment="1">
      <alignment horizontal="center" vertical="center"/>
    </xf>
    <xf numFmtId="0" fontId="0" fillId="0" borderId="0" xfId="0"/>
    <xf numFmtId="16" fontId="0" fillId="0" borderId="0" xfId="0" applyNumberFormat="1"/>
  </cellXfs>
  <cellStyles count="8">
    <cellStyle name="Monétaire" xfId="7" builtinId="4"/>
    <cellStyle name="Monétaire 2" xfId="1"/>
    <cellStyle name="Normal" xfId="0" builtinId="0"/>
    <cellStyle name="Normal 16" xfId="3"/>
    <cellStyle name="Normal 2" xfId="6"/>
    <cellStyle name="Normal 2 6" xfId="5"/>
    <cellStyle name="Normal 3" xfId="4"/>
    <cellStyle name="Pourcentage 2" xfId="2"/>
  </cellStyles>
  <dxfs count="594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indexed="64"/>
        </lef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45B5ED"/>
      <color rgb="FF3AF6F6"/>
      <color rgb="FFFFD72D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809625</xdr:colOff>
      <xdr:row>16</xdr:row>
      <xdr:rowOff>66675</xdr:rowOff>
    </xdr:from>
    <xdr:to>
      <xdr:col>13</xdr:col>
      <xdr:colOff>2228850</xdr:colOff>
      <xdr:row>19</xdr:row>
      <xdr:rowOff>95250</xdr:rowOff>
    </xdr:to>
    <xdr:sp macro="[0]!OuvreFormulaire" textlink="">
      <xdr:nvSpPr>
        <xdr:cNvPr id="2" name="Rectangle à coins arrondis 1"/>
        <xdr:cNvSpPr/>
      </xdr:nvSpPr>
      <xdr:spPr>
        <a:xfrm>
          <a:off x="14068425" y="3114675"/>
          <a:ext cx="2295525" cy="600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695325</xdr:colOff>
      <xdr:row>8</xdr:row>
      <xdr:rowOff>57150</xdr:rowOff>
    </xdr:from>
    <xdr:to>
      <xdr:col>5</xdr:col>
      <xdr:colOff>219075</xdr:colOff>
      <xdr:row>10</xdr:row>
      <xdr:rowOff>38100</xdr:rowOff>
    </xdr:to>
    <xdr:sp macro="[0]!Recherche_Modif" textlink="">
      <xdr:nvSpPr>
        <xdr:cNvPr id="2" name="ZoneTexte 1"/>
        <xdr:cNvSpPr txBox="1"/>
      </xdr:nvSpPr>
      <xdr:spPr>
        <a:xfrm>
          <a:off x="2219325" y="1581150"/>
          <a:ext cx="1809750" cy="3619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 - Modification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72331" y="0"/>
          <a:ext cx="1224000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4" name="Rectangle avec coins arrondis du même côté 3"/>
        <xdr:cNvSpPr/>
      </xdr:nvSpPr>
      <xdr:spPr>
        <a:xfrm>
          <a:off x="35719" y="0"/>
          <a:ext cx="1607343" cy="440531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5" name="Rectangle avec coins arrondis du même côté 4"/>
        <xdr:cNvSpPr/>
      </xdr:nvSpPr>
      <xdr:spPr>
        <a:xfrm>
          <a:off x="3095625" y="0"/>
          <a:ext cx="1666875" cy="440531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4904471" y="0"/>
          <a:ext cx="3877235" cy="437029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9" name="Rectangle avec coins arrondis du même côté 8"/>
        <xdr:cNvSpPr/>
      </xdr:nvSpPr>
      <xdr:spPr>
        <a:xfrm>
          <a:off x="13704794" y="0"/>
          <a:ext cx="1601040" cy="437029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3" name="Flèche gauche 2"/>
        <xdr:cNvSpPr/>
      </xdr:nvSpPr>
      <xdr:spPr>
        <a:xfrm>
          <a:off x="65285471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10" name="Rectangle avec coins arrondis du même côté 9"/>
        <xdr:cNvSpPr/>
      </xdr:nvSpPr>
      <xdr:spPr>
        <a:xfrm>
          <a:off x="6241676" y="0"/>
          <a:ext cx="1243853" cy="437029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11" name="Flèche droite 10"/>
        <xdr:cNvSpPr/>
      </xdr:nvSpPr>
      <xdr:spPr>
        <a:xfrm>
          <a:off x="7138147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2" name="Rectangle avec coins arrondis du même côté 11"/>
        <xdr:cNvSpPr/>
      </xdr:nvSpPr>
      <xdr:spPr>
        <a:xfrm>
          <a:off x="7530353" y="0"/>
          <a:ext cx="1230303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6" name="Rectangle avec coins arrondis du même côté 15"/>
        <xdr:cNvSpPr/>
      </xdr:nvSpPr>
      <xdr:spPr>
        <a:xfrm>
          <a:off x="4784912" y="0"/>
          <a:ext cx="1434353" cy="437029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7" name="Flèche droite 16"/>
        <xdr:cNvSpPr/>
      </xdr:nvSpPr>
      <xdr:spPr>
        <a:xfrm>
          <a:off x="5950323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21" name="Rectangle avec coins arrondis du même côté 20"/>
        <xdr:cNvSpPr/>
      </xdr:nvSpPr>
      <xdr:spPr>
        <a:xfrm>
          <a:off x="68792912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22" name="Flèche gauche 21"/>
        <xdr:cNvSpPr/>
      </xdr:nvSpPr>
      <xdr:spPr>
        <a:xfrm>
          <a:off x="68882559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134471</xdr:colOff>
      <xdr:row>0</xdr:row>
      <xdr:rowOff>78441</xdr:rowOff>
    </xdr:from>
    <xdr:to>
      <xdr:col>6</xdr:col>
      <xdr:colOff>1277471</xdr:colOff>
      <xdr:row>0</xdr:row>
      <xdr:rowOff>392206</xdr:rowOff>
    </xdr:to>
    <xdr:sp macro="[0]!OuvreFormulaire" textlink="">
      <xdr:nvSpPr>
        <xdr:cNvPr id="7" name="Rectangle à coins arrondis 6"/>
        <xdr:cNvSpPr/>
      </xdr:nvSpPr>
      <xdr:spPr>
        <a:xfrm>
          <a:off x="8875059" y="78441"/>
          <a:ext cx="1143000" cy="31376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Saisie Visa test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PORTEFEUILLE_DELPHINE" displayName="PORTEFEUILLE_DELPHINE" ref="A2:BK59" totalsRowShown="0" headerRowDxfId="593" dataDxfId="592" tableBorderDxfId="591" headerRowCellStyle="Normal 16">
  <autoFilter ref="A2:BK59"/>
  <tableColumns count="63">
    <tableColumn id="48" name="PRENOM DU COMPTABLE" dataDxfId="590"/>
    <tableColumn id="1" name="N° DOSSIER" dataDxfId="589"/>
    <tableColumn id="2" name="NOM DOSSIER" dataDxfId="588"/>
    <tableColumn id="3" name="TYPE DE MARCHE" dataDxfId="587"/>
    <tableColumn id="4" name="DATE DE CLOTURE" dataDxfId="586"/>
    <tableColumn id="5" name="REGIME JURIDIQUE" dataDxfId="585"/>
    <tableColumn id="6" name="REGIME IMPOSITION" dataDxfId="584"/>
    <tableColumn id="56" name="DECLARATION DE TVA" dataDxfId="583"/>
    <tableColumn id="7" name="DATE_x000a_DE DEPOT" dataDxfId="582"/>
    <tableColumn id="8" name="DATE SIGNATURE" dataDxfId="581"/>
    <tableColumn id="9" name="MOIS" dataDxfId="580">
      <calculatedColumnFormula>IF(I3="","",MONTH(I3))</calculatedColumnFormula>
    </tableColumn>
    <tableColumn id="10" name="DELAI" dataDxfId="579">
      <calculatedColumnFormula>IF(I3="","",DAYS360(E3,I3))</calculatedColumnFormula>
    </tableColumn>
    <tableColumn id="11" name="PCR" dataDxfId="578"/>
    <tableColumn id="12" name="RA NOS" dataDxfId="577"/>
    <tableColumn id="13" name="QUI " dataDxfId="576"/>
    <tableColumn id="14" name="CR" dataDxfId="575"/>
    <tableColumn id="15" name="CR FAIT PAR LE COMPTABLE" dataDxfId="574"/>
    <tableColumn id="16" name="AG_x000a_SIGNEE" dataDxfId="573"/>
    <tableColumn id="17" name="PCR COMPTABLE €" dataDxfId="572" dataCellStyle="Monétaire"/>
    <tableColumn id="18" name="PCR CONSEILLER €" dataDxfId="571"/>
    <tableColumn id="19" name="RA FAIT PAR LE_x000a_COMPTABLE €" dataDxfId="570" dataCellStyle="Monétaire"/>
    <tableColumn id="41" name="RA FAITE PAR LE CONSEILLER €" dataDxfId="569" dataCellStyle="Monétaire"/>
    <tableColumn id="21" name="POINT DE PILOTAGE €" dataDxfId="568" dataCellStyle="Monétaire"/>
    <tableColumn id="20" name="AGOA COMPTABLE €" dataDxfId="567" dataCellStyle="Monétaire"/>
    <tableColumn id="59" name="AGOA CONSEILLER €" dataDxfId="566" dataCellStyle="Monétaire"/>
    <tableColumn id="60" name="VISA JURIDIQUE €" dataDxfId="565" dataCellStyle="Monétaire"/>
    <tableColumn id="38" name="SAISIE PAR UNE AAC €" dataDxfId="564" dataCellStyle="Monétaire"/>
    <tableColumn id="43" name="SAISIE PAR LE COMPTABLE €" dataDxfId="563" dataCellStyle="Monétaire"/>
    <tableColumn id="39" name="TRAVAUX _x000a_DE REVISION €" dataDxfId="562" dataCellStyle="Monétaire"/>
    <tableColumn id="42" name="DECLARATION TVA AAC €" dataDxfId="561" dataCellStyle="Monétaire"/>
    <tableColumn id="45" name="DECLARATION TVA COMPTABLE €" dataDxfId="560" dataCellStyle="Monétaire"/>
    <tableColumn id="40" name="MONTANT_x000a_RESPONSABLE RELATION CLIENT €" dataDxfId="559" dataCellStyle="Monétaire"/>
    <tableColumn id="33" name="MONTANT TOTAL LETTRE DE MISION €" dataDxfId="558" dataCellStyle="Monétaire">
      <calculatedColumnFormula>SUM(PORTEFEUILLE_DELPHINE[[#This Row],[PCR COMPTABLE €]:[MONTANT
RESPONSABLE RELATION CLIENT €]])</calculatedColumnFormula>
    </tableColumn>
    <tableColumn id="34" name="ECART DE SAISE avec LETTRE DE MISSION €" dataDxfId="557" dataCellStyle="Monétaire">
      <calculatedColumnFormula>SUM(PORTEFEUILLE_DELPHINE[[#This Row],[PCR COMPTABLE €]:[MONTANT
RESPONSABLE RELATION CLIENT €]])-PORTEFEUILLE_DELPHINE[[#This Row],[MONTANT TOTAL LETTRE DE MISION €]]</calculatedColumnFormula>
    </tableColumn>
    <tableColumn id="22" name="Prénom_x000a_AAC" dataDxfId="556"/>
    <tableColumn id="36" name="PRENOM CONSEILLER" dataDxfId="555"/>
    <tableColumn id="57" name="PRENOM REALISATION TVA" dataDxfId="554"/>
    <tableColumn id="63" name="DECLARATION DES REVENUS" dataDxfId="553"/>
    <tableColumn id="61" name="NOMBRE DE DECLARATION" dataDxfId="552"/>
    <tableColumn id="54" name="ABONNE COURT _x000a_ABONNE LONG" dataDxfId="551"/>
    <tableColumn id="55" name="RECONDUCTION AUTOMATIQUE OS" dataDxfId="550"/>
    <tableColumn id="23" name="TPS PASSE_x000a_COMPTABLE H_x000a_" dataDxfId="549"/>
    <tableColumn id="37" name="TPS PASSE _x000a_AAC H" dataDxfId="548"/>
    <tableColumn id="47" name="BONI AAC" dataDxfId="547" dataCellStyle="Monétaire">
      <calculatedColumnFormula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calculatedColumnFormula>
    </tableColumn>
    <tableColumn id="46" name="MALI AAC" dataDxfId="546" dataCellStyle="Monétaire">
      <calculatedColumnFormula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calculatedColumnFormula>
    </tableColumn>
    <tableColumn id="44" name="NOMBRE DOSSIER BONI AAC" dataDxfId="545">
      <calculatedColumnFormula>IF(PORTEFEUILLE_DELPHINE[[#This Row],[BONI AAC]]&lt;&gt;0,1,"")</calculatedColumnFormula>
    </tableColumn>
    <tableColumn id="35" name="NBRE DOSSIER MALI AAC" dataDxfId="544">
      <calculatedColumnFormula>IF(PORTEFEUILLE_DELPHINE[[#This Row],[MALI AAC]]&lt;&gt;0,1,"")</calculatedColumnFormula>
    </tableColumn>
    <tableColumn id="24" name="BONI COMPTABLE" dataDxfId="543" dataCellStyle="Monétaire">
      <calculatedColumnFormula>IF(AP3&lt;&gt;"",IF((AP3*Paramètres!$H$4)-PORTEFEUILLE_DELPHINE[[#This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€]]-(DELPHINE!AP3*Paramètres!$H$4),0),0)</calculatedColumnFormula>
    </tableColumn>
    <tableColumn id="25" name="MALI COMPTABLE" dataDxfId="542" dataCellStyle="Monétaire">
      <calculatedColumnFormula>IF(AP3&lt;&gt;"",IF(((AP3*Paramètres!$H$4)-PORTEFEUILLE_DELPHINE[[#This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calculatedColumnFormula>
    </tableColumn>
    <tableColumn id="53" name="NOMBRE DOSSIER BONI COMPTABLE" dataDxfId="541">
      <calculatedColumnFormula>IF(PORTEFEUILLE_DELPHINE[[#This Row],[BONI COMPTABLE]]&lt;&gt;0,1,"")</calculatedColumnFormula>
    </tableColumn>
    <tableColumn id="52" name="NOMBRE DE DOSSIER MALI COMPTABLE" dataDxfId="540">
      <calculatedColumnFormula>IF(PORTEFEUILLE_DELPHINE[[#This Row],[MALI COMPTABLE]]&lt;&gt;0,1,"")</calculatedColumnFormula>
    </tableColumn>
    <tableColumn id="26" name="GRILLE ENJEUX" dataDxfId="539"/>
    <tableColumn id="27" name="Visa_x000a_Validé_x000a_enjeu 4 ou attestation enjeu" dataDxfId="538"/>
    <tableColumn id="28" name="VISA VCOMPTA" dataDxfId="537"/>
    <tableColumn id="29" name="REFUS" dataDxfId="536"/>
    <tableColumn id="30" name="MOTIF" dataDxfId="535"/>
    <tableColumn id="31" name="COMMENTAIRES" dataDxfId="534"/>
    <tableColumn id="32" name="DIVERS" dataDxfId="533"/>
    <tableColumn id="49" name="MISE EN PLACE SCAN BY CERFRANCE" dataDxfId="532"/>
    <tableColumn id="50" name="PRENOM PERSONNE AYANT DEPLOYEE SCAN BY CERFRANCE" dataDxfId="531"/>
    <tableColumn id="51" name="PICKING" dataDxfId="530"/>
    <tableColumn id="58" name="EDI" dataDxfId="529"/>
    <tableColumn id="62" name="Colonne1" dataDxfId="5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PORTEFEUILLE_FREDERIQUE" displayName="PORTEFEUILLE_FREDERIQUE" ref="A2:BK60" totalsRowShown="0" headerRowDxfId="527" dataDxfId="526" tableBorderDxfId="525" headerRowCellStyle="Normal 16">
  <autoFilter ref="A2:BK60"/>
  <tableColumns count="63">
    <tableColumn id="48" name="PRENOM DU COMPTABLE" dataDxfId="524"/>
    <tableColumn id="1" name="N° DOSSIER" dataDxfId="523"/>
    <tableColumn id="2" name="NOM DOSSIER" dataDxfId="522"/>
    <tableColumn id="3" name="TYPE DE MARCHE" dataDxfId="521"/>
    <tableColumn id="4" name="DATE DE CLOTURE" dataDxfId="520"/>
    <tableColumn id="5" name="REGIME JURIDIQUE" dataDxfId="519"/>
    <tableColumn id="6" name="REGIME IMPOSITION" dataDxfId="518"/>
    <tableColumn id="56" name="DECLARATION DE TVA" dataDxfId="517"/>
    <tableColumn id="7" name="DATE_x000a_DE DEPOT" dataDxfId="516"/>
    <tableColumn id="8" name="DATE SIGNATURE" dataDxfId="515"/>
    <tableColumn id="9" name="MOIS" dataDxfId="514">
      <calculatedColumnFormula>IF(I3="","",MONTH(I3))</calculatedColumnFormula>
    </tableColumn>
    <tableColumn id="10" name="DELAI" dataDxfId="513">
      <calculatedColumnFormula>IF(I3="","",DAYS360(E3,I3))</calculatedColumnFormula>
    </tableColumn>
    <tableColumn id="11" name="PCR" dataDxfId="512"/>
    <tableColumn id="12" name="RA NOS" dataDxfId="511"/>
    <tableColumn id="13" name="QUI " dataDxfId="510"/>
    <tableColumn id="14" name="CR" dataDxfId="509"/>
    <tableColumn id="15" name="CR FAIT PAR LE COMPTABLE" dataDxfId="508"/>
    <tableColumn id="16" name="AG_x000a_SIGNEE" dataDxfId="507"/>
    <tableColumn id="17" name="PCR COMPTABLE €" dataDxfId="506" dataCellStyle="Monétaire"/>
    <tableColumn id="18" name="PCR CONSEILLER €" dataDxfId="505"/>
    <tableColumn id="19" name="RA FAIT PAR LE_x000a_COMPTABLE €" dataDxfId="504" dataCellStyle="Monétaire"/>
    <tableColumn id="41" name="RA FAITE PAR LE CONSEILLER €" dataDxfId="503" dataCellStyle="Monétaire"/>
    <tableColumn id="21" name="POINT DE PILOTAGE €" dataDxfId="502" dataCellStyle="Monétaire"/>
    <tableColumn id="20" name="AGOA COMPTABLE €" dataDxfId="501" dataCellStyle="Monétaire"/>
    <tableColumn id="59" name="AGOA CONSEILLER €" dataDxfId="500" dataCellStyle="Monétaire"/>
    <tableColumn id="60" name="VISA JURIDIQUE €" dataDxfId="499" dataCellStyle="Monétaire"/>
    <tableColumn id="38" name="SAISIE PAR UNE AAC €" dataDxfId="498" dataCellStyle="Monétaire"/>
    <tableColumn id="43" name="SAISIE PAR LE COMPTABLE €" dataDxfId="497" dataCellStyle="Monétaire"/>
    <tableColumn id="39" name="TRAVAUX _x000a_DE REVISION €" dataDxfId="496" dataCellStyle="Monétaire"/>
    <tableColumn id="42" name="DECLARATION TVA AAC €" dataDxfId="495" dataCellStyle="Monétaire"/>
    <tableColumn id="45" name="DECLARATION TVA COMPTABLE €" dataDxfId="494" dataCellStyle="Monétaire"/>
    <tableColumn id="40" name="MONTANT_x000a_RESPONSABLE RELATION CLIENT €" dataDxfId="493" dataCellStyle="Monétaire"/>
    <tableColumn id="33" name="MONTANT TOTAL LETTRE DE MISION €" dataDxfId="492" dataCellStyle="Monétaire">
      <calculatedColumnFormula>SUM(PORTEFEUILLE_FREDERIQUE[[#This Row],[PCR COMPTABLE €]:[MONTANT
RESPONSABLE RELATION CLIENT €]])</calculatedColumnFormula>
    </tableColumn>
    <tableColumn id="34" name="ECART DE SAISE avec LETTRE DE MISSION €" dataDxfId="491" dataCellStyle="Monétaire">
      <calculatedColumnFormula>SUM(PORTEFEUILLE_FREDERIQUE[[#This Row],[PCR COMPTABLE €]:[MONTANT
RESPONSABLE RELATION CLIENT €]])-PORTEFEUILLE_FREDERIQUE[[#This Row],[MONTANT TOTAL LETTRE DE MISION €]]</calculatedColumnFormula>
    </tableColumn>
    <tableColumn id="22" name="Prénom_x000a_AAC" dataDxfId="490"/>
    <tableColumn id="36" name="PRENOM CONSEILLER" dataDxfId="489"/>
    <tableColumn id="57" name="PRENOM REALISATION TVA" dataDxfId="488"/>
    <tableColumn id="63" name="DECLARATION DES REVENUS" dataDxfId="487"/>
    <tableColumn id="61" name="NOMBRE DE DECLARATION" dataDxfId="486"/>
    <tableColumn id="54" name="ABONNE COURT _x000a_ABONNE LONG" dataDxfId="485"/>
    <tableColumn id="55" name="RECONDUCTION AUTOMATIQUE OS" dataDxfId="484"/>
    <tableColumn id="23" name="TPS PASSE_x000a_COMPTABLE H_x000a_" dataDxfId="483"/>
    <tableColumn id="37" name="TPS PASSE _x000a_AAC H" dataDxfId="482"/>
    <tableColumn id="47" name="BONI AAC" dataDxfId="481" dataCellStyle="Monétaire">
      <calculatedColumnFormula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calculatedColumnFormula>
    </tableColumn>
    <tableColumn id="46" name="MALI AAC" dataDxfId="480" dataCellStyle="Monétaire">
      <calculatedColumnFormula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calculatedColumnFormula>
    </tableColumn>
    <tableColumn id="44" name="NOMBRE DOSSIER BONI AAC" dataDxfId="479">
      <calculatedColumnFormula>IF(PORTEFEUILLE_FREDERIQUE[[#This Row],[BONI AAC]]&lt;&gt;0,1,"")</calculatedColumnFormula>
    </tableColumn>
    <tableColumn id="35" name="NBRE DOSSIER MALI AAC" dataDxfId="478">
      <calculatedColumnFormula>IF(PORTEFEUILLE_FREDERIQUE[[#This Row],[MALI AAC]]&lt;&gt;0,1,"")</calculatedColumnFormula>
    </tableColumn>
    <tableColumn id="24" name="BONI COMPTABLE" dataDxfId="477" dataCellStyle="Monétaire">
      <calculatedColumnFormula>IF(AP3&lt;&gt;"",IF((AP3*Paramètres!$H$4)-PORTEFEUILLE_FREDERIQUE[[#This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€]]-(DELPHINE!AP3*Paramètres!$H$4),0),0)</calculatedColumnFormula>
    </tableColumn>
    <tableColumn id="25" name="MALI COMPTABLE" dataDxfId="476" dataCellStyle="Monétaire">
      <calculatedColumnFormula>IF(AP3&lt;&gt;"",IF(((AP3*Paramètres!$H$4)-PORTEFEUILLE_FREDERIQUE[[#This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calculatedColumnFormula>
    </tableColumn>
    <tableColumn id="53" name="NOMBRE DOSSIER BONI COMPTABLE" dataDxfId="475">
      <calculatedColumnFormula>IF(PORTEFEUILLE_FREDERIQUE[[#This Row],[BONI COMPTABLE]]&lt;&gt;0,1,"")</calculatedColumnFormula>
    </tableColumn>
    <tableColumn id="52" name="NOMBRE DE DOSSIER MALI COMPTABLE" dataDxfId="474">
      <calculatedColumnFormula>IF(PORTEFEUILLE_FREDERIQUE[[#This Row],[MALI COMPTABLE]]&lt;&gt;0,1,"")</calculatedColumnFormula>
    </tableColumn>
    <tableColumn id="26" name="GRILLE ENJEUX" dataDxfId="473"/>
    <tableColumn id="27" name="Visa_x000a_Validé_x000a_enjeu 4 ou attestation enjeu" dataDxfId="472"/>
    <tableColumn id="28" name="VISA VCOMPTA" dataDxfId="471"/>
    <tableColumn id="29" name="REFUS" dataDxfId="470"/>
    <tableColumn id="30" name="MOTIF" dataDxfId="469"/>
    <tableColumn id="31" name="COMMENTAIRES" dataDxfId="468"/>
    <tableColumn id="32" name="Attestation_x000a_à faire signer par l'EC" dataDxfId="467"/>
    <tableColumn id="49" name="MISE EN PLACE SCAN BY CERFRANCE" dataDxfId="466"/>
    <tableColumn id="50" name="PRENOM PERSONNE AYANT DEPLOYEE SCAN BY CERFRANCE" dataDxfId="465"/>
    <tableColumn id="51" name="PICKING" dataDxfId="464"/>
    <tableColumn id="58" name="EDI" dataDxfId="463"/>
    <tableColumn id="62" name="Colonne1" dataDxfId="46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0" name="PORTEFEUILLE_AURELIE_T" displayName="PORTEFEUILLE_AURELIE_T" ref="A2:BK60" totalsRowShown="0" headerRowDxfId="461" dataDxfId="460" tableBorderDxfId="459" headerRowCellStyle="Normal 16">
  <autoFilter ref="A2:BK60"/>
  <tableColumns count="63">
    <tableColumn id="48" name="PRENOM DU COMPTABLE" dataDxfId="458"/>
    <tableColumn id="1" name="N° DOSSIER" dataDxfId="457"/>
    <tableColumn id="2" name="NOM DOSSIER" dataDxfId="456"/>
    <tableColumn id="3" name="TYPE DE MARCHE" dataDxfId="455"/>
    <tableColumn id="4" name="DATE DE CLOTURE" dataDxfId="454"/>
    <tableColumn id="5" name="REGIME JURIDIQUE" dataDxfId="453"/>
    <tableColumn id="6" name="REGIME IMPOSITION" dataDxfId="452"/>
    <tableColumn id="56" name="DECLARATION DE TVA" dataDxfId="451"/>
    <tableColumn id="7" name="DATE_x000a_DE DEPOT" dataDxfId="450"/>
    <tableColumn id="8" name="DATE SIGNATURE" dataDxfId="449"/>
    <tableColumn id="9" name="MOIS" dataDxfId="448">
      <calculatedColumnFormula>IF(I3="","",MONTH(I3))</calculatedColumnFormula>
    </tableColumn>
    <tableColumn id="10" name="DELAI" dataDxfId="447">
      <calculatedColumnFormula>IF(I3="","",DAYS360(E3,I3))</calculatedColumnFormula>
    </tableColumn>
    <tableColumn id="11" name="PCR" dataDxfId="446"/>
    <tableColumn id="12" name="RA NOS" dataDxfId="445"/>
    <tableColumn id="13" name="QUI " dataDxfId="444"/>
    <tableColumn id="14" name="CR" dataDxfId="443"/>
    <tableColumn id="15" name="CR FAIT PAR LE COMPTABLE" dataDxfId="442"/>
    <tableColumn id="16" name="AG_x000a_SIGNEE" dataDxfId="441"/>
    <tableColumn id="17" name="PCR COMPTABLE €" dataDxfId="440" dataCellStyle="Monétaire"/>
    <tableColumn id="18" name="PCR CONSEILLER €" dataDxfId="439"/>
    <tableColumn id="19" name="RA FAIT PAR LE_x000a_COMPTABLE €" dataDxfId="438" dataCellStyle="Monétaire"/>
    <tableColumn id="41" name="RA FAITE PAR LE CONSEILLER €" dataDxfId="437" dataCellStyle="Monétaire"/>
    <tableColumn id="21" name="POINT DE PILOTAGE €" dataDxfId="436" dataCellStyle="Monétaire"/>
    <tableColumn id="20" name="AGOA COMPTABLE €" dataDxfId="435" dataCellStyle="Monétaire"/>
    <tableColumn id="59" name="AGOA CONSEILLER €" dataDxfId="434" dataCellStyle="Monétaire"/>
    <tableColumn id="60" name="VISA JURIDIQUE €" dataDxfId="433" dataCellStyle="Monétaire"/>
    <tableColumn id="38" name="SAISIE PAR UNE AAC €" dataDxfId="432" dataCellStyle="Monétaire"/>
    <tableColumn id="43" name="SAISIE PAR LE COMPTABLE €" dataDxfId="431" dataCellStyle="Monétaire"/>
    <tableColumn id="39" name="TRAVAUX _x000a_DE REVISION €" dataDxfId="430" dataCellStyle="Monétaire"/>
    <tableColumn id="42" name="DECLARATION TVA AAC €" dataDxfId="429" dataCellStyle="Monétaire"/>
    <tableColumn id="45" name="DECLARATION TVA COMPTABLE €" dataDxfId="428" dataCellStyle="Monétaire"/>
    <tableColumn id="40" name="MONTANT_x000a_RESPONSABLE RELATION CLIENT €" dataDxfId="427" dataCellStyle="Monétaire"/>
    <tableColumn id="33" name="MONTANT TOTAL LETTRE DE MISION €" dataDxfId="426" dataCellStyle="Monétaire">
      <calculatedColumnFormula>SUM(PORTEFEUILLE_AURELIE_T[[#This Row],[PCR COMPTABLE €]:[MONTANT
RESPONSABLE RELATION CLIENT €]])</calculatedColumnFormula>
    </tableColumn>
    <tableColumn id="34" name="ECART DE SAISE avec LETTRE DE MISSION €" dataDxfId="425" dataCellStyle="Monétaire">
      <calculatedColumnFormula>SUM(PORTEFEUILLE_AURELIE_T[[#This Row],[PCR COMPTABLE €]:[MONTANT
RESPONSABLE RELATION CLIENT €]])-PORTEFEUILLE_AURELIE_T[[#This Row],[MONTANT TOTAL LETTRE DE MISION €]]</calculatedColumnFormula>
    </tableColumn>
    <tableColumn id="22" name="Prénom_x000a_AAC" dataDxfId="424"/>
    <tableColumn id="36" name="PRENOM CONSEILLER" dataDxfId="423"/>
    <tableColumn id="57" name="PRENOM REALISATION TVA" dataDxfId="422"/>
    <tableColumn id="63" name="DECLARATION DES REVENUS" dataDxfId="421"/>
    <tableColumn id="61" name="NOMBRE DE DECLARATION" dataDxfId="420"/>
    <tableColumn id="54" name="ABONNE COURT _x000a_ABONNE LONG" dataDxfId="419"/>
    <tableColumn id="55" name="RECONDUCTION AUTOMATIQUE OS" dataDxfId="418"/>
    <tableColumn id="23" name="TPS PASSE_x000a_COMPTABLE H_x000a_" dataDxfId="417"/>
    <tableColumn id="37" name="TPS PASSE _x000a_AAC H" dataDxfId="416"/>
    <tableColumn id="47" name="BONI AAC" dataDxfId="415" dataCellStyle="Monétaire">
      <calculatedColumnFormula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calculatedColumnFormula>
    </tableColumn>
    <tableColumn id="46" name="MALI AAC" dataDxfId="414" dataCellStyle="Monétaire">
      <calculatedColumnFormula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calculatedColumnFormula>
    </tableColumn>
    <tableColumn id="44" name="NOMBRE DOSSIER BONI AAC" dataDxfId="413">
      <calculatedColumnFormula>IF(PORTEFEUILLE_AURELIE_T[[#This Row],[BONI AAC]]&lt;&gt;0,1,"")</calculatedColumnFormula>
    </tableColumn>
    <tableColumn id="35" name="NBRE DOSSIER MALI AAC" dataDxfId="412">
      <calculatedColumnFormula>IF(PORTEFEUILLE_AURELIE_T[[#This Row],[MALI AAC]]&lt;&gt;0,1,"")</calculatedColumnFormula>
    </tableColumn>
    <tableColumn id="24" name="BONI COMPTABLE" dataDxfId="411" dataCellStyle="Monétaire">
      <calculatedColumnFormula>IF(AP3&lt;&gt;"",IF((AP3*Paramètres!$H$4)-PORTEFEUILLE_AURELIE_T[[#This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€]]-(DELPHINE!AP3*Paramètres!$H$4),0),0)</calculatedColumnFormula>
    </tableColumn>
    <tableColumn id="25" name="MALI COMPTABLE" dataDxfId="410" dataCellStyle="Monétaire">
      <calculatedColumnFormula>IF(AP3&lt;&gt;"",IF(((AP3*Paramètres!$H$4)-PORTEFEUILLE_AURELIE_T[[#This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calculatedColumnFormula>
    </tableColumn>
    <tableColumn id="53" name="NOMBRE DOSSIER BONI COMPTABLE" dataDxfId="409">
      <calculatedColumnFormula>IF(PORTEFEUILLE_AURELIE_T[[#This Row],[BONI COMPTABLE]]&lt;&gt;0,1,"")</calculatedColumnFormula>
    </tableColumn>
    <tableColumn id="52" name="NOMBRE DE DOSSIER MALI COMPTABLE" dataDxfId="408">
      <calculatedColumnFormula>IF(PORTEFEUILLE_AURELIE_T[[#This Row],[MALI COMPTABLE]]&lt;&gt;0,1,"")</calculatedColumnFormula>
    </tableColumn>
    <tableColumn id="26" name="GRILLE ENJEUX" dataDxfId="407"/>
    <tableColumn id="27" name="Visa_x000a_Validé_x000a_enjeu 4 ou attestation enjeu" dataDxfId="406"/>
    <tableColumn id="28" name="VISA VCOMPTA" dataDxfId="405"/>
    <tableColumn id="29" name="REFUS" dataDxfId="404"/>
    <tableColumn id="30" name="MOTIF" dataDxfId="403"/>
    <tableColumn id="31" name="COMMENTAIRES" dataDxfId="402"/>
    <tableColumn id="32" name="Attestation_x000a_à faire signer par l'EC" dataDxfId="401"/>
    <tableColumn id="49" name="MISE EN PLACE SCAN BY CERFRANCE" dataDxfId="400"/>
    <tableColumn id="50" name="PRENOM PERSONNE AYANT DEPLOYEE SCAN BY CERFRANCE" dataDxfId="399"/>
    <tableColumn id="51" name="PICKING" dataDxfId="398"/>
    <tableColumn id="58" name="EDI" dataDxfId="397"/>
    <tableColumn id="62" name="Colonne1" dataDxfId="39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2" name="PORTEFEUILLE_ERIC" displayName="PORTEFEUILLE_ERIC" ref="A2:BK60" totalsRowShown="0" headerRowDxfId="395" dataDxfId="394" tableBorderDxfId="393" headerRowCellStyle="Normal 16">
  <autoFilter ref="A2:BK60"/>
  <tableColumns count="63">
    <tableColumn id="48" name="PRENOM DU COMPTABLE" dataDxfId="392"/>
    <tableColumn id="1" name="N° DOSSIER" dataDxfId="391"/>
    <tableColumn id="2" name="NOM DOSSIER" dataDxfId="390"/>
    <tableColumn id="3" name="TYPE DE MARCHE" dataDxfId="389"/>
    <tableColumn id="4" name="DATE DE CLOTURE" dataDxfId="388"/>
    <tableColumn id="5" name="REGIME JURIDIQUE" dataDxfId="387"/>
    <tableColumn id="6" name="REGIME IMPOSITION" dataDxfId="386"/>
    <tableColumn id="56" name="DECLARATION DE TVA" dataDxfId="385"/>
    <tableColumn id="7" name="DATE_x000a_DE DEPOT" dataDxfId="384"/>
    <tableColumn id="8" name="DATE SIGNATURE" dataDxfId="383"/>
    <tableColumn id="9" name="MOIS" dataDxfId="382">
      <calculatedColumnFormula>IF(I3="","",MONTH(I3))</calculatedColumnFormula>
    </tableColumn>
    <tableColumn id="10" name="DELAI" dataDxfId="381">
      <calculatedColumnFormula>IF(I3="","",DAYS360(E3,I3))</calculatedColumnFormula>
    </tableColumn>
    <tableColumn id="11" name="PCR" dataDxfId="380"/>
    <tableColumn id="12" name="RA NOS" dataDxfId="379"/>
    <tableColumn id="13" name="QUI " dataDxfId="378"/>
    <tableColumn id="14" name="CR" dataDxfId="377"/>
    <tableColumn id="15" name="CR FAIT PAR LE COMPTABLE" dataDxfId="376"/>
    <tableColumn id="16" name="AG_x000a_SIGNEE" dataDxfId="375"/>
    <tableColumn id="17" name="PCR COMPTABLE €" dataDxfId="374" dataCellStyle="Monétaire"/>
    <tableColumn id="18" name="PCR CONSEILLER €" dataDxfId="373"/>
    <tableColumn id="19" name="RA FAIT PAR LE_x000a_COMPTABLE €" dataDxfId="372" dataCellStyle="Monétaire"/>
    <tableColumn id="41" name="RA FAITE PAR LE CONSEILLER €" dataDxfId="371" dataCellStyle="Monétaire"/>
    <tableColumn id="21" name="POINT DE PILOTAGE €" dataDxfId="370" dataCellStyle="Monétaire"/>
    <tableColumn id="20" name="AGOA COMPTABLE €" dataDxfId="369" dataCellStyle="Monétaire"/>
    <tableColumn id="59" name="AGOA CONSEILLER €" dataDxfId="368" dataCellStyle="Monétaire"/>
    <tableColumn id="60" name="VISA JURIDIQUE €" dataDxfId="367" dataCellStyle="Monétaire"/>
    <tableColumn id="38" name="SAISIE PAR UNE AAC €" dataDxfId="366" dataCellStyle="Monétaire"/>
    <tableColumn id="43" name="SAISIE PAR LE COMPTABLE €" dataDxfId="365" dataCellStyle="Monétaire"/>
    <tableColumn id="39" name="TRAVAUX _x000a_DE REVISION €" dataDxfId="364" dataCellStyle="Monétaire"/>
    <tableColumn id="42" name="DECLARATION TVA AAC €" dataDxfId="363" dataCellStyle="Monétaire"/>
    <tableColumn id="45" name="DECLARATION TVA COMPTABLE €" dataDxfId="362" dataCellStyle="Monétaire"/>
    <tableColumn id="40" name="MONTANT_x000a_RESPONSABLE RELATION CLIENT €" dataDxfId="361" dataCellStyle="Monétaire"/>
    <tableColumn id="33" name="MONTANT TOTAL LETTRE DE MISION €" dataDxfId="360" dataCellStyle="Monétaire">
      <calculatedColumnFormula>SUM(PORTEFEUILLE_ERIC[[#This Row],[PCR COMPTABLE €]:[MONTANT
RESPONSABLE RELATION CLIENT €]])</calculatedColumnFormula>
    </tableColumn>
    <tableColumn id="34" name="ECART DE SAISE avec LETTRE DE MISSION €" dataDxfId="359" dataCellStyle="Monétaire">
      <calculatedColumnFormula>SUM(PORTEFEUILLE_ERIC[[#This Row],[PCR COMPTABLE €]:[MONTANT
RESPONSABLE RELATION CLIENT €]])-PORTEFEUILLE_ERIC[[#This Row],[MONTANT TOTAL LETTRE DE MISION €]]</calculatedColumnFormula>
    </tableColumn>
    <tableColumn id="22" name="Prénom_x000a_AAC" dataDxfId="358"/>
    <tableColumn id="36" name="PRENOM CONSEILLER" dataDxfId="357"/>
    <tableColumn id="57" name="PRENOM REALISATION TVA" dataDxfId="356"/>
    <tableColumn id="63" name="DECLARATION DES REVENUS" dataDxfId="355"/>
    <tableColumn id="61" name="NOMBRE DE DECLARATION" dataDxfId="354"/>
    <tableColumn id="54" name="ABONNE COURT _x000a_ABONNE LONG" dataDxfId="353"/>
    <tableColumn id="55" name="RECONDUCTION AUTOMATIQUE OS" dataDxfId="352"/>
    <tableColumn id="23" name="TPS PASSE_x000a_COMPTABLE H_x000a_" dataDxfId="351"/>
    <tableColumn id="37" name="TPS PASSE _x000a_AAC H" dataDxfId="350"/>
    <tableColumn id="47" name="BONI AAC" dataDxfId="349" dataCellStyle="Monétaire">
      <calculatedColumnFormula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calculatedColumnFormula>
    </tableColumn>
    <tableColumn id="46" name="MALI AAC" dataDxfId="348" dataCellStyle="Monétaire">
      <calculatedColumnFormula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calculatedColumnFormula>
    </tableColumn>
    <tableColumn id="44" name="NOMBRE DOSSIER BONI AAC" dataDxfId="347">
      <calculatedColumnFormula>IF(PORTEFEUILLE_ERIC[[#This Row],[BONI AAC]]&lt;&gt;0,1,"")</calculatedColumnFormula>
    </tableColumn>
    <tableColumn id="35" name="NBRE DOSSIER MALI AAC" dataDxfId="346">
      <calculatedColumnFormula>IF(PORTEFEUILLE_ERIC[[#This Row],[MALI AAC]]&lt;&gt;0,1,"")</calculatedColumnFormula>
    </tableColumn>
    <tableColumn id="24" name="BONI COMPTABLE" dataDxfId="345" dataCellStyle="Monétaire">
      <calculatedColumnFormula>IF(AP3&lt;&gt;"",IF((AP3*Paramètres!$H$4)-PORTEFEUILLE_ERIC[[#This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€]]-(DELPHINE!AP3*Paramètres!$H$4),0),0)</calculatedColumnFormula>
    </tableColumn>
    <tableColumn id="25" name="MALI COMPTABLE" dataDxfId="344" dataCellStyle="Monétaire">
      <calculatedColumnFormula>IF(AP3&lt;&gt;"",IF(((AP3*Paramètres!$H$4)-PORTEFEUILLE_ERIC[[#This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calculatedColumnFormula>
    </tableColumn>
    <tableColumn id="53" name="NOMBRE DOSSIER BONI COMPTABLE" dataDxfId="343">
      <calculatedColumnFormula>IF(PORTEFEUILLE_ERIC[[#This Row],[BONI COMPTABLE]]&lt;&gt;0,1,"")</calculatedColumnFormula>
    </tableColumn>
    <tableColumn id="52" name="NOMBRE DE DOSSIER MALI COMPTABLE" dataDxfId="342">
      <calculatedColumnFormula>IF(PORTEFEUILLE_ERIC[[#This Row],[MALI COMPTABLE]]&lt;&gt;0,1,"")</calculatedColumnFormula>
    </tableColumn>
    <tableColumn id="26" name="GRILLE ENJEUX" dataDxfId="341"/>
    <tableColumn id="27" name="Visa_x000a_Validé_x000a_enjeu 4 ou attestation enjeu" dataDxfId="340"/>
    <tableColumn id="28" name="VISA VCOMPTA" dataDxfId="339"/>
    <tableColumn id="29" name="REFUS" dataDxfId="338"/>
    <tableColumn id="30" name="MOTIF" dataDxfId="337"/>
    <tableColumn id="31" name="COMMENTAIRES" dataDxfId="336"/>
    <tableColumn id="32" name="Attestation_x000a_à faire signer par l'EC" dataDxfId="335"/>
    <tableColumn id="49" name="MISE EN PLACE SCAN BY CERFRANCE" dataDxfId="334"/>
    <tableColumn id="50" name="PRENOM PERSONNE AYANT DEPLOYEE SCAN BY CERFRANCE" dataDxfId="333"/>
    <tableColumn id="51" name="PICKING" dataDxfId="332"/>
    <tableColumn id="58" name="EDI" dataDxfId="331"/>
    <tableColumn id="62" name="Colonne1" dataDxfId="33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1" name="PORTEFEUILLE_MARIE_PIERRE" displayName="PORTEFEUILLE_MARIE_PIERRE" ref="A2:BK60" totalsRowShown="0" headerRowDxfId="329" dataDxfId="328" tableBorderDxfId="327" headerRowCellStyle="Normal 16">
  <autoFilter ref="A2:BK60"/>
  <tableColumns count="63">
    <tableColumn id="48" name="PRENOM DU COMPTABLE" dataDxfId="326"/>
    <tableColumn id="1" name="N° DOSSIER" dataDxfId="325"/>
    <tableColumn id="2" name="NOM DOSSIER" dataDxfId="324"/>
    <tableColumn id="3" name="TYPE DE MARCHE" dataDxfId="323"/>
    <tableColumn id="4" name="DATE DE CLOTURE" dataDxfId="322"/>
    <tableColumn id="5" name="REGIME JURIDIQUE" dataDxfId="321"/>
    <tableColumn id="6" name="REGIME IMPOSITION" dataDxfId="320"/>
    <tableColumn id="56" name="DECLARATION DE TVA" dataDxfId="319"/>
    <tableColumn id="7" name="DATE_x000a_DE DEPOT" dataDxfId="318"/>
    <tableColumn id="8" name="DATE SIGNATURE" dataDxfId="317"/>
    <tableColumn id="9" name="MOIS" dataDxfId="316">
      <calculatedColumnFormula>IF(I3="","",MONTH(I3))</calculatedColumnFormula>
    </tableColumn>
    <tableColumn id="10" name="DELAI" dataDxfId="315">
      <calculatedColumnFormula>IF(I3="","",DAYS360(E3,I3))</calculatedColumnFormula>
    </tableColumn>
    <tableColumn id="11" name="PCR" dataDxfId="314"/>
    <tableColumn id="12" name="RA NOS" dataDxfId="313"/>
    <tableColumn id="13" name="QUI " dataDxfId="312"/>
    <tableColumn id="14" name="CR" dataDxfId="311"/>
    <tableColumn id="15" name="CR FAIT PAR LE COMPTABLE" dataDxfId="310"/>
    <tableColumn id="16" name="AG_x000a_SIGNEE" dataDxfId="309"/>
    <tableColumn id="17" name="PCR COMPTABLE €" dataDxfId="308" dataCellStyle="Monétaire"/>
    <tableColumn id="18" name="PCR CONSEILLER €" dataDxfId="307"/>
    <tableColumn id="19" name="RA FAIT PAR LE_x000a_COMPTABLE €" dataDxfId="306" dataCellStyle="Monétaire"/>
    <tableColumn id="41" name="RA FAITE PAR LE CONSEILLER €" dataDxfId="305" dataCellStyle="Monétaire"/>
    <tableColumn id="21" name="POINT DE PILOTAGE €" dataDxfId="304" dataCellStyle="Monétaire"/>
    <tableColumn id="20" name="AGOA COMPTABLE €" dataDxfId="303" dataCellStyle="Monétaire"/>
    <tableColumn id="59" name="AGOA CONSEILLER €" dataDxfId="302" dataCellStyle="Monétaire"/>
    <tableColumn id="60" name="VISA JURIDIQUE €" dataDxfId="301" dataCellStyle="Monétaire"/>
    <tableColumn id="38" name="SAISIE PAR UNE AAC €" dataDxfId="300" dataCellStyle="Monétaire"/>
    <tableColumn id="43" name="SAISIE PAR LE COMPTABLE €" dataDxfId="299" dataCellStyle="Monétaire"/>
    <tableColumn id="39" name="TRAVAUX _x000a_DE REVISION €" dataDxfId="298" dataCellStyle="Monétaire"/>
    <tableColumn id="42" name="DECLARATION TVA AAC €" dataDxfId="297" dataCellStyle="Monétaire"/>
    <tableColumn id="45" name="DECLARATION TVA COMPTABLE €" dataDxfId="296" dataCellStyle="Monétaire"/>
    <tableColumn id="40" name="MONTANT_x000a_RESPONSABLE RELATION CLIENT €" dataDxfId="295" dataCellStyle="Monétaire"/>
    <tableColumn id="33" name="MONTANT TOTAL LETTRE DE MISION €" dataDxfId="294" dataCellStyle="Monétaire">
      <calculatedColumnFormula>SUM(PORTEFEUILLE_MARIE_PIERRE[[#This Row],[PCR COMPTABLE €]:[MONTANT
RESPONSABLE RELATION CLIENT €]])</calculatedColumnFormula>
    </tableColumn>
    <tableColumn id="34" name="ECART DE SAISE avec LETTRE DE MISSION €" dataDxfId="293" dataCellStyle="Monétaire">
      <calculatedColumnFormula>SUM(PORTEFEUILLE_MARIE_PIERRE[[#This Row],[PCR COMPTABLE €]:[MONTANT
RESPONSABLE RELATION CLIENT €]])-PORTEFEUILLE_MARIE_PIERRE[[#This Row],[MONTANT TOTAL LETTRE DE MISION €]]</calculatedColumnFormula>
    </tableColumn>
    <tableColumn id="22" name="Prénom_x000a_AAC" dataDxfId="292"/>
    <tableColumn id="36" name="PRENOM CONSEILLER" dataDxfId="291"/>
    <tableColumn id="57" name="PRENOM REALISATION TVA" dataDxfId="290"/>
    <tableColumn id="63" name="DECLARATION DES REVENUS" dataDxfId="289"/>
    <tableColumn id="61" name="NOMBRE DE DECLARATION" dataDxfId="288"/>
    <tableColumn id="54" name="ABONNE COURT _x000a_ABONNE LONG" dataDxfId="287"/>
    <tableColumn id="55" name="RECONDUCTION AUTOMATIQUE OS" dataDxfId="286"/>
    <tableColumn id="23" name="TPS PASSE_x000a_COMPTABLE H_x000a_" dataDxfId="285"/>
    <tableColumn id="37" name="TPS PASSE _x000a_AAC H" dataDxfId="284"/>
    <tableColumn id="47" name="BONI AAC" dataDxfId="283" dataCellStyle="Monétaire">
      <calculatedColumnFormula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calculatedColumnFormula>
    </tableColumn>
    <tableColumn id="46" name="MALI AAC" dataDxfId="282" dataCellStyle="Monétaire">
      <calculatedColumnFormula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calculatedColumnFormula>
    </tableColumn>
    <tableColumn id="44" name="NOMBRE DOSSIER BONI AAC" dataDxfId="281">
      <calculatedColumnFormula>IF(PORTEFEUILLE_MARIE_PIERRE[[#This Row],[BONI AAC]]&lt;&gt;0,1,"")</calculatedColumnFormula>
    </tableColumn>
    <tableColumn id="35" name="NBRE DOSSIER MALI AAC" dataDxfId="280">
      <calculatedColumnFormula>IF(PORTEFEUILLE_MARIE_PIERRE[[#This Row],[MALI AAC]]&lt;&gt;0,1,"")</calculatedColumnFormula>
    </tableColumn>
    <tableColumn id="24" name="BONI COMPTABLE" dataDxfId="279" dataCellStyle="Monétaire">
      <calculatedColumnFormula>IF(AP3&lt;&gt;"",IF((AP3*Paramètres!$H$4)-PORTEFEUILLE_MARIE_PIERRE[[#This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€]]-(DELPHINE!AP3*Paramètres!$H$4),0),0)</calculatedColumnFormula>
    </tableColumn>
    <tableColumn id="25" name="MALI COMPTABLE" dataDxfId="278" dataCellStyle="Monétaire">
      <calculatedColumnFormula>IF(AP3&lt;&gt;"",IF(((AP3*Paramètres!$H$4)-PORTEFEUILLE_MARIE_PIERRE[[#This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calculatedColumnFormula>
    </tableColumn>
    <tableColumn id="53" name="NOMBRE DOSSIER BONI COMPTABLE" dataDxfId="277">
      <calculatedColumnFormula>IF(PORTEFEUILLE_MARIE_PIERRE[[#This Row],[BONI COMPTABLE]]&lt;&gt;0,1,"")</calculatedColumnFormula>
    </tableColumn>
    <tableColumn id="52" name="NOMBRE DE DOSSIER MALI COMPTABLE" dataDxfId="276">
      <calculatedColumnFormula>IF(PORTEFEUILLE_MARIE_PIERRE[[#This Row],[MALI COMPTABLE]]&lt;&gt;0,1,"")</calculatedColumnFormula>
    </tableColumn>
    <tableColumn id="26" name="GRILLE ENJEUX" dataDxfId="275"/>
    <tableColumn id="27" name="Visa_x000a_Validé_x000a_enjeu 4 ou attestation enjeu" dataDxfId="274"/>
    <tableColumn id="28" name="VISA VCOMPTA" dataDxfId="273"/>
    <tableColumn id="29" name="REFUS" dataDxfId="272"/>
    <tableColumn id="30" name="MOTIF" dataDxfId="271"/>
    <tableColumn id="31" name="COMMENTAIRES" dataDxfId="270"/>
    <tableColumn id="32" name="Attestation_x000a_à faire signer par l'EC" dataDxfId="269"/>
    <tableColumn id="49" name="MISE EN PLACE SCAN BY CERFRANCE" dataDxfId="268"/>
    <tableColumn id="50" name="PRENOM PERSONNE AYANT DEPLOYEE SCAN BY CERFRANCE" dataDxfId="267"/>
    <tableColumn id="51" name="PICKING" dataDxfId="266"/>
    <tableColumn id="58" name="EDI" dataDxfId="265"/>
    <tableColumn id="62" name="Colonne1" dataDxfId="26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3" name="PORTEFEUILLE_GUILLAUME" displayName="PORTEFEUILLE_GUILLAUME" ref="A2:BK60" totalsRowShown="0" headerRowDxfId="263" dataDxfId="262" tableBorderDxfId="261" headerRowCellStyle="Normal 16">
  <autoFilter ref="A2:BK60"/>
  <tableColumns count="63">
    <tableColumn id="48" name="PRENOM DU COMPTABLE" dataDxfId="260"/>
    <tableColumn id="1" name="N° DOSSIER" dataDxfId="259"/>
    <tableColumn id="2" name="NOM DOSSIER" dataDxfId="258"/>
    <tableColumn id="3" name="TYPE DE MARCHE" dataDxfId="257"/>
    <tableColumn id="4" name="DATE DE CLOTURE" dataDxfId="256"/>
    <tableColumn id="5" name="REGIME JURIDIQUE" dataDxfId="255"/>
    <tableColumn id="6" name="REGIME IMPOSITION" dataDxfId="254"/>
    <tableColumn id="56" name="DECLARATION DE TVA" dataDxfId="253"/>
    <tableColumn id="7" name="DATE_x000a_DE DEPOT" dataDxfId="252"/>
    <tableColumn id="8" name="DATE SIGNATURE" dataDxfId="251"/>
    <tableColumn id="9" name="MOIS" dataDxfId="250">
      <calculatedColumnFormula>IF(I3="","",MONTH(I3))</calculatedColumnFormula>
    </tableColumn>
    <tableColumn id="10" name="DELAI" dataDxfId="249">
      <calculatedColumnFormula>IF(I3="","",DAYS360(E3,I3))</calculatedColumnFormula>
    </tableColumn>
    <tableColumn id="11" name="PCR" dataDxfId="248"/>
    <tableColumn id="12" name="RA NOS" dataDxfId="247"/>
    <tableColumn id="13" name="QUI " dataDxfId="246"/>
    <tableColumn id="14" name="CR" dataDxfId="245"/>
    <tableColumn id="15" name="CR FAIT PAR LE COMPTABLE" dataDxfId="244"/>
    <tableColumn id="16" name="AG_x000a_SIGNEE" dataDxfId="243"/>
    <tableColumn id="17" name="PCR COMPTABLE €" dataDxfId="242" dataCellStyle="Monétaire"/>
    <tableColumn id="18" name="PCR CONSEILLER €" dataDxfId="241"/>
    <tableColumn id="19" name="RA FAIT PAR LE_x000a_COMPTABLE €" dataDxfId="240" dataCellStyle="Monétaire"/>
    <tableColumn id="41" name="RA FAITE PAR LE CONSEILLER €" dataDxfId="239" dataCellStyle="Monétaire"/>
    <tableColumn id="21" name="POINT DE PILOTAGE €" dataDxfId="238" dataCellStyle="Monétaire"/>
    <tableColumn id="20" name="AGOA COMPTABLE €" dataDxfId="237" dataCellStyle="Monétaire"/>
    <tableColumn id="59" name="AGOA CONSEILLER €" dataDxfId="236" dataCellStyle="Monétaire"/>
    <tableColumn id="60" name="VISA JURIDIQUE €" dataDxfId="235" dataCellStyle="Monétaire"/>
    <tableColumn id="38" name="SAISIE PAR UNE AAC €" dataDxfId="234" dataCellStyle="Monétaire"/>
    <tableColumn id="43" name="SAISIE PAR LE COMPTABLE €" dataDxfId="233" dataCellStyle="Monétaire"/>
    <tableColumn id="39" name="TRAVAUX _x000a_DE REVISION €" dataDxfId="232" dataCellStyle="Monétaire"/>
    <tableColumn id="42" name="DECLARATION TVA AAC €" dataDxfId="231" dataCellStyle="Monétaire"/>
    <tableColumn id="45" name="DECLARATION TVA COMPTABLE €" dataDxfId="230" dataCellStyle="Monétaire"/>
    <tableColumn id="40" name="MONTANT_x000a_RESPONSABLE RELATION CLIENT €" dataDxfId="229" dataCellStyle="Monétaire"/>
    <tableColumn id="33" name="MONTANT TOTAL LETTRE DE MISION €" dataDxfId="228" dataCellStyle="Monétaire">
      <calculatedColumnFormula>SUM(PORTEFEUILLE_GUILLAUME[[#This Row],[PCR COMPTABLE €]:[MONTANT
RESPONSABLE RELATION CLIENT €]])</calculatedColumnFormula>
    </tableColumn>
    <tableColumn id="34" name="ECART DE SAISE avec LETTRE DE MISSION €" dataDxfId="227" dataCellStyle="Monétaire">
      <calculatedColumnFormula>SUM(PORTEFEUILLE_GUILLAUME[[#This Row],[PCR COMPTABLE €]:[MONTANT
RESPONSABLE RELATION CLIENT €]])-PORTEFEUILLE_GUILLAUME[[#This Row],[MONTANT TOTAL LETTRE DE MISION €]]</calculatedColumnFormula>
    </tableColumn>
    <tableColumn id="22" name="Prénom_x000a_AAC" dataDxfId="226"/>
    <tableColumn id="36" name="PRENOM CONSEILLER" dataDxfId="225"/>
    <tableColumn id="57" name="PRENOM REALISATION TVA" dataDxfId="224"/>
    <tableColumn id="63" name="DECLARATION DES REVENUS" dataDxfId="223"/>
    <tableColumn id="61" name="NOMBRE DE DECLARATION" dataDxfId="222"/>
    <tableColumn id="54" name="ABONNE COURT _x000a_ABONNE LONG" dataDxfId="221"/>
    <tableColumn id="55" name="RECONDUCTION AUTOMATIQUE OS" dataDxfId="220"/>
    <tableColumn id="23" name="TPS PASSE_x000a_COMPTABLE H_x000a_" dataDxfId="219"/>
    <tableColumn id="37" name="TPS PASSE _x000a_AAC H" dataDxfId="218"/>
    <tableColumn id="47" name="BONI AAC" dataDxfId="217" dataCellStyle="Monétaire">
      <calculatedColumnFormula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calculatedColumnFormula>
    </tableColumn>
    <tableColumn id="46" name="MALI AAC" dataDxfId="216" dataCellStyle="Monétaire">
      <calculatedColumnFormula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calculatedColumnFormula>
    </tableColumn>
    <tableColumn id="44" name="NOMBRE DOSSIER BONI AAC" dataDxfId="215">
      <calculatedColumnFormula>IF(PORTEFEUILLE_GUILLAUME[[#This Row],[BONI AAC]]&lt;&gt;0,1,"")</calculatedColumnFormula>
    </tableColumn>
    <tableColumn id="35" name="NBRE DOSSIER MALI AAC" dataDxfId="214">
      <calculatedColumnFormula>IF(PORTEFEUILLE_GUILLAUME[[#This Row],[MALI AAC]]&lt;&gt;0,1,"")</calculatedColumnFormula>
    </tableColumn>
    <tableColumn id="24" name="BONI COMPTABLE" dataDxfId="213" dataCellStyle="Monétaire">
      <calculatedColumnFormula>IF(AP3&lt;&gt;"",IF((AP3*Paramètres!$H$4)-PORTEFEUILLE_GUILLAUME[[#This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€]]-(DELPHINE!AP3*Paramètres!$H$4),0),0)</calculatedColumnFormula>
    </tableColumn>
    <tableColumn id="25" name="MALI COMPTABLE" dataDxfId="212" dataCellStyle="Monétaire">
      <calculatedColumnFormula>IF(AP3&lt;&gt;"",IF(((AP3*Paramètres!$H$4)-PORTEFEUILLE_GUILLAUME[[#This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calculatedColumnFormula>
    </tableColumn>
    <tableColumn id="53" name="NOMBRE DOSSIER BONI COMPTABLE" dataDxfId="211">
      <calculatedColumnFormula>IF(PORTEFEUILLE_GUILLAUME[[#This Row],[BONI COMPTABLE]]&lt;&gt;0,1,"")</calculatedColumnFormula>
    </tableColumn>
    <tableColumn id="52" name="NOMBRE DE DOSSIER MALI COMPTABLE" dataDxfId="210">
      <calculatedColumnFormula>IF(PORTEFEUILLE_GUILLAUME[[#This Row],[MALI COMPTABLE]]&lt;&gt;0,1,"")</calculatedColumnFormula>
    </tableColumn>
    <tableColumn id="26" name="GRILLE ENJEUX" dataDxfId="209"/>
    <tableColumn id="27" name="Visa_x000a_Validé_x000a_enjeu 4 ou attestation enjeu" dataDxfId="208"/>
    <tableColumn id="28" name="VISA VCOMPTA" dataDxfId="207"/>
    <tableColumn id="29" name="REFUS" dataDxfId="206"/>
    <tableColumn id="30" name="MOTIF" dataDxfId="205"/>
    <tableColumn id="31" name="COMMENTAIRES" dataDxfId="204"/>
    <tableColumn id="32" name="Attestation_x000a_à faire signer par l'EC" dataDxfId="203"/>
    <tableColumn id="49" name="MISE EN PLACE SCAN BY CERFRANCE" dataDxfId="202"/>
    <tableColumn id="50" name="PRENOM PERSONNE AYANT DEPLOYEE SCAN BY CERFRANCE" dataDxfId="201"/>
    <tableColumn id="51" name="PICKING" dataDxfId="200"/>
    <tableColumn id="58" name="EDI" dataDxfId="199"/>
    <tableColumn id="62" name="Colonne1" dataDxfId="19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4" name="PORTEFEUILLE_SEBASTIEN" displayName="PORTEFEUILLE_SEBASTIEN" ref="A2:BK60" totalsRowShown="0" headerRowDxfId="197" dataDxfId="196" tableBorderDxfId="195" headerRowCellStyle="Normal 16">
  <autoFilter ref="A2:BK60"/>
  <tableColumns count="63">
    <tableColumn id="48" name="PRENOM DU COMPTABLE" dataDxfId="194"/>
    <tableColumn id="1" name="N° DOSSIER" dataDxfId="193"/>
    <tableColumn id="2" name="NOM DOSSIER" dataDxfId="192"/>
    <tableColumn id="3" name="TYPE DE MARCHE" dataDxfId="191"/>
    <tableColumn id="4" name="DATE DE CLOTURE" dataDxfId="190"/>
    <tableColumn id="5" name="REGIME JURIDIQUE" dataDxfId="189"/>
    <tableColumn id="6" name="REGIME IMPOSITION" dataDxfId="188"/>
    <tableColumn id="56" name="DECLARATION DE TVA" dataDxfId="187"/>
    <tableColumn id="7" name="DATE_x000a_DE DEPOT" dataDxfId="186"/>
    <tableColumn id="8" name="DATE SIGNATURE" dataDxfId="185"/>
    <tableColumn id="9" name="MOIS" dataDxfId="184">
      <calculatedColumnFormula>IF(I3="","",MONTH(I3))</calculatedColumnFormula>
    </tableColumn>
    <tableColumn id="10" name="DELAI" dataDxfId="183">
      <calculatedColumnFormula>IF(I3="","",DAYS360(E3,I3))</calculatedColumnFormula>
    </tableColumn>
    <tableColumn id="11" name="PCR" dataDxfId="182"/>
    <tableColumn id="12" name="RA NOS" dataDxfId="181"/>
    <tableColumn id="13" name="QUI " dataDxfId="180"/>
    <tableColumn id="14" name="CR" dataDxfId="179"/>
    <tableColumn id="15" name="CR FAIT PAR LE COMPTABLE" dataDxfId="178"/>
    <tableColumn id="16" name="AG_x000a_SIGNEE" dataDxfId="177"/>
    <tableColumn id="17" name="PCR COMPTABLE €" dataDxfId="176" dataCellStyle="Monétaire"/>
    <tableColumn id="18" name="PCR CONSEILLER €" dataDxfId="175"/>
    <tableColumn id="19" name="RA FAIT PAR LE_x000a_COMPTABLE €" dataDxfId="174" dataCellStyle="Monétaire"/>
    <tableColumn id="41" name="RA FAITE PAR LE CONSEILLER €" dataDxfId="173" dataCellStyle="Monétaire"/>
    <tableColumn id="21" name="POINT DE PILOTAGE €" dataDxfId="172" dataCellStyle="Monétaire"/>
    <tableColumn id="20" name="AGOA COMPTABLE €" dataDxfId="171" dataCellStyle="Monétaire"/>
    <tableColumn id="59" name="AGOA CONSEILLER €" dataDxfId="170" dataCellStyle="Monétaire"/>
    <tableColumn id="60" name="VISA JURIDIQUE €" dataDxfId="169" dataCellStyle="Monétaire"/>
    <tableColumn id="38" name="SAISIE PAR UNE AAC €" dataDxfId="168" dataCellStyle="Monétaire"/>
    <tableColumn id="43" name="SAISIE PAR LE COMPTABLE €" dataDxfId="167" dataCellStyle="Monétaire"/>
    <tableColumn id="39" name="TRAVAUX _x000a_DE REVISION €" dataDxfId="166" dataCellStyle="Monétaire"/>
    <tableColumn id="42" name="DECLARATION TVA AAC €" dataDxfId="165" dataCellStyle="Monétaire"/>
    <tableColumn id="45" name="DECLARATION TVA COMPTABLE €" dataDxfId="164" dataCellStyle="Monétaire"/>
    <tableColumn id="40" name="MONTANT_x000a_RESPONSABLE RELATION CLIENT €" dataDxfId="163" dataCellStyle="Monétaire"/>
    <tableColumn id="33" name="MONTANT TOTAL LETTRE DE MISION €" dataDxfId="162" dataCellStyle="Monétaire">
      <calculatedColumnFormula>SUM(PORTEFEUILLE_SEBASTIEN[[#This Row],[PCR COMPTABLE €]:[MONTANT
RESPONSABLE RELATION CLIENT €]])</calculatedColumnFormula>
    </tableColumn>
    <tableColumn id="34" name="ECART DE SAISE avec LETTRE DE MISSION €" dataDxfId="161" dataCellStyle="Monétaire">
      <calculatedColumnFormula>SUM(PORTEFEUILLE_SEBASTIEN[[#This Row],[PCR COMPTABLE €]:[MONTANT
RESPONSABLE RELATION CLIENT €]])-PORTEFEUILLE_SEBASTIEN[[#This Row],[MONTANT TOTAL LETTRE DE MISION €]]</calculatedColumnFormula>
    </tableColumn>
    <tableColumn id="22" name="Prénom_x000a_AAC" dataDxfId="160"/>
    <tableColumn id="36" name="PRENOM CONSEILLER" dataDxfId="159"/>
    <tableColumn id="57" name="PRENOM REALISATION TVA" dataDxfId="158"/>
    <tableColumn id="63" name="DECLARATION DES REVENUS" dataDxfId="157"/>
    <tableColumn id="61" name="NOMBRE DE DECLARATION" dataDxfId="156"/>
    <tableColumn id="54" name="ABONNE COURT _x000a_ABONNE LONG" dataDxfId="155"/>
    <tableColumn id="55" name="RECONDUCTION AUTOMATIQUE OS" dataDxfId="154"/>
    <tableColumn id="23" name="TPS PASSE_x000a_COMPTABLE H_x000a_" dataDxfId="153"/>
    <tableColumn id="37" name="TPS PASSE _x000a_AAC H" dataDxfId="152"/>
    <tableColumn id="47" name="BONI AAC" dataDxfId="151" dataCellStyle="Monétaire">
      <calculatedColumnFormula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calculatedColumnFormula>
    </tableColumn>
    <tableColumn id="46" name="MALI AAC" dataDxfId="150" dataCellStyle="Monétaire">
      <calculatedColumnFormula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calculatedColumnFormula>
    </tableColumn>
    <tableColumn id="44" name="NOMBRE DOSSIER BONI AAC" dataDxfId="149">
      <calculatedColumnFormula>IF(PORTEFEUILLE_SEBASTIEN[[#This Row],[BONI AAC]]&lt;&gt;0,1,"")</calculatedColumnFormula>
    </tableColumn>
    <tableColumn id="35" name="NBRE DOSSIER MALI AAC" dataDxfId="148">
      <calculatedColumnFormula>IF(PORTEFEUILLE_SEBASTIEN[[#This Row],[MALI AAC]]&lt;&gt;0,1,"")</calculatedColumnFormula>
    </tableColumn>
    <tableColumn id="24" name="BONI COMPTABLE" dataDxfId="147" dataCellStyle="Monétaire">
      <calculatedColumnFormula>IF(AP3&lt;&gt;"",IF((AP3*Paramètres!$H$4)-PORTEFEUILLE_SEBASTIEN[[#This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€]]-(DELPHINE!AP3*Paramètres!$H$4),0),0)</calculatedColumnFormula>
    </tableColumn>
    <tableColumn id="25" name="MALI COMPTABLE" dataDxfId="146" dataCellStyle="Monétaire">
      <calculatedColumnFormula>IF(AP3&lt;&gt;"",IF(((AP3*Paramètres!$H$4)-PORTEFEUILLE_SEBASTIEN[[#This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calculatedColumnFormula>
    </tableColumn>
    <tableColumn id="53" name="NOMBRE DOSSIER BONI COMPTABLE" dataDxfId="145">
      <calculatedColumnFormula>IF(PORTEFEUILLE_SEBASTIEN[[#This Row],[BONI COMPTABLE]]&lt;&gt;0,1,"")</calculatedColumnFormula>
    </tableColumn>
    <tableColumn id="52" name="NOMBRE DE DOSSIER MALI COMPTABLE" dataDxfId="144">
      <calculatedColumnFormula>IF(PORTEFEUILLE_SEBASTIEN[[#This Row],[MALI COMPTABLE]]&lt;&gt;0,1,"")</calculatedColumnFormula>
    </tableColumn>
    <tableColumn id="26" name="GRILLE ENJEUX" dataDxfId="143"/>
    <tableColumn id="27" name="Visa_x000a_Validé_x000a_enjeu 4 ou attestation enjeu" dataDxfId="142"/>
    <tableColumn id="28" name="VISA VCOMPTA" dataDxfId="141"/>
    <tableColumn id="29" name="REFUS" dataDxfId="140"/>
    <tableColumn id="30" name="MOTIF" dataDxfId="139"/>
    <tableColumn id="31" name="COMMENTAIRES" dataDxfId="138"/>
    <tableColumn id="32" name="Attestation_x000a_à faire signer par l'EC" dataDxfId="137"/>
    <tableColumn id="49" name="MISE EN PLACE SCAN BY CERFRANCE" dataDxfId="136"/>
    <tableColumn id="50" name="PRENOM PERSONNE AYANT DEPLOYEE SCAN BY CERFRANCE" dataDxfId="135"/>
    <tableColumn id="51" name="PICKING" dataDxfId="134"/>
    <tableColumn id="58" name="EDI" dataDxfId="133"/>
    <tableColumn id="62" name="Colonne1" dataDxfId="13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5" name="PORTEFEUILLE_AUTRE_COMPTABLE" displayName="PORTEFEUILLE_AUTRE_COMPTABLE" ref="A2:BK60" totalsRowShown="0" headerRowDxfId="131" dataDxfId="130" tableBorderDxfId="129" headerRowCellStyle="Normal 16">
  <autoFilter ref="A2:BK60"/>
  <tableColumns count="63">
    <tableColumn id="48" name="PRENOM DU COMPTABLE" dataDxfId="128"/>
    <tableColumn id="1" name="N° DOSSIER" dataDxfId="127"/>
    <tableColumn id="2" name="NOM DOSSIER" dataDxfId="126"/>
    <tableColumn id="3" name="TYPE DE MARCHE" dataDxfId="125"/>
    <tableColumn id="4" name="DATE DE CLOTURE" dataDxfId="124"/>
    <tableColumn id="5" name="REGIME JURIDIQUE" dataDxfId="123"/>
    <tableColumn id="6" name="REGIME IMPOSITION" dataDxfId="122"/>
    <tableColumn id="56" name="DECLARATION DE TVA" dataDxfId="121"/>
    <tableColumn id="7" name="DATE_x000a_DE DEPOT" dataDxfId="120"/>
    <tableColumn id="8" name="DATE SIGNATURE" dataDxfId="119"/>
    <tableColumn id="9" name="MOIS" dataDxfId="118">
      <calculatedColumnFormula>IF(I3="","",MONTH(I3))</calculatedColumnFormula>
    </tableColumn>
    <tableColumn id="10" name="DELAI" dataDxfId="117">
      <calculatedColumnFormula>IF(I3="","",DAYS360(E3,I3))</calculatedColumnFormula>
    </tableColumn>
    <tableColumn id="11" name="PCR" dataDxfId="116"/>
    <tableColumn id="12" name="RA NOS" dataDxfId="115"/>
    <tableColumn id="13" name="QUI " dataDxfId="114"/>
    <tableColumn id="14" name="CR" dataDxfId="113"/>
    <tableColumn id="15" name="CR FAIT PAR LE COMPTABLE" dataDxfId="112"/>
    <tableColumn id="16" name="AG_x000a_SIGNEE" dataDxfId="111"/>
    <tableColumn id="17" name="PCR COMPTABLE €" dataDxfId="110" dataCellStyle="Monétaire"/>
    <tableColumn id="18" name="PCR CONSEILLER €" dataDxfId="109"/>
    <tableColumn id="19" name="RA FAIT PAR LE_x000a_COMPTABLE €" dataDxfId="108" dataCellStyle="Monétaire"/>
    <tableColumn id="41" name="RA FAITE PAR LE CONSEILLER €" dataDxfId="107" dataCellStyle="Monétaire"/>
    <tableColumn id="21" name="POINT DE PILOTAGE €" dataDxfId="106" dataCellStyle="Monétaire"/>
    <tableColumn id="20" name="AGOA COMPTABLE €" dataDxfId="105" dataCellStyle="Monétaire"/>
    <tableColumn id="59" name="AGOA CONSEILLER €" dataDxfId="104" dataCellStyle="Monétaire"/>
    <tableColumn id="60" name="VISA JURIDIQUE €" dataDxfId="103" dataCellStyle="Monétaire"/>
    <tableColumn id="38" name="SAISIE PAR UNE AAC €" dataDxfId="102" dataCellStyle="Monétaire"/>
    <tableColumn id="43" name="SAISIE PAR LE COMPTABLE €" dataDxfId="101" dataCellStyle="Monétaire"/>
    <tableColumn id="39" name="TRAVAUX _x000a_DE REVISION €" dataDxfId="100" dataCellStyle="Monétaire"/>
    <tableColumn id="42" name="DECLARATION TVA AAC €" dataDxfId="99" dataCellStyle="Monétaire"/>
    <tableColumn id="45" name="DECLARATION TVA COMPTABLE €" dataDxfId="98" dataCellStyle="Monétaire"/>
    <tableColumn id="40" name="MONTANT_x000a_RESPONSABLE RELATION CLIENT €" dataDxfId="97" dataCellStyle="Monétaire"/>
    <tableColumn id="33" name="MONTANT TOTAL LETTRE DE MISION €" dataDxfId="96" dataCellStyle="Monétaire">
      <calculatedColumnFormula>SUM(PORTEFEUILLE_AUTRE_COMPTABLE[[#This Row],[PCR COMPTABLE €]:[MONTANT
RESPONSABLE RELATION CLIENT €]])</calculatedColumnFormula>
    </tableColumn>
    <tableColumn id="34" name="ECART DE SAISE avec LETTRE DE MISSION €" dataDxfId="95" dataCellStyle="Monétaire">
      <calculatedColumnFormula>SUM(PORTEFEUILLE_AUTRE_COMPTABLE[[#This Row],[PCR COMPTABLE €]:[MONTANT
RESPONSABLE RELATION CLIENT €]])-PORTEFEUILLE_AUTRE_COMPTABLE[[#This Row],[MONTANT TOTAL LETTRE DE MISION €]]</calculatedColumnFormula>
    </tableColumn>
    <tableColumn id="22" name="Prénom_x000a_AAC" dataDxfId="94"/>
    <tableColumn id="36" name="PRENOM CONSEILLER" dataDxfId="93"/>
    <tableColumn id="57" name="PRENOM REALISATION TVA" dataDxfId="92"/>
    <tableColumn id="63" name="DECLARATION DES REVENUS" dataDxfId="91"/>
    <tableColumn id="61" name="NOMBRE DE DECLARATION" dataDxfId="90"/>
    <tableColumn id="54" name="ABONNE COURT _x000a_ABONNE LONG" dataDxfId="89"/>
    <tableColumn id="55" name="RECONDUCTION AUTOMATIQUE OS" dataDxfId="88"/>
    <tableColumn id="23" name="TPS PASSE_x000a_COMPTABLE H_x000a_" dataDxfId="87"/>
    <tableColumn id="37" name="TPS PASSE _x000a_AAC H" dataDxfId="86"/>
    <tableColumn id="47" name="BONI AAC" dataDxfId="85" dataCellStyle="Monétaire">
      <calculatedColumnFormula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calculatedColumnFormula>
    </tableColumn>
    <tableColumn id="46" name="MALI AAC" dataDxfId="84" dataCellStyle="Monétaire">
      <calculatedColumnFormula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calculatedColumnFormula>
    </tableColumn>
    <tableColumn id="44" name="NOMBRE DOSSIER BONI AAC" dataDxfId="83">
      <calculatedColumnFormula>IF(PORTEFEUILLE_AUTRE_COMPTABLE[[#This Row],[BONI AAC]]&lt;&gt;0,1,"")</calculatedColumnFormula>
    </tableColumn>
    <tableColumn id="35" name="NBRE DOSSIER MALI AAC" dataDxfId="82">
      <calculatedColumnFormula>IF(PORTEFEUILLE_AUTRE_COMPTABLE[[#This Row],[MALI AAC]]&lt;&gt;0,1,"")</calculatedColumnFormula>
    </tableColumn>
    <tableColumn id="24" name="BONI COMPTABLE" dataDxfId="81" dataCellStyle="Monétaire">
      <calculatedColumnFormula>IF(AP3&lt;&gt;"",IF((AP3*Paramètres!$H$4)-PORTEFEUILLE_AUTRE_COMPTABLE[[#This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€]]-(DELPHINE!AP3*Paramètres!$H$4),0),0)</calculatedColumnFormula>
    </tableColumn>
    <tableColumn id="25" name="MALI COMPTABLE" dataDxfId="80" dataCellStyle="Monétaire">
      <calculatedColumnFormula>IF(AP3&lt;&gt;"",IF(((AP3*Paramètres!$H$4)-PORTEFEUILLE_AUTRE_COMPTABLE[[#This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calculatedColumnFormula>
    </tableColumn>
    <tableColumn id="53" name="NOMBRE DOSSIER BONI COMPTABLE" dataDxfId="79">
      <calculatedColumnFormula>IF(PORTEFEUILLE_AUTRE_COMPTABLE[[#This Row],[BONI COMPTABLE]]&lt;&gt;0,1,"")</calculatedColumnFormula>
    </tableColumn>
    <tableColumn id="52" name="NOMBRE DE DOSSIER MALI COMPTABLE" dataDxfId="78">
      <calculatedColumnFormula>IF(PORTEFEUILLE_AUTRE_COMPTABLE[[#This Row],[MALI COMPTABLE]]&lt;&gt;0,1,"")</calculatedColumnFormula>
    </tableColumn>
    <tableColumn id="26" name="GRILLE ENJEUX" dataDxfId="77"/>
    <tableColumn id="27" name="Visa_x000a_Validé_x000a_enjeu 4 ou attestation enjeu" dataDxfId="76"/>
    <tableColumn id="28" name="VISA VCOMPTA" dataDxfId="75"/>
    <tableColumn id="29" name="REFUS" dataDxfId="74"/>
    <tableColumn id="30" name="MOTIF" dataDxfId="73"/>
    <tableColumn id="31" name="COMMENTAIRES" dataDxfId="72"/>
    <tableColumn id="32" name="Attestation_x000a_à faire signer par l'EC" dataDxfId="71"/>
    <tableColumn id="49" name="MISE EN PLACE SCAN BY CERFRANCE" dataDxfId="70"/>
    <tableColumn id="50" name="PRENOM PERSONNE AYANT DEPLOYEE SCAN BY CERFRANCE" dataDxfId="69"/>
    <tableColumn id="51" name="PICKING" dataDxfId="68"/>
    <tableColumn id="58" name="EDI" dataDxfId="67"/>
    <tableColumn id="62" name="Colonne1" dataDxfId="6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AD20"/>
  <sheetViews>
    <sheetView zoomScale="115" zoomScaleNormal="115" workbookViewId="0">
      <pane xSplit="1" ySplit="6" topLeftCell="B7" activePane="bottomRight" state="frozen"/>
      <selection pane="topRight" activeCell="C1" sqref="C1"/>
      <selection pane="bottomLeft" activeCell="A7" sqref="A7"/>
      <selection pane="bottomRight" activeCell="D12" sqref="D12"/>
    </sheetView>
  </sheetViews>
  <sheetFormatPr baseColWidth="10" defaultRowHeight="15" x14ac:dyDescent="0.25"/>
  <cols>
    <col min="2" max="2" width="14" bestFit="1" customWidth="1"/>
    <col min="3" max="3" width="13.140625" customWidth="1"/>
    <col min="4" max="4" width="14.85546875" customWidth="1"/>
    <col min="6" max="6" width="15.140625" bestFit="1" customWidth="1"/>
    <col min="7" max="7" width="19.28515625" bestFit="1" customWidth="1"/>
    <col min="8" max="8" width="8.28515625" bestFit="1" customWidth="1"/>
    <col min="9" max="9" width="4.85546875" bestFit="1" customWidth="1"/>
    <col min="10" max="10" width="13.28515625" customWidth="1"/>
    <col min="11" max="11" width="9.7109375" customWidth="1"/>
    <col min="12" max="12" width="11.85546875" customWidth="1"/>
    <col min="13" max="13" width="12.5703125" bestFit="1" customWidth="1"/>
    <col min="14" max="14" width="19.28515625" bestFit="1" customWidth="1"/>
    <col min="15" max="15" width="8.28515625" bestFit="1" customWidth="1"/>
    <col min="16" max="16" width="4.85546875" bestFit="1" customWidth="1"/>
    <col min="17" max="17" width="12" customWidth="1"/>
    <col min="18" max="18" width="8.28515625" customWidth="1"/>
    <col min="19" max="19" width="11.140625" customWidth="1"/>
    <col min="20" max="21" width="11.7109375" bestFit="1" customWidth="1"/>
    <col min="22" max="22" width="17.28515625" bestFit="1" customWidth="1"/>
    <col min="23" max="23" width="17.28515625" customWidth="1"/>
    <col min="24" max="24" width="13.7109375" bestFit="1" customWidth="1"/>
    <col min="25" max="25" width="25.140625" bestFit="1" customWidth="1"/>
    <col min="26" max="26" width="15.140625" bestFit="1" customWidth="1"/>
    <col min="27" max="27" width="21" bestFit="1" customWidth="1"/>
    <col min="258" max="258" width="14" bestFit="1" customWidth="1"/>
    <col min="259" max="259" width="13.140625" customWidth="1"/>
    <col min="260" max="260" width="14.85546875" customWidth="1"/>
    <col min="262" max="262" width="15.140625" bestFit="1" customWidth="1"/>
    <col min="263" max="263" width="19.28515625" bestFit="1" customWidth="1"/>
    <col min="264" max="264" width="8.28515625" bestFit="1" customWidth="1"/>
    <col min="265" max="265" width="4.85546875" bestFit="1" customWidth="1"/>
    <col min="266" max="266" width="13.28515625" customWidth="1"/>
    <col min="267" max="267" width="9.7109375" customWidth="1"/>
    <col min="268" max="268" width="11.85546875" customWidth="1"/>
    <col min="269" max="269" width="12.5703125" bestFit="1" customWidth="1"/>
    <col min="270" max="270" width="19.28515625" bestFit="1" customWidth="1"/>
    <col min="271" max="271" width="8.28515625" bestFit="1" customWidth="1"/>
    <col min="272" max="272" width="4.85546875" bestFit="1" customWidth="1"/>
    <col min="273" max="273" width="12" customWidth="1"/>
    <col min="274" max="274" width="8.28515625" customWidth="1"/>
    <col min="275" max="275" width="11.140625" customWidth="1"/>
    <col min="276" max="277" width="11.7109375" bestFit="1" customWidth="1"/>
    <col min="278" max="278" width="17.28515625" bestFit="1" customWidth="1"/>
    <col min="279" max="279" width="17.28515625" customWidth="1"/>
    <col min="280" max="280" width="13.7109375" bestFit="1" customWidth="1"/>
    <col min="281" max="281" width="25.140625" bestFit="1" customWidth="1"/>
    <col min="282" max="282" width="15.140625" bestFit="1" customWidth="1"/>
    <col min="283" max="283" width="21" bestFit="1" customWidth="1"/>
    <col min="514" max="514" width="14" bestFit="1" customWidth="1"/>
    <col min="515" max="515" width="13.140625" customWidth="1"/>
    <col min="516" max="516" width="14.85546875" customWidth="1"/>
    <col min="518" max="518" width="15.140625" bestFit="1" customWidth="1"/>
    <col min="519" max="519" width="19.28515625" bestFit="1" customWidth="1"/>
    <col min="520" max="520" width="8.28515625" bestFit="1" customWidth="1"/>
    <col min="521" max="521" width="4.85546875" bestFit="1" customWidth="1"/>
    <col min="522" max="522" width="13.28515625" customWidth="1"/>
    <col min="523" max="523" width="9.7109375" customWidth="1"/>
    <col min="524" max="524" width="11.85546875" customWidth="1"/>
    <col min="525" max="525" width="12.5703125" bestFit="1" customWidth="1"/>
    <col min="526" max="526" width="19.28515625" bestFit="1" customWidth="1"/>
    <col min="527" max="527" width="8.28515625" bestFit="1" customWidth="1"/>
    <col min="528" max="528" width="4.85546875" bestFit="1" customWidth="1"/>
    <col min="529" max="529" width="12" customWidth="1"/>
    <col min="530" max="530" width="8.28515625" customWidth="1"/>
    <col min="531" max="531" width="11.140625" customWidth="1"/>
    <col min="532" max="533" width="11.7109375" bestFit="1" customWidth="1"/>
    <col min="534" max="534" width="17.28515625" bestFit="1" customWidth="1"/>
    <col min="535" max="535" width="17.28515625" customWidth="1"/>
    <col min="536" max="536" width="13.7109375" bestFit="1" customWidth="1"/>
    <col min="537" max="537" width="25.140625" bestFit="1" customWidth="1"/>
    <col min="538" max="538" width="15.140625" bestFit="1" customWidth="1"/>
    <col min="539" max="539" width="21" bestFit="1" customWidth="1"/>
    <col min="770" max="770" width="14" bestFit="1" customWidth="1"/>
    <col min="771" max="771" width="13.140625" customWidth="1"/>
    <col min="772" max="772" width="14.85546875" customWidth="1"/>
    <col min="774" max="774" width="15.140625" bestFit="1" customWidth="1"/>
    <col min="775" max="775" width="19.28515625" bestFit="1" customWidth="1"/>
    <col min="776" max="776" width="8.28515625" bestFit="1" customWidth="1"/>
    <col min="777" max="777" width="4.85546875" bestFit="1" customWidth="1"/>
    <col min="778" max="778" width="13.28515625" customWidth="1"/>
    <col min="779" max="779" width="9.7109375" customWidth="1"/>
    <col min="780" max="780" width="11.85546875" customWidth="1"/>
    <col min="781" max="781" width="12.5703125" bestFit="1" customWidth="1"/>
    <col min="782" max="782" width="19.28515625" bestFit="1" customWidth="1"/>
    <col min="783" max="783" width="8.28515625" bestFit="1" customWidth="1"/>
    <col min="784" max="784" width="4.85546875" bestFit="1" customWidth="1"/>
    <col min="785" max="785" width="12" customWidth="1"/>
    <col min="786" max="786" width="8.28515625" customWidth="1"/>
    <col min="787" max="787" width="11.140625" customWidth="1"/>
    <col min="788" max="789" width="11.7109375" bestFit="1" customWidth="1"/>
    <col min="790" max="790" width="17.28515625" bestFit="1" customWidth="1"/>
    <col min="791" max="791" width="17.28515625" customWidth="1"/>
    <col min="792" max="792" width="13.7109375" bestFit="1" customWidth="1"/>
    <col min="793" max="793" width="25.140625" bestFit="1" customWidth="1"/>
    <col min="794" max="794" width="15.140625" bestFit="1" customWidth="1"/>
    <col min="795" max="795" width="21" bestFit="1" customWidth="1"/>
    <col min="1026" max="1026" width="14" bestFit="1" customWidth="1"/>
    <col min="1027" max="1027" width="13.140625" customWidth="1"/>
    <col min="1028" max="1028" width="14.85546875" customWidth="1"/>
    <col min="1030" max="1030" width="15.140625" bestFit="1" customWidth="1"/>
    <col min="1031" max="1031" width="19.28515625" bestFit="1" customWidth="1"/>
    <col min="1032" max="1032" width="8.28515625" bestFit="1" customWidth="1"/>
    <col min="1033" max="1033" width="4.85546875" bestFit="1" customWidth="1"/>
    <col min="1034" max="1034" width="13.28515625" customWidth="1"/>
    <col min="1035" max="1035" width="9.7109375" customWidth="1"/>
    <col min="1036" max="1036" width="11.85546875" customWidth="1"/>
    <col min="1037" max="1037" width="12.5703125" bestFit="1" customWidth="1"/>
    <col min="1038" max="1038" width="19.28515625" bestFit="1" customWidth="1"/>
    <col min="1039" max="1039" width="8.28515625" bestFit="1" customWidth="1"/>
    <col min="1040" max="1040" width="4.85546875" bestFit="1" customWidth="1"/>
    <col min="1041" max="1041" width="12" customWidth="1"/>
    <col min="1042" max="1042" width="8.28515625" customWidth="1"/>
    <col min="1043" max="1043" width="11.140625" customWidth="1"/>
    <col min="1044" max="1045" width="11.7109375" bestFit="1" customWidth="1"/>
    <col min="1046" max="1046" width="17.28515625" bestFit="1" customWidth="1"/>
    <col min="1047" max="1047" width="17.28515625" customWidth="1"/>
    <col min="1048" max="1048" width="13.7109375" bestFit="1" customWidth="1"/>
    <col min="1049" max="1049" width="25.140625" bestFit="1" customWidth="1"/>
    <col min="1050" max="1050" width="15.140625" bestFit="1" customWidth="1"/>
    <col min="1051" max="1051" width="21" bestFit="1" customWidth="1"/>
    <col min="1282" max="1282" width="14" bestFit="1" customWidth="1"/>
    <col min="1283" max="1283" width="13.140625" customWidth="1"/>
    <col min="1284" max="1284" width="14.85546875" customWidth="1"/>
    <col min="1286" max="1286" width="15.140625" bestFit="1" customWidth="1"/>
    <col min="1287" max="1287" width="19.28515625" bestFit="1" customWidth="1"/>
    <col min="1288" max="1288" width="8.28515625" bestFit="1" customWidth="1"/>
    <col min="1289" max="1289" width="4.85546875" bestFit="1" customWidth="1"/>
    <col min="1290" max="1290" width="13.28515625" customWidth="1"/>
    <col min="1291" max="1291" width="9.7109375" customWidth="1"/>
    <col min="1292" max="1292" width="11.85546875" customWidth="1"/>
    <col min="1293" max="1293" width="12.5703125" bestFit="1" customWidth="1"/>
    <col min="1294" max="1294" width="19.28515625" bestFit="1" customWidth="1"/>
    <col min="1295" max="1295" width="8.28515625" bestFit="1" customWidth="1"/>
    <col min="1296" max="1296" width="4.85546875" bestFit="1" customWidth="1"/>
    <col min="1297" max="1297" width="12" customWidth="1"/>
    <col min="1298" max="1298" width="8.28515625" customWidth="1"/>
    <col min="1299" max="1299" width="11.140625" customWidth="1"/>
    <col min="1300" max="1301" width="11.7109375" bestFit="1" customWidth="1"/>
    <col min="1302" max="1302" width="17.28515625" bestFit="1" customWidth="1"/>
    <col min="1303" max="1303" width="17.28515625" customWidth="1"/>
    <col min="1304" max="1304" width="13.7109375" bestFit="1" customWidth="1"/>
    <col min="1305" max="1305" width="25.140625" bestFit="1" customWidth="1"/>
    <col min="1306" max="1306" width="15.140625" bestFit="1" customWidth="1"/>
    <col min="1307" max="1307" width="21" bestFit="1" customWidth="1"/>
    <col min="1538" max="1538" width="14" bestFit="1" customWidth="1"/>
    <col min="1539" max="1539" width="13.140625" customWidth="1"/>
    <col min="1540" max="1540" width="14.85546875" customWidth="1"/>
    <col min="1542" max="1542" width="15.140625" bestFit="1" customWidth="1"/>
    <col min="1543" max="1543" width="19.28515625" bestFit="1" customWidth="1"/>
    <col min="1544" max="1544" width="8.28515625" bestFit="1" customWidth="1"/>
    <col min="1545" max="1545" width="4.85546875" bestFit="1" customWidth="1"/>
    <col min="1546" max="1546" width="13.28515625" customWidth="1"/>
    <col min="1547" max="1547" width="9.7109375" customWidth="1"/>
    <col min="1548" max="1548" width="11.85546875" customWidth="1"/>
    <col min="1549" max="1549" width="12.5703125" bestFit="1" customWidth="1"/>
    <col min="1550" max="1550" width="19.28515625" bestFit="1" customWidth="1"/>
    <col min="1551" max="1551" width="8.28515625" bestFit="1" customWidth="1"/>
    <col min="1552" max="1552" width="4.85546875" bestFit="1" customWidth="1"/>
    <col min="1553" max="1553" width="12" customWidth="1"/>
    <col min="1554" max="1554" width="8.28515625" customWidth="1"/>
    <col min="1555" max="1555" width="11.140625" customWidth="1"/>
    <col min="1556" max="1557" width="11.7109375" bestFit="1" customWidth="1"/>
    <col min="1558" max="1558" width="17.28515625" bestFit="1" customWidth="1"/>
    <col min="1559" max="1559" width="17.28515625" customWidth="1"/>
    <col min="1560" max="1560" width="13.7109375" bestFit="1" customWidth="1"/>
    <col min="1561" max="1561" width="25.140625" bestFit="1" customWidth="1"/>
    <col min="1562" max="1562" width="15.140625" bestFit="1" customWidth="1"/>
    <col min="1563" max="1563" width="21" bestFit="1" customWidth="1"/>
    <col min="1794" max="1794" width="14" bestFit="1" customWidth="1"/>
    <col min="1795" max="1795" width="13.140625" customWidth="1"/>
    <col min="1796" max="1796" width="14.85546875" customWidth="1"/>
    <col min="1798" max="1798" width="15.140625" bestFit="1" customWidth="1"/>
    <col min="1799" max="1799" width="19.28515625" bestFit="1" customWidth="1"/>
    <col min="1800" max="1800" width="8.28515625" bestFit="1" customWidth="1"/>
    <col min="1801" max="1801" width="4.85546875" bestFit="1" customWidth="1"/>
    <col min="1802" max="1802" width="13.28515625" customWidth="1"/>
    <col min="1803" max="1803" width="9.7109375" customWidth="1"/>
    <col min="1804" max="1804" width="11.85546875" customWidth="1"/>
    <col min="1805" max="1805" width="12.5703125" bestFit="1" customWidth="1"/>
    <col min="1806" max="1806" width="19.28515625" bestFit="1" customWidth="1"/>
    <col min="1807" max="1807" width="8.28515625" bestFit="1" customWidth="1"/>
    <col min="1808" max="1808" width="4.85546875" bestFit="1" customWidth="1"/>
    <col min="1809" max="1809" width="12" customWidth="1"/>
    <col min="1810" max="1810" width="8.28515625" customWidth="1"/>
    <col min="1811" max="1811" width="11.140625" customWidth="1"/>
    <col min="1812" max="1813" width="11.7109375" bestFit="1" customWidth="1"/>
    <col min="1814" max="1814" width="17.28515625" bestFit="1" customWidth="1"/>
    <col min="1815" max="1815" width="17.28515625" customWidth="1"/>
    <col min="1816" max="1816" width="13.7109375" bestFit="1" customWidth="1"/>
    <col min="1817" max="1817" width="25.140625" bestFit="1" customWidth="1"/>
    <col min="1818" max="1818" width="15.140625" bestFit="1" customWidth="1"/>
    <col min="1819" max="1819" width="21" bestFit="1" customWidth="1"/>
    <col min="2050" max="2050" width="14" bestFit="1" customWidth="1"/>
    <col min="2051" max="2051" width="13.140625" customWidth="1"/>
    <col min="2052" max="2052" width="14.85546875" customWidth="1"/>
    <col min="2054" max="2054" width="15.140625" bestFit="1" customWidth="1"/>
    <col min="2055" max="2055" width="19.28515625" bestFit="1" customWidth="1"/>
    <col min="2056" max="2056" width="8.28515625" bestFit="1" customWidth="1"/>
    <col min="2057" max="2057" width="4.85546875" bestFit="1" customWidth="1"/>
    <col min="2058" max="2058" width="13.28515625" customWidth="1"/>
    <col min="2059" max="2059" width="9.7109375" customWidth="1"/>
    <col min="2060" max="2060" width="11.85546875" customWidth="1"/>
    <col min="2061" max="2061" width="12.5703125" bestFit="1" customWidth="1"/>
    <col min="2062" max="2062" width="19.28515625" bestFit="1" customWidth="1"/>
    <col min="2063" max="2063" width="8.28515625" bestFit="1" customWidth="1"/>
    <col min="2064" max="2064" width="4.85546875" bestFit="1" customWidth="1"/>
    <col min="2065" max="2065" width="12" customWidth="1"/>
    <col min="2066" max="2066" width="8.28515625" customWidth="1"/>
    <col min="2067" max="2067" width="11.140625" customWidth="1"/>
    <col min="2068" max="2069" width="11.7109375" bestFit="1" customWidth="1"/>
    <col min="2070" max="2070" width="17.28515625" bestFit="1" customWidth="1"/>
    <col min="2071" max="2071" width="17.28515625" customWidth="1"/>
    <col min="2072" max="2072" width="13.7109375" bestFit="1" customWidth="1"/>
    <col min="2073" max="2073" width="25.140625" bestFit="1" customWidth="1"/>
    <col min="2074" max="2074" width="15.140625" bestFit="1" customWidth="1"/>
    <col min="2075" max="2075" width="21" bestFit="1" customWidth="1"/>
    <col min="2306" max="2306" width="14" bestFit="1" customWidth="1"/>
    <col min="2307" max="2307" width="13.140625" customWidth="1"/>
    <col min="2308" max="2308" width="14.85546875" customWidth="1"/>
    <col min="2310" max="2310" width="15.140625" bestFit="1" customWidth="1"/>
    <col min="2311" max="2311" width="19.28515625" bestFit="1" customWidth="1"/>
    <col min="2312" max="2312" width="8.28515625" bestFit="1" customWidth="1"/>
    <col min="2313" max="2313" width="4.85546875" bestFit="1" customWidth="1"/>
    <col min="2314" max="2314" width="13.28515625" customWidth="1"/>
    <col min="2315" max="2315" width="9.7109375" customWidth="1"/>
    <col min="2316" max="2316" width="11.85546875" customWidth="1"/>
    <col min="2317" max="2317" width="12.5703125" bestFit="1" customWidth="1"/>
    <col min="2318" max="2318" width="19.28515625" bestFit="1" customWidth="1"/>
    <col min="2319" max="2319" width="8.28515625" bestFit="1" customWidth="1"/>
    <col min="2320" max="2320" width="4.85546875" bestFit="1" customWidth="1"/>
    <col min="2321" max="2321" width="12" customWidth="1"/>
    <col min="2322" max="2322" width="8.28515625" customWidth="1"/>
    <col min="2323" max="2323" width="11.140625" customWidth="1"/>
    <col min="2324" max="2325" width="11.7109375" bestFit="1" customWidth="1"/>
    <col min="2326" max="2326" width="17.28515625" bestFit="1" customWidth="1"/>
    <col min="2327" max="2327" width="17.28515625" customWidth="1"/>
    <col min="2328" max="2328" width="13.7109375" bestFit="1" customWidth="1"/>
    <col min="2329" max="2329" width="25.140625" bestFit="1" customWidth="1"/>
    <col min="2330" max="2330" width="15.140625" bestFit="1" customWidth="1"/>
    <col min="2331" max="2331" width="21" bestFit="1" customWidth="1"/>
    <col min="2562" max="2562" width="14" bestFit="1" customWidth="1"/>
    <col min="2563" max="2563" width="13.140625" customWidth="1"/>
    <col min="2564" max="2564" width="14.85546875" customWidth="1"/>
    <col min="2566" max="2566" width="15.140625" bestFit="1" customWidth="1"/>
    <col min="2567" max="2567" width="19.28515625" bestFit="1" customWidth="1"/>
    <col min="2568" max="2568" width="8.28515625" bestFit="1" customWidth="1"/>
    <col min="2569" max="2569" width="4.85546875" bestFit="1" customWidth="1"/>
    <col min="2570" max="2570" width="13.28515625" customWidth="1"/>
    <col min="2571" max="2571" width="9.7109375" customWidth="1"/>
    <col min="2572" max="2572" width="11.85546875" customWidth="1"/>
    <col min="2573" max="2573" width="12.5703125" bestFit="1" customWidth="1"/>
    <col min="2574" max="2574" width="19.28515625" bestFit="1" customWidth="1"/>
    <col min="2575" max="2575" width="8.28515625" bestFit="1" customWidth="1"/>
    <col min="2576" max="2576" width="4.85546875" bestFit="1" customWidth="1"/>
    <col min="2577" max="2577" width="12" customWidth="1"/>
    <col min="2578" max="2578" width="8.28515625" customWidth="1"/>
    <col min="2579" max="2579" width="11.140625" customWidth="1"/>
    <col min="2580" max="2581" width="11.7109375" bestFit="1" customWidth="1"/>
    <col min="2582" max="2582" width="17.28515625" bestFit="1" customWidth="1"/>
    <col min="2583" max="2583" width="17.28515625" customWidth="1"/>
    <col min="2584" max="2584" width="13.7109375" bestFit="1" customWidth="1"/>
    <col min="2585" max="2585" width="25.140625" bestFit="1" customWidth="1"/>
    <col min="2586" max="2586" width="15.140625" bestFit="1" customWidth="1"/>
    <col min="2587" max="2587" width="21" bestFit="1" customWidth="1"/>
    <col min="2818" max="2818" width="14" bestFit="1" customWidth="1"/>
    <col min="2819" max="2819" width="13.140625" customWidth="1"/>
    <col min="2820" max="2820" width="14.85546875" customWidth="1"/>
    <col min="2822" max="2822" width="15.140625" bestFit="1" customWidth="1"/>
    <col min="2823" max="2823" width="19.28515625" bestFit="1" customWidth="1"/>
    <col min="2824" max="2824" width="8.28515625" bestFit="1" customWidth="1"/>
    <col min="2825" max="2825" width="4.85546875" bestFit="1" customWidth="1"/>
    <col min="2826" max="2826" width="13.28515625" customWidth="1"/>
    <col min="2827" max="2827" width="9.7109375" customWidth="1"/>
    <col min="2828" max="2828" width="11.85546875" customWidth="1"/>
    <col min="2829" max="2829" width="12.5703125" bestFit="1" customWidth="1"/>
    <col min="2830" max="2830" width="19.28515625" bestFit="1" customWidth="1"/>
    <col min="2831" max="2831" width="8.28515625" bestFit="1" customWidth="1"/>
    <col min="2832" max="2832" width="4.85546875" bestFit="1" customWidth="1"/>
    <col min="2833" max="2833" width="12" customWidth="1"/>
    <col min="2834" max="2834" width="8.28515625" customWidth="1"/>
    <col min="2835" max="2835" width="11.140625" customWidth="1"/>
    <col min="2836" max="2837" width="11.7109375" bestFit="1" customWidth="1"/>
    <col min="2838" max="2838" width="17.28515625" bestFit="1" customWidth="1"/>
    <col min="2839" max="2839" width="17.28515625" customWidth="1"/>
    <col min="2840" max="2840" width="13.7109375" bestFit="1" customWidth="1"/>
    <col min="2841" max="2841" width="25.140625" bestFit="1" customWidth="1"/>
    <col min="2842" max="2842" width="15.140625" bestFit="1" customWidth="1"/>
    <col min="2843" max="2843" width="21" bestFit="1" customWidth="1"/>
    <col min="3074" max="3074" width="14" bestFit="1" customWidth="1"/>
    <col min="3075" max="3075" width="13.140625" customWidth="1"/>
    <col min="3076" max="3076" width="14.85546875" customWidth="1"/>
    <col min="3078" max="3078" width="15.140625" bestFit="1" customWidth="1"/>
    <col min="3079" max="3079" width="19.28515625" bestFit="1" customWidth="1"/>
    <col min="3080" max="3080" width="8.28515625" bestFit="1" customWidth="1"/>
    <col min="3081" max="3081" width="4.85546875" bestFit="1" customWidth="1"/>
    <col min="3082" max="3082" width="13.28515625" customWidth="1"/>
    <col min="3083" max="3083" width="9.7109375" customWidth="1"/>
    <col min="3084" max="3084" width="11.85546875" customWidth="1"/>
    <col min="3085" max="3085" width="12.5703125" bestFit="1" customWidth="1"/>
    <col min="3086" max="3086" width="19.28515625" bestFit="1" customWidth="1"/>
    <col min="3087" max="3087" width="8.28515625" bestFit="1" customWidth="1"/>
    <col min="3088" max="3088" width="4.85546875" bestFit="1" customWidth="1"/>
    <col min="3089" max="3089" width="12" customWidth="1"/>
    <col min="3090" max="3090" width="8.28515625" customWidth="1"/>
    <col min="3091" max="3091" width="11.140625" customWidth="1"/>
    <col min="3092" max="3093" width="11.7109375" bestFit="1" customWidth="1"/>
    <col min="3094" max="3094" width="17.28515625" bestFit="1" customWidth="1"/>
    <col min="3095" max="3095" width="17.28515625" customWidth="1"/>
    <col min="3096" max="3096" width="13.7109375" bestFit="1" customWidth="1"/>
    <col min="3097" max="3097" width="25.140625" bestFit="1" customWidth="1"/>
    <col min="3098" max="3098" width="15.140625" bestFit="1" customWidth="1"/>
    <col min="3099" max="3099" width="21" bestFit="1" customWidth="1"/>
    <col min="3330" max="3330" width="14" bestFit="1" customWidth="1"/>
    <col min="3331" max="3331" width="13.140625" customWidth="1"/>
    <col min="3332" max="3332" width="14.85546875" customWidth="1"/>
    <col min="3334" max="3334" width="15.140625" bestFit="1" customWidth="1"/>
    <col min="3335" max="3335" width="19.28515625" bestFit="1" customWidth="1"/>
    <col min="3336" max="3336" width="8.28515625" bestFit="1" customWidth="1"/>
    <col min="3337" max="3337" width="4.85546875" bestFit="1" customWidth="1"/>
    <col min="3338" max="3338" width="13.28515625" customWidth="1"/>
    <col min="3339" max="3339" width="9.7109375" customWidth="1"/>
    <col min="3340" max="3340" width="11.85546875" customWidth="1"/>
    <col min="3341" max="3341" width="12.5703125" bestFit="1" customWidth="1"/>
    <col min="3342" max="3342" width="19.28515625" bestFit="1" customWidth="1"/>
    <col min="3343" max="3343" width="8.28515625" bestFit="1" customWidth="1"/>
    <col min="3344" max="3344" width="4.85546875" bestFit="1" customWidth="1"/>
    <col min="3345" max="3345" width="12" customWidth="1"/>
    <col min="3346" max="3346" width="8.28515625" customWidth="1"/>
    <col min="3347" max="3347" width="11.140625" customWidth="1"/>
    <col min="3348" max="3349" width="11.7109375" bestFit="1" customWidth="1"/>
    <col min="3350" max="3350" width="17.28515625" bestFit="1" customWidth="1"/>
    <col min="3351" max="3351" width="17.28515625" customWidth="1"/>
    <col min="3352" max="3352" width="13.7109375" bestFit="1" customWidth="1"/>
    <col min="3353" max="3353" width="25.140625" bestFit="1" customWidth="1"/>
    <col min="3354" max="3354" width="15.140625" bestFit="1" customWidth="1"/>
    <col min="3355" max="3355" width="21" bestFit="1" customWidth="1"/>
    <col min="3586" max="3586" width="14" bestFit="1" customWidth="1"/>
    <col min="3587" max="3587" width="13.140625" customWidth="1"/>
    <col min="3588" max="3588" width="14.85546875" customWidth="1"/>
    <col min="3590" max="3590" width="15.140625" bestFit="1" customWidth="1"/>
    <col min="3591" max="3591" width="19.28515625" bestFit="1" customWidth="1"/>
    <col min="3592" max="3592" width="8.28515625" bestFit="1" customWidth="1"/>
    <col min="3593" max="3593" width="4.85546875" bestFit="1" customWidth="1"/>
    <col min="3594" max="3594" width="13.28515625" customWidth="1"/>
    <col min="3595" max="3595" width="9.7109375" customWidth="1"/>
    <col min="3596" max="3596" width="11.85546875" customWidth="1"/>
    <col min="3597" max="3597" width="12.5703125" bestFit="1" customWidth="1"/>
    <col min="3598" max="3598" width="19.28515625" bestFit="1" customWidth="1"/>
    <col min="3599" max="3599" width="8.28515625" bestFit="1" customWidth="1"/>
    <col min="3600" max="3600" width="4.85546875" bestFit="1" customWidth="1"/>
    <col min="3601" max="3601" width="12" customWidth="1"/>
    <col min="3602" max="3602" width="8.28515625" customWidth="1"/>
    <col min="3603" max="3603" width="11.140625" customWidth="1"/>
    <col min="3604" max="3605" width="11.7109375" bestFit="1" customWidth="1"/>
    <col min="3606" max="3606" width="17.28515625" bestFit="1" customWidth="1"/>
    <col min="3607" max="3607" width="17.28515625" customWidth="1"/>
    <col min="3608" max="3608" width="13.7109375" bestFit="1" customWidth="1"/>
    <col min="3609" max="3609" width="25.140625" bestFit="1" customWidth="1"/>
    <col min="3610" max="3610" width="15.140625" bestFit="1" customWidth="1"/>
    <col min="3611" max="3611" width="21" bestFit="1" customWidth="1"/>
    <col min="3842" max="3842" width="14" bestFit="1" customWidth="1"/>
    <col min="3843" max="3843" width="13.140625" customWidth="1"/>
    <col min="3844" max="3844" width="14.85546875" customWidth="1"/>
    <col min="3846" max="3846" width="15.140625" bestFit="1" customWidth="1"/>
    <col min="3847" max="3847" width="19.28515625" bestFit="1" customWidth="1"/>
    <col min="3848" max="3848" width="8.28515625" bestFit="1" customWidth="1"/>
    <col min="3849" max="3849" width="4.85546875" bestFit="1" customWidth="1"/>
    <col min="3850" max="3850" width="13.28515625" customWidth="1"/>
    <col min="3851" max="3851" width="9.7109375" customWidth="1"/>
    <col min="3852" max="3852" width="11.85546875" customWidth="1"/>
    <col min="3853" max="3853" width="12.5703125" bestFit="1" customWidth="1"/>
    <col min="3854" max="3854" width="19.28515625" bestFit="1" customWidth="1"/>
    <col min="3855" max="3855" width="8.28515625" bestFit="1" customWidth="1"/>
    <col min="3856" max="3856" width="4.85546875" bestFit="1" customWidth="1"/>
    <col min="3857" max="3857" width="12" customWidth="1"/>
    <col min="3858" max="3858" width="8.28515625" customWidth="1"/>
    <col min="3859" max="3859" width="11.140625" customWidth="1"/>
    <col min="3860" max="3861" width="11.7109375" bestFit="1" customWidth="1"/>
    <col min="3862" max="3862" width="17.28515625" bestFit="1" customWidth="1"/>
    <col min="3863" max="3863" width="17.28515625" customWidth="1"/>
    <col min="3864" max="3864" width="13.7109375" bestFit="1" customWidth="1"/>
    <col min="3865" max="3865" width="25.140625" bestFit="1" customWidth="1"/>
    <col min="3866" max="3866" width="15.140625" bestFit="1" customWidth="1"/>
    <col min="3867" max="3867" width="21" bestFit="1" customWidth="1"/>
    <col min="4098" max="4098" width="14" bestFit="1" customWidth="1"/>
    <col min="4099" max="4099" width="13.140625" customWidth="1"/>
    <col min="4100" max="4100" width="14.85546875" customWidth="1"/>
    <col min="4102" max="4102" width="15.140625" bestFit="1" customWidth="1"/>
    <col min="4103" max="4103" width="19.28515625" bestFit="1" customWidth="1"/>
    <col min="4104" max="4104" width="8.28515625" bestFit="1" customWidth="1"/>
    <col min="4105" max="4105" width="4.85546875" bestFit="1" customWidth="1"/>
    <col min="4106" max="4106" width="13.28515625" customWidth="1"/>
    <col min="4107" max="4107" width="9.7109375" customWidth="1"/>
    <col min="4108" max="4108" width="11.85546875" customWidth="1"/>
    <col min="4109" max="4109" width="12.5703125" bestFit="1" customWidth="1"/>
    <col min="4110" max="4110" width="19.28515625" bestFit="1" customWidth="1"/>
    <col min="4111" max="4111" width="8.28515625" bestFit="1" customWidth="1"/>
    <col min="4112" max="4112" width="4.85546875" bestFit="1" customWidth="1"/>
    <col min="4113" max="4113" width="12" customWidth="1"/>
    <col min="4114" max="4114" width="8.28515625" customWidth="1"/>
    <col min="4115" max="4115" width="11.140625" customWidth="1"/>
    <col min="4116" max="4117" width="11.7109375" bestFit="1" customWidth="1"/>
    <col min="4118" max="4118" width="17.28515625" bestFit="1" customWidth="1"/>
    <col min="4119" max="4119" width="17.28515625" customWidth="1"/>
    <col min="4120" max="4120" width="13.7109375" bestFit="1" customWidth="1"/>
    <col min="4121" max="4121" width="25.140625" bestFit="1" customWidth="1"/>
    <col min="4122" max="4122" width="15.140625" bestFit="1" customWidth="1"/>
    <col min="4123" max="4123" width="21" bestFit="1" customWidth="1"/>
    <col min="4354" max="4354" width="14" bestFit="1" customWidth="1"/>
    <col min="4355" max="4355" width="13.140625" customWidth="1"/>
    <col min="4356" max="4356" width="14.85546875" customWidth="1"/>
    <col min="4358" max="4358" width="15.140625" bestFit="1" customWidth="1"/>
    <col min="4359" max="4359" width="19.28515625" bestFit="1" customWidth="1"/>
    <col min="4360" max="4360" width="8.28515625" bestFit="1" customWidth="1"/>
    <col min="4361" max="4361" width="4.85546875" bestFit="1" customWidth="1"/>
    <col min="4362" max="4362" width="13.28515625" customWidth="1"/>
    <col min="4363" max="4363" width="9.7109375" customWidth="1"/>
    <col min="4364" max="4364" width="11.85546875" customWidth="1"/>
    <col min="4365" max="4365" width="12.5703125" bestFit="1" customWidth="1"/>
    <col min="4366" max="4366" width="19.28515625" bestFit="1" customWidth="1"/>
    <col min="4367" max="4367" width="8.28515625" bestFit="1" customWidth="1"/>
    <col min="4368" max="4368" width="4.85546875" bestFit="1" customWidth="1"/>
    <col min="4369" max="4369" width="12" customWidth="1"/>
    <col min="4370" max="4370" width="8.28515625" customWidth="1"/>
    <col min="4371" max="4371" width="11.140625" customWidth="1"/>
    <col min="4372" max="4373" width="11.7109375" bestFit="1" customWidth="1"/>
    <col min="4374" max="4374" width="17.28515625" bestFit="1" customWidth="1"/>
    <col min="4375" max="4375" width="17.28515625" customWidth="1"/>
    <col min="4376" max="4376" width="13.7109375" bestFit="1" customWidth="1"/>
    <col min="4377" max="4377" width="25.140625" bestFit="1" customWidth="1"/>
    <col min="4378" max="4378" width="15.140625" bestFit="1" customWidth="1"/>
    <col min="4379" max="4379" width="21" bestFit="1" customWidth="1"/>
    <col min="4610" max="4610" width="14" bestFit="1" customWidth="1"/>
    <col min="4611" max="4611" width="13.140625" customWidth="1"/>
    <col min="4612" max="4612" width="14.85546875" customWidth="1"/>
    <col min="4614" max="4614" width="15.140625" bestFit="1" customWidth="1"/>
    <col min="4615" max="4615" width="19.28515625" bestFit="1" customWidth="1"/>
    <col min="4616" max="4616" width="8.28515625" bestFit="1" customWidth="1"/>
    <col min="4617" max="4617" width="4.85546875" bestFit="1" customWidth="1"/>
    <col min="4618" max="4618" width="13.28515625" customWidth="1"/>
    <col min="4619" max="4619" width="9.7109375" customWidth="1"/>
    <col min="4620" max="4620" width="11.85546875" customWidth="1"/>
    <col min="4621" max="4621" width="12.5703125" bestFit="1" customWidth="1"/>
    <col min="4622" max="4622" width="19.28515625" bestFit="1" customWidth="1"/>
    <col min="4623" max="4623" width="8.28515625" bestFit="1" customWidth="1"/>
    <col min="4624" max="4624" width="4.85546875" bestFit="1" customWidth="1"/>
    <col min="4625" max="4625" width="12" customWidth="1"/>
    <col min="4626" max="4626" width="8.28515625" customWidth="1"/>
    <col min="4627" max="4627" width="11.140625" customWidth="1"/>
    <col min="4628" max="4629" width="11.7109375" bestFit="1" customWidth="1"/>
    <col min="4630" max="4630" width="17.28515625" bestFit="1" customWidth="1"/>
    <col min="4631" max="4631" width="17.28515625" customWidth="1"/>
    <col min="4632" max="4632" width="13.7109375" bestFit="1" customWidth="1"/>
    <col min="4633" max="4633" width="25.140625" bestFit="1" customWidth="1"/>
    <col min="4634" max="4634" width="15.140625" bestFit="1" customWidth="1"/>
    <col min="4635" max="4635" width="21" bestFit="1" customWidth="1"/>
    <col min="4866" max="4866" width="14" bestFit="1" customWidth="1"/>
    <col min="4867" max="4867" width="13.140625" customWidth="1"/>
    <col min="4868" max="4868" width="14.85546875" customWidth="1"/>
    <col min="4870" max="4870" width="15.140625" bestFit="1" customWidth="1"/>
    <col min="4871" max="4871" width="19.28515625" bestFit="1" customWidth="1"/>
    <col min="4872" max="4872" width="8.28515625" bestFit="1" customWidth="1"/>
    <col min="4873" max="4873" width="4.85546875" bestFit="1" customWidth="1"/>
    <col min="4874" max="4874" width="13.28515625" customWidth="1"/>
    <col min="4875" max="4875" width="9.7109375" customWidth="1"/>
    <col min="4876" max="4876" width="11.85546875" customWidth="1"/>
    <col min="4877" max="4877" width="12.5703125" bestFit="1" customWidth="1"/>
    <col min="4878" max="4878" width="19.28515625" bestFit="1" customWidth="1"/>
    <col min="4879" max="4879" width="8.28515625" bestFit="1" customWidth="1"/>
    <col min="4880" max="4880" width="4.85546875" bestFit="1" customWidth="1"/>
    <col min="4881" max="4881" width="12" customWidth="1"/>
    <col min="4882" max="4882" width="8.28515625" customWidth="1"/>
    <col min="4883" max="4883" width="11.140625" customWidth="1"/>
    <col min="4884" max="4885" width="11.7109375" bestFit="1" customWidth="1"/>
    <col min="4886" max="4886" width="17.28515625" bestFit="1" customWidth="1"/>
    <col min="4887" max="4887" width="17.28515625" customWidth="1"/>
    <col min="4888" max="4888" width="13.7109375" bestFit="1" customWidth="1"/>
    <col min="4889" max="4889" width="25.140625" bestFit="1" customWidth="1"/>
    <col min="4890" max="4890" width="15.140625" bestFit="1" customWidth="1"/>
    <col min="4891" max="4891" width="21" bestFit="1" customWidth="1"/>
    <col min="5122" max="5122" width="14" bestFit="1" customWidth="1"/>
    <col min="5123" max="5123" width="13.140625" customWidth="1"/>
    <col min="5124" max="5124" width="14.85546875" customWidth="1"/>
    <col min="5126" max="5126" width="15.140625" bestFit="1" customWidth="1"/>
    <col min="5127" max="5127" width="19.28515625" bestFit="1" customWidth="1"/>
    <col min="5128" max="5128" width="8.28515625" bestFit="1" customWidth="1"/>
    <col min="5129" max="5129" width="4.85546875" bestFit="1" customWidth="1"/>
    <col min="5130" max="5130" width="13.28515625" customWidth="1"/>
    <col min="5131" max="5131" width="9.7109375" customWidth="1"/>
    <col min="5132" max="5132" width="11.85546875" customWidth="1"/>
    <col min="5133" max="5133" width="12.5703125" bestFit="1" customWidth="1"/>
    <col min="5134" max="5134" width="19.28515625" bestFit="1" customWidth="1"/>
    <col min="5135" max="5135" width="8.28515625" bestFit="1" customWidth="1"/>
    <col min="5136" max="5136" width="4.85546875" bestFit="1" customWidth="1"/>
    <col min="5137" max="5137" width="12" customWidth="1"/>
    <col min="5138" max="5138" width="8.28515625" customWidth="1"/>
    <col min="5139" max="5139" width="11.140625" customWidth="1"/>
    <col min="5140" max="5141" width="11.7109375" bestFit="1" customWidth="1"/>
    <col min="5142" max="5142" width="17.28515625" bestFit="1" customWidth="1"/>
    <col min="5143" max="5143" width="17.28515625" customWidth="1"/>
    <col min="5144" max="5144" width="13.7109375" bestFit="1" customWidth="1"/>
    <col min="5145" max="5145" width="25.140625" bestFit="1" customWidth="1"/>
    <col min="5146" max="5146" width="15.140625" bestFit="1" customWidth="1"/>
    <col min="5147" max="5147" width="21" bestFit="1" customWidth="1"/>
    <col min="5378" max="5378" width="14" bestFit="1" customWidth="1"/>
    <col min="5379" max="5379" width="13.140625" customWidth="1"/>
    <col min="5380" max="5380" width="14.85546875" customWidth="1"/>
    <col min="5382" max="5382" width="15.140625" bestFit="1" customWidth="1"/>
    <col min="5383" max="5383" width="19.28515625" bestFit="1" customWidth="1"/>
    <col min="5384" max="5384" width="8.28515625" bestFit="1" customWidth="1"/>
    <col min="5385" max="5385" width="4.85546875" bestFit="1" customWidth="1"/>
    <col min="5386" max="5386" width="13.28515625" customWidth="1"/>
    <col min="5387" max="5387" width="9.7109375" customWidth="1"/>
    <col min="5388" max="5388" width="11.85546875" customWidth="1"/>
    <col min="5389" max="5389" width="12.5703125" bestFit="1" customWidth="1"/>
    <col min="5390" max="5390" width="19.28515625" bestFit="1" customWidth="1"/>
    <col min="5391" max="5391" width="8.28515625" bestFit="1" customWidth="1"/>
    <col min="5392" max="5392" width="4.85546875" bestFit="1" customWidth="1"/>
    <col min="5393" max="5393" width="12" customWidth="1"/>
    <col min="5394" max="5394" width="8.28515625" customWidth="1"/>
    <col min="5395" max="5395" width="11.140625" customWidth="1"/>
    <col min="5396" max="5397" width="11.7109375" bestFit="1" customWidth="1"/>
    <col min="5398" max="5398" width="17.28515625" bestFit="1" customWidth="1"/>
    <col min="5399" max="5399" width="17.28515625" customWidth="1"/>
    <col min="5400" max="5400" width="13.7109375" bestFit="1" customWidth="1"/>
    <col min="5401" max="5401" width="25.140625" bestFit="1" customWidth="1"/>
    <col min="5402" max="5402" width="15.140625" bestFit="1" customWidth="1"/>
    <col min="5403" max="5403" width="21" bestFit="1" customWidth="1"/>
    <col min="5634" max="5634" width="14" bestFit="1" customWidth="1"/>
    <col min="5635" max="5635" width="13.140625" customWidth="1"/>
    <col min="5636" max="5636" width="14.85546875" customWidth="1"/>
    <col min="5638" max="5638" width="15.140625" bestFit="1" customWidth="1"/>
    <col min="5639" max="5639" width="19.28515625" bestFit="1" customWidth="1"/>
    <col min="5640" max="5640" width="8.28515625" bestFit="1" customWidth="1"/>
    <col min="5641" max="5641" width="4.85546875" bestFit="1" customWidth="1"/>
    <col min="5642" max="5642" width="13.28515625" customWidth="1"/>
    <col min="5643" max="5643" width="9.7109375" customWidth="1"/>
    <col min="5644" max="5644" width="11.85546875" customWidth="1"/>
    <col min="5645" max="5645" width="12.5703125" bestFit="1" customWidth="1"/>
    <col min="5646" max="5646" width="19.28515625" bestFit="1" customWidth="1"/>
    <col min="5647" max="5647" width="8.28515625" bestFit="1" customWidth="1"/>
    <col min="5648" max="5648" width="4.85546875" bestFit="1" customWidth="1"/>
    <col min="5649" max="5649" width="12" customWidth="1"/>
    <col min="5650" max="5650" width="8.28515625" customWidth="1"/>
    <col min="5651" max="5651" width="11.140625" customWidth="1"/>
    <col min="5652" max="5653" width="11.7109375" bestFit="1" customWidth="1"/>
    <col min="5654" max="5654" width="17.28515625" bestFit="1" customWidth="1"/>
    <col min="5655" max="5655" width="17.28515625" customWidth="1"/>
    <col min="5656" max="5656" width="13.7109375" bestFit="1" customWidth="1"/>
    <col min="5657" max="5657" width="25.140625" bestFit="1" customWidth="1"/>
    <col min="5658" max="5658" width="15.140625" bestFit="1" customWidth="1"/>
    <col min="5659" max="5659" width="21" bestFit="1" customWidth="1"/>
    <col min="5890" max="5890" width="14" bestFit="1" customWidth="1"/>
    <col min="5891" max="5891" width="13.140625" customWidth="1"/>
    <col min="5892" max="5892" width="14.85546875" customWidth="1"/>
    <col min="5894" max="5894" width="15.140625" bestFit="1" customWidth="1"/>
    <col min="5895" max="5895" width="19.28515625" bestFit="1" customWidth="1"/>
    <col min="5896" max="5896" width="8.28515625" bestFit="1" customWidth="1"/>
    <col min="5897" max="5897" width="4.85546875" bestFit="1" customWidth="1"/>
    <col min="5898" max="5898" width="13.28515625" customWidth="1"/>
    <col min="5899" max="5899" width="9.7109375" customWidth="1"/>
    <col min="5900" max="5900" width="11.85546875" customWidth="1"/>
    <col min="5901" max="5901" width="12.5703125" bestFit="1" customWidth="1"/>
    <col min="5902" max="5902" width="19.28515625" bestFit="1" customWidth="1"/>
    <col min="5903" max="5903" width="8.28515625" bestFit="1" customWidth="1"/>
    <col min="5904" max="5904" width="4.85546875" bestFit="1" customWidth="1"/>
    <col min="5905" max="5905" width="12" customWidth="1"/>
    <col min="5906" max="5906" width="8.28515625" customWidth="1"/>
    <col min="5907" max="5907" width="11.140625" customWidth="1"/>
    <col min="5908" max="5909" width="11.7109375" bestFit="1" customWidth="1"/>
    <col min="5910" max="5910" width="17.28515625" bestFit="1" customWidth="1"/>
    <col min="5911" max="5911" width="17.28515625" customWidth="1"/>
    <col min="5912" max="5912" width="13.7109375" bestFit="1" customWidth="1"/>
    <col min="5913" max="5913" width="25.140625" bestFit="1" customWidth="1"/>
    <col min="5914" max="5914" width="15.140625" bestFit="1" customWidth="1"/>
    <col min="5915" max="5915" width="21" bestFit="1" customWidth="1"/>
    <col min="6146" max="6146" width="14" bestFit="1" customWidth="1"/>
    <col min="6147" max="6147" width="13.140625" customWidth="1"/>
    <col min="6148" max="6148" width="14.85546875" customWidth="1"/>
    <col min="6150" max="6150" width="15.140625" bestFit="1" customWidth="1"/>
    <col min="6151" max="6151" width="19.28515625" bestFit="1" customWidth="1"/>
    <col min="6152" max="6152" width="8.28515625" bestFit="1" customWidth="1"/>
    <col min="6153" max="6153" width="4.85546875" bestFit="1" customWidth="1"/>
    <col min="6154" max="6154" width="13.28515625" customWidth="1"/>
    <col min="6155" max="6155" width="9.7109375" customWidth="1"/>
    <col min="6156" max="6156" width="11.85546875" customWidth="1"/>
    <col min="6157" max="6157" width="12.5703125" bestFit="1" customWidth="1"/>
    <col min="6158" max="6158" width="19.28515625" bestFit="1" customWidth="1"/>
    <col min="6159" max="6159" width="8.28515625" bestFit="1" customWidth="1"/>
    <col min="6160" max="6160" width="4.85546875" bestFit="1" customWidth="1"/>
    <col min="6161" max="6161" width="12" customWidth="1"/>
    <col min="6162" max="6162" width="8.28515625" customWidth="1"/>
    <col min="6163" max="6163" width="11.140625" customWidth="1"/>
    <col min="6164" max="6165" width="11.7109375" bestFit="1" customWidth="1"/>
    <col min="6166" max="6166" width="17.28515625" bestFit="1" customWidth="1"/>
    <col min="6167" max="6167" width="17.28515625" customWidth="1"/>
    <col min="6168" max="6168" width="13.7109375" bestFit="1" customWidth="1"/>
    <col min="6169" max="6169" width="25.140625" bestFit="1" customWidth="1"/>
    <col min="6170" max="6170" width="15.140625" bestFit="1" customWidth="1"/>
    <col min="6171" max="6171" width="21" bestFit="1" customWidth="1"/>
    <col min="6402" max="6402" width="14" bestFit="1" customWidth="1"/>
    <col min="6403" max="6403" width="13.140625" customWidth="1"/>
    <col min="6404" max="6404" width="14.85546875" customWidth="1"/>
    <col min="6406" max="6406" width="15.140625" bestFit="1" customWidth="1"/>
    <col min="6407" max="6407" width="19.28515625" bestFit="1" customWidth="1"/>
    <col min="6408" max="6408" width="8.28515625" bestFit="1" customWidth="1"/>
    <col min="6409" max="6409" width="4.85546875" bestFit="1" customWidth="1"/>
    <col min="6410" max="6410" width="13.28515625" customWidth="1"/>
    <col min="6411" max="6411" width="9.7109375" customWidth="1"/>
    <col min="6412" max="6412" width="11.85546875" customWidth="1"/>
    <col min="6413" max="6413" width="12.5703125" bestFit="1" customWidth="1"/>
    <col min="6414" max="6414" width="19.28515625" bestFit="1" customWidth="1"/>
    <col min="6415" max="6415" width="8.28515625" bestFit="1" customWidth="1"/>
    <col min="6416" max="6416" width="4.85546875" bestFit="1" customWidth="1"/>
    <col min="6417" max="6417" width="12" customWidth="1"/>
    <col min="6418" max="6418" width="8.28515625" customWidth="1"/>
    <col min="6419" max="6419" width="11.140625" customWidth="1"/>
    <col min="6420" max="6421" width="11.7109375" bestFit="1" customWidth="1"/>
    <col min="6422" max="6422" width="17.28515625" bestFit="1" customWidth="1"/>
    <col min="6423" max="6423" width="17.28515625" customWidth="1"/>
    <col min="6424" max="6424" width="13.7109375" bestFit="1" customWidth="1"/>
    <col min="6425" max="6425" width="25.140625" bestFit="1" customWidth="1"/>
    <col min="6426" max="6426" width="15.140625" bestFit="1" customWidth="1"/>
    <col min="6427" max="6427" width="21" bestFit="1" customWidth="1"/>
    <col min="6658" max="6658" width="14" bestFit="1" customWidth="1"/>
    <col min="6659" max="6659" width="13.140625" customWidth="1"/>
    <col min="6660" max="6660" width="14.85546875" customWidth="1"/>
    <col min="6662" max="6662" width="15.140625" bestFit="1" customWidth="1"/>
    <col min="6663" max="6663" width="19.28515625" bestFit="1" customWidth="1"/>
    <col min="6664" max="6664" width="8.28515625" bestFit="1" customWidth="1"/>
    <col min="6665" max="6665" width="4.85546875" bestFit="1" customWidth="1"/>
    <col min="6666" max="6666" width="13.28515625" customWidth="1"/>
    <col min="6667" max="6667" width="9.7109375" customWidth="1"/>
    <col min="6668" max="6668" width="11.85546875" customWidth="1"/>
    <col min="6669" max="6669" width="12.5703125" bestFit="1" customWidth="1"/>
    <col min="6670" max="6670" width="19.28515625" bestFit="1" customWidth="1"/>
    <col min="6671" max="6671" width="8.28515625" bestFit="1" customWidth="1"/>
    <col min="6672" max="6672" width="4.85546875" bestFit="1" customWidth="1"/>
    <col min="6673" max="6673" width="12" customWidth="1"/>
    <col min="6674" max="6674" width="8.28515625" customWidth="1"/>
    <col min="6675" max="6675" width="11.140625" customWidth="1"/>
    <col min="6676" max="6677" width="11.7109375" bestFit="1" customWidth="1"/>
    <col min="6678" max="6678" width="17.28515625" bestFit="1" customWidth="1"/>
    <col min="6679" max="6679" width="17.28515625" customWidth="1"/>
    <col min="6680" max="6680" width="13.7109375" bestFit="1" customWidth="1"/>
    <col min="6681" max="6681" width="25.140625" bestFit="1" customWidth="1"/>
    <col min="6682" max="6682" width="15.140625" bestFit="1" customWidth="1"/>
    <col min="6683" max="6683" width="21" bestFit="1" customWidth="1"/>
    <col min="6914" max="6914" width="14" bestFit="1" customWidth="1"/>
    <col min="6915" max="6915" width="13.140625" customWidth="1"/>
    <col min="6916" max="6916" width="14.85546875" customWidth="1"/>
    <col min="6918" max="6918" width="15.140625" bestFit="1" customWidth="1"/>
    <col min="6919" max="6919" width="19.28515625" bestFit="1" customWidth="1"/>
    <col min="6920" max="6920" width="8.28515625" bestFit="1" customWidth="1"/>
    <col min="6921" max="6921" width="4.85546875" bestFit="1" customWidth="1"/>
    <col min="6922" max="6922" width="13.28515625" customWidth="1"/>
    <col min="6923" max="6923" width="9.7109375" customWidth="1"/>
    <col min="6924" max="6924" width="11.85546875" customWidth="1"/>
    <col min="6925" max="6925" width="12.5703125" bestFit="1" customWidth="1"/>
    <col min="6926" max="6926" width="19.28515625" bestFit="1" customWidth="1"/>
    <col min="6927" max="6927" width="8.28515625" bestFit="1" customWidth="1"/>
    <col min="6928" max="6928" width="4.85546875" bestFit="1" customWidth="1"/>
    <col min="6929" max="6929" width="12" customWidth="1"/>
    <col min="6930" max="6930" width="8.28515625" customWidth="1"/>
    <col min="6931" max="6931" width="11.140625" customWidth="1"/>
    <col min="6932" max="6933" width="11.7109375" bestFit="1" customWidth="1"/>
    <col min="6934" max="6934" width="17.28515625" bestFit="1" customWidth="1"/>
    <col min="6935" max="6935" width="17.28515625" customWidth="1"/>
    <col min="6936" max="6936" width="13.7109375" bestFit="1" customWidth="1"/>
    <col min="6937" max="6937" width="25.140625" bestFit="1" customWidth="1"/>
    <col min="6938" max="6938" width="15.140625" bestFit="1" customWidth="1"/>
    <col min="6939" max="6939" width="21" bestFit="1" customWidth="1"/>
    <col min="7170" max="7170" width="14" bestFit="1" customWidth="1"/>
    <col min="7171" max="7171" width="13.140625" customWidth="1"/>
    <col min="7172" max="7172" width="14.85546875" customWidth="1"/>
    <col min="7174" max="7174" width="15.140625" bestFit="1" customWidth="1"/>
    <col min="7175" max="7175" width="19.28515625" bestFit="1" customWidth="1"/>
    <col min="7176" max="7176" width="8.28515625" bestFit="1" customWidth="1"/>
    <col min="7177" max="7177" width="4.85546875" bestFit="1" customWidth="1"/>
    <col min="7178" max="7178" width="13.28515625" customWidth="1"/>
    <col min="7179" max="7179" width="9.7109375" customWidth="1"/>
    <col min="7180" max="7180" width="11.85546875" customWidth="1"/>
    <col min="7181" max="7181" width="12.5703125" bestFit="1" customWidth="1"/>
    <col min="7182" max="7182" width="19.28515625" bestFit="1" customWidth="1"/>
    <col min="7183" max="7183" width="8.28515625" bestFit="1" customWidth="1"/>
    <col min="7184" max="7184" width="4.85546875" bestFit="1" customWidth="1"/>
    <col min="7185" max="7185" width="12" customWidth="1"/>
    <col min="7186" max="7186" width="8.28515625" customWidth="1"/>
    <col min="7187" max="7187" width="11.140625" customWidth="1"/>
    <col min="7188" max="7189" width="11.7109375" bestFit="1" customWidth="1"/>
    <col min="7190" max="7190" width="17.28515625" bestFit="1" customWidth="1"/>
    <col min="7191" max="7191" width="17.28515625" customWidth="1"/>
    <col min="7192" max="7192" width="13.7109375" bestFit="1" customWidth="1"/>
    <col min="7193" max="7193" width="25.140625" bestFit="1" customWidth="1"/>
    <col min="7194" max="7194" width="15.140625" bestFit="1" customWidth="1"/>
    <col min="7195" max="7195" width="21" bestFit="1" customWidth="1"/>
    <col min="7426" max="7426" width="14" bestFit="1" customWidth="1"/>
    <col min="7427" max="7427" width="13.140625" customWidth="1"/>
    <col min="7428" max="7428" width="14.85546875" customWidth="1"/>
    <col min="7430" max="7430" width="15.140625" bestFit="1" customWidth="1"/>
    <col min="7431" max="7431" width="19.28515625" bestFit="1" customWidth="1"/>
    <col min="7432" max="7432" width="8.28515625" bestFit="1" customWidth="1"/>
    <col min="7433" max="7433" width="4.85546875" bestFit="1" customWidth="1"/>
    <col min="7434" max="7434" width="13.28515625" customWidth="1"/>
    <col min="7435" max="7435" width="9.7109375" customWidth="1"/>
    <col min="7436" max="7436" width="11.85546875" customWidth="1"/>
    <col min="7437" max="7437" width="12.5703125" bestFit="1" customWidth="1"/>
    <col min="7438" max="7438" width="19.28515625" bestFit="1" customWidth="1"/>
    <col min="7439" max="7439" width="8.28515625" bestFit="1" customWidth="1"/>
    <col min="7440" max="7440" width="4.85546875" bestFit="1" customWidth="1"/>
    <col min="7441" max="7441" width="12" customWidth="1"/>
    <col min="7442" max="7442" width="8.28515625" customWidth="1"/>
    <col min="7443" max="7443" width="11.140625" customWidth="1"/>
    <col min="7444" max="7445" width="11.7109375" bestFit="1" customWidth="1"/>
    <col min="7446" max="7446" width="17.28515625" bestFit="1" customWidth="1"/>
    <col min="7447" max="7447" width="17.28515625" customWidth="1"/>
    <col min="7448" max="7448" width="13.7109375" bestFit="1" customWidth="1"/>
    <col min="7449" max="7449" width="25.140625" bestFit="1" customWidth="1"/>
    <col min="7450" max="7450" width="15.140625" bestFit="1" customWidth="1"/>
    <col min="7451" max="7451" width="21" bestFit="1" customWidth="1"/>
    <col min="7682" max="7682" width="14" bestFit="1" customWidth="1"/>
    <col min="7683" max="7683" width="13.140625" customWidth="1"/>
    <col min="7684" max="7684" width="14.85546875" customWidth="1"/>
    <col min="7686" max="7686" width="15.140625" bestFit="1" customWidth="1"/>
    <col min="7687" max="7687" width="19.28515625" bestFit="1" customWidth="1"/>
    <col min="7688" max="7688" width="8.28515625" bestFit="1" customWidth="1"/>
    <col min="7689" max="7689" width="4.85546875" bestFit="1" customWidth="1"/>
    <col min="7690" max="7690" width="13.28515625" customWidth="1"/>
    <col min="7691" max="7691" width="9.7109375" customWidth="1"/>
    <col min="7692" max="7692" width="11.85546875" customWidth="1"/>
    <col min="7693" max="7693" width="12.5703125" bestFit="1" customWidth="1"/>
    <col min="7694" max="7694" width="19.28515625" bestFit="1" customWidth="1"/>
    <col min="7695" max="7695" width="8.28515625" bestFit="1" customWidth="1"/>
    <col min="7696" max="7696" width="4.85546875" bestFit="1" customWidth="1"/>
    <col min="7697" max="7697" width="12" customWidth="1"/>
    <col min="7698" max="7698" width="8.28515625" customWidth="1"/>
    <col min="7699" max="7699" width="11.140625" customWidth="1"/>
    <col min="7700" max="7701" width="11.7109375" bestFit="1" customWidth="1"/>
    <col min="7702" max="7702" width="17.28515625" bestFit="1" customWidth="1"/>
    <col min="7703" max="7703" width="17.28515625" customWidth="1"/>
    <col min="7704" max="7704" width="13.7109375" bestFit="1" customWidth="1"/>
    <col min="7705" max="7705" width="25.140625" bestFit="1" customWidth="1"/>
    <col min="7706" max="7706" width="15.140625" bestFit="1" customWidth="1"/>
    <col min="7707" max="7707" width="21" bestFit="1" customWidth="1"/>
    <col min="7938" max="7938" width="14" bestFit="1" customWidth="1"/>
    <col min="7939" max="7939" width="13.140625" customWidth="1"/>
    <col min="7940" max="7940" width="14.85546875" customWidth="1"/>
    <col min="7942" max="7942" width="15.140625" bestFit="1" customWidth="1"/>
    <col min="7943" max="7943" width="19.28515625" bestFit="1" customWidth="1"/>
    <col min="7944" max="7944" width="8.28515625" bestFit="1" customWidth="1"/>
    <col min="7945" max="7945" width="4.85546875" bestFit="1" customWidth="1"/>
    <col min="7946" max="7946" width="13.28515625" customWidth="1"/>
    <col min="7947" max="7947" width="9.7109375" customWidth="1"/>
    <col min="7948" max="7948" width="11.85546875" customWidth="1"/>
    <col min="7949" max="7949" width="12.5703125" bestFit="1" customWidth="1"/>
    <col min="7950" max="7950" width="19.28515625" bestFit="1" customWidth="1"/>
    <col min="7951" max="7951" width="8.28515625" bestFit="1" customWidth="1"/>
    <col min="7952" max="7952" width="4.85546875" bestFit="1" customWidth="1"/>
    <col min="7953" max="7953" width="12" customWidth="1"/>
    <col min="7954" max="7954" width="8.28515625" customWidth="1"/>
    <col min="7955" max="7955" width="11.140625" customWidth="1"/>
    <col min="7956" max="7957" width="11.7109375" bestFit="1" customWidth="1"/>
    <col min="7958" max="7958" width="17.28515625" bestFit="1" customWidth="1"/>
    <col min="7959" max="7959" width="17.28515625" customWidth="1"/>
    <col min="7960" max="7960" width="13.7109375" bestFit="1" customWidth="1"/>
    <col min="7961" max="7961" width="25.140625" bestFit="1" customWidth="1"/>
    <col min="7962" max="7962" width="15.140625" bestFit="1" customWidth="1"/>
    <col min="7963" max="7963" width="21" bestFit="1" customWidth="1"/>
    <col min="8194" max="8194" width="14" bestFit="1" customWidth="1"/>
    <col min="8195" max="8195" width="13.140625" customWidth="1"/>
    <col min="8196" max="8196" width="14.85546875" customWidth="1"/>
    <col min="8198" max="8198" width="15.140625" bestFit="1" customWidth="1"/>
    <col min="8199" max="8199" width="19.28515625" bestFit="1" customWidth="1"/>
    <col min="8200" max="8200" width="8.28515625" bestFit="1" customWidth="1"/>
    <col min="8201" max="8201" width="4.85546875" bestFit="1" customWidth="1"/>
    <col min="8202" max="8202" width="13.28515625" customWidth="1"/>
    <col min="8203" max="8203" width="9.7109375" customWidth="1"/>
    <col min="8204" max="8204" width="11.85546875" customWidth="1"/>
    <col min="8205" max="8205" width="12.5703125" bestFit="1" customWidth="1"/>
    <col min="8206" max="8206" width="19.28515625" bestFit="1" customWidth="1"/>
    <col min="8207" max="8207" width="8.28515625" bestFit="1" customWidth="1"/>
    <col min="8208" max="8208" width="4.85546875" bestFit="1" customWidth="1"/>
    <col min="8209" max="8209" width="12" customWidth="1"/>
    <col min="8210" max="8210" width="8.28515625" customWidth="1"/>
    <col min="8211" max="8211" width="11.140625" customWidth="1"/>
    <col min="8212" max="8213" width="11.7109375" bestFit="1" customWidth="1"/>
    <col min="8214" max="8214" width="17.28515625" bestFit="1" customWidth="1"/>
    <col min="8215" max="8215" width="17.28515625" customWidth="1"/>
    <col min="8216" max="8216" width="13.7109375" bestFit="1" customWidth="1"/>
    <col min="8217" max="8217" width="25.140625" bestFit="1" customWidth="1"/>
    <col min="8218" max="8218" width="15.140625" bestFit="1" customWidth="1"/>
    <col min="8219" max="8219" width="21" bestFit="1" customWidth="1"/>
    <col min="8450" max="8450" width="14" bestFit="1" customWidth="1"/>
    <col min="8451" max="8451" width="13.140625" customWidth="1"/>
    <col min="8452" max="8452" width="14.85546875" customWidth="1"/>
    <col min="8454" max="8454" width="15.140625" bestFit="1" customWidth="1"/>
    <col min="8455" max="8455" width="19.28515625" bestFit="1" customWidth="1"/>
    <col min="8456" max="8456" width="8.28515625" bestFit="1" customWidth="1"/>
    <col min="8457" max="8457" width="4.85546875" bestFit="1" customWidth="1"/>
    <col min="8458" max="8458" width="13.28515625" customWidth="1"/>
    <col min="8459" max="8459" width="9.7109375" customWidth="1"/>
    <col min="8460" max="8460" width="11.85546875" customWidth="1"/>
    <col min="8461" max="8461" width="12.5703125" bestFit="1" customWidth="1"/>
    <col min="8462" max="8462" width="19.28515625" bestFit="1" customWidth="1"/>
    <col min="8463" max="8463" width="8.28515625" bestFit="1" customWidth="1"/>
    <col min="8464" max="8464" width="4.85546875" bestFit="1" customWidth="1"/>
    <col min="8465" max="8465" width="12" customWidth="1"/>
    <col min="8466" max="8466" width="8.28515625" customWidth="1"/>
    <col min="8467" max="8467" width="11.140625" customWidth="1"/>
    <col min="8468" max="8469" width="11.7109375" bestFit="1" customWidth="1"/>
    <col min="8470" max="8470" width="17.28515625" bestFit="1" customWidth="1"/>
    <col min="8471" max="8471" width="17.28515625" customWidth="1"/>
    <col min="8472" max="8472" width="13.7109375" bestFit="1" customWidth="1"/>
    <col min="8473" max="8473" width="25.140625" bestFit="1" customWidth="1"/>
    <col min="8474" max="8474" width="15.140625" bestFit="1" customWidth="1"/>
    <col min="8475" max="8475" width="21" bestFit="1" customWidth="1"/>
    <col min="8706" max="8706" width="14" bestFit="1" customWidth="1"/>
    <col min="8707" max="8707" width="13.140625" customWidth="1"/>
    <col min="8708" max="8708" width="14.85546875" customWidth="1"/>
    <col min="8710" max="8710" width="15.140625" bestFit="1" customWidth="1"/>
    <col min="8711" max="8711" width="19.28515625" bestFit="1" customWidth="1"/>
    <col min="8712" max="8712" width="8.28515625" bestFit="1" customWidth="1"/>
    <col min="8713" max="8713" width="4.85546875" bestFit="1" customWidth="1"/>
    <col min="8714" max="8714" width="13.28515625" customWidth="1"/>
    <col min="8715" max="8715" width="9.7109375" customWidth="1"/>
    <col min="8716" max="8716" width="11.85546875" customWidth="1"/>
    <col min="8717" max="8717" width="12.5703125" bestFit="1" customWidth="1"/>
    <col min="8718" max="8718" width="19.28515625" bestFit="1" customWidth="1"/>
    <col min="8719" max="8719" width="8.28515625" bestFit="1" customWidth="1"/>
    <col min="8720" max="8720" width="4.85546875" bestFit="1" customWidth="1"/>
    <col min="8721" max="8721" width="12" customWidth="1"/>
    <col min="8722" max="8722" width="8.28515625" customWidth="1"/>
    <col min="8723" max="8723" width="11.140625" customWidth="1"/>
    <col min="8724" max="8725" width="11.7109375" bestFit="1" customWidth="1"/>
    <col min="8726" max="8726" width="17.28515625" bestFit="1" customWidth="1"/>
    <col min="8727" max="8727" width="17.28515625" customWidth="1"/>
    <col min="8728" max="8728" width="13.7109375" bestFit="1" customWidth="1"/>
    <col min="8729" max="8729" width="25.140625" bestFit="1" customWidth="1"/>
    <col min="8730" max="8730" width="15.140625" bestFit="1" customWidth="1"/>
    <col min="8731" max="8731" width="21" bestFit="1" customWidth="1"/>
    <col min="8962" max="8962" width="14" bestFit="1" customWidth="1"/>
    <col min="8963" max="8963" width="13.140625" customWidth="1"/>
    <col min="8964" max="8964" width="14.85546875" customWidth="1"/>
    <col min="8966" max="8966" width="15.140625" bestFit="1" customWidth="1"/>
    <col min="8967" max="8967" width="19.28515625" bestFit="1" customWidth="1"/>
    <col min="8968" max="8968" width="8.28515625" bestFit="1" customWidth="1"/>
    <col min="8969" max="8969" width="4.85546875" bestFit="1" customWidth="1"/>
    <col min="8970" max="8970" width="13.28515625" customWidth="1"/>
    <col min="8971" max="8971" width="9.7109375" customWidth="1"/>
    <col min="8972" max="8972" width="11.85546875" customWidth="1"/>
    <col min="8973" max="8973" width="12.5703125" bestFit="1" customWidth="1"/>
    <col min="8974" max="8974" width="19.28515625" bestFit="1" customWidth="1"/>
    <col min="8975" max="8975" width="8.28515625" bestFit="1" customWidth="1"/>
    <col min="8976" max="8976" width="4.85546875" bestFit="1" customWidth="1"/>
    <col min="8977" max="8977" width="12" customWidth="1"/>
    <col min="8978" max="8978" width="8.28515625" customWidth="1"/>
    <col min="8979" max="8979" width="11.140625" customWidth="1"/>
    <col min="8980" max="8981" width="11.7109375" bestFit="1" customWidth="1"/>
    <col min="8982" max="8982" width="17.28515625" bestFit="1" customWidth="1"/>
    <col min="8983" max="8983" width="17.28515625" customWidth="1"/>
    <col min="8984" max="8984" width="13.7109375" bestFit="1" customWidth="1"/>
    <col min="8985" max="8985" width="25.140625" bestFit="1" customWidth="1"/>
    <col min="8986" max="8986" width="15.140625" bestFit="1" customWidth="1"/>
    <col min="8987" max="8987" width="21" bestFit="1" customWidth="1"/>
    <col min="9218" max="9218" width="14" bestFit="1" customWidth="1"/>
    <col min="9219" max="9219" width="13.140625" customWidth="1"/>
    <col min="9220" max="9220" width="14.85546875" customWidth="1"/>
    <col min="9222" max="9222" width="15.140625" bestFit="1" customWidth="1"/>
    <col min="9223" max="9223" width="19.28515625" bestFit="1" customWidth="1"/>
    <col min="9224" max="9224" width="8.28515625" bestFit="1" customWidth="1"/>
    <col min="9225" max="9225" width="4.85546875" bestFit="1" customWidth="1"/>
    <col min="9226" max="9226" width="13.28515625" customWidth="1"/>
    <col min="9227" max="9227" width="9.7109375" customWidth="1"/>
    <col min="9228" max="9228" width="11.85546875" customWidth="1"/>
    <col min="9229" max="9229" width="12.5703125" bestFit="1" customWidth="1"/>
    <col min="9230" max="9230" width="19.28515625" bestFit="1" customWidth="1"/>
    <col min="9231" max="9231" width="8.28515625" bestFit="1" customWidth="1"/>
    <col min="9232" max="9232" width="4.85546875" bestFit="1" customWidth="1"/>
    <col min="9233" max="9233" width="12" customWidth="1"/>
    <col min="9234" max="9234" width="8.28515625" customWidth="1"/>
    <col min="9235" max="9235" width="11.140625" customWidth="1"/>
    <col min="9236" max="9237" width="11.7109375" bestFit="1" customWidth="1"/>
    <col min="9238" max="9238" width="17.28515625" bestFit="1" customWidth="1"/>
    <col min="9239" max="9239" width="17.28515625" customWidth="1"/>
    <col min="9240" max="9240" width="13.7109375" bestFit="1" customWidth="1"/>
    <col min="9241" max="9241" width="25.140625" bestFit="1" customWidth="1"/>
    <col min="9242" max="9242" width="15.140625" bestFit="1" customWidth="1"/>
    <col min="9243" max="9243" width="21" bestFit="1" customWidth="1"/>
    <col min="9474" max="9474" width="14" bestFit="1" customWidth="1"/>
    <col min="9475" max="9475" width="13.140625" customWidth="1"/>
    <col min="9476" max="9476" width="14.85546875" customWidth="1"/>
    <col min="9478" max="9478" width="15.140625" bestFit="1" customWidth="1"/>
    <col min="9479" max="9479" width="19.28515625" bestFit="1" customWidth="1"/>
    <col min="9480" max="9480" width="8.28515625" bestFit="1" customWidth="1"/>
    <col min="9481" max="9481" width="4.85546875" bestFit="1" customWidth="1"/>
    <col min="9482" max="9482" width="13.28515625" customWidth="1"/>
    <col min="9483" max="9483" width="9.7109375" customWidth="1"/>
    <col min="9484" max="9484" width="11.85546875" customWidth="1"/>
    <col min="9485" max="9485" width="12.5703125" bestFit="1" customWidth="1"/>
    <col min="9486" max="9486" width="19.28515625" bestFit="1" customWidth="1"/>
    <col min="9487" max="9487" width="8.28515625" bestFit="1" customWidth="1"/>
    <col min="9488" max="9488" width="4.85546875" bestFit="1" customWidth="1"/>
    <col min="9489" max="9489" width="12" customWidth="1"/>
    <col min="9490" max="9490" width="8.28515625" customWidth="1"/>
    <col min="9491" max="9491" width="11.140625" customWidth="1"/>
    <col min="9492" max="9493" width="11.7109375" bestFit="1" customWidth="1"/>
    <col min="9494" max="9494" width="17.28515625" bestFit="1" customWidth="1"/>
    <col min="9495" max="9495" width="17.28515625" customWidth="1"/>
    <col min="9496" max="9496" width="13.7109375" bestFit="1" customWidth="1"/>
    <col min="9497" max="9497" width="25.140625" bestFit="1" customWidth="1"/>
    <col min="9498" max="9498" width="15.140625" bestFit="1" customWidth="1"/>
    <col min="9499" max="9499" width="21" bestFit="1" customWidth="1"/>
    <col min="9730" max="9730" width="14" bestFit="1" customWidth="1"/>
    <col min="9731" max="9731" width="13.140625" customWidth="1"/>
    <col min="9732" max="9732" width="14.85546875" customWidth="1"/>
    <col min="9734" max="9734" width="15.140625" bestFit="1" customWidth="1"/>
    <col min="9735" max="9735" width="19.28515625" bestFit="1" customWidth="1"/>
    <col min="9736" max="9736" width="8.28515625" bestFit="1" customWidth="1"/>
    <col min="9737" max="9737" width="4.85546875" bestFit="1" customWidth="1"/>
    <col min="9738" max="9738" width="13.28515625" customWidth="1"/>
    <col min="9739" max="9739" width="9.7109375" customWidth="1"/>
    <col min="9740" max="9740" width="11.85546875" customWidth="1"/>
    <col min="9741" max="9741" width="12.5703125" bestFit="1" customWidth="1"/>
    <col min="9742" max="9742" width="19.28515625" bestFit="1" customWidth="1"/>
    <col min="9743" max="9743" width="8.28515625" bestFit="1" customWidth="1"/>
    <col min="9744" max="9744" width="4.85546875" bestFit="1" customWidth="1"/>
    <col min="9745" max="9745" width="12" customWidth="1"/>
    <col min="9746" max="9746" width="8.28515625" customWidth="1"/>
    <col min="9747" max="9747" width="11.140625" customWidth="1"/>
    <col min="9748" max="9749" width="11.7109375" bestFit="1" customWidth="1"/>
    <col min="9750" max="9750" width="17.28515625" bestFit="1" customWidth="1"/>
    <col min="9751" max="9751" width="17.28515625" customWidth="1"/>
    <col min="9752" max="9752" width="13.7109375" bestFit="1" customWidth="1"/>
    <col min="9753" max="9753" width="25.140625" bestFit="1" customWidth="1"/>
    <col min="9754" max="9754" width="15.140625" bestFit="1" customWidth="1"/>
    <col min="9755" max="9755" width="21" bestFit="1" customWidth="1"/>
    <col min="9986" max="9986" width="14" bestFit="1" customWidth="1"/>
    <col min="9987" max="9987" width="13.140625" customWidth="1"/>
    <col min="9988" max="9988" width="14.85546875" customWidth="1"/>
    <col min="9990" max="9990" width="15.140625" bestFit="1" customWidth="1"/>
    <col min="9991" max="9991" width="19.28515625" bestFit="1" customWidth="1"/>
    <col min="9992" max="9992" width="8.28515625" bestFit="1" customWidth="1"/>
    <col min="9993" max="9993" width="4.85546875" bestFit="1" customWidth="1"/>
    <col min="9994" max="9994" width="13.28515625" customWidth="1"/>
    <col min="9995" max="9995" width="9.7109375" customWidth="1"/>
    <col min="9996" max="9996" width="11.85546875" customWidth="1"/>
    <col min="9997" max="9997" width="12.5703125" bestFit="1" customWidth="1"/>
    <col min="9998" max="9998" width="19.28515625" bestFit="1" customWidth="1"/>
    <col min="9999" max="9999" width="8.28515625" bestFit="1" customWidth="1"/>
    <col min="10000" max="10000" width="4.85546875" bestFit="1" customWidth="1"/>
    <col min="10001" max="10001" width="12" customWidth="1"/>
    <col min="10002" max="10002" width="8.28515625" customWidth="1"/>
    <col min="10003" max="10003" width="11.140625" customWidth="1"/>
    <col min="10004" max="10005" width="11.7109375" bestFit="1" customWidth="1"/>
    <col min="10006" max="10006" width="17.28515625" bestFit="1" customWidth="1"/>
    <col min="10007" max="10007" width="17.28515625" customWidth="1"/>
    <col min="10008" max="10008" width="13.7109375" bestFit="1" customWidth="1"/>
    <col min="10009" max="10009" width="25.140625" bestFit="1" customWidth="1"/>
    <col min="10010" max="10010" width="15.140625" bestFit="1" customWidth="1"/>
    <col min="10011" max="10011" width="21" bestFit="1" customWidth="1"/>
    <col min="10242" max="10242" width="14" bestFit="1" customWidth="1"/>
    <col min="10243" max="10243" width="13.140625" customWidth="1"/>
    <col min="10244" max="10244" width="14.85546875" customWidth="1"/>
    <col min="10246" max="10246" width="15.140625" bestFit="1" customWidth="1"/>
    <col min="10247" max="10247" width="19.28515625" bestFit="1" customWidth="1"/>
    <col min="10248" max="10248" width="8.28515625" bestFit="1" customWidth="1"/>
    <col min="10249" max="10249" width="4.85546875" bestFit="1" customWidth="1"/>
    <col min="10250" max="10250" width="13.28515625" customWidth="1"/>
    <col min="10251" max="10251" width="9.7109375" customWidth="1"/>
    <col min="10252" max="10252" width="11.85546875" customWidth="1"/>
    <col min="10253" max="10253" width="12.5703125" bestFit="1" customWidth="1"/>
    <col min="10254" max="10254" width="19.28515625" bestFit="1" customWidth="1"/>
    <col min="10255" max="10255" width="8.28515625" bestFit="1" customWidth="1"/>
    <col min="10256" max="10256" width="4.85546875" bestFit="1" customWidth="1"/>
    <col min="10257" max="10257" width="12" customWidth="1"/>
    <col min="10258" max="10258" width="8.28515625" customWidth="1"/>
    <col min="10259" max="10259" width="11.140625" customWidth="1"/>
    <col min="10260" max="10261" width="11.7109375" bestFit="1" customWidth="1"/>
    <col min="10262" max="10262" width="17.28515625" bestFit="1" customWidth="1"/>
    <col min="10263" max="10263" width="17.28515625" customWidth="1"/>
    <col min="10264" max="10264" width="13.7109375" bestFit="1" customWidth="1"/>
    <col min="10265" max="10265" width="25.140625" bestFit="1" customWidth="1"/>
    <col min="10266" max="10266" width="15.140625" bestFit="1" customWidth="1"/>
    <col min="10267" max="10267" width="21" bestFit="1" customWidth="1"/>
    <col min="10498" max="10498" width="14" bestFit="1" customWidth="1"/>
    <col min="10499" max="10499" width="13.140625" customWidth="1"/>
    <col min="10500" max="10500" width="14.85546875" customWidth="1"/>
    <col min="10502" max="10502" width="15.140625" bestFit="1" customWidth="1"/>
    <col min="10503" max="10503" width="19.28515625" bestFit="1" customWidth="1"/>
    <col min="10504" max="10504" width="8.28515625" bestFit="1" customWidth="1"/>
    <col min="10505" max="10505" width="4.85546875" bestFit="1" customWidth="1"/>
    <col min="10506" max="10506" width="13.28515625" customWidth="1"/>
    <col min="10507" max="10507" width="9.7109375" customWidth="1"/>
    <col min="10508" max="10508" width="11.85546875" customWidth="1"/>
    <col min="10509" max="10509" width="12.5703125" bestFit="1" customWidth="1"/>
    <col min="10510" max="10510" width="19.28515625" bestFit="1" customWidth="1"/>
    <col min="10511" max="10511" width="8.28515625" bestFit="1" customWidth="1"/>
    <col min="10512" max="10512" width="4.85546875" bestFit="1" customWidth="1"/>
    <col min="10513" max="10513" width="12" customWidth="1"/>
    <col min="10514" max="10514" width="8.28515625" customWidth="1"/>
    <col min="10515" max="10515" width="11.140625" customWidth="1"/>
    <col min="10516" max="10517" width="11.7109375" bestFit="1" customWidth="1"/>
    <col min="10518" max="10518" width="17.28515625" bestFit="1" customWidth="1"/>
    <col min="10519" max="10519" width="17.28515625" customWidth="1"/>
    <col min="10520" max="10520" width="13.7109375" bestFit="1" customWidth="1"/>
    <col min="10521" max="10521" width="25.140625" bestFit="1" customWidth="1"/>
    <col min="10522" max="10522" width="15.140625" bestFit="1" customWidth="1"/>
    <col min="10523" max="10523" width="21" bestFit="1" customWidth="1"/>
    <col min="10754" max="10754" width="14" bestFit="1" customWidth="1"/>
    <col min="10755" max="10755" width="13.140625" customWidth="1"/>
    <col min="10756" max="10756" width="14.85546875" customWidth="1"/>
    <col min="10758" max="10758" width="15.140625" bestFit="1" customWidth="1"/>
    <col min="10759" max="10759" width="19.28515625" bestFit="1" customWidth="1"/>
    <col min="10760" max="10760" width="8.28515625" bestFit="1" customWidth="1"/>
    <col min="10761" max="10761" width="4.85546875" bestFit="1" customWidth="1"/>
    <col min="10762" max="10762" width="13.28515625" customWidth="1"/>
    <col min="10763" max="10763" width="9.7109375" customWidth="1"/>
    <col min="10764" max="10764" width="11.85546875" customWidth="1"/>
    <col min="10765" max="10765" width="12.5703125" bestFit="1" customWidth="1"/>
    <col min="10766" max="10766" width="19.28515625" bestFit="1" customWidth="1"/>
    <col min="10767" max="10767" width="8.28515625" bestFit="1" customWidth="1"/>
    <col min="10768" max="10768" width="4.85546875" bestFit="1" customWidth="1"/>
    <col min="10769" max="10769" width="12" customWidth="1"/>
    <col min="10770" max="10770" width="8.28515625" customWidth="1"/>
    <col min="10771" max="10771" width="11.140625" customWidth="1"/>
    <col min="10772" max="10773" width="11.7109375" bestFit="1" customWidth="1"/>
    <col min="10774" max="10774" width="17.28515625" bestFit="1" customWidth="1"/>
    <col min="10775" max="10775" width="17.28515625" customWidth="1"/>
    <col min="10776" max="10776" width="13.7109375" bestFit="1" customWidth="1"/>
    <col min="10777" max="10777" width="25.140625" bestFit="1" customWidth="1"/>
    <col min="10778" max="10778" width="15.140625" bestFit="1" customWidth="1"/>
    <col min="10779" max="10779" width="21" bestFit="1" customWidth="1"/>
    <col min="11010" max="11010" width="14" bestFit="1" customWidth="1"/>
    <col min="11011" max="11011" width="13.140625" customWidth="1"/>
    <col min="11012" max="11012" width="14.85546875" customWidth="1"/>
    <col min="11014" max="11014" width="15.140625" bestFit="1" customWidth="1"/>
    <col min="11015" max="11015" width="19.28515625" bestFit="1" customWidth="1"/>
    <col min="11016" max="11016" width="8.28515625" bestFit="1" customWidth="1"/>
    <col min="11017" max="11017" width="4.85546875" bestFit="1" customWidth="1"/>
    <col min="11018" max="11018" width="13.28515625" customWidth="1"/>
    <col min="11019" max="11019" width="9.7109375" customWidth="1"/>
    <col min="11020" max="11020" width="11.85546875" customWidth="1"/>
    <col min="11021" max="11021" width="12.5703125" bestFit="1" customWidth="1"/>
    <col min="11022" max="11022" width="19.28515625" bestFit="1" customWidth="1"/>
    <col min="11023" max="11023" width="8.28515625" bestFit="1" customWidth="1"/>
    <col min="11024" max="11024" width="4.85546875" bestFit="1" customWidth="1"/>
    <col min="11025" max="11025" width="12" customWidth="1"/>
    <col min="11026" max="11026" width="8.28515625" customWidth="1"/>
    <col min="11027" max="11027" width="11.140625" customWidth="1"/>
    <col min="11028" max="11029" width="11.7109375" bestFit="1" customWidth="1"/>
    <col min="11030" max="11030" width="17.28515625" bestFit="1" customWidth="1"/>
    <col min="11031" max="11031" width="17.28515625" customWidth="1"/>
    <col min="11032" max="11032" width="13.7109375" bestFit="1" customWidth="1"/>
    <col min="11033" max="11033" width="25.140625" bestFit="1" customWidth="1"/>
    <col min="11034" max="11034" width="15.140625" bestFit="1" customWidth="1"/>
    <col min="11035" max="11035" width="21" bestFit="1" customWidth="1"/>
    <col min="11266" max="11266" width="14" bestFit="1" customWidth="1"/>
    <col min="11267" max="11267" width="13.140625" customWidth="1"/>
    <col min="11268" max="11268" width="14.85546875" customWidth="1"/>
    <col min="11270" max="11270" width="15.140625" bestFit="1" customWidth="1"/>
    <col min="11271" max="11271" width="19.28515625" bestFit="1" customWidth="1"/>
    <col min="11272" max="11272" width="8.28515625" bestFit="1" customWidth="1"/>
    <col min="11273" max="11273" width="4.85546875" bestFit="1" customWidth="1"/>
    <col min="11274" max="11274" width="13.28515625" customWidth="1"/>
    <col min="11275" max="11275" width="9.7109375" customWidth="1"/>
    <col min="11276" max="11276" width="11.85546875" customWidth="1"/>
    <col min="11277" max="11277" width="12.5703125" bestFit="1" customWidth="1"/>
    <col min="11278" max="11278" width="19.28515625" bestFit="1" customWidth="1"/>
    <col min="11279" max="11279" width="8.28515625" bestFit="1" customWidth="1"/>
    <col min="11280" max="11280" width="4.85546875" bestFit="1" customWidth="1"/>
    <col min="11281" max="11281" width="12" customWidth="1"/>
    <col min="11282" max="11282" width="8.28515625" customWidth="1"/>
    <col min="11283" max="11283" width="11.140625" customWidth="1"/>
    <col min="11284" max="11285" width="11.7109375" bestFit="1" customWidth="1"/>
    <col min="11286" max="11286" width="17.28515625" bestFit="1" customWidth="1"/>
    <col min="11287" max="11287" width="17.28515625" customWidth="1"/>
    <col min="11288" max="11288" width="13.7109375" bestFit="1" customWidth="1"/>
    <col min="11289" max="11289" width="25.140625" bestFit="1" customWidth="1"/>
    <col min="11290" max="11290" width="15.140625" bestFit="1" customWidth="1"/>
    <col min="11291" max="11291" width="21" bestFit="1" customWidth="1"/>
    <col min="11522" max="11522" width="14" bestFit="1" customWidth="1"/>
    <col min="11523" max="11523" width="13.140625" customWidth="1"/>
    <col min="11524" max="11524" width="14.85546875" customWidth="1"/>
    <col min="11526" max="11526" width="15.140625" bestFit="1" customWidth="1"/>
    <col min="11527" max="11527" width="19.28515625" bestFit="1" customWidth="1"/>
    <col min="11528" max="11528" width="8.28515625" bestFit="1" customWidth="1"/>
    <col min="11529" max="11529" width="4.85546875" bestFit="1" customWidth="1"/>
    <col min="11530" max="11530" width="13.28515625" customWidth="1"/>
    <col min="11531" max="11531" width="9.7109375" customWidth="1"/>
    <col min="11532" max="11532" width="11.85546875" customWidth="1"/>
    <col min="11533" max="11533" width="12.5703125" bestFit="1" customWidth="1"/>
    <col min="11534" max="11534" width="19.28515625" bestFit="1" customWidth="1"/>
    <col min="11535" max="11535" width="8.28515625" bestFit="1" customWidth="1"/>
    <col min="11536" max="11536" width="4.85546875" bestFit="1" customWidth="1"/>
    <col min="11537" max="11537" width="12" customWidth="1"/>
    <col min="11538" max="11538" width="8.28515625" customWidth="1"/>
    <col min="11539" max="11539" width="11.140625" customWidth="1"/>
    <col min="11540" max="11541" width="11.7109375" bestFit="1" customWidth="1"/>
    <col min="11542" max="11542" width="17.28515625" bestFit="1" customWidth="1"/>
    <col min="11543" max="11543" width="17.28515625" customWidth="1"/>
    <col min="11544" max="11544" width="13.7109375" bestFit="1" customWidth="1"/>
    <col min="11545" max="11545" width="25.140625" bestFit="1" customWidth="1"/>
    <col min="11546" max="11546" width="15.140625" bestFit="1" customWidth="1"/>
    <col min="11547" max="11547" width="21" bestFit="1" customWidth="1"/>
    <col min="11778" max="11778" width="14" bestFit="1" customWidth="1"/>
    <col min="11779" max="11779" width="13.140625" customWidth="1"/>
    <col min="11780" max="11780" width="14.85546875" customWidth="1"/>
    <col min="11782" max="11782" width="15.140625" bestFit="1" customWidth="1"/>
    <col min="11783" max="11783" width="19.28515625" bestFit="1" customWidth="1"/>
    <col min="11784" max="11784" width="8.28515625" bestFit="1" customWidth="1"/>
    <col min="11785" max="11785" width="4.85546875" bestFit="1" customWidth="1"/>
    <col min="11786" max="11786" width="13.28515625" customWidth="1"/>
    <col min="11787" max="11787" width="9.7109375" customWidth="1"/>
    <col min="11788" max="11788" width="11.85546875" customWidth="1"/>
    <col min="11789" max="11789" width="12.5703125" bestFit="1" customWidth="1"/>
    <col min="11790" max="11790" width="19.28515625" bestFit="1" customWidth="1"/>
    <col min="11791" max="11791" width="8.28515625" bestFit="1" customWidth="1"/>
    <col min="11792" max="11792" width="4.85546875" bestFit="1" customWidth="1"/>
    <col min="11793" max="11793" width="12" customWidth="1"/>
    <col min="11794" max="11794" width="8.28515625" customWidth="1"/>
    <col min="11795" max="11795" width="11.140625" customWidth="1"/>
    <col min="11796" max="11797" width="11.7109375" bestFit="1" customWidth="1"/>
    <col min="11798" max="11798" width="17.28515625" bestFit="1" customWidth="1"/>
    <col min="11799" max="11799" width="17.28515625" customWidth="1"/>
    <col min="11800" max="11800" width="13.7109375" bestFit="1" customWidth="1"/>
    <col min="11801" max="11801" width="25.140625" bestFit="1" customWidth="1"/>
    <col min="11802" max="11802" width="15.140625" bestFit="1" customWidth="1"/>
    <col min="11803" max="11803" width="21" bestFit="1" customWidth="1"/>
    <col min="12034" max="12034" width="14" bestFit="1" customWidth="1"/>
    <col min="12035" max="12035" width="13.140625" customWidth="1"/>
    <col min="12036" max="12036" width="14.85546875" customWidth="1"/>
    <col min="12038" max="12038" width="15.140625" bestFit="1" customWidth="1"/>
    <col min="12039" max="12039" width="19.28515625" bestFit="1" customWidth="1"/>
    <col min="12040" max="12040" width="8.28515625" bestFit="1" customWidth="1"/>
    <col min="12041" max="12041" width="4.85546875" bestFit="1" customWidth="1"/>
    <col min="12042" max="12042" width="13.28515625" customWidth="1"/>
    <col min="12043" max="12043" width="9.7109375" customWidth="1"/>
    <col min="12044" max="12044" width="11.85546875" customWidth="1"/>
    <col min="12045" max="12045" width="12.5703125" bestFit="1" customWidth="1"/>
    <col min="12046" max="12046" width="19.28515625" bestFit="1" customWidth="1"/>
    <col min="12047" max="12047" width="8.28515625" bestFit="1" customWidth="1"/>
    <col min="12048" max="12048" width="4.85546875" bestFit="1" customWidth="1"/>
    <col min="12049" max="12049" width="12" customWidth="1"/>
    <col min="12050" max="12050" width="8.28515625" customWidth="1"/>
    <col min="12051" max="12051" width="11.140625" customWidth="1"/>
    <col min="12052" max="12053" width="11.7109375" bestFit="1" customWidth="1"/>
    <col min="12054" max="12054" width="17.28515625" bestFit="1" customWidth="1"/>
    <col min="12055" max="12055" width="17.28515625" customWidth="1"/>
    <col min="12056" max="12056" width="13.7109375" bestFit="1" customWidth="1"/>
    <col min="12057" max="12057" width="25.140625" bestFit="1" customWidth="1"/>
    <col min="12058" max="12058" width="15.140625" bestFit="1" customWidth="1"/>
    <col min="12059" max="12059" width="21" bestFit="1" customWidth="1"/>
    <col min="12290" max="12290" width="14" bestFit="1" customWidth="1"/>
    <col min="12291" max="12291" width="13.140625" customWidth="1"/>
    <col min="12292" max="12292" width="14.85546875" customWidth="1"/>
    <col min="12294" max="12294" width="15.140625" bestFit="1" customWidth="1"/>
    <col min="12295" max="12295" width="19.28515625" bestFit="1" customWidth="1"/>
    <col min="12296" max="12296" width="8.28515625" bestFit="1" customWidth="1"/>
    <col min="12297" max="12297" width="4.85546875" bestFit="1" customWidth="1"/>
    <col min="12298" max="12298" width="13.28515625" customWidth="1"/>
    <col min="12299" max="12299" width="9.7109375" customWidth="1"/>
    <col min="12300" max="12300" width="11.85546875" customWidth="1"/>
    <col min="12301" max="12301" width="12.5703125" bestFit="1" customWidth="1"/>
    <col min="12302" max="12302" width="19.28515625" bestFit="1" customWidth="1"/>
    <col min="12303" max="12303" width="8.28515625" bestFit="1" customWidth="1"/>
    <col min="12304" max="12304" width="4.85546875" bestFit="1" customWidth="1"/>
    <col min="12305" max="12305" width="12" customWidth="1"/>
    <col min="12306" max="12306" width="8.28515625" customWidth="1"/>
    <col min="12307" max="12307" width="11.140625" customWidth="1"/>
    <col min="12308" max="12309" width="11.7109375" bestFit="1" customWidth="1"/>
    <col min="12310" max="12310" width="17.28515625" bestFit="1" customWidth="1"/>
    <col min="12311" max="12311" width="17.28515625" customWidth="1"/>
    <col min="12312" max="12312" width="13.7109375" bestFit="1" customWidth="1"/>
    <col min="12313" max="12313" width="25.140625" bestFit="1" customWidth="1"/>
    <col min="12314" max="12314" width="15.140625" bestFit="1" customWidth="1"/>
    <col min="12315" max="12315" width="21" bestFit="1" customWidth="1"/>
    <col min="12546" max="12546" width="14" bestFit="1" customWidth="1"/>
    <col min="12547" max="12547" width="13.140625" customWidth="1"/>
    <col min="12548" max="12548" width="14.85546875" customWidth="1"/>
    <col min="12550" max="12550" width="15.140625" bestFit="1" customWidth="1"/>
    <col min="12551" max="12551" width="19.28515625" bestFit="1" customWidth="1"/>
    <col min="12552" max="12552" width="8.28515625" bestFit="1" customWidth="1"/>
    <col min="12553" max="12553" width="4.85546875" bestFit="1" customWidth="1"/>
    <col min="12554" max="12554" width="13.28515625" customWidth="1"/>
    <col min="12555" max="12555" width="9.7109375" customWidth="1"/>
    <col min="12556" max="12556" width="11.85546875" customWidth="1"/>
    <col min="12557" max="12557" width="12.5703125" bestFit="1" customWidth="1"/>
    <col min="12558" max="12558" width="19.28515625" bestFit="1" customWidth="1"/>
    <col min="12559" max="12559" width="8.28515625" bestFit="1" customWidth="1"/>
    <col min="12560" max="12560" width="4.85546875" bestFit="1" customWidth="1"/>
    <col min="12561" max="12561" width="12" customWidth="1"/>
    <col min="12562" max="12562" width="8.28515625" customWidth="1"/>
    <col min="12563" max="12563" width="11.140625" customWidth="1"/>
    <col min="12564" max="12565" width="11.7109375" bestFit="1" customWidth="1"/>
    <col min="12566" max="12566" width="17.28515625" bestFit="1" customWidth="1"/>
    <col min="12567" max="12567" width="17.28515625" customWidth="1"/>
    <col min="12568" max="12568" width="13.7109375" bestFit="1" customWidth="1"/>
    <col min="12569" max="12569" width="25.140625" bestFit="1" customWidth="1"/>
    <col min="12570" max="12570" width="15.140625" bestFit="1" customWidth="1"/>
    <col min="12571" max="12571" width="21" bestFit="1" customWidth="1"/>
    <col min="12802" max="12802" width="14" bestFit="1" customWidth="1"/>
    <col min="12803" max="12803" width="13.140625" customWidth="1"/>
    <col min="12804" max="12804" width="14.85546875" customWidth="1"/>
    <col min="12806" max="12806" width="15.140625" bestFit="1" customWidth="1"/>
    <col min="12807" max="12807" width="19.28515625" bestFit="1" customWidth="1"/>
    <col min="12808" max="12808" width="8.28515625" bestFit="1" customWidth="1"/>
    <col min="12809" max="12809" width="4.85546875" bestFit="1" customWidth="1"/>
    <col min="12810" max="12810" width="13.28515625" customWidth="1"/>
    <col min="12811" max="12811" width="9.7109375" customWidth="1"/>
    <col min="12812" max="12812" width="11.85546875" customWidth="1"/>
    <col min="12813" max="12813" width="12.5703125" bestFit="1" customWidth="1"/>
    <col min="12814" max="12814" width="19.28515625" bestFit="1" customWidth="1"/>
    <col min="12815" max="12815" width="8.28515625" bestFit="1" customWidth="1"/>
    <col min="12816" max="12816" width="4.85546875" bestFit="1" customWidth="1"/>
    <col min="12817" max="12817" width="12" customWidth="1"/>
    <col min="12818" max="12818" width="8.28515625" customWidth="1"/>
    <col min="12819" max="12819" width="11.140625" customWidth="1"/>
    <col min="12820" max="12821" width="11.7109375" bestFit="1" customWidth="1"/>
    <col min="12822" max="12822" width="17.28515625" bestFit="1" customWidth="1"/>
    <col min="12823" max="12823" width="17.28515625" customWidth="1"/>
    <col min="12824" max="12824" width="13.7109375" bestFit="1" customWidth="1"/>
    <col min="12825" max="12825" width="25.140625" bestFit="1" customWidth="1"/>
    <col min="12826" max="12826" width="15.140625" bestFit="1" customWidth="1"/>
    <col min="12827" max="12827" width="21" bestFit="1" customWidth="1"/>
    <col min="13058" max="13058" width="14" bestFit="1" customWidth="1"/>
    <col min="13059" max="13059" width="13.140625" customWidth="1"/>
    <col min="13060" max="13060" width="14.85546875" customWidth="1"/>
    <col min="13062" max="13062" width="15.140625" bestFit="1" customWidth="1"/>
    <col min="13063" max="13063" width="19.28515625" bestFit="1" customWidth="1"/>
    <col min="13064" max="13064" width="8.28515625" bestFit="1" customWidth="1"/>
    <col min="13065" max="13065" width="4.85546875" bestFit="1" customWidth="1"/>
    <col min="13066" max="13066" width="13.28515625" customWidth="1"/>
    <col min="13067" max="13067" width="9.7109375" customWidth="1"/>
    <col min="13068" max="13068" width="11.85546875" customWidth="1"/>
    <col min="13069" max="13069" width="12.5703125" bestFit="1" customWidth="1"/>
    <col min="13070" max="13070" width="19.28515625" bestFit="1" customWidth="1"/>
    <col min="13071" max="13071" width="8.28515625" bestFit="1" customWidth="1"/>
    <col min="13072" max="13072" width="4.85546875" bestFit="1" customWidth="1"/>
    <col min="13073" max="13073" width="12" customWidth="1"/>
    <col min="13074" max="13074" width="8.28515625" customWidth="1"/>
    <col min="13075" max="13075" width="11.140625" customWidth="1"/>
    <col min="13076" max="13077" width="11.7109375" bestFit="1" customWidth="1"/>
    <col min="13078" max="13078" width="17.28515625" bestFit="1" customWidth="1"/>
    <col min="13079" max="13079" width="17.28515625" customWidth="1"/>
    <col min="13080" max="13080" width="13.7109375" bestFit="1" customWidth="1"/>
    <col min="13081" max="13081" width="25.140625" bestFit="1" customWidth="1"/>
    <col min="13082" max="13082" width="15.140625" bestFit="1" customWidth="1"/>
    <col min="13083" max="13083" width="21" bestFit="1" customWidth="1"/>
    <col min="13314" max="13314" width="14" bestFit="1" customWidth="1"/>
    <col min="13315" max="13315" width="13.140625" customWidth="1"/>
    <col min="13316" max="13316" width="14.85546875" customWidth="1"/>
    <col min="13318" max="13318" width="15.140625" bestFit="1" customWidth="1"/>
    <col min="13319" max="13319" width="19.28515625" bestFit="1" customWidth="1"/>
    <col min="13320" max="13320" width="8.28515625" bestFit="1" customWidth="1"/>
    <col min="13321" max="13321" width="4.85546875" bestFit="1" customWidth="1"/>
    <col min="13322" max="13322" width="13.28515625" customWidth="1"/>
    <col min="13323" max="13323" width="9.7109375" customWidth="1"/>
    <col min="13324" max="13324" width="11.85546875" customWidth="1"/>
    <col min="13325" max="13325" width="12.5703125" bestFit="1" customWidth="1"/>
    <col min="13326" max="13326" width="19.28515625" bestFit="1" customWidth="1"/>
    <col min="13327" max="13327" width="8.28515625" bestFit="1" customWidth="1"/>
    <col min="13328" max="13328" width="4.85546875" bestFit="1" customWidth="1"/>
    <col min="13329" max="13329" width="12" customWidth="1"/>
    <col min="13330" max="13330" width="8.28515625" customWidth="1"/>
    <col min="13331" max="13331" width="11.140625" customWidth="1"/>
    <col min="13332" max="13333" width="11.7109375" bestFit="1" customWidth="1"/>
    <col min="13334" max="13334" width="17.28515625" bestFit="1" customWidth="1"/>
    <col min="13335" max="13335" width="17.28515625" customWidth="1"/>
    <col min="13336" max="13336" width="13.7109375" bestFit="1" customWidth="1"/>
    <col min="13337" max="13337" width="25.140625" bestFit="1" customWidth="1"/>
    <col min="13338" max="13338" width="15.140625" bestFit="1" customWidth="1"/>
    <col min="13339" max="13339" width="21" bestFit="1" customWidth="1"/>
    <col min="13570" max="13570" width="14" bestFit="1" customWidth="1"/>
    <col min="13571" max="13571" width="13.140625" customWidth="1"/>
    <col min="13572" max="13572" width="14.85546875" customWidth="1"/>
    <col min="13574" max="13574" width="15.140625" bestFit="1" customWidth="1"/>
    <col min="13575" max="13575" width="19.28515625" bestFit="1" customWidth="1"/>
    <col min="13576" max="13576" width="8.28515625" bestFit="1" customWidth="1"/>
    <col min="13577" max="13577" width="4.85546875" bestFit="1" customWidth="1"/>
    <col min="13578" max="13578" width="13.28515625" customWidth="1"/>
    <col min="13579" max="13579" width="9.7109375" customWidth="1"/>
    <col min="13580" max="13580" width="11.85546875" customWidth="1"/>
    <col min="13581" max="13581" width="12.5703125" bestFit="1" customWidth="1"/>
    <col min="13582" max="13582" width="19.28515625" bestFit="1" customWidth="1"/>
    <col min="13583" max="13583" width="8.28515625" bestFit="1" customWidth="1"/>
    <col min="13584" max="13584" width="4.85546875" bestFit="1" customWidth="1"/>
    <col min="13585" max="13585" width="12" customWidth="1"/>
    <col min="13586" max="13586" width="8.28515625" customWidth="1"/>
    <col min="13587" max="13587" width="11.140625" customWidth="1"/>
    <col min="13588" max="13589" width="11.7109375" bestFit="1" customWidth="1"/>
    <col min="13590" max="13590" width="17.28515625" bestFit="1" customWidth="1"/>
    <col min="13591" max="13591" width="17.28515625" customWidth="1"/>
    <col min="13592" max="13592" width="13.7109375" bestFit="1" customWidth="1"/>
    <col min="13593" max="13593" width="25.140625" bestFit="1" customWidth="1"/>
    <col min="13594" max="13594" width="15.140625" bestFit="1" customWidth="1"/>
    <col min="13595" max="13595" width="21" bestFit="1" customWidth="1"/>
    <col min="13826" max="13826" width="14" bestFit="1" customWidth="1"/>
    <col min="13827" max="13827" width="13.140625" customWidth="1"/>
    <col min="13828" max="13828" width="14.85546875" customWidth="1"/>
    <col min="13830" max="13830" width="15.140625" bestFit="1" customWidth="1"/>
    <col min="13831" max="13831" width="19.28515625" bestFit="1" customWidth="1"/>
    <col min="13832" max="13832" width="8.28515625" bestFit="1" customWidth="1"/>
    <col min="13833" max="13833" width="4.85546875" bestFit="1" customWidth="1"/>
    <col min="13834" max="13834" width="13.28515625" customWidth="1"/>
    <col min="13835" max="13835" width="9.7109375" customWidth="1"/>
    <col min="13836" max="13836" width="11.85546875" customWidth="1"/>
    <col min="13837" max="13837" width="12.5703125" bestFit="1" customWidth="1"/>
    <col min="13838" max="13838" width="19.28515625" bestFit="1" customWidth="1"/>
    <col min="13839" max="13839" width="8.28515625" bestFit="1" customWidth="1"/>
    <col min="13840" max="13840" width="4.85546875" bestFit="1" customWidth="1"/>
    <col min="13841" max="13841" width="12" customWidth="1"/>
    <col min="13842" max="13842" width="8.28515625" customWidth="1"/>
    <col min="13843" max="13843" width="11.140625" customWidth="1"/>
    <col min="13844" max="13845" width="11.7109375" bestFit="1" customWidth="1"/>
    <col min="13846" max="13846" width="17.28515625" bestFit="1" customWidth="1"/>
    <col min="13847" max="13847" width="17.28515625" customWidth="1"/>
    <col min="13848" max="13848" width="13.7109375" bestFit="1" customWidth="1"/>
    <col min="13849" max="13849" width="25.140625" bestFit="1" customWidth="1"/>
    <col min="13850" max="13850" width="15.140625" bestFit="1" customWidth="1"/>
    <col min="13851" max="13851" width="21" bestFit="1" customWidth="1"/>
    <col min="14082" max="14082" width="14" bestFit="1" customWidth="1"/>
    <col min="14083" max="14083" width="13.140625" customWidth="1"/>
    <col min="14084" max="14084" width="14.85546875" customWidth="1"/>
    <col min="14086" max="14086" width="15.140625" bestFit="1" customWidth="1"/>
    <col min="14087" max="14087" width="19.28515625" bestFit="1" customWidth="1"/>
    <col min="14088" max="14088" width="8.28515625" bestFit="1" customWidth="1"/>
    <col min="14089" max="14089" width="4.85546875" bestFit="1" customWidth="1"/>
    <col min="14090" max="14090" width="13.28515625" customWidth="1"/>
    <col min="14091" max="14091" width="9.7109375" customWidth="1"/>
    <col min="14092" max="14092" width="11.85546875" customWidth="1"/>
    <col min="14093" max="14093" width="12.5703125" bestFit="1" customWidth="1"/>
    <col min="14094" max="14094" width="19.28515625" bestFit="1" customWidth="1"/>
    <col min="14095" max="14095" width="8.28515625" bestFit="1" customWidth="1"/>
    <col min="14096" max="14096" width="4.85546875" bestFit="1" customWidth="1"/>
    <col min="14097" max="14097" width="12" customWidth="1"/>
    <col min="14098" max="14098" width="8.28515625" customWidth="1"/>
    <col min="14099" max="14099" width="11.140625" customWidth="1"/>
    <col min="14100" max="14101" width="11.7109375" bestFit="1" customWidth="1"/>
    <col min="14102" max="14102" width="17.28515625" bestFit="1" customWidth="1"/>
    <col min="14103" max="14103" width="17.28515625" customWidth="1"/>
    <col min="14104" max="14104" width="13.7109375" bestFit="1" customWidth="1"/>
    <col min="14105" max="14105" width="25.140625" bestFit="1" customWidth="1"/>
    <col min="14106" max="14106" width="15.140625" bestFit="1" customWidth="1"/>
    <col min="14107" max="14107" width="21" bestFit="1" customWidth="1"/>
    <col min="14338" max="14338" width="14" bestFit="1" customWidth="1"/>
    <col min="14339" max="14339" width="13.140625" customWidth="1"/>
    <col min="14340" max="14340" width="14.85546875" customWidth="1"/>
    <col min="14342" max="14342" width="15.140625" bestFit="1" customWidth="1"/>
    <col min="14343" max="14343" width="19.28515625" bestFit="1" customWidth="1"/>
    <col min="14344" max="14344" width="8.28515625" bestFit="1" customWidth="1"/>
    <col min="14345" max="14345" width="4.85546875" bestFit="1" customWidth="1"/>
    <col min="14346" max="14346" width="13.28515625" customWidth="1"/>
    <col min="14347" max="14347" width="9.7109375" customWidth="1"/>
    <col min="14348" max="14348" width="11.85546875" customWidth="1"/>
    <col min="14349" max="14349" width="12.5703125" bestFit="1" customWidth="1"/>
    <col min="14350" max="14350" width="19.28515625" bestFit="1" customWidth="1"/>
    <col min="14351" max="14351" width="8.28515625" bestFit="1" customWidth="1"/>
    <col min="14352" max="14352" width="4.85546875" bestFit="1" customWidth="1"/>
    <col min="14353" max="14353" width="12" customWidth="1"/>
    <col min="14354" max="14354" width="8.28515625" customWidth="1"/>
    <col min="14355" max="14355" width="11.140625" customWidth="1"/>
    <col min="14356" max="14357" width="11.7109375" bestFit="1" customWidth="1"/>
    <col min="14358" max="14358" width="17.28515625" bestFit="1" customWidth="1"/>
    <col min="14359" max="14359" width="17.28515625" customWidth="1"/>
    <col min="14360" max="14360" width="13.7109375" bestFit="1" customWidth="1"/>
    <col min="14361" max="14361" width="25.140625" bestFit="1" customWidth="1"/>
    <col min="14362" max="14362" width="15.140625" bestFit="1" customWidth="1"/>
    <col min="14363" max="14363" width="21" bestFit="1" customWidth="1"/>
    <col min="14594" max="14594" width="14" bestFit="1" customWidth="1"/>
    <col min="14595" max="14595" width="13.140625" customWidth="1"/>
    <col min="14596" max="14596" width="14.85546875" customWidth="1"/>
    <col min="14598" max="14598" width="15.140625" bestFit="1" customWidth="1"/>
    <col min="14599" max="14599" width="19.28515625" bestFit="1" customWidth="1"/>
    <col min="14600" max="14600" width="8.28515625" bestFit="1" customWidth="1"/>
    <col min="14601" max="14601" width="4.85546875" bestFit="1" customWidth="1"/>
    <col min="14602" max="14602" width="13.28515625" customWidth="1"/>
    <col min="14603" max="14603" width="9.7109375" customWidth="1"/>
    <col min="14604" max="14604" width="11.85546875" customWidth="1"/>
    <col min="14605" max="14605" width="12.5703125" bestFit="1" customWidth="1"/>
    <col min="14606" max="14606" width="19.28515625" bestFit="1" customWidth="1"/>
    <col min="14607" max="14607" width="8.28515625" bestFit="1" customWidth="1"/>
    <col min="14608" max="14608" width="4.85546875" bestFit="1" customWidth="1"/>
    <col min="14609" max="14609" width="12" customWidth="1"/>
    <col min="14610" max="14610" width="8.28515625" customWidth="1"/>
    <col min="14611" max="14611" width="11.140625" customWidth="1"/>
    <col min="14612" max="14613" width="11.7109375" bestFit="1" customWidth="1"/>
    <col min="14614" max="14614" width="17.28515625" bestFit="1" customWidth="1"/>
    <col min="14615" max="14615" width="17.28515625" customWidth="1"/>
    <col min="14616" max="14616" width="13.7109375" bestFit="1" customWidth="1"/>
    <col min="14617" max="14617" width="25.140625" bestFit="1" customWidth="1"/>
    <col min="14618" max="14618" width="15.140625" bestFit="1" customWidth="1"/>
    <col min="14619" max="14619" width="21" bestFit="1" customWidth="1"/>
    <col min="14850" max="14850" width="14" bestFit="1" customWidth="1"/>
    <col min="14851" max="14851" width="13.140625" customWidth="1"/>
    <col min="14852" max="14852" width="14.85546875" customWidth="1"/>
    <col min="14854" max="14854" width="15.140625" bestFit="1" customWidth="1"/>
    <col min="14855" max="14855" width="19.28515625" bestFit="1" customWidth="1"/>
    <col min="14856" max="14856" width="8.28515625" bestFit="1" customWidth="1"/>
    <col min="14857" max="14857" width="4.85546875" bestFit="1" customWidth="1"/>
    <col min="14858" max="14858" width="13.28515625" customWidth="1"/>
    <col min="14859" max="14859" width="9.7109375" customWidth="1"/>
    <col min="14860" max="14860" width="11.85546875" customWidth="1"/>
    <col min="14861" max="14861" width="12.5703125" bestFit="1" customWidth="1"/>
    <col min="14862" max="14862" width="19.28515625" bestFit="1" customWidth="1"/>
    <col min="14863" max="14863" width="8.28515625" bestFit="1" customWidth="1"/>
    <col min="14864" max="14864" width="4.85546875" bestFit="1" customWidth="1"/>
    <col min="14865" max="14865" width="12" customWidth="1"/>
    <col min="14866" max="14866" width="8.28515625" customWidth="1"/>
    <col min="14867" max="14867" width="11.140625" customWidth="1"/>
    <col min="14868" max="14869" width="11.7109375" bestFit="1" customWidth="1"/>
    <col min="14870" max="14870" width="17.28515625" bestFit="1" customWidth="1"/>
    <col min="14871" max="14871" width="17.28515625" customWidth="1"/>
    <col min="14872" max="14872" width="13.7109375" bestFit="1" customWidth="1"/>
    <col min="14873" max="14873" width="25.140625" bestFit="1" customWidth="1"/>
    <col min="14874" max="14874" width="15.140625" bestFit="1" customWidth="1"/>
    <col min="14875" max="14875" width="21" bestFit="1" customWidth="1"/>
    <col min="15106" max="15106" width="14" bestFit="1" customWidth="1"/>
    <col min="15107" max="15107" width="13.140625" customWidth="1"/>
    <col min="15108" max="15108" width="14.85546875" customWidth="1"/>
    <col min="15110" max="15110" width="15.140625" bestFit="1" customWidth="1"/>
    <col min="15111" max="15111" width="19.28515625" bestFit="1" customWidth="1"/>
    <col min="15112" max="15112" width="8.28515625" bestFit="1" customWidth="1"/>
    <col min="15113" max="15113" width="4.85546875" bestFit="1" customWidth="1"/>
    <col min="15114" max="15114" width="13.28515625" customWidth="1"/>
    <col min="15115" max="15115" width="9.7109375" customWidth="1"/>
    <col min="15116" max="15116" width="11.85546875" customWidth="1"/>
    <col min="15117" max="15117" width="12.5703125" bestFit="1" customWidth="1"/>
    <col min="15118" max="15118" width="19.28515625" bestFit="1" customWidth="1"/>
    <col min="15119" max="15119" width="8.28515625" bestFit="1" customWidth="1"/>
    <col min="15120" max="15120" width="4.85546875" bestFit="1" customWidth="1"/>
    <col min="15121" max="15121" width="12" customWidth="1"/>
    <col min="15122" max="15122" width="8.28515625" customWidth="1"/>
    <col min="15123" max="15123" width="11.140625" customWidth="1"/>
    <col min="15124" max="15125" width="11.7109375" bestFit="1" customWidth="1"/>
    <col min="15126" max="15126" width="17.28515625" bestFit="1" customWidth="1"/>
    <col min="15127" max="15127" width="17.28515625" customWidth="1"/>
    <col min="15128" max="15128" width="13.7109375" bestFit="1" customWidth="1"/>
    <col min="15129" max="15129" width="25.140625" bestFit="1" customWidth="1"/>
    <col min="15130" max="15130" width="15.140625" bestFit="1" customWidth="1"/>
    <col min="15131" max="15131" width="21" bestFit="1" customWidth="1"/>
    <col min="15362" max="15362" width="14" bestFit="1" customWidth="1"/>
    <col min="15363" max="15363" width="13.140625" customWidth="1"/>
    <col min="15364" max="15364" width="14.85546875" customWidth="1"/>
    <col min="15366" max="15366" width="15.140625" bestFit="1" customWidth="1"/>
    <col min="15367" max="15367" width="19.28515625" bestFit="1" customWidth="1"/>
    <col min="15368" max="15368" width="8.28515625" bestFit="1" customWidth="1"/>
    <col min="15369" max="15369" width="4.85546875" bestFit="1" customWidth="1"/>
    <col min="15370" max="15370" width="13.28515625" customWidth="1"/>
    <col min="15371" max="15371" width="9.7109375" customWidth="1"/>
    <col min="15372" max="15372" width="11.85546875" customWidth="1"/>
    <col min="15373" max="15373" width="12.5703125" bestFit="1" customWidth="1"/>
    <col min="15374" max="15374" width="19.28515625" bestFit="1" customWidth="1"/>
    <col min="15375" max="15375" width="8.28515625" bestFit="1" customWidth="1"/>
    <col min="15376" max="15376" width="4.85546875" bestFit="1" customWidth="1"/>
    <col min="15377" max="15377" width="12" customWidth="1"/>
    <col min="15378" max="15378" width="8.28515625" customWidth="1"/>
    <col min="15379" max="15379" width="11.140625" customWidth="1"/>
    <col min="15380" max="15381" width="11.7109375" bestFit="1" customWidth="1"/>
    <col min="15382" max="15382" width="17.28515625" bestFit="1" customWidth="1"/>
    <col min="15383" max="15383" width="17.28515625" customWidth="1"/>
    <col min="15384" max="15384" width="13.7109375" bestFit="1" customWidth="1"/>
    <col min="15385" max="15385" width="25.140625" bestFit="1" customWidth="1"/>
    <col min="15386" max="15386" width="15.140625" bestFit="1" customWidth="1"/>
    <col min="15387" max="15387" width="21" bestFit="1" customWidth="1"/>
    <col min="15618" max="15618" width="14" bestFit="1" customWidth="1"/>
    <col min="15619" max="15619" width="13.140625" customWidth="1"/>
    <col min="15620" max="15620" width="14.85546875" customWidth="1"/>
    <col min="15622" max="15622" width="15.140625" bestFit="1" customWidth="1"/>
    <col min="15623" max="15623" width="19.28515625" bestFit="1" customWidth="1"/>
    <col min="15624" max="15624" width="8.28515625" bestFit="1" customWidth="1"/>
    <col min="15625" max="15625" width="4.85546875" bestFit="1" customWidth="1"/>
    <col min="15626" max="15626" width="13.28515625" customWidth="1"/>
    <col min="15627" max="15627" width="9.7109375" customWidth="1"/>
    <col min="15628" max="15628" width="11.85546875" customWidth="1"/>
    <col min="15629" max="15629" width="12.5703125" bestFit="1" customWidth="1"/>
    <col min="15630" max="15630" width="19.28515625" bestFit="1" customWidth="1"/>
    <col min="15631" max="15631" width="8.28515625" bestFit="1" customWidth="1"/>
    <col min="15632" max="15632" width="4.85546875" bestFit="1" customWidth="1"/>
    <col min="15633" max="15633" width="12" customWidth="1"/>
    <col min="15634" max="15634" width="8.28515625" customWidth="1"/>
    <col min="15635" max="15635" width="11.140625" customWidth="1"/>
    <col min="15636" max="15637" width="11.7109375" bestFit="1" customWidth="1"/>
    <col min="15638" max="15638" width="17.28515625" bestFit="1" customWidth="1"/>
    <col min="15639" max="15639" width="17.28515625" customWidth="1"/>
    <col min="15640" max="15640" width="13.7109375" bestFit="1" customWidth="1"/>
    <col min="15641" max="15641" width="25.140625" bestFit="1" customWidth="1"/>
    <col min="15642" max="15642" width="15.140625" bestFit="1" customWidth="1"/>
    <col min="15643" max="15643" width="21" bestFit="1" customWidth="1"/>
    <col min="15874" max="15874" width="14" bestFit="1" customWidth="1"/>
    <col min="15875" max="15875" width="13.140625" customWidth="1"/>
    <col min="15876" max="15876" width="14.85546875" customWidth="1"/>
    <col min="15878" max="15878" width="15.140625" bestFit="1" customWidth="1"/>
    <col min="15879" max="15879" width="19.28515625" bestFit="1" customWidth="1"/>
    <col min="15880" max="15880" width="8.28515625" bestFit="1" customWidth="1"/>
    <col min="15881" max="15881" width="4.85546875" bestFit="1" customWidth="1"/>
    <col min="15882" max="15882" width="13.28515625" customWidth="1"/>
    <col min="15883" max="15883" width="9.7109375" customWidth="1"/>
    <col min="15884" max="15884" width="11.85546875" customWidth="1"/>
    <col min="15885" max="15885" width="12.5703125" bestFit="1" customWidth="1"/>
    <col min="15886" max="15886" width="19.28515625" bestFit="1" customWidth="1"/>
    <col min="15887" max="15887" width="8.28515625" bestFit="1" customWidth="1"/>
    <col min="15888" max="15888" width="4.85546875" bestFit="1" customWidth="1"/>
    <col min="15889" max="15889" width="12" customWidth="1"/>
    <col min="15890" max="15890" width="8.28515625" customWidth="1"/>
    <col min="15891" max="15891" width="11.140625" customWidth="1"/>
    <col min="15892" max="15893" width="11.7109375" bestFit="1" customWidth="1"/>
    <col min="15894" max="15894" width="17.28515625" bestFit="1" customWidth="1"/>
    <col min="15895" max="15895" width="17.28515625" customWidth="1"/>
    <col min="15896" max="15896" width="13.7109375" bestFit="1" customWidth="1"/>
    <col min="15897" max="15897" width="25.140625" bestFit="1" customWidth="1"/>
    <col min="15898" max="15898" width="15.140625" bestFit="1" customWidth="1"/>
    <col min="15899" max="15899" width="21" bestFit="1" customWidth="1"/>
    <col min="16130" max="16130" width="14" bestFit="1" customWidth="1"/>
    <col min="16131" max="16131" width="13.140625" customWidth="1"/>
    <col min="16132" max="16132" width="14.85546875" customWidth="1"/>
    <col min="16134" max="16134" width="15.140625" bestFit="1" customWidth="1"/>
    <col min="16135" max="16135" width="19.28515625" bestFit="1" customWidth="1"/>
    <col min="16136" max="16136" width="8.28515625" bestFit="1" customWidth="1"/>
    <col min="16137" max="16137" width="4.85546875" bestFit="1" customWidth="1"/>
    <col min="16138" max="16138" width="13.28515625" customWidth="1"/>
    <col min="16139" max="16139" width="9.7109375" customWidth="1"/>
    <col min="16140" max="16140" width="11.85546875" customWidth="1"/>
    <col min="16141" max="16141" width="12.5703125" bestFit="1" customWidth="1"/>
    <col min="16142" max="16142" width="19.28515625" bestFit="1" customWidth="1"/>
    <col min="16143" max="16143" width="8.28515625" bestFit="1" customWidth="1"/>
    <col min="16144" max="16144" width="4.85546875" bestFit="1" customWidth="1"/>
    <col min="16145" max="16145" width="12" customWidth="1"/>
    <col min="16146" max="16146" width="8.28515625" customWidth="1"/>
    <col min="16147" max="16147" width="11.140625" customWidth="1"/>
    <col min="16148" max="16149" width="11.7109375" bestFit="1" customWidth="1"/>
    <col min="16150" max="16150" width="17.28515625" bestFit="1" customWidth="1"/>
    <col min="16151" max="16151" width="17.28515625" customWidth="1"/>
    <col min="16152" max="16152" width="13.7109375" bestFit="1" customWidth="1"/>
    <col min="16153" max="16153" width="25.140625" bestFit="1" customWidth="1"/>
    <col min="16154" max="16154" width="15.140625" bestFit="1" customWidth="1"/>
    <col min="16155" max="16155" width="21" bestFit="1" customWidth="1"/>
  </cols>
  <sheetData>
    <row r="4" spans="1:27" x14ac:dyDescent="0.25">
      <c r="D4" s="247" t="s">
        <v>0</v>
      </c>
      <c r="E4" s="248"/>
      <c r="F4" s="248"/>
      <c r="G4" s="248"/>
      <c r="H4" s="248"/>
      <c r="I4" s="248"/>
      <c r="J4" s="248"/>
      <c r="K4" s="248"/>
      <c r="L4" s="248"/>
      <c r="M4" s="248"/>
      <c r="N4" s="248"/>
      <c r="O4" s="248"/>
      <c r="P4" s="248"/>
      <c r="Q4" s="248"/>
      <c r="R4" s="248"/>
      <c r="S4" s="249"/>
      <c r="T4" s="1"/>
      <c r="U4" s="1"/>
      <c r="V4" s="250" t="s">
        <v>1</v>
      </c>
      <c r="W4" s="250"/>
      <c r="X4" s="250"/>
      <c r="Y4" s="250"/>
      <c r="Z4" s="251" t="s">
        <v>2</v>
      </c>
      <c r="AA4" s="251"/>
    </row>
    <row r="5" spans="1:27" ht="30" customHeight="1" x14ac:dyDescent="0.25">
      <c r="D5" s="2" t="s">
        <v>3</v>
      </c>
      <c r="E5" s="2" t="s">
        <v>4</v>
      </c>
      <c r="F5" s="3" t="s">
        <v>5</v>
      </c>
      <c r="G5" s="3" t="s">
        <v>6</v>
      </c>
      <c r="H5" s="252" t="s">
        <v>7</v>
      </c>
      <c r="I5" s="253"/>
      <c r="J5" s="254" t="s">
        <v>8</v>
      </c>
      <c r="K5" s="255"/>
      <c r="L5" s="256"/>
      <c r="M5" s="4" t="s">
        <v>9</v>
      </c>
      <c r="N5" s="4" t="s">
        <v>10</v>
      </c>
      <c r="O5" s="257" t="s">
        <v>7</v>
      </c>
      <c r="P5" s="257"/>
      <c r="Q5" s="258" t="s">
        <v>11</v>
      </c>
      <c r="R5" s="259"/>
      <c r="S5" s="260"/>
      <c r="T5" s="1" t="s">
        <v>12</v>
      </c>
      <c r="U5" s="1" t="s">
        <v>13</v>
      </c>
      <c r="V5" s="5" t="s">
        <v>14</v>
      </c>
      <c r="W5" s="5" t="s">
        <v>14</v>
      </c>
      <c r="X5" s="5" t="s">
        <v>15</v>
      </c>
      <c r="Y5" s="5" t="s">
        <v>16</v>
      </c>
      <c r="Z5" s="6" t="s">
        <v>17</v>
      </c>
      <c r="AA5" s="6" t="s">
        <v>18</v>
      </c>
    </row>
    <row r="6" spans="1:27" ht="44.25" customHeight="1" thickBot="1" x14ac:dyDescent="0.3">
      <c r="B6" s="7" t="s">
        <v>19</v>
      </c>
      <c r="C6" s="7" t="s">
        <v>20</v>
      </c>
      <c r="D6" s="8" t="s">
        <v>21</v>
      </c>
      <c r="E6" s="8" t="s">
        <v>22</v>
      </c>
      <c r="F6" s="9" t="s">
        <v>23</v>
      </c>
      <c r="G6" s="9" t="s">
        <v>24</v>
      </c>
      <c r="H6" s="10" t="s">
        <v>4</v>
      </c>
      <c r="I6" s="11" t="s">
        <v>25</v>
      </c>
      <c r="J6" s="12" t="s">
        <v>26</v>
      </c>
      <c r="K6" s="12" t="s">
        <v>25</v>
      </c>
      <c r="L6" s="13" t="s">
        <v>27</v>
      </c>
      <c r="M6" s="9" t="s">
        <v>26</v>
      </c>
      <c r="N6" s="9" t="s">
        <v>25</v>
      </c>
      <c r="O6" s="11" t="s">
        <v>4</v>
      </c>
      <c r="P6" s="14" t="s">
        <v>25</v>
      </c>
      <c r="Q6" s="15" t="s">
        <v>26</v>
      </c>
      <c r="R6" s="15" t="s">
        <v>25</v>
      </c>
      <c r="S6" s="16" t="s">
        <v>28</v>
      </c>
      <c r="T6" s="17"/>
      <c r="U6" s="17"/>
      <c r="V6" s="18" t="s">
        <v>26</v>
      </c>
      <c r="W6" s="18" t="s">
        <v>29</v>
      </c>
      <c r="X6" s="18" t="s">
        <v>30</v>
      </c>
      <c r="Y6" s="18" t="s">
        <v>26</v>
      </c>
      <c r="Z6" s="19" t="s">
        <v>26</v>
      </c>
      <c r="AA6" s="20" t="s">
        <v>26</v>
      </c>
    </row>
    <row r="7" spans="1:27" x14ac:dyDescent="0.25">
      <c r="A7" s="21" t="s">
        <v>138</v>
      </c>
      <c r="B7" s="22">
        <v>100000</v>
      </c>
      <c r="C7" s="22">
        <f>SUM(DELPHINE!S3:S59)</f>
        <v>185</v>
      </c>
      <c r="D7" s="23">
        <f>SUM(PORTEFEUILLE_DELPHINE[PCR COMPTABLE €]+SUM(PORTEFEUILLE_DELPHINE[RA FAIT PAR LE
COMPTABLE €]+SUM(PORTEFEUILLE_DELPHINE[AGOA COMPTABLE €])+SUM(PORTEFEUILLE_DELPHINE[SAISIE PAR LE COMPTABLE €])+SUM(PORTEFEUILLE_DELPHINE[TRAVAUX 
DE REVISION €]+SUM(PORTEFEUILLE_DELPHINE[DECLARATION TVA COMPTABLE €]+SUM(PORTEFEUILLE_DELPHINE[MONTANT
RESPONSABLE RELATION CLIENT €])))))</f>
        <v>965</v>
      </c>
      <c r="E7" s="24">
        <f>'Agence Stats Visas'!B4</f>
        <v>3</v>
      </c>
      <c r="F7" s="25">
        <f>D7-M7</f>
        <v>730</v>
      </c>
      <c r="G7" s="26">
        <f>IF(D7=0,0,F7/D7)</f>
        <v>0.75647668393782386</v>
      </c>
      <c r="H7" s="27">
        <f>'Agence Stats Visas'!C4</f>
        <v>0</v>
      </c>
      <c r="I7" s="26">
        <f>H7/E7</f>
        <v>0</v>
      </c>
      <c r="J7" s="28">
        <f>SUMIFS(DELPHINE!T3:T59,DELPHINE!BB3:BB59,"x")-SUMIFS(DELPHINE!T3:T59,DELPHINE!E3:E59,DATE(Paramètres!A4,Paramètres!D15,Paramètres!C15),DELPHINE!BB3:BB59,"x")</f>
        <v>0</v>
      </c>
      <c r="K7" s="29">
        <f>IF(J7&lt;&gt;"",J7/F7,0)</f>
        <v>0</v>
      </c>
      <c r="L7" s="30">
        <f>(F7-J7)/Paramètres!H4</f>
        <v>7.3</v>
      </c>
      <c r="M7" s="25">
        <f>SUMIFS(DELPHINE!T3:T59,DELPHINE!E3:E59,DATE(Paramètres!A4,Paramètres!D15,Paramètres!C15))</f>
        <v>235</v>
      </c>
      <c r="N7" s="26">
        <f>IF(M7=0,0,M7/D7)</f>
        <v>0.24352331606217617</v>
      </c>
      <c r="O7" s="31">
        <f>'Agence Stats Visas'!D4</f>
        <v>3</v>
      </c>
      <c r="P7" s="32">
        <f>O7/E7</f>
        <v>1</v>
      </c>
      <c r="Q7" s="33">
        <f>SUMIFS(DELPHINE!T3:T59,DELPHINE!E3:E59,DATE(Paramètres!A4,Paramètres!D15,Paramètres!C15),DELPHINE!BB3:BB59,"x")</f>
        <v>150</v>
      </c>
      <c r="R7" s="34">
        <f>Q7/M7</f>
        <v>0.63829787234042556</v>
      </c>
      <c r="S7" s="35">
        <f>(M7-Q7)/Paramètres!H4</f>
        <v>0.85</v>
      </c>
      <c r="T7" s="36" t="e">
        <f>SUM(DELPHINE!AV3:AV59)</f>
        <v>#VALUE!</v>
      </c>
      <c r="U7" s="36" t="e">
        <f>SUM(DELPHINE!AW3:AW59)</f>
        <v>#VALUE!</v>
      </c>
      <c r="V7" s="37">
        <f>B7-D7</f>
        <v>99035</v>
      </c>
      <c r="W7" s="38">
        <f>V7/100</f>
        <v>990.35</v>
      </c>
      <c r="X7" s="37">
        <v>90000</v>
      </c>
      <c r="Y7" s="37">
        <f>IF(V7&lt;X7,0,V7-X7)</f>
        <v>9035</v>
      </c>
      <c r="Z7" s="39">
        <f>D7+X7</f>
        <v>90965</v>
      </c>
      <c r="AA7" s="40">
        <f>IF(B7&gt;Z7,B7-Z7,Z7-B7)</f>
        <v>9035</v>
      </c>
    </row>
    <row r="8" spans="1:27" x14ac:dyDescent="0.25">
      <c r="A8" s="41" t="s">
        <v>139</v>
      </c>
      <c r="B8" s="42">
        <v>100000</v>
      </c>
      <c r="C8" s="42"/>
      <c r="D8" s="43"/>
      <c r="E8" s="44"/>
      <c r="F8" s="45"/>
      <c r="G8" s="45"/>
      <c r="H8" s="46"/>
      <c r="I8" s="46"/>
      <c r="J8" s="47"/>
      <c r="K8" s="48"/>
      <c r="L8" s="48"/>
      <c r="M8" s="45"/>
      <c r="N8" s="45"/>
      <c r="O8" s="45"/>
      <c r="P8" s="49"/>
      <c r="Q8" s="50"/>
      <c r="R8" s="51"/>
      <c r="S8" s="52"/>
      <c r="T8" s="53"/>
      <c r="U8" s="53"/>
      <c r="V8" s="54"/>
      <c r="W8" s="55"/>
      <c r="X8" s="54"/>
      <c r="Y8" s="54"/>
      <c r="Z8" s="56"/>
      <c r="AA8" s="57"/>
    </row>
    <row r="9" spans="1:27" x14ac:dyDescent="0.25">
      <c r="A9" s="41" t="s">
        <v>140</v>
      </c>
      <c r="B9" s="42">
        <v>100000</v>
      </c>
      <c r="C9" s="42"/>
      <c r="D9" s="43"/>
      <c r="E9" s="44"/>
      <c r="F9" s="45"/>
      <c r="G9" s="45"/>
      <c r="H9" s="46"/>
      <c r="I9" s="46"/>
      <c r="J9" s="47"/>
      <c r="K9" s="48"/>
      <c r="L9" s="48"/>
      <c r="M9" s="45"/>
      <c r="N9" s="45"/>
      <c r="O9" s="45"/>
      <c r="P9" s="49"/>
      <c r="Q9" s="50"/>
      <c r="R9" s="51"/>
      <c r="S9" s="52"/>
      <c r="T9" s="53"/>
      <c r="U9" s="53"/>
      <c r="V9" s="54"/>
      <c r="W9" s="55"/>
      <c r="X9" s="54"/>
      <c r="Y9" s="54"/>
      <c r="Z9" s="56"/>
      <c r="AA9" s="57"/>
    </row>
    <row r="10" spans="1:27" x14ac:dyDescent="0.25">
      <c r="A10" s="41" t="s">
        <v>141</v>
      </c>
      <c r="B10" s="42">
        <v>100000</v>
      </c>
      <c r="C10" s="42"/>
      <c r="D10" s="43"/>
      <c r="E10" s="44"/>
      <c r="F10" s="45"/>
      <c r="G10" s="45"/>
      <c r="H10" s="46"/>
      <c r="I10" s="46"/>
      <c r="J10" s="47"/>
      <c r="K10" s="48"/>
      <c r="L10" s="48"/>
      <c r="M10" s="45"/>
      <c r="N10" s="45"/>
      <c r="O10" s="45"/>
      <c r="P10" s="49"/>
      <c r="Q10" s="50"/>
      <c r="R10" s="51"/>
      <c r="S10" s="52"/>
      <c r="T10" s="53"/>
      <c r="U10" s="53"/>
      <c r="V10" s="54"/>
      <c r="W10" s="55"/>
      <c r="X10" s="54"/>
      <c r="Y10" s="54"/>
      <c r="Z10" s="56"/>
      <c r="AA10" s="57"/>
    </row>
    <row r="11" spans="1:27" x14ac:dyDescent="0.25">
      <c r="A11" s="41" t="s">
        <v>142</v>
      </c>
      <c r="B11" s="42">
        <v>100000</v>
      </c>
      <c r="C11" s="42"/>
      <c r="D11" s="43"/>
      <c r="E11" s="44"/>
      <c r="F11" s="45"/>
      <c r="G11" s="45"/>
      <c r="H11" s="46"/>
      <c r="I11" s="46"/>
      <c r="J11" s="47"/>
      <c r="K11" s="48"/>
      <c r="L11" s="48"/>
      <c r="M11" s="45"/>
      <c r="N11" s="45"/>
      <c r="O11" s="45"/>
      <c r="P11" s="49"/>
      <c r="Q11" s="50"/>
      <c r="R11" s="51"/>
      <c r="S11" s="52"/>
      <c r="T11" s="53"/>
      <c r="U11" s="53"/>
      <c r="V11" s="54"/>
      <c r="W11" s="55"/>
      <c r="X11" s="54"/>
      <c r="Y11" s="54"/>
      <c r="Z11" s="56"/>
      <c r="AA11" s="57"/>
    </row>
    <row r="12" spans="1:27" x14ac:dyDescent="0.25">
      <c r="A12" s="41" t="s">
        <v>143</v>
      </c>
      <c r="B12" s="42">
        <v>100000</v>
      </c>
      <c r="C12" s="42"/>
      <c r="D12" s="43"/>
      <c r="E12" s="44"/>
      <c r="F12" s="45"/>
      <c r="G12" s="45"/>
      <c r="H12" s="46"/>
      <c r="I12" s="46"/>
      <c r="J12" s="47"/>
      <c r="K12" s="48"/>
      <c r="L12" s="48"/>
      <c r="M12" s="45"/>
      <c r="N12" s="45"/>
      <c r="O12" s="45"/>
      <c r="P12" s="49"/>
      <c r="Q12" s="50"/>
      <c r="R12" s="51"/>
      <c r="S12" s="52"/>
      <c r="T12" s="53"/>
      <c r="U12" s="53"/>
      <c r="V12" s="54"/>
      <c r="W12" s="55"/>
      <c r="X12" s="54"/>
      <c r="Y12" s="54"/>
      <c r="Z12" s="56"/>
      <c r="AA12" s="57"/>
    </row>
    <row r="13" spans="1:27" x14ac:dyDescent="0.25">
      <c r="A13" s="41" t="s">
        <v>144</v>
      </c>
      <c r="B13" s="42">
        <v>100000</v>
      </c>
      <c r="C13" s="42"/>
      <c r="D13" s="43"/>
      <c r="E13" s="44"/>
      <c r="F13" s="45"/>
      <c r="G13" s="45"/>
      <c r="H13" s="46"/>
      <c r="I13" s="46"/>
      <c r="J13" s="47"/>
      <c r="K13" s="48"/>
      <c r="L13" s="48"/>
      <c r="M13" s="45"/>
      <c r="N13" s="45"/>
      <c r="O13" s="45"/>
      <c r="P13" s="49"/>
      <c r="Q13" s="50"/>
      <c r="R13" s="51"/>
      <c r="S13" s="52"/>
      <c r="T13" s="53"/>
      <c r="U13" s="53"/>
      <c r="V13" s="54"/>
      <c r="W13" s="55"/>
      <c r="X13" s="54"/>
      <c r="Y13" s="54"/>
      <c r="Z13" s="56"/>
      <c r="AA13" s="57"/>
    </row>
    <row r="14" spans="1:27" x14ac:dyDescent="0.25">
      <c r="A14" s="58"/>
      <c r="B14" s="59"/>
      <c r="C14" s="59"/>
      <c r="D14" s="60"/>
      <c r="E14" s="61"/>
      <c r="F14" s="62"/>
      <c r="G14" s="62"/>
      <c r="H14" s="63"/>
      <c r="I14" s="63"/>
      <c r="J14" s="64"/>
      <c r="M14" s="62"/>
      <c r="N14" s="62"/>
      <c r="O14" s="62"/>
    </row>
    <row r="15" spans="1:27" ht="15.75" thickBot="1" x14ac:dyDescent="0.3">
      <c r="A15" s="65"/>
      <c r="B15" s="66"/>
      <c r="C15" s="66"/>
      <c r="D15" s="67"/>
      <c r="E15" s="68"/>
      <c r="F15" s="69"/>
      <c r="G15" s="69"/>
      <c r="H15" s="70"/>
      <c r="I15" s="70"/>
      <c r="J15" s="71"/>
      <c r="K15" s="72"/>
      <c r="L15" s="72"/>
      <c r="M15" s="69"/>
      <c r="N15" s="69"/>
      <c r="O15" s="69"/>
      <c r="P15" s="73"/>
      <c r="Q15" s="74"/>
      <c r="R15" s="75"/>
      <c r="S15" s="76"/>
      <c r="T15" s="77"/>
      <c r="U15" s="77"/>
      <c r="V15" s="78"/>
      <c r="W15" s="79"/>
      <c r="X15" s="78"/>
      <c r="Y15" s="78"/>
      <c r="Z15" s="80"/>
      <c r="AA15" s="81"/>
    </row>
    <row r="16" spans="1:27" x14ac:dyDescent="0.25">
      <c r="A16" s="82" t="s">
        <v>32</v>
      </c>
      <c r="B16" s="82">
        <f>SUM(B7:B15)</f>
        <v>700000</v>
      </c>
      <c r="C16" s="82">
        <f>SUM(C7:C15)</f>
        <v>185</v>
      </c>
      <c r="D16" s="83">
        <f>SUM(D7:D15)</f>
        <v>965</v>
      </c>
      <c r="E16" s="83"/>
      <c r="F16" s="83">
        <f>SUM(F7:F15)</f>
        <v>730</v>
      </c>
      <c r="G16" s="83"/>
      <c r="H16" s="83"/>
      <c r="I16" s="83"/>
      <c r="J16" s="83"/>
      <c r="K16" s="83"/>
      <c r="L16" s="83"/>
      <c r="M16" s="83">
        <f>SUM(M7:M15)</f>
        <v>235</v>
      </c>
      <c r="N16" s="83"/>
      <c r="O16" s="83"/>
      <c r="P16" s="84"/>
      <c r="Q16" s="84"/>
      <c r="R16" s="84"/>
      <c r="S16" s="84"/>
      <c r="T16" s="85" t="e">
        <f>SUM(T7:T15)</f>
        <v>#VALUE!</v>
      </c>
      <c r="U16" s="85" t="e">
        <f>SUM(U7:U15)</f>
        <v>#VALUE!</v>
      </c>
      <c r="V16" s="86">
        <f>SUM(V7:V15)</f>
        <v>99035</v>
      </c>
      <c r="W16" s="86"/>
      <c r="X16" s="86">
        <f>SUM(X7:X15)</f>
        <v>90000</v>
      </c>
      <c r="Y16" s="86">
        <f>SUM(Y7:Y15)</f>
        <v>9035</v>
      </c>
      <c r="Z16" s="87">
        <f>SUM(Z7:Z15)</f>
        <v>90965</v>
      </c>
      <c r="AA16" s="87">
        <f>SUM(AA7:AA15)</f>
        <v>9035</v>
      </c>
    </row>
    <row r="18" spans="25:30" x14ac:dyDescent="0.25">
      <c r="Y18" s="88"/>
      <c r="Z18" s="88"/>
      <c r="AA18" s="88"/>
      <c r="AB18" s="88"/>
      <c r="AC18" s="88"/>
      <c r="AD18" s="88"/>
    </row>
    <row r="19" spans="25:30" x14ac:dyDescent="0.25">
      <c r="Y19" s="88"/>
      <c r="Z19" s="88"/>
      <c r="AA19" s="88"/>
      <c r="AB19" s="88"/>
      <c r="AC19" s="88"/>
      <c r="AD19" s="88"/>
    </row>
    <row r="20" spans="25:30" x14ac:dyDescent="0.25">
      <c r="Y20" s="88"/>
      <c r="Z20" s="88"/>
      <c r="AA20" s="88"/>
      <c r="AB20" s="88"/>
      <c r="AC20" s="88"/>
      <c r="AD20" s="88"/>
    </row>
  </sheetData>
  <mergeCells count="7">
    <mergeCell ref="D4:S4"/>
    <mergeCell ref="V4:Y4"/>
    <mergeCell ref="Z4:AA4"/>
    <mergeCell ref="H5:I5"/>
    <mergeCell ref="J5:L5"/>
    <mergeCell ref="O5:P5"/>
    <mergeCell ref="Q5:S5"/>
  </mergeCells>
  <conditionalFormatting sqref="AA7">
    <cfRule type="expression" dxfId="65" priority="1" stopIfTrue="1">
      <formula>$B$7&gt;$Z$7</formula>
    </cfRule>
    <cfRule type="expression" dxfId="64" priority="2" stopIfTrue="1">
      <formula>AA7&gt;=0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17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19" sqref="C19"/>
    </sheetView>
  </sheetViews>
  <sheetFormatPr baseColWidth="10" defaultRowHeight="15" x14ac:dyDescent="0.25"/>
  <cols>
    <col min="1" max="1" width="16.140625" style="89" customWidth="1"/>
    <col min="2" max="2" width="14.85546875" style="89" customWidth="1"/>
    <col min="3" max="3" width="10.42578125" style="89" bestFit="1" customWidth="1"/>
    <col min="4" max="4" width="11" style="89" bestFit="1" customWidth="1"/>
    <col min="5" max="5" width="14.5703125" style="89" bestFit="1" customWidth="1"/>
    <col min="6" max="6" width="11.5703125" style="89" bestFit="1" customWidth="1"/>
    <col min="7" max="7" width="13.140625" style="89" bestFit="1" customWidth="1"/>
    <col min="8" max="8" width="14.7109375" style="89" bestFit="1" customWidth="1"/>
    <col min="9" max="10" width="14.140625" style="89" bestFit="1" customWidth="1"/>
    <col min="11" max="11" width="18" style="89" bestFit="1" customWidth="1"/>
    <col min="12" max="12" width="17.140625" style="89" customWidth="1"/>
    <col min="13" max="13" width="6.7109375" style="89" customWidth="1"/>
    <col min="14" max="14" width="15" style="89" customWidth="1"/>
    <col min="15" max="15" width="7.7109375" style="89" customWidth="1"/>
    <col min="16" max="16" width="9.140625" style="89" customWidth="1"/>
    <col min="17" max="20" width="14.28515625" style="89" customWidth="1"/>
    <col min="21" max="21" width="15.5703125" style="89" customWidth="1"/>
    <col min="22" max="28" width="11.42578125" style="89"/>
    <col min="29" max="31" width="11.5703125" style="89" bestFit="1" customWidth="1"/>
    <col min="32" max="41" width="12.5703125" style="89" bestFit="1" customWidth="1"/>
    <col min="42" max="256" width="11.42578125" style="89"/>
    <col min="257" max="257" width="16.140625" style="89" customWidth="1"/>
    <col min="258" max="258" width="14.85546875" style="89" customWidth="1"/>
    <col min="259" max="259" width="10.42578125" style="89" bestFit="1" customWidth="1"/>
    <col min="260" max="260" width="11" style="89" bestFit="1" customWidth="1"/>
    <col min="261" max="261" width="14.5703125" style="89" bestFit="1" customWidth="1"/>
    <col min="262" max="262" width="11.5703125" style="89" bestFit="1" customWidth="1"/>
    <col min="263" max="263" width="13.140625" style="89" bestFit="1" customWidth="1"/>
    <col min="264" max="264" width="14.7109375" style="89" bestFit="1" customWidth="1"/>
    <col min="265" max="266" width="14.140625" style="89" bestFit="1" customWidth="1"/>
    <col min="267" max="267" width="18" style="89" bestFit="1" customWidth="1"/>
    <col min="268" max="268" width="17.140625" style="89" customWidth="1"/>
    <col min="269" max="269" width="6.7109375" style="89" customWidth="1"/>
    <col min="270" max="270" width="15" style="89" customWidth="1"/>
    <col min="271" max="271" width="7.7109375" style="89" customWidth="1"/>
    <col min="272" max="272" width="9.140625" style="89" customWidth="1"/>
    <col min="273" max="276" width="14.28515625" style="89" customWidth="1"/>
    <col min="277" max="277" width="15.5703125" style="89" customWidth="1"/>
    <col min="278" max="284" width="11.42578125" style="89"/>
    <col min="285" max="287" width="11.5703125" style="89" bestFit="1" customWidth="1"/>
    <col min="288" max="297" width="12.5703125" style="89" bestFit="1" customWidth="1"/>
    <col min="298" max="512" width="11.42578125" style="89"/>
    <col min="513" max="513" width="16.140625" style="89" customWidth="1"/>
    <col min="514" max="514" width="14.85546875" style="89" customWidth="1"/>
    <col min="515" max="515" width="10.42578125" style="89" bestFit="1" customWidth="1"/>
    <col min="516" max="516" width="11" style="89" bestFit="1" customWidth="1"/>
    <col min="517" max="517" width="14.5703125" style="89" bestFit="1" customWidth="1"/>
    <col min="518" max="518" width="11.5703125" style="89" bestFit="1" customWidth="1"/>
    <col min="519" max="519" width="13.140625" style="89" bestFit="1" customWidth="1"/>
    <col min="520" max="520" width="14.7109375" style="89" bestFit="1" customWidth="1"/>
    <col min="521" max="522" width="14.140625" style="89" bestFit="1" customWidth="1"/>
    <col min="523" max="523" width="18" style="89" bestFit="1" customWidth="1"/>
    <col min="524" max="524" width="17.140625" style="89" customWidth="1"/>
    <col min="525" max="525" width="6.7109375" style="89" customWidth="1"/>
    <col min="526" max="526" width="15" style="89" customWidth="1"/>
    <col min="527" max="527" width="7.7109375" style="89" customWidth="1"/>
    <col min="528" max="528" width="9.140625" style="89" customWidth="1"/>
    <col min="529" max="532" width="14.28515625" style="89" customWidth="1"/>
    <col min="533" max="533" width="15.5703125" style="89" customWidth="1"/>
    <col min="534" max="540" width="11.42578125" style="89"/>
    <col min="541" max="543" width="11.5703125" style="89" bestFit="1" customWidth="1"/>
    <col min="544" max="553" width="12.5703125" style="89" bestFit="1" customWidth="1"/>
    <col min="554" max="768" width="11.42578125" style="89"/>
    <col min="769" max="769" width="16.140625" style="89" customWidth="1"/>
    <col min="770" max="770" width="14.85546875" style="89" customWidth="1"/>
    <col min="771" max="771" width="10.42578125" style="89" bestFit="1" customWidth="1"/>
    <col min="772" max="772" width="11" style="89" bestFit="1" customWidth="1"/>
    <col min="773" max="773" width="14.5703125" style="89" bestFit="1" customWidth="1"/>
    <col min="774" max="774" width="11.5703125" style="89" bestFit="1" customWidth="1"/>
    <col min="775" max="775" width="13.140625" style="89" bestFit="1" customWidth="1"/>
    <col min="776" max="776" width="14.7109375" style="89" bestFit="1" customWidth="1"/>
    <col min="777" max="778" width="14.140625" style="89" bestFit="1" customWidth="1"/>
    <col min="779" max="779" width="18" style="89" bestFit="1" customWidth="1"/>
    <col min="780" max="780" width="17.140625" style="89" customWidth="1"/>
    <col min="781" max="781" width="6.7109375" style="89" customWidth="1"/>
    <col min="782" max="782" width="15" style="89" customWidth="1"/>
    <col min="783" max="783" width="7.7109375" style="89" customWidth="1"/>
    <col min="784" max="784" width="9.140625" style="89" customWidth="1"/>
    <col min="785" max="788" width="14.28515625" style="89" customWidth="1"/>
    <col min="789" max="789" width="15.5703125" style="89" customWidth="1"/>
    <col min="790" max="796" width="11.42578125" style="89"/>
    <col min="797" max="799" width="11.5703125" style="89" bestFit="1" customWidth="1"/>
    <col min="800" max="809" width="12.5703125" style="89" bestFit="1" customWidth="1"/>
    <col min="810" max="1024" width="11.42578125" style="89"/>
    <col min="1025" max="1025" width="16.140625" style="89" customWidth="1"/>
    <col min="1026" max="1026" width="14.85546875" style="89" customWidth="1"/>
    <col min="1027" max="1027" width="10.42578125" style="89" bestFit="1" customWidth="1"/>
    <col min="1028" max="1028" width="11" style="89" bestFit="1" customWidth="1"/>
    <col min="1029" max="1029" width="14.5703125" style="89" bestFit="1" customWidth="1"/>
    <col min="1030" max="1030" width="11.5703125" style="89" bestFit="1" customWidth="1"/>
    <col min="1031" max="1031" width="13.140625" style="89" bestFit="1" customWidth="1"/>
    <col min="1032" max="1032" width="14.7109375" style="89" bestFit="1" customWidth="1"/>
    <col min="1033" max="1034" width="14.140625" style="89" bestFit="1" customWidth="1"/>
    <col min="1035" max="1035" width="18" style="89" bestFit="1" customWidth="1"/>
    <col min="1036" max="1036" width="17.140625" style="89" customWidth="1"/>
    <col min="1037" max="1037" width="6.7109375" style="89" customWidth="1"/>
    <col min="1038" max="1038" width="15" style="89" customWidth="1"/>
    <col min="1039" max="1039" width="7.7109375" style="89" customWidth="1"/>
    <col min="1040" max="1040" width="9.140625" style="89" customWidth="1"/>
    <col min="1041" max="1044" width="14.28515625" style="89" customWidth="1"/>
    <col min="1045" max="1045" width="15.5703125" style="89" customWidth="1"/>
    <col min="1046" max="1052" width="11.42578125" style="89"/>
    <col min="1053" max="1055" width="11.5703125" style="89" bestFit="1" customWidth="1"/>
    <col min="1056" max="1065" width="12.5703125" style="89" bestFit="1" customWidth="1"/>
    <col min="1066" max="1280" width="11.42578125" style="89"/>
    <col min="1281" max="1281" width="16.140625" style="89" customWidth="1"/>
    <col min="1282" max="1282" width="14.85546875" style="89" customWidth="1"/>
    <col min="1283" max="1283" width="10.42578125" style="89" bestFit="1" customWidth="1"/>
    <col min="1284" max="1284" width="11" style="89" bestFit="1" customWidth="1"/>
    <col min="1285" max="1285" width="14.5703125" style="89" bestFit="1" customWidth="1"/>
    <col min="1286" max="1286" width="11.5703125" style="89" bestFit="1" customWidth="1"/>
    <col min="1287" max="1287" width="13.140625" style="89" bestFit="1" customWidth="1"/>
    <col min="1288" max="1288" width="14.7109375" style="89" bestFit="1" customWidth="1"/>
    <col min="1289" max="1290" width="14.140625" style="89" bestFit="1" customWidth="1"/>
    <col min="1291" max="1291" width="18" style="89" bestFit="1" customWidth="1"/>
    <col min="1292" max="1292" width="17.140625" style="89" customWidth="1"/>
    <col min="1293" max="1293" width="6.7109375" style="89" customWidth="1"/>
    <col min="1294" max="1294" width="15" style="89" customWidth="1"/>
    <col min="1295" max="1295" width="7.7109375" style="89" customWidth="1"/>
    <col min="1296" max="1296" width="9.140625" style="89" customWidth="1"/>
    <col min="1297" max="1300" width="14.28515625" style="89" customWidth="1"/>
    <col min="1301" max="1301" width="15.5703125" style="89" customWidth="1"/>
    <col min="1302" max="1308" width="11.42578125" style="89"/>
    <col min="1309" max="1311" width="11.5703125" style="89" bestFit="1" customWidth="1"/>
    <col min="1312" max="1321" width="12.5703125" style="89" bestFit="1" customWidth="1"/>
    <col min="1322" max="1536" width="11.42578125" style="89"/>
    <col min="1537" max="1537" width="16.140625" style="89" customWidth="1"/>
    <col min="1538" max="1538" width="14.85546875" style="89" customWidth="1"/>
    <col min="1539" max="1539" width="10.42578125" style="89" bestFit="1" customWidth="1"/>
    <col min="1540" max="1540" width="11" style="89" bestFit="1" customWidth="1"/>
    <col min="1541" max="1541" width="14.5703125" style="89" bestFit="1" customWidth="1"/>
    <col min="1542" max="1542" width="11.5703125" style="89" bestFit="1" customWidth="1"/>
    <col min="1543" max="1543" width="13.140625" style="89" bestFit="1" customWidth="1"/>
    <col min="1544" max="1544" width="14.7109375" style="89" bestFit="1" customWidth="1"/>
    <col min="1545" max="1546" width="14.140625" style="89" bestFit="1" customWidth="1"/>
    <col min="1547" max="1547" width="18" style="89" bestFit="1" customWidth="1"/>
    <col min="1548" max="1548" width="17.140625" style="89" customWidth="1"/>
    <col min="1549" max="1549" width="6.7109375" style="89" customWidth="1"/>
    <col min="1550" max="1550" width="15" style="89" customWidth="1"/>
    <col min="1551" max="1551" width="7.7109375" style="89" customWidth="1"/>
    <col min="1552" max="1552" width="9.140625" style="89" customWidth="1"/>
    <col min="1553" max="1556" width="14.28515625" style="89" customWidth="1"/>
    <col min="1557" max="1557" width="15.5703125" style="89" customWidth="1"/>
    <col min="1558" max="1564" width="11.42578125" style="89"/>
    <col min="1565" max="1567" width="11.5703125" style="89" bestFit="1" customWidth="1"/>
    <col min="1568" max="1577" width="12.5703125" style="89" bestFit="1" customWidth="1"/>
    <col min="1578" max="1792" width="11.42578125" style="89"/>
    <col min="1793" max="1793" width="16.140625" style="89" customWidth="1"/>
    <col min="1794" max="1794" width="14.85546875" style="89" customWidth="1"/>
    <col min="1795" max="1795" width="10.42578125" style="89" bestFit="1" customWidth="1"/>
    <col min="1796" max="1796" width="11" style="89" bestFit="1" customWidth="1"/>
    <col min="1797" max="1797" width="14.5703125" style="89" bestFit="1" customWidth="1"/>
    <col min="1798" max="1798" width="11.5703125" style="89" bestFit="1" customWidth="1"/>
    <col min="1799" max="1799" width="13.140625" style="89" bestFit="1" customWidth="1"/>
    <col min="1800" max="1800" width="14.7109375" style="89" bestFit="1" customWidth="1"/>
    <col min="1801" max="1802" width="14.140625" style="89" bestFit="1" customWidth="1"/>
    <col min="1803" max="1803" width="18" style="89" bestFit="1" customWidth="1"/>
    <col min="1804" max="1804" width="17.140625" style="89" customWidth="1"/>
    <col min="1805" max="1805" width="6.7109375" style="89" customWidth="1"/>
    <col min="1806" max="1806" width="15" style="89" customWidth="1"/>
    <col min="1807" max="1807" width="7.7109375" style="89" customWidth="1"/>
    <col min="1808" max="1808" width="9.140625" style="89" customWidth="1"/>
    <col min="1809" max="1812" width="14.28515625" style="89" customWidth="1"/>
    <col min="1813" max="1813" width="15.5703125" style="89" customWidth="1"/>
    <col min="1814" max="1820" width="11.42578125" style="89"/>
    <col min="1821" max="1823" width="11.5703125" style="89" bestFit="1" customWidth="1"/>
    <col min="1824" max="1833" width="12.5703125" style="89" bestFit="1" customWidth="1"/>
    <col min="1834" max="2048" width="11.42578125" style="89"/>
    <col min="2049" max="2049" width="16.140625" style="89" customWidth="1"/>
    <col min="2050" max="2050" width="14.85546875" style="89" customWidth="1"/>
    <col min="2051" max="2051" width="10.42578125" style="89" bestFit="1" customWidth="1"/>
    <col min="2052" max="2052" width="11" style="89" bestFit="1" customWidth="1"/>
    <col min="2053" max="2053" width="14.5703125" style="89" bestFit="1" customWidth="1"/>
    <col min="2054" max="2054" width="11.5703125" style="89" bestFit="1" customWidth="1"/>
    <col min="2055" max="2055" width="13.140625" style="89" bestFit="1" customWidth="1"/>
    <col min="2056" max="2056" width="14.7109375" style="89" bestFit="1" customWidth="1"/>
    <col min="2057" max="2058" width="14.140625" style="89" bestFit="1" customWidth="1"/>
    <col min="2059" max="2059" width="18" style="89" bestFit="1" customWidth="1"/>
    <col min="2060" max="2060" width="17.140625" style="89" customWidth="1"/>
    <col min="2061" max="2061" width="6.7109375" style="89" customWidth="1"/>
    <col min="2062" max="2062" width="15" style="89" customWidth="1"/>
    <col min="2063" max="2063" width="7.7109375" style="89" customWidth="1"/>
    <col min="2064" max="2064" width="9.140625" style="89" customWidth="1"/>
    <col min="2065" max="2068" width="14.28515625" style="89" customWidth="1"/>
    <col min="2069" max="2069" width="15.5703125" style="89" customWidth="1"/>
    <col min="2070" max="2076" width="11.42578125" style="89"/>
    <col min="2077" max="2079" width="11.5703125" style="89" bestFit="1" customWidth="1"/>
    <col min="2080" max="2089" width="12.5703125" style="89" bestFit="1" customWidth="1"/>
    <col min="2090" max="2304" width="11.42578125" style="89"/>
    <col min="2305" max="2305" width="16.140625" style="89" customWidth="1"/>
    <col min="2306" max="2306" width="14.85546875" style="89" customWidth="1"/>
    <col min="2307" max="2307" width="10.42578125" style="89" bestFit="1" customWidth="1"/>
    <col min="2308" max="2308" width="11" style="89" bestFit="1" customWidth="1"/>
    <col min="2309" max="2309" width="14.5703125" style="89" bestFit="1" customWidth="1"/>
    <col min="2310" max="2310" width="11.5703125" style="89" bestFit="1" customWidth="1"/>
    <col min="2311" max="2311" width="13.140625" style="89" bestFit="1" customWidth="1"/>
    <col min="2312" max="2312" width="14.7109375" style="89" bestFit="1" customWidth="1"/>
    <col min="2313" max="2314" width="14.140625" style="89" bestFit="1" customWidth="1"/>
    <col min="2315" max="2315" width="18" style="89" bestFit="1" customWidth="1"/>
    <col min="2316" max="2316" width="17.140625" style="89" customWidth="1"/>
    <col min="2317" max="2317" width="6.7109375" style="89" customWidth="1"/>
    <col min="2318" max="2318" width="15" style="89" customWidth="1"/>
    <col min="2319" max="2319" width="7.7109375" style="89" customWidth="1"/>
    <col min="2320" max="2320" width="9.140625" style="89" customWidth="1"/>
    <col min="2321" max="2324" width="14.28515625" style="89" customWidth="1"/>
    <col min="2325" max="2325" width="15.5703125" style="89" customWidth="1"/>
    <col min="2326" max="2332" width="11.42578125" style="89"/>
    <col min="2333" max="2335" width="11.5703125" style="89" bestFit="1" customWidth="1"/>
    <col min="2336" max="2345" width="12.5703125" style="89" bestFit="1" customWidth="1"/>
    <col min="2346" max="2560" width="11.42578125" style="89"/>
    <col min="2561" max="2561" width="16.140625" style="89" customWidth="1"/>
    <col min="2562" max="2562" width="14.85546875" style="89" customWidth="1"/>
    <col min="2563" max="2563" width="10.42578125" style="89" bestFit="1" customWidth="1"/>
    <col min="2564" max="2564" width="11" style="89" bestFit="1" customWidth="1"/>
    <col min="2565" max="2565" width="14.5703125" style="89" bestFit="1" customWidth="1"/>
    <col min="2566" max="2566" width="11.5703125" style="89" bestFit="1" customWidth="1"/>
    <col min="2567" max="2567" width="13.140625" style="89" bestFit="1" customWidth="1"/>
    <col min="2568" max="2568" width="14.7109375" style="89" bestFit="1" customWidth="1"/>
    <col min="2569" max="2570" width="14.140625" style="89" bestFit="1" customWidth="1"/>
    <col min="2571" max="2571" width="18" style="89" bestFit="1" customWidth="1"/>
    <col min="2572" max="2572" width="17.140625" style="89" customWidth="1"/>
    <col min="2573" max="2573" width="6.7109375" style="89" customWidth="1"/>
    <col min="2574" max="2574" width="15" style="89" customWidth="1"/>
    <col min="2575" max="2575" width="7.7109375" style="89" customWidth="1"/>
    <col min="2576" max="2576" width="9.140625" style="89" customWidth="1"/>
    <col min="2577" max="2580" width="14.28515625" style="89" customWidth="1"/>
    <col min="2581" max="2581" width="15.5703125" style="89" customWidth="1"/>
    <col min="2582" max="2588" width="11.42578125" style="89"/>
    <col min="2589" max="2591" width="11.5703125" style="89" bestFit="1" customWidth="1"/>
    <col min="2592" max="2601" width="12.5703125" style="89" bestFit="1" customWidth="1"/>
    <col min="2602" max="2816" width="11.42578125" style="89"/>
    <col min="2817" max="2817" width="16.140625" style="89" customWidth="1"/>
    <col min="2818" max="2818" width="14.85546875" style="89" customWidth="1"/>
    <col min="2819" max="2819" width="10.42578125" style="89" bestFit="1" customWidth="1"/>
    <col min="2820" max="2820" width="11" style="89" bestFit="1" customWidth="1"/>
    <col min="2821" max="2821" width="14.5703125" style="89" bestFit="1" customWidth="1"/>
    <col min="2822" max="2822" width="11.5703125" style="89" bestFit="1" customWidth="1"/>
    <col min="2823" max="2823" width="13.140625" style="89" bestFit="1" customWidth="1"/>
    <col min="2824" max="2824" width="14.7109375" style="89" bestFit="1" customWidth="1"/>
    <col min="2825" max="2826" width="14.140625" style="89" bestFit="1" customWidth="1"/>
    <col min="2827" max="2827" width="18" style="89" bestFit="1" customWidth="1"/>
    <col min="2828" max="2828" width="17.140625" style="89" customWidth="1"/>
    <col min="2829" max="2829" width="6.7109375" style="89" customWidth="1"/>
    <col min="2830" max="2830" width="15" style="89" customWidth="1"/>
    <col min="2831" max="2831" width="7.7109375" style="89" customWidth="1"/>
    <col min="2832" max="2832" width="9.140625" style="89" customWidth="1"/>
    <col min="2833" max="2836" width="14.28515625" style="89" customWidth="1"/>
    <col min="2837" max="2837" width="15.5703125" style="89" customWidth="1"/>
    <col min="2838" max="2844" width="11.42578125" style="89"/>
    <col min="2845" max="2847" width="11.5703125" style="89" bestFit="1" customWidth="1"/>
    <col min="2848" max="2857" width="12.5703125" style="89" bestFit="1" customWidth="1"/>
    <col min="2858" max="3072" width="11.42578125" style="89"/>
    <col min="3073" max="3073" width="16.140625" style="89" customWidth="1"/>
    <col min="3074" max="3074" width="14.85546875" style="89" customWidth="1"/>
    <col min="3075" max="3075" width="10.42578125" style="89" bestFit="1" customWidth="1"/>
    <col min="3076" max="3076" width="11" style="89" bestFit="1" customWidth="1"/>
    <col min="3077" max="3077" width="14.5703125" style="89" bestFit="1" customWidth="1"/>
    <col min="3078" max="3078" width="11.5703125" style="89" bestFit="1" customWidth="1"/>
    <col min="3079" max="3079" width="13.140625" style="89" bestFit="1" customWidth="1"/>
    <col min="3080" max="3080" width="14.7109375" style="89" bestFit="1" customWidth="1"/>
    <col min="3081" max="3082" width="14.140625" style="89" bestFit="1" customWidth="1"/>
    <col min="3083" max="3083" width="18" style="89" bestFit="1" customWidth="1"/>
    <col min="3084" max="3084" width="17.140625" style="89" customWidth="1"/>
    <col min="3085" max="3085" width="6.7109375" style="89" customWidth="1"/>
    <col min="3086" max="3086" width="15" style="89" customWidth="1"/>
    <col min="3087" max="3087" width="7.7109375" style="89" customWidth="1"/>
    <col min="3088" max="3088" width="9.140625" style="89" customWidth="1"/>
    <col min="3089" max="3092" width="14.28515625" style="89" customWidth="1"/>
    <col min="3093" max="3093" width="15.5703125" style="89" customWidth="1"/>
    <col min="3094" max="3100" width="11.42578125" style="89"/>
    <col min="3101" max="3103" width="11.5703125" style="89" bestFit="1" customWidth="1"/>
    <col min="3104" max="3113" width="12.5703125" style="89" bestFit="1" customWidth="1"/>
    <col min="3114" max="3328" width="11.42578125" style="89"/>
    <col min="3329" max="3329" width="16.140625" style="89" customWidth="1"/>
    <col min="3330" max="3330" width="14.85546875" style="89" customWidth="1"/>
    <col min="3331" max="3331" width="10.42578125" style="89" bestFit="1" customWidth="1"/>
    <col min="3332" max="3332" width="11" style="89" bestFit="1" customWidth="1"/>
    <col min="3333" max="3333" width="14.5703125" style="89" bestFit="1" customWidth="1"/>
    <col min="3334" max="3334" width="11.5703125" style="89" bestFit="1" customWidth="1"/>
    <col min="3335" max="3335" width="13.140625" style="89" bestFit="1" customWidth="1"/>
    <col min="3336" max="3336" width="14.7109375" style="89" bestFit="1" customWidth="1"/>
    <col min="3337" max="3338" width="14.140625" style="89" bestFit="1" customWidth="1"/>
    <col min="3339" max="3339" width="18" style="89" bestFit="1" customWidth="1"/>
    <col min="3340" max="3340" width="17.140625" style="89" customWidth="1"/>
    <col min="3341" max="3341" width="6.7109375" style="89" customWidth="1"/>
    <col min="3342" max="3342" width="15" style="89" customWidth="1"/>
    <col min="3343" max="3343" width="7.7109375" style="89" customWidth="1"/>
    <col min="3344" max="3344" width="9.140625" style="89" customWidth="1"/>
    <col min="3345" max="3348" width="14.28515625" style="89" customWidth="1"/>
    <col min="3349" max="3349" width="15.5703125" style="89" customWidth="1"/>
    <col min="3350" max="3356" width="11.42578125" style="89"/>
    <col min="3357" max="3359" width="11.5703125" style="89" bestFit="1" customWidth="1"/>
    <col min="3360" max="3369" width="12.5703125" style="89" bestFit="1" customWidth="1"/>
    <col min="3370" max="3584" width="11.42578125" style="89"/>
    <col min="3585" max="3585" width="16.140625" style="89" customWidth="1"/>
    <col min="3586" max="3586" width="14.85546875" style="89" customWidth="1"/>
    <col min="3587" max="3587" width="10.42578125" style="89" bestFit="1" customWidth="1"/>
    <col min="3588" max="3588" width="11" style="89" bestFit="1" customWidth="1"/>
    <col min="3589" max="3589" width="14.5703125" style="89" bestFit="1" customWidth="1"/>
    <col min="3590" max="3590" width="11.5703125" style="89" bestFit="1" customWidth="1"/>
    <col min="3591" max="3591" width="13.140625" style="89" bestFit="1" customWidth="1"/>
    <col min="3592" max="3592" width="14.7109375" style="89" bestFit="1" customWidth="1"/>
    <col min="3593" max="3594" width="14.140625" style="89" bestFit="1" customWidth="1"/>
    <col min="3595" max="3595" width="18" style="89" bestFit="1" customWidth="1"/>
    <col min="3596" max="3596" width="17.140625" style="89" customWidth="1"/>
    <col min="3597" max="3597" width="6.7109375" style="89" customWidth="1"/>
    <col min="3598" max="3598" width="15" style="89" customWidth="1"/>
    <col min="3599" max="3599" width="7.7109375" style="89" customWidth="1"/>
    <col min="3600" max="3600" width="9.140625" style="89" customWidth="1"/>
    <col min="3601" max="3604" width="14.28515625" style="89" customWidth="1"/>
    <col min="3605" max="3605" width="15.5703125" style="89" customWidth="1"/>
    <col min="3606" max="3612" width="11.42578125" style="89"/>
    <col min="3613" max="3615" width="11.5703125" style="89" bestFit="1" customWidth="1"/>
    <col min="3616" max="3625" width="12.5703125" style="89" bestFit="1" customWidth="1"/>
    <col min="3626" max="3840" width="11.42578125" style="89"/>
    <col min="3841" max="3841" width="16.140625" style="89" customWidth="1"/>
    <col min="3842" max="3842" width="14.85546875" style="89" customWidth="1"/>
    <col min="3843" max="3843" width="10.42578125" style="89" bestFit="1" customWidth="1"/>
    <col min="3844" max="3844" width="11" style="89" bestFit="1" customWidth="1"/>
    <col min="3845" max="3845" width="14.5703125" style="89" bestFit="1" customWidth="1"/>
    <col min="3846" max="3846" width="11.5703125" style="89" bestFit="1" customWidth="1"/>
    <col min="3847" max="3847" width="13.140625" style="89" bestFit="1" customWidth="1"/>
    <col min="3848" max="3848" width="14.7109375" style="89" bestFit="1" customWidth="1"/>
    <col min="3849" max="3850" width="14.140625" style="89" bestFit="1" customWidth="1"/>
    <col min="3851" max="3851" width="18" style="89" bestFit="1" customWidth="1"/>
    <col min="3852" max="3852" width="17.140625" style="89" customWidth="1"/>
    <col min="3853" max="3853" width="6.7109375" style="89" customWidth="1"/>
    <col min="3854" max="3854" width="15" style="89" customWidth="1"/>
    <col min="3855" max="3855" width="7.7109375" style="89" customWidth="1"/>
    <col min="3856" max="3856" width="9.140625" style="89" customWidth="1"/>
    <col min="3857" max="3860" width="14.28515625" style="89" customWidth="1"/>
    <col min="3861" max="3861" width="15.5703125" style="89" customWidth="1"/>
    <col min="3862" max="3868" width="11.42578125" style="89"/>
    <col min="3869" max="3871" width="11.5703125" style="89" bestFit="1" customWidth="1"/>
    <col min="3872" max="3881" width="12.5703125" style="89" bestFit="1" customWidth="1"/>
    <col min="3882" max="4096" width="11.42578125" style="89"/>
    <col min="4097" max="4097" width="16.140625" style="89" customWidth="1"/>
    <col min="4098" max="4098" width="14.85546875" style="89" customWidth="1"/>
    <col min="4099" max="4099" width="10.42578125" style="89" bestFit="1" customWidth="1"/>
    <col min="4100" max="4100" width="11" style="89" bestFit="1" customWidth="1"/>
    <col min="4101" max="4101" width="14.5703125" style="89" bestFit="1" customWidth="1"/>
    <col min="4102" max="4102" width="11.5703125" style="89" bestFit="1" customWidth="1"/>
    <col min="4103" max="4103" width="13.140625" style="89" bestFit="1" customWidth="1"/>
    <col min="4104" max="4104" width="14.7109375" style="89" bestFit="1" customWidth="1"/>
    <col min="4105" max="4106" width="14.140625" style="89" bestFit="1" customWidth="1"/>
    <col min="4107" max="4107" width="18" style="89" bestFit="1" customWidth="1"/>
    <col min="4108" max="4108" width="17.140625" style="89" customWidth="1"/>
    <col min="4109" max="4109" width="6.7109375" style="89" customWidth="1"/>
    <col min="4110" max="4110" width="15" style="89" customWidth="1"/>
    <col min="4111" max="4111" width="7.7109375" style="89" customWidth="1"/>
    <col min="4112" max="4112" width="9.140625" style="89" customWidth="1"/>
    <col min="4113" max="4116" width="14.28515625" style="89" customWidth="1"/>
    <col min="4117" max="4117" width="15.5703125" style="89" customWidth="1"/>
    <col min="4118" max="4124" width="11.42578125" style="89"/>
    <col min="4125" max="4127" width="11.5703125" style="89" bestFit="1" customWidth="1"/>
    <col min="4128" max="4137" width="12.5703125" style="89" bestFit="1" customWidth="1"/>
    <col min="4138" max="4352" width="11.42578125" style="89"/>
    <col min="4353" max="4353" width="16.140625" style="89" customWidth="1"/>
    <col min="4354" max="4354" width="14.85546875" style="89" customWidth="1"/>
    <col min="4355" max="4355" width="10.42578125" style="89" bestFit="1" customWidth="1"/>
    <col min="4356" max="4356" width="11" style="89" bestFit="1" customWidth="1"/>
    <col min="4357" max="4357" width="14.5703125" style="89" bestFit="1" customWidth="1"/>
    <col min="4358" max="4358" width="11.5703125" style="89" bestFit="1" customWidth="1"/>
    <col min="4359" max="4359" width="13.140625" style="89" bestFit="1" customWidth="1"/>
    <col min="4360" max="4360" width="14.7109375" style="89" bestFit="1" customWidth="1"/>
    <col min="4361" max="4362" width="14.140625" style="89" bestFit="1" customWidth="1"/>
    <col min="4363" max="4363" width="18" style="89" bestFit="1" customWidth="1"/>
    <col min="4364" max="4364" width="17.140625" style="89" customWidth="1"/>
    <col min="4365" max="4365" width="6.7109375" style="89" customWidth="1"/>
    <col min="4366" max="4366" width="15" style="89" customWidth="1"/>
    <col min="4367" max="4367" width="7.7109375" style="89" customWidth="1"/>
    <col min="4368" max="4368" width="9.140625" style="89" customWidth="1"/>
    <col min="4369" max="4372" width="14.28515625" style="89" customWidth="1"/>
    <col min="4373" max="4373" width="15.5703125" style="89" customWidth="1"/>
    <col min="4374" max="4380" width="11.42578125" style="89"/>
    <col min="4381" max="4383" width="11.5703125" style="89" bestFit="1" customWidth="1"/>
    <col min="4384" max="4393" width="12.5703125" style="89" bestFit="1" customWidth="1"/>
    <col min="4394" max="4608" width="11.42578125" style="89"/>
    <col min="4609" max="4609" width="16.140625" style="89" customWidth="1"/>
    <col min="4610" max="4610" width="14.85546875" style="89" customWidth="1"/>
    <col min="4611" max="4611" width="10.42578125" style="89" bestFit="1" customWidth="1"/>
    <col min="4612" max="4612" width="11" style="89" bestFit="1" customWidth="1"/>
    <col min="4613" max="4613" width="14.5703125" style="89" bestFit="1" customWidth="1"/>
    <col min="4614" max="4614" width="11.5703125" style="89" bestFit="1" customWidth="1"/>
    <col min="4615" max="4615" width="13.140625" style="89" bestFit="1" customWidth="1"/>
    <col min="4616" max="4616" width="14.7109375" style="89" bestFit="1" customWidth="1"/>
    <col min="4617" max="4618" width="14.140625" style="89" bestFit="1" customWidth="1"/>
    <col min="4619" max="4619" width="18" style="89" bestFit="1" customWidth="1"/>
    <col min="4620" max="4620" width="17.140625" style="89" customWidth="1"/>
    <col min="4621" max="4621" width="6.7109375" style="89" customWidth="1"/>
    <col min="4622" max="4622" width="15" style="89" customWidth="1"/>
    <col min="4623" max="4623" width="7.7109375" style="89" customWidth="1"/>
    <col min="4624" max="4624" width="9.140625" style="89" customWidth="1"/>
    <col min="4625" max="4628" width="14.28515625" style="89" customWidth="1"/>
    <col min="4629" max="4629" width="15.5703125" style="89" customWidth="1"/>
    <col min="4630" max="4636" width="11.42578125" style="89"/>
    <col min="4637" max="4639" width="11.5703125" style="89" bestFit="1" customWidth="1"/>
    <col min="4640" max="4649" width="12.5703125" style="89" bestFit="1" customWidth="1"/>
    <col min="4650" max="4864" width="11.42578125" style="89"/>
    <col min="4865" max="4865" width="16.140625" style="89" customWidth="1"/>
    <col min="4866" max="4866" width="14.85546875" style="89" customWidth="1"/>
    <col min="4867" max="4867" width="10.42578125" style="89" bestFit="1" customWidth="1"/>
    <col min="4868" max="4868" width="11" style="89" bestFit="1" customWidth="1"/>
    <col min="4869" max="4869" width="14.5703125" style="89" bestFit="1" customWidth="1"/>
    <col min="4870" max="4870" width="11.5703125" style="89" bestFit="1" customWidth="1"/>
    <col min="4871" max="4871" width="13.140625" style="89" bestFit="1" customWidth="1"/>
    <col min="4872" max="4872" width="14.7109375" style="89" bestFit="1" customWidth="1"/>
    <col min="4873" max="4874" width="14.140625" style="89" bestFit="1" customWidth="1"/>
    <col min="4875" max="4875" width="18" style="89" bestFit="1" customWidth="1"/>
    <col min="4876" max="4876" width="17.140625" style="89" customWidth="1"/>
    <col min="4877" max="4877" width="6.7109375" style="89" customWidth="1"/>
    <col min="4878" max="4878" width="15" style="89" customWidth="1"/>
    <col min="4879" max="4879" width="7.7109375" style="89" customWidth="1"/>
    <col min="4880" max="4880" width="9.140625" style="89" customWidth="1"/>
    <col min="4881" max="4884" width="14.28515625" style="89" customWidth="1"/>
    <col min="4885" max="4885" width="15.5703125" style="89" customWidth="1"/>
    <col min="4886" max="4892" width="11.42578125" style="89"/>
    <col min="4893" max="4895" width="11.5703125" style="89" bestFit="1" customWidth="1"/>
    <col min="4896" max="4905" width="12.5703125" style="89" bestFit="1" customWidth="1"/>
    <col min="4906" max="5120" width="11.42578125" style="89"/>
    <col min="5121" max="5121" width="16.140625" style="89" customWidth="1"/>
    <col min="5122" max="5122" width="14.85546875" style="89" customWidth="1"/>
    <col min="5123" max="5123" width="10.42578125" style="89" bestFit="1" customWidth="1"/>
    <col min="5124" max="5124" width="11" style="89" bestFit="1" customWidth="1"/>
    <col min="5125" max="5125" width="14.5703125" style="89" bestFit="1" customWidth="1"/>
    <col min="5126" max="5126" width="11.5703125" style="89" bestFit="1" customWidth="1"/>
    <col min="5127" max="5127" width="13.140625" style="89" bestFit="1" customWidth="1"/>
    <col min="5128" max="5128" width="14.7109375" style="89" bestFit="1" customWidth="1"/>
    <col min="5129" max="5130" width="14.140625" style="89" bestFit="1" customWidth="1"/>
    <col min="5131" max="5131" width="18" style="89" bestFit="1" customWidth="1"/>
    <col min="5132" max="5132" width="17.140625" style="89" customWidth="1"/>
    <col min="5133" max="5133" width="6.7109375" style="89" customWidth="1"/>
    <col min="5134" max="5134" width="15" style="89" customWidth="1"/>
    <col min="5135" max="5135" width="7.7109375" style="89" customWidth="1"/>
    <col min="5136" max="5136" width="9.140625" style="89" customWidth="1"/>
    <col min="5137" max="5140" width="14.28515625" style="89" customWidth="1"/>
    <col min="5141" max="5141" width="15.5703125" style="89" customWidth="1"/>
    <col min="5142" max="5148" width="11.42578125" style="89"/>
    <col min="5149" max="5151" width="11.5703125" style="89" bestFit="1" customWidth="1"/>
    <col min="5152" max="5161" width="12.5703125" style="89" bestFit="1" customWidth="1"/>
    <col min="5162" max="5376" width="11.42578125" style="89"/>
    <col min="5377" max="5377" width="16.140625" style="89" customWidth="1"/>
    <col min="5378" max="5378" width="14.85546875" style="89" customWidth="1"/>
    <col min="5379" max="5379" width="10.42578125" style="89" bestFit="1" customWidth="1"/>
    <col min="5380" max="5380" width="11" style="89" bestFit="1" customWidth="1"/>
    <col min="5381" max="5381" width="14.5703125" style="89" bestFit="1" customWidth="1"/>
    <col min="5382" max="5382" width="11.5703125" style="89" bestFit="1" customWidth="1"/>
    <col min="5383" max="5383" width="13.140625" style="89" bestFit="1" customWidth="1"/>
    <col min="5384" max="5384" width="14.7109375" style="89" bestFit="1" customWidth="1"/>
    <col min="5385" max="5386" width="14.140625" style="89" bestFit="1" customWidth="1"/>
    <col min="5387" max="5387" width="18" style="89" bestFit="1" customWidth="1"/>
    <col min="5388" max="5388" width="17.140625" style="89" customWidth="1"/>
    <col min="5389" max="5389" width="6.7109375" style="89" customWidth="1"/>
    <col min="5390" max="5390" width="15" style="89" customWidth="1"/>
    <col min="5391" max="5391" width="7.7109375" style="89" customWidth="1"/>
    <col min="5392" max="5392" width="9.140625" style="89" customWidth="1"/>
    <col min="5393" max="5396" width="14.28515625" style="89" customWidth="1"/>
    <col min="5397" max="5397" width="15.5703125" style="89" customWidth="1"/>
    <col min="5398" max="5404" width="11.42578125" style="89"/>
    <col min="5405" max="5407" width="11.5703125" style="89" bestFit="1" customWidth="1"/>
    <col min="5408" max="5417" width="12.5703125" style="89" bestFit="1" customWidth="1"/>
    <col min="5418" max="5632" width="11.42578125" style="89"/>
    <col min="5633" max="5633" width="16.140625" style="89" customWidth="1"/>
    <col min="5634" max="5634" width="14.85546875" style="89" customWidth="1"/>
    <col min="5635" max="5635" width="10.42578125" style="89" bestFit="1" customWidth="1"/>
    <col min="5636" max="5636" width="11" style="89" bestFit="1" customWidth="1"/>
    <col min="5637" max="5637" width="14.5703125" style="89" bestFit="1" customWidth="1"/>
    <col min="5638" max="5638" width="11.5703125" style="89" bestFit="1" customWidth="1"/>
    <col min="5639" max="5639" width="13.140625" style="89" bestFit="1" customWidth="1"/>
    <col min="5640" max="5640" width="14.7109375" style="89" bestFit="1" customWidth="1"/>
    <col min="5641" max="5642" width="14.140625" style="89" bestFit="1" customWidth="1"/>
    <col min="5643" max="5643" width="18" style="89" bestFit="1" customWidth="1"/>
    <col min="5644" max="5644" width="17.140625" style="89" customWidth="1"/>
    <col min="5645" max="5645" width="6.7109375" style="89" customWidth="1"/>
    <col min="5646" max="5646" width="15" style="89" customWidth="1"/>
    <col min="5647" max="5647" width="7.7109375" style="89" customWidth="1"/>
    <col min="5648" max="5648" width="9.140625" style="89" customWidth="1"/>
    <col min="5649" max="5652" width="14.28515625" style="89" customWidth="1"/>
    <col min="5653" max="5653" width="15.5703125" style="89" customWidth="1"/>
    <col min="5654" max="5660" width="11.42578125" style="89"/>
    <col min="5661" max="5663" width="11.5703125" style="89" bestFit="1" customWidth="1"/>
    <col min="5664" max="5673" width="12.5703125" style="89" bestFit="1" customWidth="1"/>
    <col min="5674" max="5888" width="11.42578125" style="89"/>
    <col min="5889" max="5889" width="16.140625" style="89" customWidth="1"/>
    <col min="5890" max="5890" width="14.85546875" style="89" customWidth="1"/>
    <col min="5891" max="5891" width="10.42578125" style="89" bestFit="1" customWidth="1"/>
    <col min="5892" max="5892" width="11" style="89" bestFit="1" customWidth="1"/>
    <col min="5893" max="5893" width="14.5703125" style="89" bestFit="1" customWidth="1"/>
    <col min="5894" max="5894" width="11.5703125" style="89" bestFit="1" customWidth="1"/>
    <col min="5895" max="5895" width="13.140625" style="89" bestFit="1" customWidth="1"/>
    <col min="5896" max="5896" width="14.7109375" style="89" bestFit="1" customWidth="1"/>
    <col min="5897" max="5898" width="14.140625" style="89" bestFit="1" customWidth="1"/>
    <col min="5899" max="5899" width="18" style="89" bestFit="1" customWidth="1"/>
    <col min="5900" max="5900" width="17.140625" style="89" customWidth="1"/>
    <col min="5901" max="5901" width="6.7109375" style="89" customWidth="1"/>
    <col min="5902" max="5902" width="15" style="89" customWidth="1"/>
    <col min="5903" max="5903" width="7.7109375" style="89" customWidth="1"/>
    <col min="5904" max="5904" width="9.140625" style="89" customWidth="1"/>
    <col min="5905" max="5908" width="14.28515625" style="89" customWidth="1"/>
    <col min="5909" max="5909" width="15.5703125" style="89" customWidth="1"/>
    <col min="5910" max="5916" width="11.42578125" style="89"/>
    <col min="5917" max="5919" width="11.5703125" style="89" bestFit="1" customWidth="1"/>
    <col min="5920" max="5929" width="12.5703125" style="89" bestFit="1" customWidth="1"/>
    <col min="5930" max="6144" width="11.42578125" style="89"/>
    <col min="6145" max="6145" width="16.140625" style="89" customWidth="1"/>
    <col min="6146" max="6146" width="14.85546875" style="89" customWidth="1"/>
    <col min="6147" max="6147" width="10.42578125" style="89" bestFit="1" customWidth="1"/>
    <col min="6148" max="6148" width="11" style="89" bestFit="1" customWidth="1"/>
    <col min="6149" max="6149" width="14.5703125" style="89" bestFit="1" customWidth="1"/>
    <col min="6150" max="6150" width="11.5703125" style="89" bestFit="1" customWidth="1"/>
    <col min="6151" max="6151" width="13.140625" style="89" bestFit="1" customWidth="1"/>
    <col min="6152" max="6152" width="14.7109375" style="89" bestFit="1" customWidth="1"/>
    <col min="6153" max="6154" width="14.140625" style="89" bestFit="1" customWidth="1"/>
    <col min="6155" max="6155" width="18" style="89" bestFit="1" customWidth="1"/>
    <col min="6156" max="6156" width="17.140625" style="89" customWidth="1"/>
    <col min="6157" max="6157" width="6.7109375" style="89" customWidth="1"/>
    <col min="6158" max="6158" width="15" style="89" customWidth="1"/>
    <col min="6159" max="6159" width="7.7109375" style="89" customWidth="1"/>
    <col min="6160" max="6160" width="9.140625" style="89" customWidth="1"/>
    <col min="6161" max="6164" width="14.28515625" style="89" customWidth="1"/>
    <col min="6165" max="6165" width="15.5703125" style="89" customWidth="1"/>
    <col min="6166" max="6172" width="11.42578125" style="89"/>
    <col min="6173" max="6175" width="11.5703125" style="89" bestFit="1" customWidth="1"/>
    <col min="6176" max="6185" width="12.5703125" style="89" bestFit="1" customWidth="1"/>
    <col min="6186" max="6400" width="11.42578125" style="89"/>
    <col min="6401" max="6401" width="16.140625" style="89" customWidth="1"/>
    <col min="6402" max="6402" width="14.85546875" style="89" customWidth="1"/>
    <col min="6403" max="6403" width="10.42578125" style="89" bestFit="1" customWidth="1"/>
    <col min="6404" max="6404" width="11" style="89" bestFit="1" customWidth="1"/>
    <col min="6405" max="6405" width="14.5703125" style="89" bestFit="1" customWidth="1"/>
    <col min="6406" max="6406" width="11.5703125" style="89" bestFit="1" customWidth="1"/>
    <col min="6407" max="6407" width="13.140625" style="89" bestFit="1" customWidth="1"/>
    <col min="6408" max="6408" width="14.7109375" style="89" bestFit="1" customWidth="1"/>
    <col min="6409" max="6410" width="14.140625" style="89" bestFit="1" customWidth="1"/>
    <col min="6411" max="6411" width="18" style="89" bestFit="1" customWidth="1"/>
    <col min="6412" max="6412" width="17.140625" style="89" customWidth="1"/>
    <col min="6413" max="6413" width="6.7109375" style="89" customWidth="1"/>
    <col min="6414" max="6414" width="15" style="89" customWidth="1"/>
    <col min="6415" max="6415" width="7.7109375" style="89" customWidth="1"/>
    <col min="6416" max="6416" width="9.140625" style="89" customWidth="1"/>
    <col min="6417" max="6420" width="14.28515625" style="89" customWidth="1"/>
    <col min="6421" max="6421" width="15.5703125" style="89" customWidth="1"/>
    <col min="6422" max="6428" width="11.42578125" style="89"/>
    <col min="6429" max="6431" width="11.5703125" style="89" bestFit="1" customWidth="1"/>
    <col min="6432" max="6441" width="12.5703125" style="89" bestFit="1" customWidth="1"/>
    <col min="6442" max="6656" width="11.42578125" style="89"/>
    <col min="6657" max="6657" width="16.140625" style="89" customWidth="1"/>
    <col min="6658" max="6658" width="14.85546875" style="89" customWidth="1"/>
    <col min="6659" max="6659" width="10.42578125" style="89" bestFit="1" customWidth="1"/>
    <col min="6660" max="6660" width="11" style="89" bestFit="1" customWidth="1"/>
    <col min="6661" max="6661" width="14.5703125" style="89" bestFit="1" customWidth="1"/>
    <col min="6662" max="6662" width="11.5703125" style="89" bestFit="1" customWidth="1"/>
    <col min="6663" max="6663" width="13.140625" style="89" bestFit="1" customWidth="1"/>
    <col min="6664" max="6664" width="14.7109375" style="89" bestFit="1" customWidth="1"/>
    <col min="6665" max="6666" width="14.140625" style="89" bestFit="1" customWidth="1"/>
    <col min="6667" max="6667" width="18" style="89" bestFit="1" customWidth="1"/>
    <col min="6668" max="6668" width="17.140625" style="89" customWidth="1"/>
    <col min="6669" max="6669" width="6.7109375" style="89" customWidth="1"/>
    <col min="6670" max="6670" width="15" style="89" customWidth="1"/>
    <col min="6671" max="6671" width="7.7109375" style="89" customWidth="1"/>
    <col min="6672" max="6672" width="9.140625" style="89" customWidth="1"/>
    <col min="6673" max="6676" width="14.28515625" style="89" customWidth="1"/>
    <col min="6677" max="6677" width="15.5703125" style="89" customWidth="1"/>
    <col min="6678" max="6684" width="11.42578125" style="89"/>
    <col min="6685" max="6687" width="11.5703125" style="89" bestFit="1" customWidth="1"/>
    <col min="6688" max="6697" width="12.5703125" style="89" bestFit="1" customWidth="1"/>
    <col min="6698" max="6912" width="11.42578125" style="89"/>
    <col min="6913" max="6913" width="16.140625" style="89" customWidth="1"/>
    <col min="6914" max="6914" width="14.85546875" style="89" customWidth="1"/>
    <col min="6915" max="6915" width="10.42578125" style="89" bestFit="1" customWidth="1"/>
    <col min="6916" max="6916" width="11" style="89" bestFit="1" customWidth="1"/>
    <col min="6917" max="6917" width="14.5703125" style="89" bestFit="1" customWidth="1"/>
    <col min="6918" max="6918" width="11.5703125" style="89" bestFit="1" customWidth="1"/>
    <col min="6919" max="6919" width="13.140625" style="89" bestFit="1" customWidth="1"/>
    <col min="6920" max="6920" width="14.7109375" style="89" bestFit="1" customWidth="1"/>
    <col min="6921" max="6922" width="14.140625" style="89" bestFit="1" customWidth="1"/>
    <col min="6923" max="6923" width="18" style="89" bestFit="1" customWidth="1"/>
    <col min="6924" max="6924" width="17.140625" style="89" customWidth="1"/>
    <col min="6925" max="6925" width="6.7109375" style="89" customWidth="1"/>
    <col min="6926" max="6926" width="15" style="89" customWidth="1"/>
    <col min="6927" max="6927" width="7.7109375" style="89" customWidth="1"/>
    <col min="6928" max="6928" width="9.140625" style="89" customWidth="1"/>
    <col min="6929" max="6932" width="14.28515625" style="89" customWidth="1"/>
    <col min="6933" max="6933" width="15.5703125" style="89" customWidth="1"/>
    <col min="6934" max="6940" width="11.42578125" style="89"/>
    <col min="6941" max="6943" width="11.5703125" style="89" bestFit="1" customWidth="1"/>
    <col min="6944" max="6953" width="12.5703125" style="89" bestFit="1" customWidth="1"/>
    <col min="6954" max="7168" width="11.42578125" style="89"/>
    <col min="7169" max="7169" width="16.140625" style="89" customWidth="1"/>
    <col min="7170" max="7170" width="14.85546875" style="89" customWidth="1"/>
    <col min="7171" max="7171" width="10.42578125" style="89" bestFit="1" customWidth="1"/>
    <col min="7172" max="7172" width="11" style="89" bestFit="1" customWidth="1"/>
    <col min="7173" max="7173" width="14.5703125" style="89" bestFit="1" customWidth="1"/>
    <col min="7174" max="7174" width="11.5703125" style="89" bestFit="1" customWidth="1"/>
    <col min="7175" max="7175" width="13.140625" style="89" bestFit="1" customWidth="1"/>
    <col min="7176" max="7176" width="14.7109375" style="89" bestFit="1" customWidth="1"/>
    <col min="7177" max="7178" width="14.140625" style="89" bestFit="1" customWidth="1"/>
    <col min="7179" max="7179" width="18" style="89" bestFit="1" customWidth="1"/>
    <col min="7180" max="7180" width="17.140625" style="89" customWidth="1"/>
    <col min="7181" max="7181" width="6.7109375" style="89" customWidth="1"/>
    <col min="7182" max="7182" width="15" style="89" customWidth="1"/>
    <col min="7183" max="7183" width="7.7109375" style="89" customWidth="1"/>
    <col min="7184" max="7184" width="9.140625" style="89" customWidth="1"/>
    <col min="7185" max="7188" width="14.28515625" style="89" customWidth="1"/>
    <col min="7189" max="7189" width="15.5703125" style="89" customWidth="1"/>
    <col min="7190" max="7196" width="11.42578125" style="89"/>
    <col min="7197" max="7199" width="11.5703125" style="89" bestFit="1" customWidth="1"/>
    <col min="7200" max="7209" width="12.5703125" style="89" bestFit="1" customWidth="1"/>
    <col min="7210" max="7424" width="11.42578125" style="89"/>
    <col min="7425" max="7425" width="16.140625" style="89" customWidth="1"/>
    <col min="7426" max="7426" width="14.85546875" style="89" customWidth="1"/>
    <col min="7427" max="7427" width="10.42578125" style="89" bestFit="1" customWidth="1"/>
    <col min="7428" max="7428" width="11" style="89" bestFit="1" customWidth="1"/>
    <col min="7429" max="7429" width="14.5703125" style="89" bestFit="1" customWidth="1"/>
    <col min="7430" max="7430" width="11.5703125" style="89" bestFit="1" customWidth="1"/>
    <col min="7431" max="7431" width="13.140625" style="89" bestFit="1" customWidth="1"/>
    <col min="7432" max="7432" width="14.7109375" style="89" bestFit="1" customWidth="1"/>
    <col min="7433" max="7434" width="14.140625" style="89" bestFit="1" customWidth="1"/>
    <col min="7435" max="7435" width="18" style="89" bestFit="1" customWidth="1"/>
    <col min="7436" max="7436" width="17.140625" style="89" customWidth="1"/>
    <col min="7437" max="7437" width="6.7109375" style="89" customWidth="1"/>
    <col min="7438" max="7438" width="15" style="89" customWidth="1"/>
    <col min="7439" max="7439" width="7.7109375" style="89" customWidth="1"/>
    <col min="7440" max="7440" width="9.140625" style="89" customWidth="1"/>
    <col min="7441" max="7444" width="14.28515625" style="89" customWidth="1"/>
    <col min="7445" max="7445" width="15.5703125" style="89" customWidth="1"/>
    <col min="7446" max="7452" width="11.42578125" style="89"/>
    <col min="7453" max="7455" width="11.5703125" style="89" bestFit="1" customWidth="1"/>
    <col min="7456" max="7465" width="12.5703125" style="89" bestFit="1" customWidth="1"/>
    <col min="7466" max="7680" width="11.42578125" style="89"/>
    <col min="7681" max="7681" width="16.140625" style="89" customWidth="1"/>
    <col min="7682" max="7682" width="14.85546875" style="89" customWidth="1"/>
    <col min="7683" max="7683" width="10.42578125" style="89" bestFit="1" customWidth="1"/>
    <col min="7684" max="7684" width="11" style="89" bestFit="1" customWidth="1"/>
    <col min="7685" max="7685" width="14.5703125" style="89" bestFit="1" customWidth="1"/>
    <col min="7686" max="7686" width="11.5703125" style="89" bestFit="1" customWidth="1"/>
    <col min="7687" max="7687" width="13.140625" style="89" bestFit="1" customWidth="1"/>
    <col min="7688" max="7688" width="14.7109375" style="89" bestFit="1" customWidth="1"/>
    <col min="7689" max="7690" width="14.140625" style="89" bestFit="1" customWidth="1"/>
    <col min="7691" max="7691" width="18" style="89" bestFit="1" customWidth="1"/>
    <col min="7692" max="7692" width="17.140625" style="89" customWidth="1"/>
    <col min="7693" max="7693" width="6.7109375" style="89" customWidth="1"/>
    <col min="7694" max="7694" width="15" style="89" customWidth="1"/>
    <col min="7695" max="7695" width="7.7109375" style="89" customWidth="1"/>
    <col min="7696" max="7696" width="9.140625" style="89" customWidth="1"/>
    <col min="7697" max="7700" width="14.28515625" style="89" customWidth="1"/>
    <col min="7701" max="7701" width="15.5703125" style="89" customWidth="1"/>
    <col min="7702" max="7708" width="11.42578125" style="89"/>
    <col min="7709" max="7711" width="11.5703125" style="89" bestFit="1" customWidth="1"/>
    <col min="7712" max="7721" width="12.5703125" style="89" bestFit="1" customWidth="1"/>
    <col min="7722" max="7936" width="11.42578125" style="89"/>
    <col min="7937" max="7937" width="16.140625" style="89" customWidth="1"/>
    <col min="7938" max="7938" width="14.85546875" style="89" customWidth="1"/>
    <col min="7939" max="7939" width="10.42578125" style="89" bestFit="1" customWidth="1"/>
    <col min="7940" max="7940" width="11" style="89" bestFit="1" customWidth="1"/>
    <col min="7941" max="7941" width="14.5703125" style="89" bestFit="1" customWidth="1"/>
    <col min="7942" max="7942" width="11.5703125" style="89" bestFit="1" customWidth="1"/>
    <col min="7943" max="7943" width="13.140625" style="89" bestFit="1" customWidth="1"/>
    <col min="7944" max="7944" width="14.7109375" style="89" bestFit="1" customWidth="1"/>
    <col min="7945" max="7946" width="14.140625" style="89" bestFit="1" customWidth="1"/>
    <col min="7947" max="7947" width="18" style="89" bestFit="1" customWidth="1"/>
    <col min="7948" max="7948" width="17.140625" style="89" customWidth="1"/>
    <col min="7949" max="7949" width="6.7109375" style="89" customWidth="1"/>
    <col min="7950" max="7950" width="15" style="89" customWidth="1"/>
    <col min="7951" max="7951" width="7.7109375" style="89" customWidth="1"/>
    <col min="7952" max="7952" width="9.140625" style="89" customWidth="1"/>
    <col min="7953" max="7956" width="14.28515625" style="89" customWidth="1"/>
    <col min="7957" max="7957" width="15.5703125" style="89" customWidth="1"/>
    <col min="7958" max="7964" width="11.42578125" style="89"/>
    <col min="7965" max="7967" width="11.5703125" style="89" bestFit="1" customWidth="1"/>
    <col min="7968" max="7977" width="12.5703125" style="89" bestFit="1" customWidth="1"/>
    <col min="7978" max="8192" width="11.42578125" style="89"/>
    <col min="8193" max="8193" width="16.140625" style="89" customWidth="1"/>
    <col min="8194" max="8194" width="14.85546875" style="89" customWidth="1"/>
    <col min="8195" max="8195" width="10.42578125" style="89" bestFit="1" customWidth="1"/>
    <col min="8196" max="8196" width="11" style="89" bestFit="1" customWidth="1"/>
    <col min="8197" max="8197" width="14.5703125" style="89" bestFit="1" customWidth="1"/>
    <col min="8198" max="8198" width="11.5703125" style="89" bestFit="1" customWidth="1"/>
    <col min="8199" max="8199" width="13.140625" style="89" bestFit="1" customWidth="1"/>
    <col min="8200" max="8200" width="14.7109375" style="89" bestFit="1" customWidth="1"/>
    <col min="8201" max="8202" width="14.140625" style="89" bestFit="1" customWidth="1"/>
    <col min="8203" max="8203" width="18" style="89" bestFit="1" customWidth="1"/>
    <col min="8204" max="8204" width="17.140625" style="89" customWidth="1"/>
    <col min="8205" max="8205" width="6.7109375" style="89" customWidth="1"/>
    <col min="8206" max="8206" width="15" style="89" customWidth="1"/>
    <col min="8207" max="8207" width="7.7109375" style="89" customWidth="1"/>
    <col min="8208" max="8208" width="9.140625" style="89" customWidth="1"/>
    <col min="8209" max="8212" width="14.28515625" style="89" customWidth="1"/>
    <col min="8213" max="8213" width="15.5703125" style="89" customWidth="1"/>
    <col min="8214" max="8220" width="11.42578125" style="89"/>
    <col min="8221" max="8223" width="11.5703125" style="89" bestFit="1" customWidth="1"/>
    <col min="8224" max="8233" width="12.5703125" style="89" bestFit="1" customWidth="1"/>
    <col min="8234" max="8448" width="11.42578125" style="89"/>
    <col min="8449" max="8449" width="16.140625" style="89" customWidth="1"/>
    <col min="8450" max="8450" width="14.85546875" style="89" customWidth="1"/>
    <col min="8451" max="8451" width="10.42578125" style="89" bestFit="1" customWidth="1"/>
    <col min="8452" max="8452" width="11" style="89" bestFit="1" customWidth="1"/>
    <col min="8453" max="8453" width="14.5703125" style="89" bestFit="1" customWidth="1"/>
    <col min="8454" max="8454" width="11.5703125" style="89" bestFit="1" customWidth="1"/>
    <col min="8455" max="8455" width="13.140625" style="89" bestFit="1" customWidth="1"/>
    <col min="8456" max="8456" width="14.7109375" style="89" bestFit="1" customWidth="1"/>
    <col min="8457" max="8458" width="14.140625" style="89" bestFit="1" customWidth="1"/>
    <col min="8459" max="8459" width="18" style="89" bestFit="1" customWidth="1"/>
    <col min="8460" max="8460" width="17.140625" style="89" customWidth="1"/>
    <col min="8461" max="8461" width="6.7109375" style="89" customWidth="1"/>
    <col min="8462" max="8462" width="15" style="89" customWidth="1"/>
    <col min="8463" max="8463" width="7.7109375" style="89" customWidth="1"/>
    <col min="8464" max="8464" width="9.140625" style="89" customWidth="1"/>
    <col min="8465" max="8468" width="14.28515625" style="89" customWidth="1"/>
    <col min="8469" max="8469" width="15.5703125" style="89" customWidth="1"/>
    <col min="8470" max="8476" width="11.42578125" style="89"/>
    <col min="8477" max="8479" width="11.5703125" style="89" bestFit="1" customWidth="1"/>
    <col min="8480" max="8489" width="12.5703125" style="89" bestFit="1" customWidth="1"/>
    <col min="8490" max="8704" width="11.42578125" style="89"/>
    <col min="8705" max="8705" width="16.140625" style="89" customWidth="1"/>
    <col min="8706" max="8706" width="14.85546875" style="89" customWidth="1"/>
    <col min="8707" max="8707" width="10.42578125" style="89" bestFit="1" customWidth="1"/>
    <col min="8708" max="8708" width="11" style="89" bestFit="1" customWidth="1"/>
    <col min="8709" max="8709" width="14.5703125" style="89" bestFit="1" customWidth="1"/>
    <col min="8710" max="8710" width="11.5703125" style="89" bestFit="1" customWidth="1"/>
    <col min="8711" max="8711" width="13.140625" style="89" bestFit="1" customWidth="1"/>
    <col min="8712" max="8712" width="14.7109375" style="89" bestFit="1" customWidth="1"/>
    <col min="8713" max="8714" width="14.140625" style="89" bestFit="1" customWidth="1"/>
    <col min="8715" max="8715" width="18" style="89" bestFit="1" customWidth="1"/>
    <col min="8716" max="8716" width="17.140625" style="89" customWidth="1"/>
    <col min="8717" max="8717" width="6.7109375" style="89" customWidth="1"/>
    <col min="8718" max="8718" width="15" style="89" customWidth="1"/>
    <col min="8719" max="8719" width="7.7109375" style="89" customWidth="1"/>
    <col min="8720" max="8720" width="9.140625" style="89" customWidth="1"/>
    <col min="8721" max="8724" width="14.28515625" style="89" customWidth="1"/>
    <col min="8725" max="8725" width="15.5703125" style="89" customWidth="1"/>
    <col min="8726" max="8732" width="11.42578125" style="89"/>
    <col min="8733" max="8735" width="11.5703125" style="89" bestFit="1" customWidth="1"/>
    <col min="8736" max="8745" width="12.5703125" style="89" bestFit="1" customWidth="1"/>
    <col min="8746" max="8960" width="11.42578125" style="89"/>
    <col min="8961" max="8961" width="16.140625" style="89" customWidth="1"/>
    <col min="8962" max="8962" width="14.85546875" style="89" customWidth="1"/>
    <col min="8963" max="8963" width="10.42578125" style="89" bestFit="1" customWidth="1"/>
    <col min="8964" max="8964" width="11" style="89" bestFit="1" customWidth="1"/>
    <col min="8965" max="8965" width="14.5703125" style="89" bestFit="1" customWidth="1"/>
    <col min="8966" max="8966" width="11.5703125" style="89" bestFit="1" customWidth="1"/>
    <col min="8967" max="8967" width="13.140625" style="89" bestFit="1" customWidth="1"/>
    <col min="8968" max="8968" width="14.7109375" style="89" bestFit="1" customWidth="1"/>
    <col min="8969" max="8970" width="14.140625" style="89" bestFit="1" customWidth="1"/>
    <col min="8971" max="8971" width="18" style="89" bestFit="1" customWidth="1"/>
    <col min="8972" max="8972" width="17.140625" style="89" customWidth="1"/>
    <col min="8973" max="8973" width="6.7109375" style="89" customWidth="1"/>
    <col min="8974" max="8974" width="15" style="89" customWidth="1"/>
    <col min="8975" max="8975" width="7.7109375" style="89" customWidth="1"/>
    <col min="8976" max="8976" width="9.140625" style="89" customWidth="1"/>
    <col min="8977" max="8980" width="14.28515625" style="89" customWidth="1"/>
    <col min="8981" max="8981" width="15.5703125" style="89" customWidth="1"/>
    <col min="8982" max="8988" width="11.42578125" style="89"/>
    <col min="8989" max="8991" width="11.5703125" style="89" bestFit="1" customWidth="1"/>
    <col min="8992" max="9001" width="12.5703125" style="89" bestFit="1" customWidth="1"/>
    <col min="9002" max="9216" width="11.42578125" style="89"/>
    <col min="9217" max="9217" width="16.140625" style="89" customWidth="1"/>
    <col min="9218" max="9218" width="14.85546875" style="89" customWidth="1"/>
    <col min="9219" max="9219" width="10.42578125" style="89" bestFit="1" customWidth="1"/>
    <col min="9220" max="9220" width="11" style="89" bestFit="1" customWidth="1"/>
    <col min="9221" max="9221" width="14.5703125" style="89" bestFit="1" customWidth="1"/>
    <col min="9222" max="9222" width="11.5703125" style="89" bestFit="1" customWidth="1"/>
    <col min="9223" max="9223" width="13.140625" style="89" bestFit="1" customWidth="1"/>
    <col min="9224" max="9224" width="14.7109375" style="89" bestFit="1" customWidth="1"/>
    <col min="9225" max="9226" width="14.140625" style="89" bestFit="1" customWidth="1"/>
    <col min="9227" max="9227" width="18" style="89" bestFit="1" customWidth="1"/>
    <col min="9228" max="9228" width="17.140625" style="89" customWidth="1"/>
    <col min="9229" max="9229" width="6.7109375" style="89" customWidth="1"/>
    <col min="9230" max="9230" width="15" style="89" customWidth="1"/>
    <col min="9231" max="9231" width="7.7109375" style="89" customWidth="1"/>
    <col min="9232" max="9232" width="9.140625" style="89" customWidth="1"/>
    <col min="9233" max="9236" width="14.28515625" style="89" customWidth="1"/>
    <col min="9237" max="9237" width="15.5703125" style="89" customWidth="1"/>
    <col min="9238" max="9244" width="11.42578125" style="89"/>
    <col min="9245" max="9247" width="11.5703125" style="89" bestFit="1" customWidth="1"/>
    <col min="9248" max="9257" width="12.5703125" style="89" bestFit="1" customWidth="1"/>
    <col min="9258" max="9472" width="11.42578125" style="89"/>
    <col min="9473" max="9473" width="16.140625" style="89" customWidth="1"/>
    <col min="9474" max="9474" width="14.85546875" style="89" customWidth="1"/>
    <col min="9475" max="9475" width="10.42578125" style="89" bestFit="1" customWidth="1"/>
    <col min="9476" max="9476" width="11" style="89" bestFit="1" customWidth="1"/>
    <col min="9477" max="9477" width="14.5703125" style="89" bestFit="1" customWidth="1"/>
    <col min="9478" max="9478" width="11.5703125" style="89" bestFit="1" customWidth="1"/>
    <col min="9479" max="9479" width="13.140625" style="89" bestFit="1" customWidth="1"/>
    <col min="9480" max="9480" width="14.7109375" style="89" bestFit="1" customWidth="1"/>
    <col min="9481" max="9482" width="14.140625" style="89" bestFit="1" customWidth="1"/>
    <col min="9483" max="9483" width="18" style="89" bestFit="1" customWidth="1"/>
    <col min="9484" max="9484" width="17.140625" style="89" customWidth="1"/>
    <col min="9485" max="9485" width="6.7109375" style="89" customWidth="1"/>
    <col min="9486" max="9486" width="15" style="89" customWidth="1"/>
    <col min="9487" max="9487" width="7.7109375" style="89" customWidth="1"/>
    <col min="9488" max="9488" width="9.140625" style="89" customWidth="1"/>
    <col min="9489" max="9492" width="14.28515625" style="89" customWidth="1"/>
    <col min="9493" max="9493" width="15.5703125" style="89" customWidth="1"/>
    <col min="9494" max="9500" width="11.42578125" style="89"/>
    <col min="9501" max="9503" width="11.5703125" style="89" bestFit="1" customWidth="1"/>
    <col min="9504" max="9513" width="12.5703125" style="89" bestFit="1" customWidth="1"/>
    <col min="9514" max="9728" width="11.42578125" style="89"/>
    <col min="9729" max="9729" width="16.140625" style="89" customWidth="1"/>
    <col min="9730" max="9730" width="14.85546875" style="89" customWidth="1"/>
    <col min="9731" max="9731" width="10.42578125" style="89" bestFit="1" customWidth="1"/>
    <col min="9732" max="9732" width="11" style="89" bestFit="1" customWidth="1"/>
    <col min="9733" max="9733" width="14.5703125" style="89" bestFit="1" customWidth="1"/>
    <col min="9734" max="9734" width="11.5703125" style="89" bestFit="1" customWidth="1"/>
    <col min="9735" max="9735" width="13.140625" style="89" bestFit="1" customWidth="1"/>
    <col min="9736" max="9736" width="14.7109375" style="89" bestFit="1" customWidth="1"/>
    <col min="9737" max="9738" width="14.140625" style="89" bestFit="1" customWidth="1"/>
    <col min="9739" max="9739" width="18" style="89" bestFit="1" customWidth="1"/>
    <col min="9740" max="9740" width="17.140625" style="89" customWidth="1"/>
    <col min="9741" max="9741" width="6.7109375" style="89" customWidth="1"/>
    <col min="9742" max="9742" width="15" style="89" customWidth="1"/>
    <col min="9743" max="9743" width="7.7109375" style="89" customWidth="1"/>
    <col min="9744" max="9744" width="9.140625" style="89" customWidth="1"/>
    <col min="9745" max="9748" width="14.28515625" style="89" customWidth="1"/>
    <col min="9749" max="9749" width="15.5703125" style="89" customWidth="1"/>
    <col min="9750" max="9756" width="11.42578125" style="89"/>
    <col min="9757" max="9759" width="11.5703125" style="89" bestFit="1" customWidth="1"/>
    <col min="9760" max="9769" width="12.5703125" style="89" bestFit="1" customWidth="1"/>
    <col min="9770" max="9984" width="11.42578125" style="89"/>
    <col min="9985" max="9985" width="16.140625" style="89" customWidth="1"/>
    <col min="9986" max="9986" width="14.85546875" style="89" customWidth="1"/>
    <col min="9987" max="9987" width="10.42578125" style="89" bestFit="1" customWidth="1"/>
    <col min="9988" max="9988" width="11" style="89" bestFit="1" customWidth="1"/>
    <col min="9989" max="9989" width="14.5703125" style="89" bestFit="1" customWidth="1"/>
    <col min="9990" max="9990" width="11.5703125" style="89" bestFit="1" customWidth="1"/>
    <col min="9991" max="9991" width="13.140625" style="89" bestFit="1" customWidth="1"/>
    <col min="9992" max="9992" width="14.7109375" style="89" bestFit="1" customWidth="1"/>
    <col min="9993" max="9994" width="14.140625" style="89" bestFit="1" customWidth="1"/>
    <col min="9995" max="9995" width="18" style="89" bestFit="1" customWidth="1"/>
    <col min="9996" max="9996" width="17.140625" style="89" customWidth="1"/>
    <col min="9997" max="9997" width="6.7109375" style="89" customWidth="1"/>
    <col min="9998" max="9998" width="15" style="89" customWidth="1"/>
    <col min="9999" max="9999" width="7.7109375" style="89" customWidth="1"/>
    <col min="10000" max="10000" width="9.140625" style="89" customWidth="1"/>
    <col min="10001" max="10004" width="14.28515625" style="89" customWidth="1"/>
    <col min="10005" max="10005" width="15.5703125" style="89" customWidth="1"/>
    <col min="10006" max="10012" width="11.42578125" style="89"/>
    <col min="10013" max="10015" width="11.5703125" style="89" bestFit="1" customWidth="1"/>
    <col min="10016" max="10025" width="12.5703125" style="89" bestFit="1" customWidth="1"/>
    <col min="10026" max="10240" width="11.42578125" style="89"/>
    <col min="10241" max="10241" width="16.140625" style="89" customWidth="1"/>
    <col min="10242" max="10242" width="14.85546875" style="89" customWidth="1"/>
    <col min="10243" max="10243" width="10.42578125" style="89" bestFit="1" customWidth="1"/>
    <col min="10244" max="10244" width="11" style="89" bestFit="1" customWidth="1"/>
    <col min="10245" max="10245" width="14.5703125" style="89" bestFit="1" customWidth="1"/>
    <col min="10246" max="10246" width="11.5703125" style="89" bestFit="1" customWidth="1"/>
    <col min="10247" max="10247" width="13.140625" style="89" bestFit="1" customWidth="1"/>
    <col min="10248" max="10248" width="14.7109375" style="89" bestFit="1" customWidth="1"/>
    <col min="10249" max="10250" width="14.140625" style="89" bestFit="1" customWidth="1"/>
    <col min="10251" max="10251" width="18" style="89" bestFit="1" customWidth="1"/>
    <col min="10252" max="10252" width="17.140625" style="89" customWidth="1"/>
    <col min="10253" max="10253" width="6.7109375" style="89" customWidth="1"/>
    <col min="10254" max="10254" width="15" style="89" customWidth="1"/>
    <col min="10255" max="10255" width="7.7109375" style="89" customWidth="1"/>
    <col min="10256" max="10256" width="9.140625" style="89" customWidth="1"/>
    <col min="10257" max="10260" width="14.28515625" style="89" customWidth="1"/>
    <col min="10261" max="10261" width="15.5703125" style="89" customWidth="1"/>
    <col min="10262" max="10268" width="11.42578125" style="89"/>
    <col min="10269" max="10271" width="11.5703125" style="89" bestFit="1" customWidth="1"/>
    <col min="10272" max="10281" width="12.5703125" style="89" bestFit="1" customWidth="1"/>
    <col min="10282" max="10496" width="11.42578125" style="89"/>
    <col min="10497" max="10497" width="16.140625" style="89" customWidth="1"/>
    <col min="10498" max="10498" width="14.85546875" style="89" customWidth="1"/>
    <col min="10499" max="10499" width="10.42578125" style="89" bestFit="1" customWidth="1"/>
    <col min="10500" max="10500" width="11" style="89" bestFit="1" customWidth="1"/>
    <col min="10501" max="10501" width="14.5703125" style="89" bestFit="1" customWidth="1"/>
    <col min="10502" max="10502" width="11.5703125" style="89" bestFit="1" customWidth="1"/>
    <col min="10503" max="10503" width="13.140625" style="89" bestFit="1" customWidth="1"/>
    <col min="10504" max="10504" width="14.7109375" style="89" bestFit="1" customWidth="1"/>
    <col min="10505" max="10506" width="14.140625" style="89" bestFit="1" customWidth="1"/>
    <col min="10507" max="10507" width="18" style="89" bestFit="1" customWidth="1"/>
    <col min="10508" max="10508" width="17.140625" style="89" customWidth="1"/>
    <col min="10509" max="10509" width="6.7109375" style="89" customWidth="1"/>
    <col min="10510" max="10510" width="15" style="89" customWidth="1"/>
    <col min="10511" max="10511" width="7.7109375" style="89" customWidth="1"/>
    <col min="10512" max="10512" width="9.140625" style="89" customWidth="1"/>
    <col min="10513" max="10516" width="14.28515625" style="89" customWidth="1"/>
    <col min="10517" max="10517" width="15.5703125" style="89" customWidth="1"/>
    <col min="10518" max="10524" width="11.42578125" style="89"/>
    <col min="10525" max="10527" width="11.5703125" style="89" bestFit="1" customWidth="1"/>
    <col min="10528" max="10537" width="12.5703125" style="89" bestFit="1" customWidth="1"/>
    <col min="10538" max="10752" width="11.42578125" style="89"/>
    <col min="10753" max="10753" width="16.140625" style="89" customWidth="1"/>
    <col min="10754" max="10754" width="14.85546875" style="89" customWidth="1"/>
    <col min="10755" max="10755" width="10.42578125" style="89" bestFit="1" customWidth="1"/>
    <col min="10756" max="10756" width="11" style="89" bestFit="1" customWidth="1"/>
    <col min="10757" max="10757" width="14.5703125" style="89" bestFit="1" customWidth="1"/>
    <col min="10758" max="10758" width="11.5703125" style="89" bestFit="1" customWidth="1"/>
    <col min="10759" max="10759" width="13.140625" style="89" bestFit="1" customWidth="1"/>
    <col min="10760" max="10760" width="14.7109375" style="89" bestFit="1" customWidth="1"/>
    <col min="10761" max="10762" width="14.140625" style="89" bestFit="1" customWidth="1"/>
    <col min="10763" max="10763" width="18" style="89" bestFit="1" customWidth="1"/>
    <col min="10764" max="10764" width="17.140625" style="89" customWidth="1"/>
    <col min="10765" max="10765" width="6.7109375" style="89" customWidth="1"/>
    <col min="10766" max="10766" width="15" style="89" customWidth="1"/>
    <col min="10767" max="10767" width="7.7109375" style="89" customWidth="1"/>
    <col min="10768" max="10768" width="9.140625" style="89" customWidth="1"/>
    <col min="10769" max="10772" width="14.28515625" style="89" customWidth="1"/>
    <col min="10773" max="10773" width="15.5703125" style="89" customWidth="1"/>
    <col min="10774" max="10780" width="11.42578125" style="89"/>
    <col min="10781" max="10783" width="11.5703125" style="89" bestFit="1" customWidth="1"/>
    <col min="10784" max="10793" width="12.5703125" style="89" bestFit="1" customWidth="1"/>
    <col min="10794" max="11008" width="11.42578125" style="89"/>
    <col min="11009" max="11009" width="16.140625" style="89" customWidth="1"/>
    <col min="11010" max="11010" width="14.85546875" style="89" customWidth="1"/>
    <col min="11011" max="11011" width="10.42578125" style="89" bestFit="1" customWidth="1"/>
    <col min="11012" max="11012" width="11" style="89" bestFit="1" customWidth="1"/>
    <col min="11013" max="11013" width="14.5703125" style="89" bestFit="1" customWidth="1"/>
    <col min="11014" max="11014" width="11.5703125" style="89" bestFit="1" customWidth="1"/>
    <col min="11015" max="11015" width="13.140625" style="89" bestFit="1" customWidth="1"/>
    <col min="11016" max="11016" width="14.7109375" style="89" bestFit="1" customWidth="1"/>
    <col min="11017" max="11018" width="14.140625" style="89" bestFit="1" customWidth="1"/>
    <col min="11019" max="11019" width="18" style="89" bestFit="1" customWidth="1"/>
    <col min="11020" max="11020" width="17.140625" style="89" customWidth="1"/>
    <col min="11021" max="11021" width="6.7109375" style="89" customWidth="1"/>
    <col min="11022" max="11022" width="15" style="89" customWidth="1"/>
    <col min="11023" max="11023" width="7.7109375" style="89" customWidth="1"/>
    <col min="11024" max="11024" width="9.140625" style="89" customWidth="1"/>
    <col min="11025" max="11028" width="14.28515625" style="89" customWidth="1"/>
    <col min="11029" max="11029" width="15.5703125" style="89" customWidth="1"/>
    <col min="11030" max="11036" width="11.42578125" style="89"/>
    <col min="11037" max="11039" width="11.5703125" style="89" bestFit="1" customWidth="1"/>
    <col min="11040" max="11049" width="12.5703125" style="89" bestFit="1" customWidth="1"/>
    <col min="11050" max="11264" width="11.42578125" style="89"/>
    <col min="11265" max="11265" width="16.140625" style="89" customWidth="1"/>
    <col min="11266" max="11266" width="14.85546875" style="89" customWidth="1"/>
    <col min="11267" max="11267" width="10.42578125" style="89" bestFit="1" customWidth="1"/>
    <col min="11268" max="11268" width="11" style="89" bestFit="1" customWidth="1"/>
    <col min="11269" max="11269" width="14.5703125" style="89" bestFit="1" customWidth="1"/>
    <col min="11270" max="11270" width="11.5703125" style="89" bestFit="1" customWidth="1"/>
    <col min="11271" max="11271" width="13.140625" style="89" bestFit="1" customWidth="1"/>
    <col min="11272" max="11272" width="14.7109375" style="89" bestFit="1" customWidth="1"/>
    <col min="11273" max="11274" width="14.140625" style="89" bestFit="1" customWidth="1"/>
    <col min="11275" max="11275" width="18" style="89" bestFit="1" customWidth="1"/>
    <col min="11276" max="11276" width="17.140625" style="89" customWidth="1"/>
    <col min="11277" max="11277" width="6.7109375" style="89" customWidth="1"/>
    <col min="11278" max="11278" width="15" style="89" customWidth="1"/>
    <col min="11279" max="11279" width="7.7109375" style="89" customWidth="1"/>
    <col min="11280" max="11280" width="9.140625" style="89" customWidth="1"/>
    <col min="11281" max="11284" width="14.28515625" style="89" customWidth="1"/>
    <col min="11285" max="11285" width="15.5703125" style="89" customWidth="1"/>
    <col min="11286" max="11292" width="11.42578125" style="89"/>
    <col min="11293" max="11295" width="11.5703125" style="89" bestFit="1" customWidth="1"/>
    <col min="11296" max="11305" width="12.5703125" style="89" bestFit="1" customWidth="1"/>
    <col min="11306" max="11520" width="11.42578125" style="89"/>
    <col min="11521" max="11521" width="16.140625" style="89" customWidth="1"/>
    <col min="11522" max="11522" width="14.85546875" style="89" customWidth="1"/>
    <col min="11523" max="11523" width="10.42578125" style="89" bestFit="1" customWidth="1"/>
    <col min="11524" max="11524" width="11" style="89" bestFit="1" customWidth="1"/>
    <col min="11525" max="11525" width="14.5703125" style="89" bestFit="1" customWidth="1"/>
    <col min="11526" max="11526" width="11.5703125" style="89" bestFit="1" customWidth="1"/>
    <col min="11527" max="11527" width="13.140625" style="89" bestFit="1" customWidth="1"/>
    <col min="11528" max="11528" width="14.7109375" style="89" bestFit="1" customWidth="1"/>
    <col min="11529" max="11530" width="14.140625" style="89" bestFit="1" customWidth="1"/>
    <col min="11531" max="11531" width="18" style="89" bestFit="1" customWidth="1"/>
    <col min="11532" max="11532" width="17.140625" style="89" customWidth="1"/>
    <col min="11533" max="11533" width="6.7109375" style="89" customWidth="1"/>
    <col min="11534" max="11534" width="15" style="89" customWidth="1"/>
    <col min="11535" max="11535" width="7.7109375" style="89" customWidth="1"/>
    <col min="11536" max="11536" width="9.140625" style="89" customWidth="1"/>
    <col min="11537" max="11540" width="14.28515625" style="89" customWidth="1"/>
    <col min="11541" max="11541" width="15.5703125" style="89" customWidth="1"/>
    <col min="11542" max="11548" width="11.42578125" style="89"/>
    <col min="11549" max="11551" width="11.5703125" style="89" bestFit="1" customWidth="1"/>
    <col min="11552" max="11561" width="12.5703125" style="89" bestFit="1" customWidth="1"/>
    <col min="11562" max="11776" width="11.42578125" style="89"/>
    <col min="11777" max="11777" width="16.140625" style="89" customWidth="1"/>
    <col min="11778" max="11778" width="14.85546875" style="89" customWidth="1"/>
    <col min="11779" max="11779" width="10.42578125" style="89" bestFit="1" customWidth="1"/>
    <col min="11780" max="11780" width="11" style="89" bestFit="1" customWidth="1"/>
    <col min="11781" max="11781" width="14.5703125" style="89" bestFit="1" customWidth="1"/>
    <col min="11782" max="11782" width="11.5703125" style="89" bestFit="1" customWidth="1"/>
    <col min="11783" max="11783" width="13.140625" style="89" bestFit="1" customWidth="1"/>
    <col min="11784" max="11784" width="14.7109375" style="89" bestFit="1" customWidth="1"/>
    <col min="11785" max="11786" width="14.140625" style="89" bestFit="1" customWidth="1"/>
    <col min="11787" max="11787" width="18" style="89" bestFit="1" customWidth="1"/>
    <col min="11788" max="11788" width="17.140625" style="89" customWidth="1"/>
    <col min="11789" max="11789" width="6.7109375" style="89" customWidth="1"/>
    <col min="11790" max="11790" width="15" style="89" customWidth="1"/>
    <col min="11791" max="11791" width="7.7109375" style="89" customWidth="1"/>
    <col min="11792" max="11792" width="9.140625" style="89" customWidth="1"/>
    <col min="11793" max="11796" width="14.28515625" style="89" customWidth="1"/>
    <col min="11797" max="11797" width="15.5703125" style="89" customWidth="1"/>
    <col min="11798" max="11804" width="11.42578125" style="89"/>
    <col min="11805" max="11807" width="11.5703125" style="89" bestFit="1" customWidth="1"/>
    <col min="11808" max="11817" width="12.5703125" style="89" bestFit="1" customWidth="1"/>
    <col min="11818" max="12032" width="11.42578125" style="89"/>
    <col min="12033" max="12033" width="16.140625" style="89" customWidth="1"/>
    <col min="12034" max="12034" width="14.85546875" style="89" customWidth="1"/>
    <col min="12035" max="12035" width="10.42578125" style="89" bestFit="1" customWidth="1"/>
    <col min="12036" max="12036" width="11" style="89" bestFit="1" customWidth="1"/>
    <col min="12037" max="12037" width="14.5703125" style="89" bestFit="1" customWidth="1"/>
    <col min="12038" max="12038" width="11.5703125" style="89" bestFit="1" customWidth="1"/>
    <col min="12039" max="12039" width="13.140625" style="89" bestFit="1" customWidth="1"/>
    <col min="12040" max="12040" width="14.7109375" style="89" bestFit="1" customWidth="1"/>
    <col min="12041" max="12042" width="14.140625" style="89" bestFit="1" customWidth="1"/>
    <col min="12043" max="12043" width="18" style="89" bestFit="1" customWidth="1"/>
    <col min="12044" max="12044" width="17.140625" style="89" customWidth="1"/>
    <col min="12045" max="12045" width="6.7109375" style="89" customWidth="1"/>
    <col min="12046" max="12046" width="15" style="89" customWidth="1"/>
    <col min="12047" max="12047" width="7.7109375" style="89" customWidth="1"/>
    <col min="12048" max="12048" width="9.140625" style="89" customWidth="1"/>
    <col min="12049" max="12052" width="14.28515625" style="89" customWidth="1"/>
    <col min="12053" max="12053" width="15.5703125" style="89" customWidth="1"/>
    <col min="12054" max="12060" width="11.42578125" style="89"/>
    <col min="12061" max="12063" width="11.5703125" style="89" bestFit="1" customWidth="1"/>
    <col min="12064" max="12073" width="12.5703125" style="89" bestFit="1" customWidth="1"/>
    <col min="12074" max="12288" width="11.42578125" style="89"/>
    <col min="12289" max="12289" width="16.140625" style="89" customWidth="1"/>
    <col min="12290" max="12290" width="14.85546875" style="89" customWidth="1"/>
    <col min="12291" max="12291" width="10.42578125" style="89" bestFit="1" customWidth="1"/>
    <col min="12292" max="12292" width="11" style="89" bestFit="1" customWidth="1"/>
    <col min="12293" max="12293" width="14.5703125" style="89" bestFit="1" customWidth="1"/>
    <col min="12294" max="12294" width="11.5703125" style="89" bestFit="1" customWidth="1"/>
    <col min="12295" max="12295" width="13.140625" style="89" bestFit="1" customWidth="1"/>
    <col min="12296" max="12296" width="14.7109375" style="89" bestFit="1" customWidth="1"/>
    <col min="12297" max="12298" width="14.140625" style="89" bestFit="1" customWidth="1"/>
    <col min="12299" max="12299" width="18" style="89" bestFit="1" customWidth="1"/>
    <col min="12300" max="12300" width="17.140625" style="89" customWidth="1"/>
    <col min="12301" max="12301" width="6.7109375" style="89" customWidth="1"/>
    <col min="12302" max="12302" width="15" style="89" customWidth="1"/>
    <col min="12303" max="12303" width="7.7109375" style="89" customWidth="1"/>
    <col min="12304" max="12304" width="9.140625" style="89" customWidth="1"/>
    <col min="12305" max="12308" width="14.28515625" style="89" customWidth="1"/>
    <col min="12309" max="12309" width="15.5703125" style="89" customWidth="1"/>
    <col min="12310" max="12316" width="11.42578125" style="89"/>
    <col min="12317" max="12319" width="11.5703125" style="89" bestFit="1" customWidth="1"/>
    <col min="12320" max="12329" width="12.5703125" style="89" bestFit="1" customWidth="1"/>
    <col min="12330" max="12544" width="11.42578125" style="89"/>
    <col min="12545" max="12545" width="16.140625" style="89" customWidth="1"/>
    <col min="12546" max="12546" width="14.85546875" style="89" customWidth="1"/>
    <col min="12547" max="12547" width="10.42578125" style="89" bestFit="1" customWidth="1"/>
    <col min="12548" max="12548" width="11" style="89" bestFit="1" customWidth="1"/>
    <col min="12549" max="12549" width="14.5703125" style="89" bestFit="1" customWidth="1"/>
    <col min="12550" max="12550" width="11.5703125" style="89" bestFit="1" customWidth="1"/>
    <col min="12551" max="12551" width="13.140625" style="89" bestFit="1" customWidth="1"/>
    <col min="12552" max="12552" width="14.7109375" style="89" bestFit="1" customWidth="1"/>
    <col min="12553" max="12554" width="14.140625" style="89" bestFit="1" customWidth="1"/>
    <col min="12555" max="12555" width="18" style="89" bestFit="1" customWidth="1"/>
    <col min="12556" max="12556" width="17.140625" style="89" customWidth="1"/>
    <col min="12557" max="12557" width="6.7109375" style="89" customWidth="1"/>
    <col min="12558" max="12558" width="15" style="89" customWidth="1"/>
    <col min="12559" max="12559" width="7.7109375" style="89" customWidth="1"/>
    <col min="12560" max="12560" width="9.140625" style="89" customWidth="1"/>
    <col min="12561" max="12564" width="14.28515625" style="89" customWidth="1"/>
    <col min="12565" max="12565" width="15.5703125" style="89" customWidth="1"/>
    <col min="12566" max="12572" width="11.42578125" style="89"/>
    <col min="12573" max="12575" width="11.5703125" style="89" bestFit="1" customWidth="1"/>
    <col min="12576" max="12585" width="12.5703125" style="89" bestFit="1" customWidth="1"/>
    <col min="12586" max="12800" width="11.42578125" style="89"/>
    <col min="12801" max="12801" width="16.140625" style="89" customWidth="1"/>
    <col min="12802" max="12802" width="14.85546875" style="89" customWidth="1"/>
    <col min="12803" max="12803" width="10.42578125" style="89" bestFit="1" customWidth="1"/>
    <col min="12804" max="12804" width="11" style="89" bestFit="1" customWidth="1"/>
    <col min="12805" max="12805" width="14.5703125" style="89" bestFit="1" customWidth="1"/>
    <col min="12806" max="12806" width="11.5703125" style="89" bestFit="1" customWidth="1"/>
    <col min="12807" max="12807" width="13.140625" style="89" bestFit="1" customWidth="1"/>
    <col min="12808" max="12808" width="14.7109375" style="89" bestFit="1" customWidth="1"/>
    <col min="12809" max="12810" width="14.140625" style="89" bestFit="1" customWidth="1"/>
    <col min="12811" max="12811" width="18" style="89" bestFit="1" customWidth="1"/>
    <col min="12812" max="12812" width="17.140625" style="89" customWidth="1"/>
    <col min="12813" max="12813" width="6.7109375" style="89" customWidth="1"/>
    <col min="12814" max="12814" width="15" style="89" customWidth="1"/>
    <col min="12815" max="12815" width="7.7109375" style="89" customWidth="1"/>
    <col min="12816" max="12816" width="9.140625" style="89" customWidth="1"/>
    <col min="12817" max="12820" width="14.28515625" style="89" customWidth="1"/>
    <col min="12821" max="12821" width="15.5703125" style="89" customWidth="1"/>
    <col min="12822" max="12828" width="11.42578125" style="89"/>
    <col min="12829" max="12831" width="11.5703125" style="89" bestFit="1" customWidth="1"/>
    <col min="12832" max="12841" width="12.5703125" style="89" bestFit="1" customWidth="1"/>
    <col min="12842" max="13056" width="11.42578125" style="89"/>
    <col min="13057" max="13057" width="16.140625" style="89" customWidth="1"/>
    <col min="13058" max="13058" width="14.85546875" style="89" customWidth="1"/>
    <col min="13059" max="13059" width="10.42578125" style="89" bestFit="1" customWidth="1"/>
    <col min="13060" max="13060" width="11" style="89" bestFit="1" customWidth="1"/>
    <col min="13061" max="13061" width="14.5703125" style="89" bestFit="1" customWidth="1"/>
    <col min="13062" max="13062" width="11.5703125" style="89" bestFit="1" customWidth="1"/>
    <col min="13063" max="13063" width="13.140625" style="89" bestFit="1" customWidth="1"/>
    <col min="13064" max="13064" width="14.7109375" style="89" bestFit="1" customWidth="1"/>
    <col min="13065" max="13066" width="14.140625" style="89" bestFit="1" customWidth="1"/>
    <col min="13067" max="13067" width="18" style="89" bestFit="1" customWidth="1"/>
    <col min="13068" max="13068" width="17.140625" style="89" customWidth="1"/>
    <col min="13069" max="13069" width="6.7109375" style="89" customWidth="1"/>
    <col min="13070" max="13070" width="15" style="89" customWidth="1"/>
    <col min="13071" max="13071" width="7.7109375" style="89" customWidth="1"/>
    <col min="13072" max="13072" width="9.140625" style="89" customWidth="1"/>
    <col min="13073" max="13076" width="14.28515625" style="89" customWidth="1"/>
    <col min="13077" max="13077" width="15.5703125" style="89" customWidth="1"/>
    <col min="13078" max="13084" width="11.42578125" style="89"/>
    <col min="13085" max="13087" width="11.5703125" style="89" bestFit="1" customWidth="1"/>
    <col min="13088" max="13097" width="12.5703125" style="89" bestFit="1" customWidth="1"/>
    <col min="13098" max="13312" width="11.42578125" style="89"/>
    <col min="13313" max="13313" width="16.140625" style="89" customWidth="1"/>
    <col min="13314" max="13314" width="14.85546875" style="89" customWidth="1"/>
    <col min="13315" max="13315" width="10.42578125" style="89" bestFit="1" customWidth="1"/>
    <col min="13316" max="13316" width="11" style="89" bestFit="1" customWidth="1"/>
    <col min="13317" max="13317" width="14.5703125" style="89" bestFit="1" customWidth="1"/>
    <col min="13318" max="13318" width="11.5703125" style="89" bestFit="1" customWidth="1"/>
    <col min="13319" max="13319" width="13.140625" style="89" bestFit="1" customWidth="1"/>
    <col min="13320" max="13320" width="14.7109375" style="89" bestFit="1" customWidth="1"/>
    <col min="13321" max="13322" width="14.140625" style="89" bestFit="1" customWidth="1"/>
    <col min="13323" max="13323" width="18" style="89" bestFit="1" customWidth="1"/>
    <col min="13324" max="13324" width="17.140625" style="89" customWidth="1"/>
    <col min="13325" max="13325" width="6.7109375" style="89" customWidth="1"/>
    <col min="13326" max="13326" width="15" style="89" customWidth="1"/>
    <col min="13327" max="13327" width="7.7109375" style="89" customWidth="1"/>
    <col min="13328" max="13328" width="9.140625" style="89" customWidth="1"/>
    <col min="13329" max="13332" width="14.28515625" style="89" customWidth="1"/>
    <col min="13333" max="13333" width="15.5703125" style="89" customWidth="1"/>
    <col min="13334" max="13340" width="11.42578125" style="89"/>
    <col min="13341" max="13343" width="11.5703125" style="89" bestFit="1" customWidth="1"/>
    <col min="13344" max="13353" width="12.5703125" style="89" bestFit="1" customWidth="1"/>
    <col min="13354" max="13568" width="11.42578125" style="89"/>
    <col min="13569" max="13569" width="16.140625" style="89" customWidth="1"/>
    <col min="13570" max="13570" width="14.85546875" style="89" customWidth="1"/>
    <col min="13571" max="13571" width="10.42578125" style="89" bestFit="1" customWidth="1"/>
    <col min="13572" max="13572" width="11" style="89" bestFit="1" customWidth="1"/>
    <col min="13573" max="13573" width="14.5703125" style="89" bestFit="1" customWidth="1"/>
    <col min="13574" max="13574" width="11.5703125" style="89" bestFit="1" customWidth="1"/>
    <col min="13575" max="13575" width="13.140625" style="89" bestFit="1" customWidth="1"/>
    <col min="13576" max="13576" width="14.7109375" style="89" bestFit="1" customWidth="1"/>
    <col min="13577" max="13578" width="14.140625" style="89" bestFit="1" customWidth="1"/>
    <col min="13579" max="13579" width="18" style="89" bestFit="1" customWidth="1"/>
    <col min="13580" max="13580" width="17.140625" style="89" customWidth="1"/>
    <col min="13581" max="13581" width="6.7109375" style="89" customWidth="1"/>
    <col min="13582" max="13582" width="15" style="89" customWidth="1"/>
    <col min="13583" max="13583" width="7.7109375" style="89" customWidth="1"/>
    <col min="13584" max="13584" width="9.140625" style="89" customWidth="1"/>
    <col min="13585" max="13588" width="14.28515625" style="89" customWidth="1"/>
    <col min="13589" max="13589" width="15.5703125" style="89" customWidth="1"/>
    <col min="13590" max="13596" width="11.42578125" style="89"/>
    <col min="13597" max="13599" width="11.5703125" style="89" bestFit="1" customWidth="1"/>
    <col min="13600" max="13609" width="12.5703125" style="89" bestFit="1" customWidth="1"/>
    <col min="13610" max="13824" width="11.42578125" style="89"/>
    <col min="13825" max="13825" width="16.140625" style="89" customWidth="1"/>
    <col min="13826" max="13826" width="14.85546875" style="89" customWidth="1"/>
    <col min="13827" max="13827" width="10.42578125" style="89" bestFit="1" customWidth="1"/>
    <col min="13828" max="13828" width="11" style="89" bestFit="1" customWidth="1"/>
    <col min="13829" max="13829" width="14.5703125" style="89" bestFit="1" customWidth="1"/>
    <col min="13830" max="13830" width="11.5703125" style="89" bestFit="1" customWidth="1"/>
    <col min="13831" max="13831" width="13.140625" style="89" bestFit="1" customWidth="1"/>
    <col min="13832" max="13832" width="14.7109375" style="89" bestFit="1" customWidth="1"/>
    <col min="13833" max="13834" width="14.140625" style="89" bestFit="1" customWidth="1"/>
    <col min="13835" max="13835" width="18" style="89" bestFit="1" customWidth="1"/>
    <col min="13836" max="13836" width="17.140625" style="89" customWidth="1"/>
    <col min="13837" max="13837" width="6.7109375" style="89" customWidth="1"/>
    <col min="13838" max="13838" width="15" style="89" customWidth="1"/>
    <col min="13839" max="13839" width="7.7109375" style="89" customWidth="1"/>
    <col min="13840" max="13840" width="9.140625" style="89" customWidth="1"/>
    <col min="13841" max="13844" width="14.28515625" style="89" customWidth="1"/>
    <col min="13845" max="13845" width="15.5703125" style="89" customWidth="1"/>
    <col min="13846" max="13852" width="11.42578125" style="89"/>
    <col min="13853" max="13855" width="11.5703125" style="89" bestFit="1" customWidth="1"/>
    <col min="13856" max="13865" width="12.5703125" style="89" bestFit="1" customWidth="1"/>
    <col min="13866" max="14080" width="11.42578125" style="89"/>
    <col min="14081" max="14081" width="16.140625" style="89" customWidth="1"/>
    <col min="14082" max="14082" width="14.85546875" style="89" customWidth="1"/>
    <col min="14083" max="14083" width="10.42578125" style="89" bestFit="1" customWidth="1"/>
    <col min="14084" max="14084" width="11" style="89" bestFit="1" customWidth="1"/>
    <col min="14085" max="14085" width="14.5703125" style="89" bestFit="1" customWidth="1"/>
    <col min="14086" max="14086" width="11.5703125" style="89" bestFit="1" customWidth="1"/>
    <col min="14087" max="14087" width="13.140625" style="89" bestFit="1" customWidth="1"/>
    <col min="14088" max="14088" width="14.7109375" style="89" bestFit="1" customWidth="1"/>
    <col min="14089" max="14090" width="14.140625" style="89" bestFit="1" customWidth="1"/>
    <col min="14091" max="14091" width="18" style="89" bestFit="1" customWidth="1"/>
    <col min="14092" max="14092" width="17.140625" style="89" customWidth="1"/>
    <col min="14093" max="14093" width="6.7109375" style="89" customWidth="1"/>
    <col min="14094" max="14094" width="15" style="89" customWidth="1"/>
    <col min="14095" max="14095" width="7.7109375" style="89" customWidth="1"/>
    <col min="14096" max="14096" width="9.140625" style="89" customWidth="1"/>
    <col min="14097" max="14100" width="14.28515625" style="89" customWidth="1"/>
    <col min="14101" max="14101" width="15.5703125" style="89" customWidth="1"/>
    <col min="14102" max="14108" width="11.42578125" style="89"/>
    <col min="14109" max="14111" width="11.5703125" style="89" bestFit="1" customWidth="1"/>
    <col min="14112" max="14121" width="12.5703125" style="89" bestFit="1" customWidth="1"/>
    <col min="14122" max="14336" width="11.42578125" style="89"/>
    <col min="14337" max="14337" width="16.140625" style="89" customWidth="1"/>
    <col min="14338" max="14338" width="14.85546875" style="89" customWidth="1"/>
    <col min="14339" max="14339" width="10.42578125" style="89" bestFit="1" customWidth="1"/>
    <col min="14340" max="14340" width="11" style="89" bestFit="1" customWidth="1"/>
    <col min="14341" max="14341" width="14.5703125" style="89" bestFit="1" customWidth="1"/>
    <col min="14342" max="14342" width="11.5703125" style="89" bestFit="1" customWidth="1"/>
    <col min="14343" max="14343" width="13.140625" style="89" bestFit="1" customWidth="1"/>
    <col min="14344" max="14344" width="14.7109375" style="89" bestFit="1" customWidth="1"/>
    <col min="14345" max="14346" width="14.140625" style="89" bestFit="1" customWidth="1"/>
    <col min="14347" max="14347" width="18" style="89" bestFit="1" customWidth="1"/>
    <col min="14348" max="14348" width="17.140625" style="89" customWidth="1"/>
    <col min="14349" max="14349" width="6.7109375" style="89" customWidth="1"/>
    <col min="14350" max="14350" width="15" style="89" customWidth="1"/>
    <col min="14351" max="14351" width="7.7109375" style="89" customWidth="1"/>
    <col min="14352" max="14352" width="9.140625" style="89" customWidth="1"/>
    <col min="14353" max="14356" width="14.28515625" style="89" customWidth="1"/>
    <col min="14357" max="14357" width="15.5703125" style="89" customWidth="1"/>
    <col min="14358" max="14364" width="11.42578125" style="89"/>
    <col min="14365" max="14367" width="11.5703125" style="89" bestFit="1" customWidth="1"/>
    <col min="14368" max="14377" width="12.5703125" style="89" bestFit="1" customWidth="1"/>
    <col min="14378" max="14592" width="11.42578125" style="89"/>
    <col min="14593" max="14593" width="16.140625" style="89" customWidth="1"/>
    <col min="14594" max="14594" width="14.85546875" style="89" customWidth="1"/>
    <col min="14595" max="14595" width="10.42578125" style="89" bestFit="1" customWidth="1"/>
    <col min="14596" max="14596" width="11" style="89" bestFit="1" customWidth="1"/>
    <col min="14597" max="14597" width="14.5703125" style="89" bestFit="1" customWidth="1"/>
    <col min="14598" max="14598" width="11.5703125" style="89" bestFit="1" customWidth="1"/>
    <col min="14599" max="14599" width="13.140625" style="89" bestFit="1" customWidth="1"/>
    <col min="14600" max="14600" width="14.7109375" style="89" bestFit="1" customWidth="1"/>
    <col min="14601" max="14602" width="14.140625" style="89" bestFit="1" customWidth="1"/>
    <col min="14603" max="14603" width="18" style="89" bestFit="1" customWidth="1"/>
    <col min="14604" max="14604" width="17.140625" style="89" customWidth="1"/>
    <col min="14605" max="14605" width="6.7109375" style="89" customWidth="1"/>
    <col min="14606" max="14606" width="15" style="89" customWidth="1"/>
    <col min="14607" max="14607" width="7.7109375" style="89" customWidth="1"/>
    <col min="14608" max="14608" width="9.140625" style="89" customWidth="1"/>
    <col min="14609" max="14612" width="14.28515625" style="89" customWidth="1"/>
    <col min="14613" max="14613" width="15.5703125" style="89" customWidth="1"/>
    <col min="14614" max="14620" width="11.42578125" style="89"/>
    <col min="14621" max="14623" width="11.5703125" style="89" bestFit="1" customWidth="1"/>
    <col min="14624" max="14633" width="12.5703125" style="89" bestFit="1" customWidth="1"/>
    <col min="14634" max="14848" width="11.42578125" style="89"/>
    <col min="14849" max="14849" width="16.140625" style="89" customWidth="1"/>
    <col min="14850" max="14850" width="14.85546875" style="89" customWidth="1"/>
    <col min="14851" max="14851" width="10.42578125" style="89" bestFit="1" customWidth="1"/>
    <col min="14852" max="14852" width="11" style="89" bestFit="1" customWidth="1"/>
    <col min="14853" max="14853" width="14.5703125" style="89" bestFit="1" customWidth="1"/>
    <col min="14854" max="14854" width="11.5703125" style="89" bestFit="1" customWidth="1"/>
    <col min="14855" max="14855" width="13.140625" style="89" bestFit="1" customWidth="1"/>
    <col min="14856" max="14856" width="14.7109375" style="89" bestFit="1" customWidth="1"/>
    <col min="14857" max="14858" width="14.140625" style="89" bestFit="1" customWidth="1"/>
    <col min="14859" max="14859" width="18" style="89" bestFit="1" customWidth="1"/>
    <col min="14860" max="14860" width="17.140625" style="89" customWidth="1"/>
    <col min="14861" max="14861" width="6.7109375" style="89" customWidth="1"/>
    <col min="14862" max="14862" width="15" style="89" customWidth="1"/>
    <col min="14863" max="14863" width="7.7109375" style="89" customWidth="1"/>
    <col min="14864" max="14864" width="9.140625" style="89" customWidth="1"/>
    <col min="14865" max="14868" width="14.28515625" style="89" customWidth="1"/>
    <col min="14869" max="14869" width="15.5703125" style="89" customWidth="1"/>
    <col min="14870" max="14876" width="11.42578125" style="89"/>
    <col min="14877" max="14879" width="11.5703125" style="89" bestFit="1" customWidth="1"/>
    <col min="14880" max="14889" width="12.5703125" style="89" bestFit="1" customWidth="1"/>
    <col min="14890" max="15104" width="11.42578125" style="89"/>
    <col min="15105" max="15105" width="16.140625" style="89" customWidth="1"/>
    <col min="15106" max="15106" width="14.85546875" style="89" customWidth="1"/>
    <col min="15107" max="15107" width="10.42578125" style="89" bestFit="1" customWidth="1"/>
    <col min="15108" max="15108" width="11" style="89" bestFit="1" customWidth="1"/>
    <col min="15109" max="15109" width="14.5703125" style="89" bestFit="1" customWidth="1"/>
    <col min="15110" max="15110" width="11.5703125" style="89" bestFit="1" customWidth="1"/>
    <col min="15111" max="15111" width="13.140625" style="89" bestFit="1" customWidth="1"/>
    <col min="15112" max="15112" width="14.7109375" style="89" bestFit="1" customWidth="1"/>
    <col min="15113" max="15114" width="14.140625" style="89" bestFit="1" customWidth="1"/>
    <col min="15115" max="15115" width="18" style="89" bestFit="1" customWidth="1"/>
    <col min="15116" max="15116" width="17.140625" style="89" customWidth="1"/>
    <col min="15117" max="15117" width="6.7109375" style="89" customWidth="1"/>
    <col min="15118" max="15118" width="15" style="89" customWidth="1"/>
    <col min="15119" max="15119" width="7.7109375" style="89" customWidth="1"/>
    <col min="15120" max="15120" width="9.140625" style="89" customWidth="1"/>
    <col min="15121" max="15124" width="14.28515625" style="89" customWidth="1"/>
    <col min="15125" max="15125" width="15.5703125" style="89" customWidth="1"/>
    <col min="15126" max="15132" width="11.42578125" style="89"/>
    <col min="15133" max="15135" width="11.5703125" style="89" bestFit="1" customWidth="1"/>
    <col min="15136" max="15145" width="12.5703125" style="89" bestFit="1" customWidth="1"/>
    <col min="15146" max="15360" width="11.42578125" style="89"/>
    <col min="15361" max="15361" width="16.140625" style="89" customWidth="1"/>
    <col min="15362" max="15362" width="14.85546875" style="89" customWidth="1"/>
    <col min="15363" max="15363" width="10.42578125" style="89" bestFit="1" customWidth="1"/>
    <col min="15364" max="15364" width="11" style="89" bestFit="1" customWidth="1"/>
    <col min="15365" max="15365" width="14.5703125" style="89" bestFit="1" customWidth="1"/>
    <col min="15366" max="15366" width="11.5703125" style="89" bestFit="1" customWidth="1"/>
    <col min="15367" max="15367" width="13.140625" style="89" bestFit="1" customWidth="1"/>
    <col min="15368" max="15368" width="14.7109375" style="89" bestFit="1" customWidth="1"/>
    <col min="15369" max="15370" width="14.140625" style="89" bestFit="1" customWidth="1"/>
    <col min="15371" max="15371" width="18" style="89" bestFit="1" customWidth="1"/>
    <col min="15372" max="15372" width="17.140625" style="89" customWidth="1"/>
    <col min="15373" max="15373" width="6.7109375" style="89" customWidth="1"/>
    <col min="15374" max="15374" width="15" style="89" customWidth="1"/>
    <col min="15375" max="15375" width="7.7109375" style="89" customWidth="1"/>
    <col min="15376" max="15376" width="9.140625" style="89" customWidth="1"/>
    <col min="15377" max="15380" width="14.28515625" style="89" customWidth="1"/>
    <col min="15381" max="15381" width="15.5703125" style="89" customWidth="1"/>
    <col min="15382" max="15388" width="11.42578125" style="89"/>
    <col min="15389" max="15391" width="11.5703125" style="89" bestFit="1" customWidth="1"/>
    <col min="15392" max="15401" width="12.5703125" style="89" bestFit="1" customWidth="1"/>
    <col min="15402" max="15616" width="11.42578125" style="89"/>
    <col min="15617" max="15617" width="16.140625" style="89" customWidth="1"/>
    <col min="15618" max="15618" width="14.85546875" style="89" customWidth="1"/>
    <col min="15619" max="15619" width="10.42578125" style="89" bestFit="1" customWidth="1"/>
    <col min="15620" max="15620" width="11" style="89" bestFit="1" customWidth="1"/>
    <col min="15621" max="15621" width="14.5703125" style="89" bestFit="1" customWidth="1"/>
    <col min="15622" max="15622" width="11.5703125" style="89" bestFit="1" customWidth="1"/>
    <col min="15623" max="15623" width="13.140625" style="89" bestFit="1" customWidth="1"/>
    <col min="15624" max="15624" width="14.7109375" style="89" bestFit="1" customWidth="1"/>
    <col min="15625" max="15626" width="14.140625" style="89" bestFit="1" customWidth="1"/>
    <col min="15627" max="15627" width="18" style="89" bestFit="1" customWidth="1"/>
    <col min="15628" max="15628" width="17.140625" style="89" customWidth="1"/>
    <col min="15629" max="15629" width="6.7109375" style="89" customWidth="1"/>
    <col min="15630" max="15630" width="15" style="89" customWidth="1"/>
    <col min="15631" max="15631" width="7.7109375" style="89" customWidth="1"/>
    <col min="15632" max="15632" width="9.140625" style="89" customWidth="1"/>
    <col min="15633" max="15636" width="14.28515625" style="89" customWidth="1"/>
    <col min="15637" max="15637" width="15.5703125" style="89" customWidth="1"/>
    <col min="15638" max="15644" width="11.42578125" style="89"/>
    <col min="15645" max="15647" width="11.5703125" style="89" bestFit="1" customWidth="1"/>
    <col min="15648" max="15657" width="12.5703125" style="89" bestFit="1" customWidth="1"/>
    <col min="15658" max="15872" width="11.42578125" style="89"/>
    <col min="15873" max="15873" width="16.140625" style="89" customWidth="1"/>
    <col min="15874" max="15874" width="14.85546875" style="89" customWidth="1"/>
    <col min="15875" max="15875" width="10.42578125" style="89" bestFit="1" customWidth="1"/>
    <col min="15876" max="15876" width="11" style="89" bestFit="1" customWidth="1"/>
    <col min="15877" max="15877" width="14.5703125" style="89" bestFit="1" customWidth="1"/>
    <col min="15878" max="15878" width="11.5703125" style="89" bestFit="1" customWidth="1"/>
    <col min="15879" max="15879" width="13.140625" style="89" bestFit="1" customWidth="1"/>
    <col min="15880" max="15880" width="14.7109375" style="89" bestFit="1" customWidth="1"/>
    <col min="15881" max="15882" width="14.140625" style="89" bestFit="1" customWidth="1"/>
    <col min="15883" max="15883" width="18" style="89" bestFit="1" customWidth="1"/>
    <col min="15884" max="15884" width="17.140625" style="89" customWidth="1"/>
    <col min="15885" max="15885" width="6.7109375" style="89" customWidth="1"/>
    <col min="15886" max="15886" width="15" style="89" customWidth="1"/>
    <col min="15887" max="15887" width="7.7109375" style="89" customWidth="1"/>
    <col min="15888" max="15888" width="9.140625" style="89" customWidth="1"/>
    <col min="15889" max="15892" width="14.28515625" style="89" customWidth="1"/>
    <col min="15893" max="15893" width="15.5703125" style="89" customWidth="1"/>
    <col min="15894" max="15900" width="11.42578125" style="89"/>
    <col min="15901" max="15903" width="11.5703125" style="89" bestFit="1" customWidth="1"/>
    <col min="15904" max="15913" width="12.5703125" style="89" bestFit="1" customWidth="1"/>
    <col min="15914" max="16128" width="11.42578125" style="89"/>
    <col min="16129" max="16129" width="16.140625" style="89" customWidth="1"/>
    <col min="16130" max="16130" width="14.85546875" style="89" customWidth="1"/>
    <col min="16131" max="16131" width="10.42578125" style="89" bestFit="1" customWidth="1"/>
    <col min="16132" max="16132" width="11" style="89" bestFit="1" customWidth="1"/>
    <col min="16133" max="16133" width="14.5703125" style="89" bestFit="1" customWidth="1"/>
    <col min="16134" max="16134" width="11.5703125" style="89" bestFit="1" customWidth="1"/>
    <col min="16135" max="16135" width="13.140625" style="89" bestFit="1" customWidth="1"/>
    <col min="16136" max="16136" width="14.7109375" style="89" bestFit="1" customWidth="1"/>
    <col min="16137" max="16138" width="14.140625" style="89" bestFit="1" customWidth="1"/>
    <col min="16139" max="16139" width="18" style="89" bestFit="1" customWidth="1"/>
    <col min="16140" max="16140" width="17.140625" style="89" customWidth="1"/>
    <col min="16141" max="16141" width="6.7109375" style="89" customWidth="1"/>
    <col min="16142" max="16142" width="15" style="89" customWidth="1"/>
    <col min="16143" max="16143" width="7.7109375" style="89" customWidth="1"/>
    <col min="16144" max="16144" width="9.140625" style="89" customWidth="1"/>
    <col min="16145" max="16148" width="14.28515625" style="89" customWidth="1"/>
    <col min="16149" max="16149" width="15.5703125" style="89" customWidth="1"/>
    <col min="16150" max="16156" width="11.42578125" style="89"/>
    <col min="16157" max="16159" width="11.5703125" style="89" bestFit="1" customWidth="1"/>
    <col min="16160" max="16169" width="12.5703125" style="89" bestFit="1" customWidth="1"/>
    <col min="16170" max="16384" width="11.42578125" style="89"/>
  </cols>
  <sheetData>
    <row r="1" spans="1:41" ht="18.75" x14ac:dyDescent="0.3">
      <c r="E1" s="263" t="s">
        <v>33</v>
      </c>
      <c r="F1" s="263"/>
      <c r="G1" s="263"/>
      <c r="H1" s="263"/>
      <c r="I1" s="90"/>
      <c r="K1" s="264" t="s">
        <v>34</v>
      </c>
      <c r="L1" s="264"/>
      <c r="M1" s="264"/>
      <c r="N1" s="264"/>
      <c r="O1" s="264"/>
      <c r="P1" s="264"/>
    </row>
    <row r="2" spans="1:41" ht="18.75" x14ac:dyDescent="0.3">
      <c r="B2" s="265" t="s">
        <v>35</v>
      </c>
      <c r="C2" s="265"/>
      <c r="D2" s="265"/>
      <c r="E2" s="266" t="s">
        <v>36</v>
      </c>
      <c r="F2" s="266"/>
      <c r="G2" s="266"/>
      <c r="H2" s="91" t="s">
        <v>37</v>
      </c>
      <c r="I2" s="267" t="s">
        <v>38</v>
      </c>
      <c r="J2" s="267"/>
      <c r="K2" s="92" t="s">
        <v>39</v>
      </c>
      <c r="L2" s="268" t="s">
        <v>40</v>
      </c>
      <c r="M2" s="268"/>
      <c r="N2" s="269">
        <v>44196</v>
      </c>
      <c r="O2" s="268"/>
      <c r="P2" s="268"/>
      <c r="Q2" s="261" t="s">
        <v>41</v>
      </c>
      <c r="R2" s="261"/>
      <c r="S2" s="261"/>
      <c r="T2" s="262"/>
    </row>
    <row r="3" spans="1:41" ht="60" x14ac:dyDescent="0.25">
      <c r="A3" s="93"/>
      <c r="B3" s="94" t="s">
        <v>42</v>
      </c>
      <c r="C3" s="94" t="s">
        <v>43</v>
      </c>
      <c r="D3" s="94" t="s">
        <v>44</v>
      </c>
      <c r="E3" s="95" t="s">
        <v>45</v>
      </c>
      <c r="F3" s="95" t="s">
        <v>46</v>
      </c>
      <c r="G3" s="95" t="s">
        <v>47</v>
      </c>
      <c r="H3" s="95" t="s">
        <v>48</v>
      </c>
      <c r="I3" s="96" t="s">
        <v>49</v>
      </c>
      <c r="J3" s="96" t="s">
        <v>50</v>
      </c>
      <c r="K3" s="97" t="s">
        <v>51</v>
      </c>
      <c r="L3" s="97" t="s">
        <v>52</v>
      </c>
      <c r="M3" s="97" t="s">
        <v>53</v>
      </c>
      <c r="N3" s="97" t="s">
        <v>54</v>
      </c>
      <c r="O3" s="97" t="s">
        <v>53</v>
      </c>
      <c r="P3" s="97" t="s">
        <v>55</v>
      </c>
      <c r="Q3" s="98" t="s">
        <v>56</v>
      </c>
      <c r="R3" s="98" t="s">
        <v>57</v>
      </c>
      <c r="S3" s="98" t="s">
        <v>58</v>
      </c>
      <c r="T3" s="98" t="s">
        <v>59</v>
      </c>
      <c r="U3" s="93" t="s">
        <v>60</v>
      </c>
      <c r="V3" s="93" t="s">
        <v>61</v>
      </c>
      <c r="W3" s="93" t="s">
        <v>62</v>
      </c>
      <c r="X3" s="93" t="s">
        <v>63</v>
      </c>
      <c r="Y3" s="93" t="s">
        <v>64</v>
      </c>
      <c r="Z3" s="93" t="s">
        <v>65</v>
      </c>
      <c r="AA3" s="93" t="s">
        <v>66</v>
      </c>
      <c r="AB3" s="93" t="s">
        <v>67</v>
      </c>
      <c r="AC3" s="93" t="s">
        <v>68</v>
      </c>
      <c r="AD3" s="93" t="s">
        <v>69</v>
      </c>
      <c r="AE3" s="93" t="s">
        <v>70</v>
      </c>
      <c r="AF3" s="93" t="s">
        <v>71</v>
      </c>
      <c r="AG3" s="93" t="s">
        <v>72</v>
      </c>
      <c r="AH3" s="93" t="s">
        <v>73</v>
      </c>
      <c r="AI3" s="99" t="s">
        <v>74</v>
      </c>
      <c r="AJ3" s="93" t="s">
        <v>75</v>
      </c>
      <c r="AK3" s="93" t="s">
        <v>76</v>
      </c>
      <c r="AL3" s="93" t="s">
        <v>77</v>
      </c>
      <c r="AM3" s="93" t="s">
        <v>78</v>
      </c>
      <c r="AN3" s="93" t="s">
        <v>79</v>
      </c>
      <c r="AO3" s="93" t="s">
        <v>68</v>
      </c>
    </row>
    <row r="4" spans="1:41" x14ac:dyDescent="0.25">
      <c r="A4" s="100" t="s">
        <v>80</v>
      </c>
      <c r="B4" s="101">
        <f>DELPHINE!D68</f>
        <v>3</v>
      </c>
      <c r="C4" s="101">
        <f>DELPHINE!D80</f>
        <v>0</v>
      </c>
      <c r="D4" s="101">
        <f>DELPHINE!D74</f>
        <v>3</v>
      </c>
      <c r="E4" s="102">
        <f>COUNTIFS(DELPHINE!BB3:BB59,"x",DELPHINE!BB3:BB59,"X")</f>
        <v>2</v>
      </c>
      <c r="F4" s="102">
        <f>E4-G4</f>
        <v>0</v>
      </c>
      <c r="G4" s="102">
        <f>COUNTIFS(DELPHINE!BB3:BB59,"x",DELPHINE!BB3:BB59,"X",DELPHINE!E3:E59,"31/12/2019")</f>
        <v>2</v>
      </c>
      <c r="H4" s="103">
        <f>+B4-E4</f>
        <v>1</v>
      </c>
      <c r="I4" s="104">
        <f>COUNTIFS(DELPHINE!I3:I59,"&lt;&gt;",DELPHINE!BA3:BA59,"",DELPHINE!BB3:BB59,"")</f>
        <v>0</v>
      </c>
      <c r="J4" s="104">
        <f>COUNTIFS(DELPHINE!BA3:BA59,"x",DELPHINE!BB3:BB59,"")</f>
        <v>0</v>
      </c>
      <c r="K4" s="105">
        <f>H4-I4-J4</f>
        <v>1</v>
      </c>
      <c r="L4" s="106">
        <f>DELPHINE!E119+DELPHINE!F119+DELPHINE!G119+DELPHINE!H119+DELPHINE!I119+DELPHINE!J119+DELPHINE!K119+DELPHINE!M119+DELPHINE!N119+DELPHINE!O119+DELPHINE!P119+DELPHINE!Q119+DELPHINE!R119</f>
        <v>0</v>
      </c>
      <c r="M4" s="105">
        <f>DELPHINE!L119</f>
        <v>0</v>
      </c>
      <c r="N4" s="105">
        <f>DELPHINE!E113+DELPHINE!F113+DELPHINE!G113+DELPHINE!H113+DELPHINE!I113+DELPHINE!K113+DELPHINE!M113+DELPHINE!N113+DELPHINE!O113+DELPHINE!P113+DELPHINE!Q113+DELPHINE!R113</f>
        <v>1</v>
      </c>
      <c r="O4" s="105">
        <f>DELPHINE!L113</f>
        <v>0</v>
      </c>
      <c r="P4" s="105">
        <f>DELPHINE!J113</f>
        <v>0</v>
      </c>
      <c r="Q4" s="107" t="e">
        <f t="shared" ref="Q4:R10" si="0">F4/C4</f>
        <v>#DIV/0!</v>
      </c>
      <c r="R4" s="107">
        <f t="shared" si="0"/>
        <v>0.66666666666666663</v>
      </c>
      <c r="S4" s="107">
        <f t="shared" ref="S4:S10" si="1">E4/B4</f>
        <v>0.66666666666666663</v>
      </c>
      <c r="T4" s="107">
        <f t="shared" ref="T4:T10" si="2">(E4+I4)/B4</f>
        <v>0.66666666666666663</v>
      </c>
      <c r="U4" s="108">
        <f>+ROUND(AVERAGE(DELPHINE!$K$3:K100),0)</f>
        <v>0</v>
      </c>
      <c r="V4" s="108">
        <f>COUNTIF(DELPHINE!L3:L77,"OUI")</f>
        <v>0</v>
      </c>
      <c r="W4" s="108">
        <f t="shared" ref="W4:W10" si="3">+ROUND(V4/B4*100,)</f>
        <v>0</v>
      </c>
      <c r="X4" s="108">
        <f>+COUNTIF(DELPHINE!M3:M100,"oui")</f>
        <v>1</v>
      </c>
      <c r="Y4" s="108">
        <f t="shared" ref="Y4:Y10" si="4">+ROUND(X4/B4*100,)</f>
        <v>33</v>
      </c>
      <c r="Z4" s="108">
        <f>+COUNTA(DELPHINE!BC3:BC100)</f>
        <v>1</v>
      </c>
      <c r="AA4" s="109">
        <f t="shared" ref="AA4:AA10" si="5">+ROUND(Z4/B4*100,)/100</f>
        <v>0.33</v>
      </c>
      <c r="AB4" s="108"/>
      <c r="AC4" s="108">
        <f>+COUNTIF(DELPHINE!$K$3:$K$59,6)</f>
        <v>0</v>
      </c>
      <c r="AD4" s="108">
        <f>+COUNTIF(DELPHINE!$K$3:$K$59,7)</f>
        <v>0</v>
      </c>
      <c r="AE4" s="108">
        <f>+COUNTIF(DELPHINE!$K$3:$K$59,8)</f>
        <v>0</v>
      </c>
      <c r="AF4" s="108">
        <f>+COUNTIF(DELPHINE!$K$3:$K$59,9)</f>
        <v>0</v>
      </c>
      <c r="AG4" s="108">
        <f>+COUNTIF(DELPHINE!$K$3:$K$59,10)</f>
        <v>0</v>
      </c>
      <c r="AH4" s="108">
        <f>+COUNTIF(DELPHINE!$K$3:$K$59,11)</f>
        <v>0</v>
      </c>
      <c r="AI4" s="108">
        <f>+COUNTIF(DELPHINE!$K$3:$K$59,12)</f>
        <v>0</v>
      </c>
      <c r="AJ4" s="108">
        <f>+COUNTIF(DELPHINE!$K$3:$K$59,1)</f>
        <v>0</v>
      </c>
      <c r="AK4" s="108">
        <f>+COUNTIF(DELPHINE!$K$3:$K$59,2)</f>
        <v>1</v>
      </c>
      <c r="AL4" s="108">
        <f>+COUNTIF(DELPHINE!$K$3:$K$59,3)</f>
        <v>1</v>
      </c>
      <c r="AM4" s="108">
        <f>+COUNTIF(DELPHINE!$K$3:$K$59,4)</f>
        <v>0</v>
      </c>
      <c r="AN4" s="108">
        <f>+COUNTIF(DELPHINE!$K$3:$K$59,5)</f>
        <v>0</v>
      </c>
      <c r="AO4" s="108"/>
    </row>
    <row r="5" spans="1:41" x14ac:dyDescent="0.25">
      <c r="A5" s="110" t="s">
        <v>81</v>
      </c>
      <c r="B5" s="101">
        <v>42</v>
      </c>
      <c r="C5" s="101">
        <v>16</v>
      </c>
      <c r="D5" s="101">
        <f t="shared" ref="D5:D10" si="6">B5-C5</f>
        <v>26</v>
      </c>
      <c r="E5" s="102" t="e">
        <f t="shared" ref="E5:E10" si="7">+SUM(AB5:AO5)</f>
        <v>#VALUE!</v>
      </c>
      <c r="F5" s="102">
        <v>15</v>
      </c>
      <c r="G5" s="102" t="e">
        <f t="shared" ref="G5:G11" si="8">E5-F5</f>
        <v>#VALUE!</v>
      </c>
      <c r="H5" s="103" t="e">
        <f t="shared" ref="H5:H10" si="9">+B5-E5</f>
        <v>#VALUE!</v>
      </c>
      <c r="I5" s="104">
        <v>0</v>
      </c>
      <c r="J5" s="104">
        <v>0</v>
      </c>
      <c r="K5" s="105" t="e">
        <f t="shared" ref="K5:K11" si="10">H5-I5-J5</f>
        <v>#VALUE!</v>
      </c>
      <c r="L5" s="105">
        <v>1</v>
      </c>
      <c r="M5" s="105"/>
      <c r="N5" s="105">
        <v>11</v>
      </c>
      <c r="O5" s="105">
        <v>6</v>
      </c>
      <c r="P5" s="105">
        <v>0</v>
      </c>
      <c r="Q5" s="107">
        <f t="shared" si="0"/>
        <v>0.9375</v>
      </c>
      <c r="R5" s="107" t="e">
        <f t="shared" si="0"/>
        <v>#VALUE!</v>
      </c>
      <c r="S5" s="107" t="e">
        <f t="shared" si="1"/>
        <v>#VALUE!</v>
      </c>
      <c r="T5" s="107" t="e">
        <f t="shared" si="2"/>
        <v>#VALUE!</v>
      </c>
      <c r="U5" s="108">
        <v>85</v>
      </c>
      <c r="V5" s="108" t="e">
        <v>#VALUE!</v>
      </c>
      <c r="W5" s="108" t="e">
        <f t="shared" si="3"/>
        <v>#VALUE!</v>
      </c>
      <c r="X5" s="108" t="e">
        <v>#VALUE!</v>
      </c>
      <c r="Y5" s="108" t="e">
        <f t="shared" si="4"/>
        <v>#VALUE!</v>
      </c>
      <c r="Z5" s="108">
        <v>3</v>
      </c>
      <c r="AA5" s="109">
        <f t="shared" si="5"/>
        <v>7.0000000000000007E-2</v>
      </c>
      <c r="AB5" s="108"/>
      <c r="AC5" s="108" t="e">
        <v>#VALUE!</v>
      </c>
      <c r="AD5" s="108" t="e">
        <v>#VALUE!</v>
      </c>
      <c r="AE5" s="108" t="e">
        <v>#VALUE!</v>
      </c>
      <c r="AF5" s="108" t="e">
        <v>#VALUE!</v>
      </c>
      <c r="AG5" s="108" t="e">
        <v>#VALUE!</v>
      </c>
      <c r="AH5" s="108" t="e">
        <v>#VALUE!</v>
      </c>
      <c r="AI5" s="108" t="e">
        <v>#VALUE!</v>
      </c>
      <c r="AJ5" s="108" t="e">
        <v>#VALUE!</v>
      </c>
      <c r="AK5" s="108" t="e">
        <v>#VALUE!</v>
      </c>
      <c r="AL5" s="108" t="e">
        <v>#VALUE!</v>
      </c>
      <c r="AM5" s="108" t="e">
        <v>#VALUE!</v>
      </c>
      <c r="AN5" s="108" t="e">
        <v>#VALUE!</v>
      </c>
      <c r="AO5" s="108"/>
    </row>
    <row r="6" spans="1:41" x14ac:dyDescent="0.25">
      <c r="A6" s="110" t="s">
        <v>82</v>
      </c>
      <c r="B6" s="101">
        <v>31</v>
      </c>
      <c r="C6" s="101">
        <v>12</v>
      </c>
      <c r="D6" s="101">
        <f t="shared" si="6"/>
        <v>19</v>
      </c>
      <c r="E6" s="102" t="e">
        <f t="shared" si="7"/>
        <v>#VALUE!</v>
      </c>
      <c r="F6" s="102">
        <v>12</v>
      </c>
      <c r="G6" s="102" t="e">
        <f t="shared" si="8"/>
        <v>#VALUE!</v>
      </c>
      <c r="H6" s="103" t="e">
        <f t="shared" si="9"/>
        <v>#VALUE!</v>
      </c>
      <c r="I6" s="104">
        <v>0</v>
      </c>
      <c r="J6" s="104">
        <v>0</v>
      </c>
      <c r="K6" s="105" t="e">
        <f t="shared" si="10"/>
        <v>#VALUE!</v>
      </c>
      <c r="L6" s="105">
        <v>0</v>
      </c>
      <c r="M6" s="105"/>
      <c r="N6" s="105">
        <v>6</v>
      </c>
      <c r="O6" s="105">
        <v>4</v>
      </c>
      <c r="P6" s="105">
        <v>0</v>
      </c>
      <c r="Q6" s="107">
        <f t="shared" si="0"/>
        <v>1</v>
      </c>
      <c r="R6" s="107" t="e">
        <f t="shared" si="0"/>
        <v>#VALUE!</v>
      </c>
      <c r="S6" s="107" t="e">
        <f t="shared" si="1"/>
        <v>#VALUE!</v>
      </c>
      <c r="T6" s="107" t="e">
        <f t="shared" si="2"/>
        <v>#VALUE!</v>
      </c>
      <c r="U6" s="108">
        <v>81</v>
      </c>
      <c r="V6" s="108" t="e">
        <v>#VALUE!</v>
      </c>
      <c r="W6" s="108" t="e">
        <f t="shared" si="3"/>
        <v>#VALUE!</v>
      </c>
      <c r="X6" s="108" t="e">
        <v>#VALUE!</v>
      </c>
      <c r="Y6" s="108" t="e">
        <f t="shared" si="4"/>
        <v>#VALUE!</v>
      </c>
      <c r="Z6" s="108">
        <v>2</v>
      </c>
      <c r="AA6" s="109">
        <f t="shared" si="5"/>
        <v>0.06</v>
      </c>
      <c r="AB6" s="108"/>
      <c r="AC6" s="108" t="e">
        <v>#VALUE!</v>
      </c>
      <c r="AD6" s="108" t="e">
        <v>#VALUE!</v>
      </c>
      <c r="AE6" s="108" t="e">
        <v>#VALUE!</v>
      </c>
      <c r="AF6" s="108" t="e">
        <v>#VALUE!</v>
      </c>
      <c r="AG6" s="108" t="e">
        <v>#VALUE!</v>
      </c>
      <c r="AH6" s="108" t="e">
        <v>#VALUE!</v>
      </c>
      <c r="AI6" s="108" t="e">
        <v>#VALUE!</v>
      </c>
      <c r="AJ6" s="108" t="e">
        <v>#VALUE!</v>
      </c>
      <c r="AK6" s="108" t="e">
        <v>#VALUE!</v>
      </c>
      <c r="AL6" s="108" t="e">
        <v>#VALUE!</v>
      </c>
      <c r="AM6" s="108" t="e">
        <v>#VALUE!</v>
      </c>
      <c r="AN6" s="108" t="e">
        <v>#VALUE!</v>
      </c>
      <c r="AO6" s="108"/>
    </row>
    <row r="7" spans="1:41" x14ac:dyDescent="0.25">
      <c r="A7" s="110" t="s">
        <v>83</v>
      </c>
      <c r="B7" s="101">
        <v>22</v>
      </c>
      <c r="C7" s="101">
        <v>11</v>
      </c>
      <c r="D7" s="101">
        <f t="shared" si="6"/>
        <v>11</v>
      </c>
      <c r="E7" s="102" t="e">
        <f t="shared" si="7"/>
        <v>#VALUE!</v>
      </c>
      <c r="F7" s="102">
        <v>10</v>
      </c>
      <c r="G7" s="102" t="e">
        <f t="shared" si="8"/>
        <v>#VALUE!</v>
      </c>
      <c r="H7" s="103" t="e">
        <f t="shared" si="9"/>
        <v>#VALUE!</v>
      </c>
      <c r="I7" s="104">
        <v>0</v>
      </c>
      <c r="J7" s="104">
        <v>0</v>
      </c>
      <c r="K7" s="105" t="e">
        <f t="shared" si="10"/>
        <v>#VALUE!</v>
      </c>
      <c r="L7" s="105">
        <v>1</v>
      </c>
      <c r="M7" s="105"/>
      <c r="N7" s="105">
        <v>6</v>
      </c>
      <c r="O7" s="105">
        <v>1</v>
      </c>
      <c r="P7" s="105">
        <v>0</v>
      </c>
      <c r="Q7" s="107">
        <f t="shared" si="0"/>
        <v>0.90909090909090906</v>
      </c>
      <c r="R7" s="107" t="e">
        <f t="shared" si="0"/>
        <v>#VALUE!</v>
      </c>
      <c r="S7" s="107" t="e">
        <f t="shared" si="1"/>
        <v>#VALUE!</v>
      </c>
      <c r="T7" s="107" t="e">
        <f t="shared" si="2"/>
        <v>#VALUE!</v>
      </c>
      <c r="U7" s="108">
        <v>81</v>
      </c>
      <c r="V7" s="108" t="e">
        <v>#VALUE!</v>
      </c>
      <c r="W7" s="108" t="e">
        <f t="shared" si="3"/>
        <v>#VALUE!</v>
      </c>
      <c r="X7" s="108" t="e">
        <v>#VALUE!</v>
      </c>
      <c r="Y7" s="108" t="e">
        <f t="shared" si="4"/>
        <v>#VALUE!</v>
      </c>
      <c r="Z7" s="108">
        <v>3</v>
      </c>
      <c r="AA7" s="109">
        <f t="shared" si="5"/>
        <v>0.14000000000000001</v>
      </c>
      <c r="AB7" s="108"/>
      <c r="AC7" s="108" t="e">
        <v>#VALUE!</v>
      </c>
      <c r="AD7" s="108" t="e">
        <v>#VALUE!</v>
      </c>
      <c r="AE7" s="108" t="e">
        <v>#VALUE!</v>
      </c>
      <c r="AF7" s="108" t="e">
        <v>#VALUE!</v>
      </c>
      <c r="AG7" s="108" t="e">
        <v>#VALUE!</v>
      </c>
      <c r="AH7" s="108" t="e">
        <v>#VALUE!</v>
      </c>
      <c r="AI7" s="108" t="e">
        <v>#VALUE!</v>
      </c>
      <c r="AJ7" s="108" t="e">
        <v>#VALUE!</v>
      </c>
      <c r="AK7" s="108" t="e">
        <v>#VALUE!</v>
      </c>
      <c r="AL7" s="108" t="e">
        <v>#VALUE!</v>
      </c>
      <c r="AM7" s="108" t="e">
        <v>#VALUE!</v>
      </c>
      <c r="AN7" s="108" t="e">
        <v>#VALUE!</v>
      </c>
      <c r="AO7" s="108"/>
    </row>
    <row r="8" spans="1:41" x14ac:dyDescent="0.25">
      <c r="A8" s="110" t="s">
        <v>84</v>
      </c>
      <c r="B8" s="101">
        <v>39</v>
      </c>
      <c r="C8" s="101">
        <v>15</v>
      </c>
      <c r="D8" s="101">
        <f t="shared" si="6"/>
        <v>24</v>
      </c>
      <c r="E8" s="102" t="e">
        <f t="shared" si="7"/>
        <v>#VALUE!</v>
      </c>
      <c r="F8" s="102">
        <v>13</v>
      </c>
      <c r="G8" s="102" t="e">
        <f t="shared" si="8"/>
        <v>#VALUE!</v>
      </c>
      <c r="H8" s="103" t="e">
        <f t="shared" si="9"/>
        <v>#VALUE!</v>
      </c>
      <c r="I8" s="104">
        <v>0</v>
      </c>
      <c r="J8" s="104">
        <v>0</v>
      </c>
      <c r="K8" s="105" t="e">
        <f t="shared" si="10"/>
        <v>#VALUE!</v>
      </c>
      <c r="L8" s="105">
        <v>1</v>
      </c>
      <c r="M8" s="105"/>
      <c r="N8" s="105">
        <v>10</v>
      </c>
      <c r="O8" s="105">
        <v>2</v>
      </c>
      <c r="P8" s="105">
        <v>10</v>
      </c>
      <c r="Q8" s="107">
        <f t="shared" si="0"/>
        <v>0.8666666666666667</v>
      </c>
      <c r="R8" s="107" t="e">
        <f t="shared" si="0"/>
        <v>#VALUE!</v>
      </c>
      <c r="S8" s="107" t="e">
        <f t="shared" si="1"/>
        <v>#VALUE!</v>
      </c>
      <c r="T8" s="107" t="e">
        <f t="shared" si="2"/>
        <v>#VALUE!</v>
      </c>
      <c r="U8" s="108">
        <v>134</v>
      </c>
      <c r="V8" s="108" t="e">
        <v>#VALUE!</v>
      </c>
      <c r="W8" s="108" t="e">
        <f t="shared" si="3"/>
        <v>#VALUE!</v>
      </c>
      <c r="X8" s="108" t="e">
        <v>#VALUE!</v>
      </c>
      <c r="Y8" s="108" t="e">
        <f t="shared" si="4"/>
        <v>#VALUE!</v>
      </c>
      <c r="Z8" s="108">
        <v>5</v>
      </c>
      <c r="AA8" s="109">
        <f t="shared" si="5"/>
        <v>0.13</v>
      </c>
      <c r="AB8" s="108"/>
      <c r="AC8" s="108" t="e">
        <v>#VALUE!</v>
      </c>
      <c r="AD8" s="108" t="e">
        <v>#VALUE!</v>
      </c>
      <c r="AE8" s="108" t="e">
        <v>#VALUE!</v>
      </c>
      <c r="AF8" s="108" t="e">
        <v>#VALUE!</v>
      </c>
      <c r="AG8" s="108" t="e">
        <v>#VALUE!</v>
      </c>
      <c r="AH8" s="108" t="e">
        <v>#VALUE!</v>
      </c>
      <c r="AI8" s="108" t="e">
        <v>#VALUE!</v>
      </c>
      <c r="AJ8" s="108" t="e">
        <v>#VALUE!</v>
      </c>
      <c r="AK8" s="108" t="e">
        <v>#VALUE!</v>
      </c>
      <c r="AL8" s="108" t="e">
        <v>#VALUE!</v>
      </c>
      <c r="AM8" s="108" t="e">
        <v>#VALUE!</v>
      </c>
      <c r="AN8" s="108" t="e">
        <v>#VALUE!</v>
      </c>
      <c r="AO8" s="108"/>
    </row>
    <row r="9" spans="1:41" x14ac:dyDescent="0.25">
      <c r="A9" s="110" t="s">
        <v>31</v>
      </c>
      <c r="B9" s="101">
        <v>37</v>
      </c>
      <c r="C9" s="101">
        <v>18</v>
      </c>
      <c r="D9" s="101">
        <f t="shared" si="6"/>
        <v>19</v>
      </c>
      <c r="E9" s="102" t="e">
        <f t="shared" si="7"/>
        <v>#VALUE!</v>
      </c>
      <c r="F9" s="102">
        <v>15</v>
      </c>
      <c r="G9" s="102" t="e">
        <f t="shared" si="8"/>
        <v>#VALUE!</v>
      </c>
      <c r="H9" s="103" t="e">
        <f t="shared" si="9"/>
        <v>#VALUE!</v>
      </c>
      <c r="I9" s="104">
        <v>0</v>
      </c>
      <c r="J9" s="104">
        <v>0</v>
      </c>
      <c r="K9" s="105" t="e">
        <f t="shared" si="10"/>
        <v>#VALUE!</v>
      </c>
      <c r="L9" s="105">
        <v>1</v>
      </c>
      <c r="M9" s="105"/>
      <c r="N9" s="105">
        <v>8</v>
      </c>
      <c r="O9" s="105">
        <v>9</v>
      </c>
      <c r="P9" s="105">
        <v>1</v>
      </c>
      <c r="Q9" s="107">
        <f t="shared" si="0"/>
        <v>0.83333333333333337</v>
      </c>
      <c r="R9" s="107" t="e">
        <f t="shared" si="0"/>
        <v>#VALUE!</v>
      </c>
      <c r="S9" s="107" t="e">
        <f t="shared" si="1"/>
        <v>#VALUE!</v>
      </c>
      <c r="T9" s="107" t="e">
        <f t="shared" si="2"/>
        <v>#VALUE!</v>
      </c>
      <c r="U9" s="108">
        <v>134</v>
      </c>
      <c r="V9" s="108" t="e">
        <v>#VALUE!</v>
      </c>
      <c r="W9" s="108" t="e">
        <f t="shared" si="3"/>
        <v>#VALUE!</v>
      </c>
      <c r="X9" s="108" t="e">
        <v>#VALUE!</v>
      </c>
      <c r="Y9" s="108" t="e">
        <f t="shared" si="4"/>
        <v>#VALUE!</v>
      </c>
      <c r="Z9" s="108">
        <v>5</v>
      </c>
      <c r="AA9" s="109">
        <f t="shared" si="5"/>
        <v>0.14000000000000001</v>
      </c>
      <c r="AB9" s="108"/>
      <c r="AC9" s="108" t="e">
        <v>#VALUE!</v>
      </c>
      <c r="AD9" s="108" t="e">
        <v>#VALUE!</v>
      </c>
      <c r="AE9" s="108" t="e">
        <v>#VALUE!</v>
      </c>
      <c r="AF9" s="108" t="e">
        <v>#VALUE!</v>
      </c>
      <c r="AG9" s="108" t="e">
        <v>#VALUE!</v>
      </c>
      <c r="AH9" s="108" t="e">
        <v>#VALUE!</v>
      </c>
      <c r="AI9" s="108" t="e">
        <v>#VALUE!</v>
      </c>
      <c r="AJ9" s="108" t="e">
        <v>#VALUE!</v>
      </c>
      <c r="AK9" s="108" t="e">
        <v>#VALUE!</v>
      </c>
      <c r="AL9" s="108" t="e">
        <v>#VALUE!</v>
      </c>
      <c r="AM9" s="108" t="e">
        <v>#VALUE!</v>
      </c>
      <c r="AN9" s="108" t="e">
        <v>#VALUE!</v>
      </c>
      <c r="AO9" s="108"/>
    </row>
    <row r="10" spans="1:41" x14ac:dyDescent="0.25">
      <c r="A10" s="108" t="s">
        <v>85</v>
      </c>
      <c r="B10" s="101">
        <v>57</v>
      </c>
      <c r="C10" s="101">
        <v>26</v>
      </c>
      <c r="D10" s="101">
        <f t="shared" si="6"/>
        <v>31</v>
      </c>
      <c r="E10" s="102" t="e">
        <f t="shared" si="7"/>
        <v>#VALUE!</v>
      </c>
      <c r="F10" s="102">
        <v>17</v>
      </c>
      <c r="G10" s="102" t="e">
        <f t="shared" si="8"/>
        <v>#VALUE!</v>
      </c>
      <c r="H10" s="103" t="e">
        <f t="shared" si="9"/>
        <v>#VALUE!</v>
      </c>
      <c r="I10" s="104">
        <v>0</v>
      </c>
      <c r="J10" s="104">
        <v>0</v>
      </c>
      <c r="K10" s="105" t="e">
        <f t="shared" si="10"/>
        <v>#VALUE!</v>
      </c>
      <c r="L10" s="105">
        <v>6</v>
      </c>
      <c r="M10" s="105"/>
      <c r="N10" s="105">
        <v>26</v>
      </c>
      <c r="O10" s="105">
        <v>4</v>
      </c>
      <c r="P10" s="105">
        <v>0</v>
      </c>
      <c r="Q10" s="107">
        <f t="shared" si="0"/>
        <v>0.65384615384615385</v>
      </c>
      <c r="R10" s="107" t="e">
        <f t="shared" si="0"/>
        <v>#VALUE!</v>
      </c>
      <c r="S10" s="107" t="e">
        <f t="shared" si="1"/>
        <v>#VALUE!</v>
      </c>
      <c r="T10" s="107" t="e">
        <f t="shared" si="2"/>
        <v>#VALUE!</v>
      </c>
      <c r="U10" s="108">
        <v>134</v>
      </c>
      <c r="V10" s="108" t="e">
        <v>#VALUE!</v>
      </c>
      <c r="W10" s="108" t="e">
        <f t="shared" si="3"/>
        <v>#VALUE!</v>
      </c>
      <c r="X10" s="108" t="e">
        <v>#VALUE!</v>
      </c>
      <c r="Y10" s="108" t="e">
        <f t="shared" si="4"/>
        <v>#VALUE!</v>
      </c>
      <c r="Z10" s="108">
        <v>5</v>
      </c>
      <c r="AA10" s="109">
        <f t="shared" si="5"/>
        <v>0.09</v>
      </c>
      <c r="AB10" s="108"/>
      <c r="AC10" s="108" t="e">
        <v>#VALUE!</v>
      </c>
      <c r="AD10" s="108" t="e">
        <v>#VALUE!</v>
      </c>
      <c r="AE10" s="108" t="e">
        <v>#VALUE!</v>
      </c>
      <c r="AF10" s="108" t="e">
        <v>#VALUE!</v>
      </c>
      <c r="AG10" s="108" t="e">
        <v>#VALUE!</v>
      </c>
      <c r="AH10" s="108" t="e">
        <v>#VALUE!</v>
      </c>
      <c r="AI10" s="108" t="e">
        <v>#VALUE!</v>
      </c>
      <c r="AJ10" s="108" t="e">
        <v>#VALUE!</v>
      </c>
      <c r="AK10" s="108" t="e">
        <v>#VALUE!</v>
      </c>
      <c r="AL10" s="108" t="e">
        <v>#VALUE!</v>
      </c>
      <c r="AM10" s="108" t="e">
        <v>#VALUE!</v>
      </c>
      <c r="AN10" s="108" t="e">
        <v>#VALUE!</v>
      </c>
      <c r="AO10" s="108"/>
    </row>
    <row r="11" spans="1:41" x14ac:dyDescent="0.25">
      <c r="A11" s="108"/>
      <c r="B11" s="101"/>
      <c r="C11" s="101"/>
      <c r="D11" s="101"/>
      <c r="E11" s="102"/>
      <c r="F11" s="102"/>
      <c r="G11" s="102">
        <f t="shared" si="8"/>
        <v>0</v>
      </c>
      <c r="H11" s="103"/>
      <c r="I11" s="111"/>
      <c r="J11" s="111"/>
      <c r="K11" s="105">
        <f t="shared" si="10"/>
        <v>0</v>
      </c>
      <c r="L11" s="105"/>
      <c r="M11" s="105"/>
      <c r="N11" s="105"/>
      <c r="O11" s="105"/>
      <c r="P11" s="105"/>
      <c r="Q11" s="112"/>
      <c r="R11" s="107"/>
      <c r="S11" s="107"/>
      <c r="T11" s="107"/>
      <c r="U11" s="108"/>
      <c r="V11" s="108"/>
      <c r="W11" s="108"/>
      <c r="X11" s="108"/>
      <c r="Y11" s="108"/>
      <c r="Z11" s="108"/>
      <c r="AA11" s="113"/>
      <c r="AB11" s="108"/>
      <c r="AC11" s="108"/>
      <c r="AD11" s="108"/>
      <c r="AE11" s="108"/>
      <c r="AF11" s="108"/>
      <c r="AG11" s="108"/>
      <c r="AH11" s="108"/>
      <c r="AI11" s="110"/>
      <c r="AJ11" s="108"/>
      <c r="AK11" s="108"/>
      <c r="AL11" s="108"/>
      <c r="AM11" s="108"/>
      <c r="AN11" s="108"/>
      <c r="AO11" s="108"/>
    </row>
    <row r="12" spans="1:41" x14ac:dyDescent="0.25">
      <c r="A12" s="114" t="s">
        <v>86</v>
      </c>
      <c r="B12" s="114">
        <f>+SUM(B4:B10)</f>
        <v>231</v>
      </c>
      <c r="C12" s="114">
        <f>+SUM(C4:C10)</f>
        <v>98</v>
      </c>
      <c r="D12" s="114">
        <f>+SUM(D4:D10)</f>
        <v>133</v>
      </c>
      <c r="E12" s="114" t="e">
        <f t="shared" ref="E12:AO12" si="11">+SUM(E4:E10)</f>
        <v>#VALUE!</v>
      </c>
      <c r="F12" s="114">
        <f t="shared" si="11"/>
        <v>82</v>
      </c>
      <c r="G12" s="114" t="e">
        <f t="shared" si="11"/>
        <v>#VALUE!</v>
      </c>
      <c r="H12" s="114" t="e">
        <f>+SUM(H4:H10)</f>
        <v>#VALUE!</v>
      </c>
      <c r="I12" s="114">
        <f t="shared" si="11"/>
        <v>0</v>
      </c>
      <c r="J12" s="114">
        <f t="shared" si="11"/>
        <v>0</v>
      </c>
      <c r="K12" s="114" t="e">
        <f>+SUM(K4:K10)</f>
        <v>#VALUE!</v>
      </c>
      <c r="L12" s="114">
        <f>+SUM(L4:L11)</f>
        <v>10</v>
      </c>
      <c r="M12" s="114">
        <f>+SUM(M4:M11)</f>
        <v>0</v>
      </c>
      <c r="N12" s="114">
        <f>+SUM(N4:N11)</f>
        <v>68</v>
      </c>
      <c r="O12" s="114">
        <f>+SUM(O4:O11)</f>
        <v>26</v>
      </c>
      <c r="P12" s="114">
        <f>+SUM(P4:P11)</f>
        <v>11</v>
      </c>
      <c r="Q12" s="115">
        <f>F12/C12</f>
        <v>0.83673469387755106</v>
      </c>
      <c r="R12" s="115">
        <f>F12/D12</f>
        <v>0.61654135338345861</v>
      </c>
      <c r="S12" s="115" t="e">
        <f>E12/B12</f>
        <v>#VALUE!</v>
      </c>
      <c r="T12" s="115" t="e">
        <f>(I12+E12)/B12</f>
        <v>#VALUE!</v>
      </c>
      <c r="U12" s="114"/>
      <c r="V12" s="114" t="e">
        <f t="shared" si="11"/>
        <v>#VALUE!</v>
      </c>
      <c r="W12" s="114" t="e">
        <f t="shared" si="11"/>
        <v>#VALUE!</v>
      </c>
      <c r="X12" s="114" t="e">
        <f t="shared" si="11"/>
        <v>#VALUE!</v>
      </c>
      <c r="Y12" s="114" t="e">
        <f t="shared" si="11"/>
        <v>#VALUE!</v>
      </c>
      <c r="Z12" s="114">
        <f t="shared" si="11"/>
        <v>24</v>
      </c>
      <c r="AA12" s="116">
        <f>Z12/B12</f>
        <v>0.1038961038961039</v>
      </c>
      <c r="AB12" s="114">
        <f t="shared" si="11"/>
        <v>0</v>
      </c>
      <c r="AC12" s="114" t="e">
        <f t="shared" si="11"/>
        <v>#VALUE!</v>
      </c>
      <c r="AD12" s="114" t="e">
        <f t="shared" si="11"/>
        <v>#VALUE!</v>
      </c>
      <c r="AE12" s="114" t="e">
        <f t="shared" si="11"/>
        <v>#VALUE!</v>
      </c>
      <c r="AF12" s="114" t="e">
        <f t="shared" si="11"/>
        <v>#VALUE!</v>
      </c>
      <c r="AG12" s="114" t="e">
        <f t="shared" si="11"/>
        <v>#VALUE!</v>
      </c>
      <c r="AH12" s="114" t="e">
        <f t="shared" si="11"/>
        <v>#VALUE!</v>
      </c>
      <c r="AI12" s="114" t="e">
        <f t="shared" si="11"/>
        <v>#VALUE!</v>
      </c>
      <c r="AJ12" s="114" t="e">
        <f t="shared" si="11"/>
        <v>#VALUE!</v>
      </c>
      <c r="AK12" s="114" t="e">
        <f t="shared" si="11"/>
        <v>#VALUE!</v>
      </c>
      <c r="AL12" s="114" t="e">
        <f t="shared" si="11"/>
        <v>#VALUE!</v>
      </c>
      <c r="AM12" s="114" t="e">
        <f t="shared" si="11"/>
        <v>#VALUE!</v>
      </c>
      <c r="AN12" s="114" t="e">
        <f t="shared" si="11"/>
        <v>#VALUE!</v>
      </c>
      <c r="AO12" s="114">
        <f t="shared" si="11"/>
        <v>0</v>
      </c>
    </row>
    <row r="13" spans="1:41" x14ac:dyDescent="0.25">
      <c r="A13" s="114" t="s">
        <v>87</v>
      </c>
      <c r="B13" s="114"/>
      <c r="C13" s="114"/>
      <c r="D13" s="114"/>
      <c r="E13" s="114"/>
      <c r="F13" s="114"/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4"/>
      <c r="U13" s="114"/>
      <c r="V13" s="114"/>
      <c r="W13" s="114"/>
      <c r="X13" s="114"/>
      <c r="Y13" s="114"/>
      <c r="Z13" s="114"/>
      <c r="AA13" s="114"/>
      <c r="AB13" s="114">
        <f>+AB12</f>
        <v>0</v>
      </c>
      <c r="AC13" s="114" t="e">
        <f>+AC12+AB13</f>
        <v>#VALUE!</v>
      </c>
      <c r="AD13" s="114" t="e">
        <f t="shared" ref="AD13:AN13" si="12">+AD12+AC13</f>
        <v>#VALUE!</v>
      </c>
      <c r="AE13" s="114" t="e">
        <f t="shared" si="12"/>
        <v>#VALUE!</v>
      </c>
      <c r="AF13" s="114" t="e">
        <f t="shared" si="12"/>
        <v>#VALUE!</v>
      </c>
      <c r="AG13" s="114" t="e">
        <f t="shared" si="12"/>
        <v>#VALUE!</v>
      </c>
      <c r="AH13" s="114" t="e">
        <f t="shared" si="12"/>
        <v>#VALUE!</v>
      </c>
      <c r="AI13" s="114" t="e">
        <f t="shared" si="12"/>
        <v>#VALUE!</v>
      </c>
      <c r="AJ13" s="114" t="e">
        <f t="shared" si="12"/>
        <v>#VALUE!</v>
      </c>
      <c r="AK13" s="114" t="e">
        <f t="shared" si="12"/>
        <v>#VALUE!</v>
      </c>
      <c r="AL13" s="114" t="e">
        <f t="shared" si="12"/>
        <v>#VALUE!</v>
      </c>
      <c r="AM13" s="114" t="e">
        <f t="shared" si="12"/>
        <v>#VALUE!</v>
      </c>
      <c r="AN13" s="114" t="e">
        <f t="shared" si="12"/>
        <v>#VALUE!</v>
      </c>
      <c r="AO13" s="114" t="e">
        <f>+AO12+AN13</f>
        <v>#VALUE!</v>
      </c>
    </row>
    <row r="14" spans="1:41" x14ac:dyDescent="0.25">
      <c r="A14" s="114" t="s">
        <v>88</v>
      </c>
      <c r="B14" s="114"/>
      <c r="C14" s="114"/>
      <c r="D14" s="114"/>
      <c r="E14" s="114"/>
      <c r="F14" s="114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  <c r="Y14" s="114"/>
      <c r="Z14" s="114"/>
      <c r="AA14" s="114"/>
      <c r="AB14" s="114">
        <f>+AB13/$B$12*100</f>
        <v>0</v>
      </c>
      <c r="AC14" s="117" t="e">
        <f>+AC13/$B$12</f>
        <v>#VALUE!</v>
      </c>
      <c r="AD14" s="117" t="e">
        <f t="shared" ref="AD14:AO14" si="13">+AD13/$B$12</f>
        <v>#VALUE!</v>
      </c>
      <c r="AE14" s="117" t="e">
        <f t="shared" si="13"/>
        <v>#VALUE!</v>
      </c>
      <c r="AF14" s="117" t="e">
        <f t="shared" si="13"/>
        <v>#VALUE!</v>
      </c>
      <c r="AG14" s="117" t="e">
        <f t="shared" si="13"/>
        <v>#VALUE!</v>
      </c>
      <c r="AH14" s="117" t="e">
        <f t="shared" si="13"/>
        <v>#VALUE!</v>
      </c>
      <c r="AI14" s="117" t="e">
        <f t="shared" si="13"/>
        <v>#VALUE!</v>
      </c>
      <c r="AJ14" s="117" t="e">
        <f t="shared" si="13"/>
        <v>#VALUE!</v>
      </c>
      <c r="AK14" s="117" t="e">
        <f t="shared" si="13"/>
        <v>#VALUE!</v>
      </c>
      <c r="AL14" s="117" t="e">
        <f t="shared" si="13"/>
        <v>#VALUE!</v>
      </c>
      <c r="AM14" s="117" t="e">
        <f t="shared" si="13"/>
        <v>#VALUE!</v>
      </c>
      <c r="AN14" s="117" t="e">
        <f t="shared" si="13"/>
        <v>#VALUE!</v>
      </c>
      <c r="AO14" s="117" t="e">
        <f t="shared" si="13"/>
        <v>#VALUE!</v>
      </c>
    </row>
    <row r="15" spans="1:41" x14ac:dyDescent="0.25">
      <c r="A15" s="108"/>
      <c r="B15" s="108"/>
      <c r="C15" s="108"/>
      <c r="D15" s="108"/>
      <c r="E15" s="108"/>
      <c r="F15" s="108"/>
      <c r="G15" s="108"/>
      <c r="H15" s="108"/>
      <c r="I15" s="110"/>
      <c r="J15" s="110"/>
      <c r="K15" s="108"/>
      <c r="L15" s="108"/>
      <c r="M15" s="108"/>
      <c r="N15" s="108"/>
      <c r="O15" s="108"/>
      <c r="P15" s="108"/>
      <c r="Q15" s="108"/>
      <c r="R15" s="108"/>
      <c r="S15" s="108"/>
      <c r="T15" s="108"/>
      <c r="U15" s="108"/>
      <c r="V15" s="108"/>
      <c r="W15" s="108"/>
      <c r="X15" s="108"/>
      <c r="Y15" s="108"/>
      <c r="Z15" s="108"/>
      <c r="AA15" s="108"/>
      <c r="AB15" s="108"/>
      <c r="AC15" s="108"/>
      <c r="AD15" s="108"/>
      <c r="AE15" s="108"/>
      <c r="AF15" s="108"/>
      <c r="AG15" s="108"/>
      <c r="AH15" s="108"/>
      <c r="AI15" s="110"/>
      <c r="AJ15" s="108"/>
      <c r="AK15" s="108"/>
      <c r="AL15" s="108"/>
      <c r="AM15" s="108"/>
      <c r="AN15" s="108"/>
      <c r="AO15" s="108"/>
    </row>
    <row r="17" spans="1:20" x14ac:dyDescent="0.25">
      <c r="A17" s="118" t="s">
        <v>48</v>
      </c>
      <c r="B17" s="119"/>
      <c r="C17" s="118"/>
      <c r="D17" s="118"/>
      <c r="E17" s="118" t="e">
        <f>+B12-E12</f>
        <v>#VALUE!</v>
      </c>
      <c r="F17" s="118"/>
      <c r="G17" s="118"/>
      <c r="I17" s="118"/>
      <c r="J17" s="118"/>
      <c r="Q17" s="118"/>
      <c r="R17" s="118"/>
      <c r="S17" s="118"/>
      <c r="T17" s="118"/>
    </row>
  </sheetData>
  <mergeCells count="8">
    <mergeCell ref="Q2:T2"/>
    <mergeCell ref="E1:H1"/>
    <mergeCell ref="K1:P1"/>
    <mergeCell ref="B2:D2"/>
    <mergeCell ref="E2:G2"/>
    <mergeCell ref="I2:J2"/>
    <mergeCell ref="L2:M2"/>
    <mergeCell ref="N2:P2"/>
  </mergeCells>
  <pageMargins left="0.7" right="0.7" top="0.75" bottom="0.75" header="0.3" footer="0.3"/>
  <pageSetup paperSize="8" scale="3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26"/>
  <sheetViews>
    <sheetView topLeftCell="E1" workbookViewId="0">
      <selection activeCell="M17" sqref="M17"/>
    </sheetView>
  </sheetViews>
  <sheetFormatPr baseColWidth="10" defaultRowHeight="15" x14ac:dyDescent="0.25"/>
  <cols>
    <col min="1" max="1" width="19.85546875" customWidth="1"/>
    <col min="2" max="2" width="15.85546875" bestFit="1" customWidth="1"/>
    <col min="3" max="3" width="16.7109375" bestFit="1" customWidth="1"/>
    <col min="4" max="5" width="16.7109375" customWidth="1"/>
    <col min="6" max="6" width="21.7109375" customWidth="1"/>
    <col min="7" max="7" width="19.140625" bestFit="1" customWidth="1"/>
    <col min="8" max="8" width="13.28515625" customWidth="1"/>
    <col min="9" max="9" width="16.28515625" customWidth="1"/>
    <col min="12" max="12" width="19.7109375" customWidth="1"/>
    <col min="13" max="13" width="13.140625" style="167" customWidth="1"/>
    <col min="14" max="14" width="38.5703125" customWidth="1"/>
    <col min="15" max="15" width="29" bestFit="1" customWidth="1"/>
    <col min="259" max="259" width="19.85546875" customWidth="1"/>
    <col min="260" max="260" width="15.85546875" bestFit="1" customWidth="1"/>
    <col min="261" max="261" width="16.7109375" bestFit="1" customWidth="1"/>
    <col min="262" max="263" width="16.7109375" customWidth="1"/>
    <col min="264" max="264" width="21.7109375" customWidth="1"/>
    <col min="265" max="265" width="19.140625" bestFit="1" customWidth="1"/>
    <col min="266" max="266" width="13.28515625" customWidth="1"/>
    <col min="515" max="515" width="19.85546875" customWidth="1"/>
    <col min="516" max="516" width="15.85546875" bestFit="1" customWidth="1"/>
    <col min="517" max="517" width="16.7109375" bestFit="1" customWidth="1"/>
    <col min="518" max="519" width="16.7109375" customWidth="1"/>
    <col min="520" max="520" width="21.7109375" customWidth="1"/>
    <col min="521" max="521" width="19.140625" bestFit="1" customWidth="1"/>
    <col min="522" max="522" width="13.28515625" customWidth="1"/>
    <col min="771" max="771" width="19.85546875" customWidth="1"/>
    <col min="772" max="772" width="15.85546875" bestFit="1" customWidth="1"/>
    <col min="773" max="773" width="16.7109375" bestFit="1" customWidth="1"/>
    <col min="774" max="775" width="16.7109375" customWidth="1"/>
    <col min="776" max="776" width="21.7109375" customWidth="1"/>
    <col min="777" max="777" width="19.140625" bestFit="1" customWidth="1"/>
    <col min="778" max="778" width="13.28515625" customWidth="1"/>
    <col min="1027" max="1027" width="19.85546875" customWidth="1"/>
    <col min="1028" max="1028" width="15.85546875" bestFit="1" customWidth="1"/>
    <col min="1029" max="1029" width="16.7109375" bestFit="1" customWidth="1"/>
    <col min="1030" max="1031" width="16.7109375" customWidth="1"/>
    <col min="1032" max="1032" width="21.7109375" customWidth="1"/>
    <col min="1033" max="1033" width="19.140625" bestFit="1" customWidth="1"/>
    <col min="1034" max="1034" width="13.28515625" customWidth="1"/>
    <col min="1283" max="1283" width="19.85546875" customWidth="1"/>
    <col min="1284" max="1284" width="15.85546875" bestFit="1" customWidth="1"/>
    <col min="1285" max="1285" width="16.7109375" bestFit="1" customWidth="1"/>
    <col min="1286" max="1287" width="16.7109375" customWidth="1"/>
    <col min="1288" max="1288" width="21.7109375" customWidth="1"/>
    <col min="1289" max="1289" width="19.140625" bestFit="1" customWidth="1"/>
    <col min="1290" max="1290" width="13.28515625" customWidth="1"/>
    <col min="1539" max="1539" width="19.85546875" customWidth="1"/>
    <col min="1540" max="1540" width="15.85546875" bestFit="1" customWidth="1"/>
    <col min="1541" max="1541" width="16.7109375" bestFit="1" customWidth="1"/>
    <col min="1542" max="1543" width="16.7109375" customWidth="1"/>
    <col min="1544" max="1544" width="21.7109375" customWidth="1"/>
    <col min="1545" max="1545" width="19.140625" bestFit="1" customWidth="1"/>
    <col min="1546" max="1546" width="13.28515625" customWidth="1"/>
    <col min="1795" max="1795" width="19.85546875" customWidth="1"/>
    <col min="1796" max="1796" width="15.85546875" bestFit="1" customWidth="1"/>
    <col min="1797" max="1797" width="16.7109375" bestFit="1" customWidth="1"/>
    <col min="1798" max="1799" width="16.7109375" customWidth="1"/>
    <col min="1800" max="1800" width="21.7109375" customWidth="1"/>
    <col min="1801" max="1801" width="19.140625" bestFit="1" customWidth="1"/>
    <col min="1802" max="1802" width="13.28515625" customWidth="1"/>
    <col min="2051" max="2051" width="19.85546875" customWidth="1"/>
    <col min="2052" max="2052" width="15.85546875" bestFit="1" customWidth="1"/>
    <col min="2053" max="2053" width="16.7109375" bestFit="1" customWidth="1"/>
    <col min="2054" max="2055" width="16.7109375" customWidth="1"/>
    <col min="2056" max="2056" width="21.7109375" customWidth="1"/>
    <col min="2057" max="2057" width="19.140625" bestFit="1" customWidth="1"/>
    <col min="2058" max="2058" width="13.28515625" customWidth="1"/>
    <col min="2307" max="2307" width="19.85546875" customWidth="1"/>
    <col min="2308" max="2308" width="15.85546875" bestFit="1" customWidth="1"/>
    <col min="2309" max="2309" width="16.7109375" bestFit="1" customWidth="1"/>
    <col min="2310" max="2311" width="16.7109375" customWidth="1"/>
    <col min="2312" max="2312" width="21.7109375" customWidth="1"/>
    <col min="2313" max="2313" width="19.140625" bestFit="1" customWidth="1"/>
    <col min="2314" max="2314" width="13.28515625" customWidth="1"/>
    <col min="2563" max="2563" width="19.85546875" customWidth="1"/>
    <col min="2564" max="2564" width="15.85546875" bestFit="1" customWidth="1"/>
    <col min="2565" max="2565" width="16.7109375" bestFit="1" customWidth="1"/>
    <col min="2566" max="2567" width="16.7109375" customWidth="1"/>
    <col min="2568" max="2568" width="21.7109375" customWidth="1"/>
    <col min="2569" max="2569" width="19.140625" bestFit="1" customWidth="1"/>
    <col min="2570" max="2570" width="13.28515625" customWidth="1"/>
    <col min="2819" max="2819" width="19.85546875" customWidth="1"/>
    <col min="2820" max="2820" width="15.85546875" bestFit="1" customWidth="1"/>
    <col min="2821" max="2821" width="16.7109375" bestFit="1" customWidth="1"/>
    <col min="2822" max="2823" width="16.7109375" customWidth="1"/>
    <col min="2824" max="2824" width="21.7109375" customWidth="1"/>
    <col min="2825" max="2825" width="19.140625" bestFit="1" customWidth="1"/>
    <col min="2826" max="2826" width="13.28515625" customWidth="1"/>
    <col min="3075" max="3075" width="19.85546875" customWidth="1"/>
    <col min="3076" max="3076" width="15.85546875" bestFit="1" customWidth="1"/>
    <col min="3077" max="3077" width="16.7109375" bestFit="1" customWidth="1"/>
    <col min="3078" max="3079" width="16.7109375" customWidth="1"/>
    <col min="3080" max="3080" width="21.7109375" customWidth="1"/>
    <col min="3081" max="3081" width="19.140625" bestFit="1" customWidth="1"/>
    <col min="3082" max="3082" width="13.28515625" customWidth="1"/>
    <col min="3331" max="3331" width="19.85546875" customWidth="1"/>
    <col min="3332" max="3332" width="15.85546875" bestFit="1" customWidth="1"/>
    <col min="3333" max="3333" width="16.7109375" bestFit="1" customWidth="1"/>
    <col min="3334" max="3335" width="16.7109375" customWidth="1"/>
    <col min="3336" max="3336" width="21.7109375" customWidth="1"/>
    <col min="3337" max="3337" width="19.140625" bestFit="1" customWidth="1"/>
    <col min="3338" max="3338" width="13.28515625" customWidth="1"/>
    <col min="3587" max="3587" width="19.85546875" customWidth="1"/>
    <col min="3588" max="3588" width="15.85546875" bestFit="1" customWidth="1"/>
    <col min="3589" max="3589" width="16.7109375" bestFit="1" customWidth="1"/>
    <col min="3590" max="3591" width="16.7109375" customWidth="1"/>
    <col min="3592" max="3592" width="21.7109375" customWidth="1"/>
    <col min="3593" max="3593" width="19.140625" bestFit="1" customWidth="1"/>
    <col min="3594" max="3594" width="13.28515625" customWidth="1"/>
    <col min="3843" max="3843" width="19.85546875" customWidth="1"/>
    <col min="3844" max="3844" width="15.85546875" bestFit="1" customWidth="1"/>
    <col min="3845" max="3845" width="16.7109375" bestFit="1" customWidth="1"/>
    <col min="3846" max="3847" width="16.7109375" customWidth="1"/>
    <col min="3848" max="3848" width="21.7109375" customWidth="1"/>
    <col min="3849" max="3849" width="19.140625" bestFit="1" customWidth="1"/>
    <col min="3850" max="3850" width="13.28515625" customWidth="1"/>
    <col min="4099" max="4099" width="19.85546875" customWidth="1"/>
    <col min="4100" max="4100" width="15.85546875" bestFit="1" customWidth="1"/>
    <col min="4101" max="4101" width="16.7109375" bestFit="1" customWidth="1"/>
    <col min="4102" max="4103" width="16.7109375" customWidth="1"/>
    <col min="4104" max="4104" width="21.7109375" customWidth="1"/>
    <col min="4105" max="4105" width="19.140625" bestFit="1" customWidth="1"/>
    <col min="4106" max="4106" width="13.28515625" customWidth="1"/>
    <col min="4355" max="4355" width="19.85546875" customWidth="1"/>
    <col min="4356" max="4356" width="15.85546875" bestFit="1" customWidth="1"/>
    <col min="4357" max="4357" width="16.7109375" bestFit="1" customWidth="1"/>
    <col min="4358" max="4359" width="16.7109375" customWidth="1"/>
    <col min="4360" max="4360" width="21.7109375" customWidth="1"/>
    <col min="4361" max="4361" width="19.140625" bestFit="1" customWidth="1"/>
    <col min="4362" max="4362" width="13.28515625" customWidth="1"/>
    <col min="4611" max="4611" width="19.85546875" customWidth="1"/>
    <col min="4612" max="4612" width="15.85546875" bestFit="1" customWidth="1"/>
    <col min="4613" max="4613" width="16.7109375" bestFit="1" customWidth="1"/>
    <col min="4614" max="4615" width="16.7109375" customWidth="1"/>
    <col min="4616" max="4616" width="21.7109375" customWidth="1"/>
    <col min="4617" max="4617" width="19.140625" bestFit="1" customWidth="1"/>
    <col min="4618" max="4618" width="13.28515625" customWidth="1"/>
    <col min="4867" max="4867" width="19.85546875" customWidth="1"/>
    <col min="4868" max="4868" width="15.85546875" bestFit="1" customWidth="1"/>
    <col min="4869" max="4869" width="16.7109375" bestFit="1" customWidth="1"/>
    <col min="4870" max="4871" width="16.7109375" customWidth="1"/>
    <col min="4872" max="4872" width="21.7109375" customWidth="1"/>
    <col min="4873" max="4873" width="19.140625" bestFit="1" customWidth="1"/>
    <col min="4874" max="4874" width="13.28515625" customWidth="1"/>
    <col min="5123" max="5123" width="19.85546875" customWidth="1"/>
    <col min="5124" max="5124" width="15.85546875" bestFit="1" customWidth="1"/>
    <col min="5125" max="5125" width="16.7109375" bestFit="1" customWidth="1"/>
    <col min="5126" max="5127" width="16.7109375" customWidth="1"/>
    <col min="5128" max="5128" width="21.7109375" customWidth="1"/>
    <col min="5129" max="5129" width="19.140625" bestFit="1" customWidth="1"/>
    <col min="5130" max="5130" width="13.28515625" customWidth="1"/>
    <col min="5379" max="5379" width="19.85546875" customWidth="1"/>
    <col min="5380" max="5380" width="15.85546875" bestFit="1" customWidth="1"/>
    <col min="5381" max="5381" width="16.7109375" bestFit="1" customWidth="1"/>
    <col min="5382" max="5383" width="16.7109375" customWidth="1"/>
    <col min="5384" max="5384" width="21.7109375" customWidth="1"/>
    <col min="5385" max="5385" width="19.140625" bestFit="1" customWidth="1"/>
    <col min="5386" max="5386" width="13.28515625" customWidth="1"/>
    <col min="5635" max="5635" width="19.85546875" customWidth="1"/>
    <col min="5636" max="5636" width="15.85546875" bestFit="1" customWidth="1"/>
    <col min="5637" max="5637" width="16.7109375" bestFit="1" customWidth="1"/>
    <col min="5638" max="5639" width="16.7109375" customWidth="1"/>
    <col min="5640" max="5640" width="21.7109375" customWidth="1"/>
    <col min="5641" max="5641" width="19.140625" bestFit="1" customWidth="1"/>
    <col min="5642" max="5642" width="13.28515625" customWidth="1"/>
    <col min="5891" max="5891" width="19.85546875" customWidth="1"/>
    <col min="5892" max="5892" width="15.85546875" bestFit="1" customWidth="1"/>
    <col min="5893" max="5893" width="16.7109375" bestFit="1" customWidth="1"/>
    <col min="5894" max="5895" width="16.7109375" customWidth="1"/>
    <col min="5896" max="5896" width="21.7109375" customWidth="1"/>
    <col min="5897" max="5897" width="19.140625" bestFit="1" customWidth="1"/>
    <col min="5898" max="5898" width="13.28515625" customWidth="1"/>
    <col min="6147" max="6147" width="19.85546875" customWidth="1"/>
    <col min="6148" max="6148" width="15.85546875" bestFit="1" customWidth="1"/>
    <col min="6149" max="6149" width="16.7109375" bestFit="1" customWidth="1"/>
    <col min="6150" max="6151" width="16.7109375" customWidth="1"/>
    <col min="6152" max="6152" width="21.7109375" customWidth="1"/>
    <col min="6153" max="6153" width="19.140625" bestFit="1" customWidth="1"/>
    <col min="6154" max="6154" width="13.28515625" customWidth="1"/>
    <col min="6403" max="6403" width="19.85546875" customWidth="1"/>
    <col min="6404" max="6404" width="15.85546875" bestFit="1" customWidth="1"/>
    <col min="6405" max="6405" width="16.7109375" bestFit="1" customWidth="1"/>
    <col min="6406" max="6407" width="16.7109375" customWidth="1"/>
    <col min="6408" max="6408" width="21.7109375" customWidth="1"/>
    <col min="6409" max="6409" width="19.140625" bestFit="1" customWidth="1"/>
    <col min="6410" max="6410" width="13.28515625" customWidth="1"/>
    <col min="6659" max="6659" width="19.85546875" customWidth="1"/>
    <col min="6660" max="6660" width="15.85546875" bestFit="1" customWidth="1"/>
    <col min="6661" max="6661" width="16.7109375" bestFit="1" customWidth="1"/>
    <col min="6662" max="6663" width="16.7109375" customWidth="1"/>
    <col min="6664" max="6664" width="21.7109375" customWidth="1"/>
    <col min="6665" max="6665" width="19.140625" bestFit="1" customWidth="1"/>
    <col min="6666" max="6666" width="13.28515625" customWidth="1"/>
    <col min="6915" max="6915" width="19.85546875" customWidth="1"/>
    <col min="6916" max="6916" width="15.85546875" bestFit="1" customWidth="1"/>
    <col min="6917" max="6917" width="16.7109375" bestFit="1" customWidth="1"/>
    <col min="6918" max="6919" width="16.7109375" customWidth="1"/>
    <col min="6920" max="6920" width="21.7109375" customWidth="1"/>
    <col min="6921" max="6921" width="19.140625" bestFit="1" customWidth="1"/>
    <col min="6922" max="6922" width="13.28515625" customWidth="1"/>
    <col min="7171" max="7171" width="19.85546875" customWidth="1"/>
    <col min="7172" max="7172" width="15.85546875" bestFit="1" customWidth="1"/>
    <col min="7173" max="7173" width="16.7109375" bestFit="1" customWidth="1"/>
    <col min="7174" max="7175" width="16.7109375" customWidth="1"/>
    <col min="7176" max="7176" width="21.7109375" customWidth="1"/>
    <col min="7177" max="7177" width="19.140625" bestFit="1" customWidth="1"/>
    <col min="7178" max="7178" width="13.28515625" customWidth="1"/>
    <col min="7427" max="7427" width="19.85546875" customWidth="1"/>
    <col min="7428" max="7428" width="15.85546875" bestFit="1" customWidth="1"/>
    <col min="7429" max="7429" width="16.7109375" bestFit="1" customWidth="1"/>
    <col min="7430" max="7431" width="16.7109375" customWidth="1"/>
    <col min="7432" max="7432" width="21.7109375" customWidth="1"/>
    <col min="7433" max="7433" width="19.140625" bestFit="1" customWidth="1"/>
    <col min="7434" max="7434" width="13.28515625" customWidth="1"/>
    <col min="7683" max="7683" width="19.85546875" customWidth="1"/>
    <col min="7684" max="7684" width="15.85546875" bestFit="1" customWidth="1"/>
    <col min="7685" max="7685" width="16.7109375" bestFit="1" customWidth="1"/>
    <col min="7686" max="7687" width="16.7109375" customWidth="1"/>
    <col min="7688" max="7688" width="21.7109375" customWidth="1"/>
    <col min="7689" max="7689" width="19.140625" bestFit="1" customWidth="1"/>
    <col min="7690" max="7690" width="13.28515625" customWidth="1"/>
    <col min="7939" max="7939" width="19.85546875" customWidth="1"/>
    <col min="7940" max="7940" width="15.85546875" bestFit="1" customWidth="1"/>
    <col min="7941" max="7941" width="16.7109375" bestFit="1" customWidth="1"/>
    <col min="7942" max="7943" width="16.7109375" customWidth="1"/>
    <col min="7944" max="7944" width="21.7109375" customWidth="1"/>
    <col min="7945" max="7945" width="19.140625" bestFit="1" customWidth="1"/>
    <col min="7946" max="7946" width="13.28515625" customWidth="1"/>
    <col min="8195" max="8195" width="19.85546875" customWidth="1"/>
    <col min="8196" max="8196" width="15.85546875" bestFit="1" customWidth="1"/>
    <col min="8197" max="8197" width="16.7109375" bestFit="1" customWidth="1"/>
    <col min="8198" max="8199" width="16.7109375" customWidth="1"/>
    <col min="8200" max="8200" width="21.7109375" customWidth="1"/>
    <col min="8201" max="8201" width="19.140625" bestFit="1" customWidth="1"/>
    <col min="8202" max="8202" width="13.28515625" customWidth="1"/>
    <col min="8451" max="8451" width="19.85546875" customWidth="1"/>
    <col min="8452" max="8452" width="15.85546875" bestFit="1" customWidth="1"/>
    <col min="8453" max="8453" width="16.7109375" bestFit="1" customWidth="1"/>
    <col min="8454" max="8455" width="16.7109375" customWidth="1"/>
    <col min="8456" max="8456" width="21.7109375" customWidth="1"/>
    <col min="8457" max="8457" width="19.140625" bestFit="1" customWidth="1"/>
    <col min="8458" max="8458" width="13.28515625" customWidth="1"/>
    <col min="8707" max="8707" width="19.85546875" customWidth="1"/>
    <col min="8708" max="8708" width="15.85546875" bestFit="1" customWidth="1"/>
    <col min="8709" max="8709" width="16.7109375" bestFit="1" customWidth="1"/>
    <col min="8710" max="8711" width="16.7109375" customWidth="1"/>
    <col min="8712" max="8712" width="21.7109375" customWidth="1"/>
    <col min="8713" max="8713" width="19.140625" bestFit="1" customWidth="1"/>
    <col min="8714" max="8714" width="13.28515625" customWidth="1"/>
    <col min="8963" max="8963" width="19.85546875" customWidth="1"/>
    <col min="8964" max="8964" width="15.85546875" bestFit="1" customWidth="1"/>
    <col min="8965" max="8965" width="16.7109375" bestFit="1" customWidth="1"/>
    <col min="8966" max="8967" width="16.7109375" customWidth="1"/>
    <col min="8968" max="8968" width="21.7109375" customWidth="1"/>
    <col min="8969" max="8969" width="19.140625" bestFit="1" customWidth="1"/>
    <col min="8970" max="8970" width="13.28515625" customWidth="1"/>
    <col min="9219" max="9219" width="19.85546875" customWidth="1"/>
    <col min="9220" max="9220" width="15.85546875" bestFit="1" customWidth="1"/>
    <col min="9221" max="9221" width="16.7109375" bestFit="1" customWidth="1"/>
    <col min="9222" max="9223" width="16.7109375" customWidth="1"/>
    <col min="9224" max="9224" width="21.7109375" customWidth="1"/>
    <col min="9225" max="9225" width="19.140625" bestFit="1" customWidth="1"/>
    <col min="9226" max="9226" width="13.28515625" customWidth="1"/>
    <col min="9475" max="9475" width="19.85546875" customWidth="1"/>
    <col min="9476" max="9476" width="15.85546875" bestFit="1" customWidth="1"/>
    <col min="9477" max="9477" width="16.7109375" bestFit="1" customWidth="1"/>
    <col min="9478" max="9479" width="16.7109375" customWidth="1"/>
    <col min="9480" max="9480" width="21.7109375" customWidth="1"/>
    <col min="9481" max="9481" width="19.140625" bestFit="1" customWidth="1"/>
    <col min="9482" max="9482" width="13.28515625" customWidth="1"/>
    <col min="9731" max="9731" width="19.85546875" customWidth="1"/>
    <col min="9732" max="9732" width="15.85546875" bestFit="1" customWidth="1"/>
    <col min="9733" max="9733" width="16.7109375" bestFit="1" customWidth="1"/>
    <col min="9734" max="9735" width="16.7109375" customWidth="1"/>
    <col min="9736" max="9736" width="21.7109375" customWidth="1"/>
    <col min="9737" max="9737" width="19.140625" bestFit="1" customWidth="1"/>
    <col min="9738" max="9738" width="13.28515625" customWidth="1"/>
    <col min="9987" max="9987" width="19.85546875" customWidth="1"/>
    <col min="9988" max="9988" width="15.85546875" bestFit="1" customWidth="1"/>
    <col min="9989" max="9989" width="16.7109375" bestFit="1" customWidth="1"/>
    <col min="9990" max="9991" width="16.7109375" customWidth="1"/>
    <col min="9992" max="9992" width="21.7109375" customWidth="1"/>
    <col min="9993" max="9993" width="19.140625" bestFit="1" customWidth="1"/>
    <col min="9994" max="9994" width="13.28515625" customWidth="1"/>
    <col min="10243" max="10243" width="19.85546875" customWidth="1"/>
    <col min="10244" max="10244" width="15.85546875" bestFit="1" customWidth="1"/>
    <col min="10245" max="10245" width="16.7109375" bestFit="1" customWidth="1"/>
    <col min="10246" max="10247" width="16.7109375" customWidth="1"/>
    <col min="10248" max="10248" width="21.7109375" customWidth="1"/>
    <col min="10249" max="10249" width="19.140625" bestFit="1" customWidth="1"/>
    <col min="10250" max="10250" width="13.28515625" customWidth="1"/>
    <col min="10499" max="10499" width="19.85546875" customWidth="1"/>
    <col min="10500" max="10500" width="15.85546875" bestFit="1" customWidth="1"/>
    <col min="10501" max="10501" width="16.7109375" bestFit="1" customWidth="1"/>
    <col min="10502" max="10503" width="16.7109375" customWidth="1"/>
    <col min="10504" max="10504" width="21.7109375" customWidth="1"/>
    <col min="10505" max="10505" width="19.140625" bestFit="1" customWidth="1"/>
    <col min="10506" max="10506" width="13.28515625" customWidth="1"/>
    <col min="10755" max="10755" width="19.85546875" customWidth="1"/>
    <col min="10756" max="10756" width="15.85546875" bestFit="1" customWidth="1"/>
    <col min="10757" max="10757" width="16.7109375" bestFit="1" customWidth="1"/>
    <col min="10758" max="10759" width="16.7109375" customWidth="1"/>
    <col min="10760" max="10760" width="21.7109375" customWidth="1"/>
    <col min="10761" max="10761" width="19.140625" bestFit="1" customWidth="1"/>
    <col min="10762" max="10762" width="13.28515625" customWidth="1"/>
    <col min="11011" max="11011" width="19.85546875" customWidth="1"/>
    <col min="11012" max="11012" width="15.85546875" bestFit="1" customWidth="1"/>
    <col min="11013" max="11013" width="16.7109375" bestFit="1" customWidth="1"/>
    <col min="11014" max="11015" width="16.7109375" customWidth="1"/>
    <col min="11016" max="11016" width="21.7109375" customWidth="1"/>
    <col min="11017" max="11017" width="19.140625" bestFit="1" customWidth="1"/>
    <col min="11018" max="11018" width="13.28515625" customWidth="1"/>
    <col min="11267" max="11267" width="19.85546875" customWidth="1"/>
    <col min="11268" max="11268" width="15.85546875" bestFit="1" customWidth="1"/>
    <col min="11269" max="11269" width="16.7109375" bestFit="1" customWidth="1"/>
    <col min="11270" max="11271" width="16.7109375" customWidth="1"/>
    <col min="11272" max="11272" width="21.7109375" customWidth="1"/>
    <col min="11273" max="11273" width="19.140625" bestFit="1" customWidth="1"/>
    <col min="11274" max="11274" width="13.28515625" customWidth="1"/>
    <col min="11523" max="11523" width="19.85546875" customWidth="1"/>
    <col min="11524" max="11524" width="15.85546875" bestFit="1" customWidth="1"/>
    <col min="11525" max="11525" width="16.7109375" bestFit="1" customWidth="1"/>
    <col min="11526" max="11527" width="16.7109375" customWidth="1"/>
    <col min="11528" max="11528" width="21.7109375" customWidth="1"/>
    <col min="11529" max="11529" width="19.140625" bestFit="1" customWidth="1"/>
    <col min="11530" max="11530" width="13.28515625" customWidth="1"/>
    <col min="11779" max="11779" width="19.85546875" customWidth="1"/>
    <col min="11780" max="11780" width="15.85546875" bestFit="1" customWidth="1"/>
    <col min="11781" max="11781" width="16.7109375" bestFit="1" customWidth="1"/>
    <col min="11782" max="11783" width="16.7109375" customWidth="1"/>
    <col min="11784" max="11784" width="21.7109375" customWidth="1"/>
    <col min="11785" max="11785" width="19.140625" bestFit="1" customWidth="1"/>
    <col min="11786" max="11786" width="13.28515625" customWidth="1"/>
    <col min="12035" max="12035" width="19.85546875" customWidth="1"/>
    <col min="12036" max="12036" width="15.85546875" bestFit="1" customWidth="1"/>
    <col min="12037" max="12037" width="16.7109375" bestFit="1" customWidth="1"/>
    <col min="12038" max="12039" width="16.7109375" customWidth="1"/>
    <col min="12040" max="12040" width="21.7109375" customWidth="1"/>
    <col min="12041" max="12041" width="19.140625" bestFit="1" customWidth="1"/>
    <col min="12042" max="12042" width="13.28515625" customWidth="1"/>
    <col min="12291" max="12291" width="19.85546875" customWidth="1"/>
    <col min="12292" max="12292" width="15.85546875" bestFit="1" customWidth="1"/>
    <col min="12293" max="12293" width="16.7109375" bestFit="1" customWidth="1"/>
    <col min="12294" max="12295" width="16.7109375" customWidth="1"/>
    <col min="12296" max="12296" width="21.7109375" customWidth="1"/>
    <col min="12297" max="12297" width="19.140625" bestFit="1" customWidth="1"/>
    <col min="12298" max="12298" width="13.28515625" customWidth="1"/>
    <col min="12547" max="12547" width="19.85546875" customWidth="1"/>
    <col min="12548" max="12548" width="15.85546875" bestFit="1" customWidth="1"/>
    <col min="12549" max="12549" width="16.7109375" bestFit="1" customWidth="1"/>
    <col min="12550" max="12551" width="16.7109375" customWidth="1"/>
    <col min="12552" max="12552" width="21.7109375" customWidth="1"/>
    <col min="12553" max="12553" width="19.140625" bestFit="1" customWidth="1"/>
    <col min="12554" max="12554" width="13.28515625" customWidth="1"/>
    <col min="12803" max="12803" width="19.85546875" customWidth="1"/>
    <col min="12804" max="12804" width="15.85546875" bestFit="1" customWidth="1"/>
    <col min="12805" max="12805" width="16.7109375" bestFit="1" customWidth="1"/>
    <col min="12806" max="12807" width="16.7109375" customWidth="1"/>
    <col min="12808" max="12808" width="21.7109375" customWidth="1"/>
    <col min="12809" max="12809" width="19.140625" bestFit="1" customWidth="1"/>
    <col min="12810" max="12810" width="13.28515625" customWidth="1"/>
    <col min="13059" max="13059" width="19.85546875" customWidth="1"/>
    <col min="13060" max="13060" width="15.85546875" bestFit="1" customWidth="1"/>
    <col min="13061" max="13061" width="16.7109375" bestFit="1" customWidth="1"/>
    <col min="13062" max="13063" width="16.7109375" customWidth="1"/>
    <col min="13064" max="13064" width="21.7109375" customWidth="1"/>
    <col min="13065" max="13065" width="19.140625" bestFit="1" customWidth="1"/>
    <col min="13066" max="13066" width="13.28515625" customWidth="1"/>
    <col min="13315" max="13315" width="19.85546875" customWidth="1"/>
    <col min="13316" max="13316" width="15.85546875" bestFit="1" customWidth="1"/>
    <col min="13317" max="13317" width="16.7109375" bestFit="1" customWidth="1"/>
    <col min="13318" max="13319" width="16.7109375" customWidth="1"/>
    <col min="13320" max="13320" width="21.7109375" customWidth="1"/>
    <col min="13321" max="13321" width="19.140625" bestFit="1" customWidth="1"/>
    <col min="13322" max="13322" width="13.28515625" customWidth="1"/>
    <col min="13571" max="13571" width="19.85546875" customWidth="1"/>
    <col min="13572" max="13572" width="15.85546875" bestFit="1" customWidth="1"/>
    <col min="13573" max="13573" width="16.7109375" bestFit="1" customWidth="1"/>
    <col min="13574" max="13575" width="16.7109375" customWidth="1"/>
    <col min="13576" max="13576" width="21.7109375" customWidth="1"/>
    <col min="13577" max="13577" width="19.140625" bestFit="1" customWidth="1"/>
    <col min="13578" max="13578" width="13.28515625" customWidth="1"/>
    <col min="13827" max="13827" width="19.85546875" customWidth="1"/>
    <col min="13828" max="13828" width="15.85546875" bestFit="1" customWidth="1"/>
    <col min="13829" max="13829" width="16.7109375" bestFit="1" customWidth="1"/>
    <col min="13830" max="13831" width="16.7109375" customWidth="1"/>
    <col min="13832" max="13832" width="21.7109375" customWidth="1"/>
    <col min="13833" max="13833" width="19.140625" bestFit="1" customWidth="1"/>
    <col min="13834" max="13834" width="13.28515625" customWidth="1"/>
    <col min="14083" max="14083" width="19.85546875" customWidth="1"/>
    <col min="14084" max="14084" width="15.85546875" bestFit="1" customWidth="1"/>
    <col min="14085" max="14085" width="16.7109375" bestFit="1" customWidth="1"/>
    <col min="14086" max="14087" width="16.7109375" customWidth="1"/>
    <col min="14088" max="14088" width="21.7109375" customWidth="1"/>
    <col min="14089" max="14089" width="19.140625" bestFit="1" customWidth="1"/>
    <col min="14090" max="14090" width="13.28515625" customWidth="1"/>
    <col min="14339" max="14339" width="19.85546875" customWidth="1"/>
    <col min="14340" max="14340" width="15.85546875" bestFit="1" customWidth="1"/>
    <col min="14341" max="14341" width="16.7109375" bestFit="1" customWidth="1"/>
    <col min="14342" max="14343" width="16.7109375" customWidth="1"/>
    <col min="14344" max="14344" width="21.7109375" customWidth="1"/>
    <col min="14345" max="14345" width="19.140625" bestFit="1" customWidth="1"/>
    <col min="14346" max="14346" width="13.28515625" customWidth="1"/>
    <col min="14595" max="14595" width="19.85546875" customWidth="1"/>
    <col min="14596" max="14596" width="15.85546875" bestFit="1" customWidth="1"/>
    <col min="14597" max="14597" width="16.7109375" bestFit="1" customWidth="1"/>
    <col min="14598" max="14599" width="16.7109375" customWidth="1"/>
    <col min="14600" max="14600" width="21.7109375" customWidth="1"/>
    <col min="14601" max="14601" width="19.140625" bestFit="1" customWidth="1"/>
    <col min="14602" max="14602" width="13.28515625" customWidth="1"/>
    <col min="14851" max="14851" width="19.85546875" customWidth="1"/>
    <col min="14852" max="14852" width="15.85546875" bestFit="1" customWidth="1"/>
    <col min="14853" max="14853" width="16.7109375" bestFit="1" customWidth="1"/>
    <col min="14854" max="14855" width="16.7109375" customWidth="1"/>
    <col min="14856" max="14856" width="21.7109375" customWidth="1"/>
    <col min="14857" max="14857" width="19.140625" bestFit="1" customWidth="1"/>
    <col min="14858" max="14858" width="13.28515625" customWidth="1"/>
    <col min="15107" max="15107" width="19.85546875" customWidth="1"/>
    <col min="15108" max="15108" width="15.85546875" bestFit="1" customWidth="1"/>
    <col min="15109" max="15109" width="16.7109375" bestFit="1" customWidth="1"/>
    <col min="15110" max="15111" width="16.7109375" customWidth="1"/>
    <col min="15112" max="15112" width="21.7109375" customWidth="1"/>
    <col min="15113" max="15113" width="19.140625" bestFit="1" customWidth="1"/>
    <col min="15114" max="15114" width="13.28515625" customWidth="1"/>
    <col min="15363" max="15363" width="19.85546875" customWidth="1"/>
    <col min="15364" max="15364" width="15.85546875" bestFit="1" customWidth="1"/>
    <col min="15365" max="15365" width="16.7109375" bestFit="1" customWidth="1"/>
    <col min="15366" max="15367" width="16.7109375" customWidth="1"/>
    <col min="15368" max="15368" width="21.7109375" customWidth="1"/>
    <col min="15369" max="15369" width="19.140625" bestFit="1" customWidth="1"/>
    <col min="15370" max="15370" width="13.28515625" customWidth="1"/>
    <col min="15619" max="15619" width="19.85546875" customWidth="1"/>
    <col min="15620" max="15620" width="15.85546875" bestFit="1" customWidth="1"/>
    <col min="15621" max="15621" width="16.7109375" bestFit="1" customWidth="1"/>
    <col min="15622" max="15623" width="16.7109375" customWidth="1"/>
    <col min="15624" max="15624" width="21.7109375" customWidth="1"/>
    <col min="15625" max="15625" width="19.140625" bestFit="1" customWidth="1"/>
    <col min="15626" max="15626" width="13.28515625" customWidth="1"/>
    <col min="15875" max="15875" width="19.85546875" customWidth="1"/>
    <col min="15876" max="15876" width="15.85546875" bestFit="1" customWidth="1"/>
    <col min="15877" max="15877" width="16.7109375" bestFit="1" customWidth="1"/>
    <col min="15878" max="15879" width="16.7109375" customWidth="1"/>
    <col min="15880" max="15880" width="21.7109375" customWidth="1"/>
    <col min="15881" max="15881" width="19.140625" bestFit="1" customWidth="1"/>
    <col min="15882" max="15882" width="13.28515625" customWidth="1"/>
    <col min="16131" max="16131" width="19.85546875" customWidth="1"/>
    <col min="16132" max="16132" width="15.85546875" bestFit="1" customWidth="1"/>
    <col min="16133" max="16133" width="16.7109375" bestFit="1" customWidth="1"/>
    <col min="16134" max="16135" width="16.7109375" customWidth="1"/>
    <col min="16136" max="16136" width="21.7109375" customWidth="1"/>
    <col min="16137" max="16137" width="19.140625" bestFit="1" customWidth="1"/>
    <col min="16138" max="16138" width="13.28515625" customWidth="1"/>
  </cols>
  <sheetData>
    <row r="1" spans="1:15" x14ac:dyDescent="0.25">
      <c r="A1" s="270" t="s">
        <v>134</v>
      </c>
      <c r="B1" s="270"/>
      <c r="C1" s="270"/>
      <c r="D1" s="270"/>
      <c r="E1" s="270"/>
      <c r="F1" s="270"/>
      <c r="G1" s="270"/>
    </row>
    <row r="2" spans="1:15" x14ac:dyDescent="0.25">
      <c r="J2" s="274" t="s">
        <v>193</v>
      </c>
      <c r="K2" s="274"/>
      <c r="L2" s="274"/>
      <c r="M2" s="274"/>
      <c r="N2" s="274"/>
    </row>
    <row r="3" spans="1:15" x14ac:dyDescent="0.25">
      <c r="A3" s="123" t="s">
        <v>135</v>
      </c>
      <c r="B3" s="160" t="s">
        <v>91</v>
      </c>
      <c r="C3" s="271" t="s">
        <v>92</v>
      </c>
      <c r="D3" s="272"/>
      <c r="E3" s="273"/>
      <c r="F3" s="123" t="s">
        <v>93</v>
      </c>
      <c r="G3" s="123" t="s">
        <v>94</v>
      </c>
      <c r="H3" s="163" t="s">
        <v>174</v>
      </c>
      <c r="I3" s="163" t="s">
        <v>175</v>
      </c>
      <c r="J3" s="161" t="s">
        <v>148</v>
      </c>
      <c r="K3" s="163" t="s">
        <v>117</v>
      </c>
      <c r="L3" s="163" t="s">
        <v>113</v>
      </c>
      <c r="M3" s="163" t="s">
        <v>190</v>
      </c>
      <c r="N3" s="161" t="s">
        <v>189</v>
      </c>
      <c r="O3" s="161" t="s">
        <v>194</v>
      </c>
    </row>
    <row r="4" spans="1:15" x14ac:dyDescent="0.25">
      <c r="A4" s="123">
        <v>2019</v>
      </c>
      <c r="B4" s="160" t="s">
        <v>109</v>
      </c>
      <c r="C4" s="162">
        <v>31</v>
      </c>
      <c r="D4" s="162">
        <v>1</v>
      </c>
      <c r="E4" s="162">
        <f>$A$4</f>
        <v>2019</v>
      </c>
      <c r="F4" s="123" t="s">
        <v>112</v>
      </c>
      <c r="G4" s="123" t="s">
        <v>111</v>
      </c>
      <c r="H4" s="160">
        <v>100</v>
      </c>
      <c r="I4" s="160">
        <v>50</v>
      </c>
      <c r="J4" s="123" t="s">
        <v>152</v>
      </c>
      <c r="K4" s="163" t="s">
        <v>154</v>
      </c>
      <c r="L4" s="163" t="s">
        <v>138</v>
      </c>
      <c r="M4" s="163" t="s">
        <v>191</v>
      </c>
      <c r="N4" s="123" t="s">
        <v>214</v>
      </c>
      <c r="O4" s="161" t="s">
        <v>191</v>
      </c>
    </row>
    <row r="5" spans="1:15" x14ac:dyDescent="0.25">
      <c r="A5" s="123"/>
      <c r="B5" s="160" t="s">
        <v>122</v>
      </c>
      <c r="C5" s="162">
        <v>28</v>
      </c>
      <c r="D5" s="162">
        <v>2</v>
      </c>
      <c r="E5" s="162">
        <f t="shared" ref="E5:E15" si="0">$A$4</f>
        <v>2019</v>
      </c>
      <c r="F5" s="123" t="s">
        <v>115</v>
      </c>
      <c r="G5" s="123" t="s">
        <v>114</v>
      </c>
      <c r="J5" s="123" t="s">
        <v>153</v>
      </c>
      <c r="K5" s="163" t="s">
        <v>155</v>
      </c>
      <c r="L5" s="163" t="s">
        <v>139</v>
      </c>
      <c r="M5" s="163" t="s">
        <v>192</v>
      </c>
      <c r="N5" s="123" t="s">
        <v>202</v>
      </c>
      <c r="O5" s="161" t="s">
        <v>192</v>
      </c>
    </row>
    <row r="6" spans="1:15" x14ac:dyDescent="0.25">
      <c r="B6" s="160" t="s">
        <v>121</v>
      </c>
      <c r="C6" s="162">
        <v>31</v>
      </c>
      <c r="D6" s="162">
        <v>3</v>
      </c>
      <c r="E6" s="162">
        <f t="shared" si="0"/>
        <v>2019</v>
      </c>
      <c r="F6" s="123" t="s">
        <v>118</v>
      </c>
      <c r="G6" s="123"/>
      <c r="J6" s="123" t="s">
        <v>149</v>
      </c>
      <c r="K6" s="163" t="s">
        <v>156</v>
      </c>
      <c r="L6" s="163" t="s">
        <v>225</v>
      </c>
      <c r="M6" s="163"/>
      <c r="N6" s="123" t="s">
        <v>195</v>
      </c>
      <c r="O6" s="123" t="s">
        <v>152</v>
      </c>
    </row>
    <row r="7" spans="1:15" x14ac:dyDescent="0.25">
      <c r="B7" s="160"/>
      <c r="C7" s="162">
        <v>30</v>
      </c>
      <c r="D7" s="162">
        <v>4</v>
      </c>
      <c r="E7" s="162">
        <f t="shared" si="0"/>
        <v>2019</v>
      </c>
      <c r="F7" s="123" t="s">
        <v>116</v>
      </c>
      <c r="J7" s="161" t="s">
        <v>131</v>
      </c>
      <c r="K7" s="163" t="s">
        <v>151</v>
      </c>
      <c r="L7" s="163" t="s">
        <v>226</v>
      </c>
      <c r="M7" s="163"/>
      <c r="N7" s="123" t="s">
        <v>203</v>
      </c>
      <c r="O7" s="123" t="s">
        <v>153</v>
      </c>
    </row>
    <row r="8" spans="1:15" x14ac:dyDescent="0.25">
      <c r="B8" s="160"/>
      <c r="C8" s="162">
        <v>31</v>
      </c>
      <c r="D8" s="162">
        <v>5</v>
      </c>
      <c r="E8" s="162">
        <f t="shared" si="0"/>
        <v>2019</v>
      </c>
      <c r="F8" s="123" t="s">
        <v>136</v>
      </c>
      <c r="K8" s="163" t="s">
        <v>177</v>
      </c>
      <c r="L8" s="163" t="s">
        <v>141</v>
      </c>
      <c r="M8" s="163"/>
      <c r="N8" s="123" t="s">
        <v>201</v>
      </c>
      <c r="O8" s="123" t="s">
        <v>149</v>
      </c>
    </row>
    <row r="9" spans="1:15" x14ac:dyDescent="0.25">
      <c r="C9" s="162">
        <v>30</v>
      </c>
      <c r="D9" s="162">
        <v>6</v>
      </c>
      <c r="E9" s="162">
        <f t="shared" si="0"/>
        <v>2019</v>
      </c>
      <c r="F9" s="123" t="s">
        <v>125</v>
      </c>
      <c r="K9" s="161" t="s">
        <v>131</v>
      </c>
      <c r="L9" s="163" t="s">
        <v>142</v>
      </c>
      <c r="M9" s="163"/>
      <c r="N9" s="123" t="s">
        <v>196</v>
      </c>
      <c r="O9" s="161" t="s">
        <v>138</v>
      </c>
    </row>
    <row r="10" spans="1:15" x14ac:dyDescent="0.25">
      <c r="C10" s="162">
        <v>31</v>
      </c>
      <c r="D10" s="162">
        <v>7</v>
      </c>
      <c r="E10" s="162">
        <f t="shared" si="0"/>
        <v>2019</v>
      </c>
      <c r="F10" s="123" t="s">
        <v>110</v>
      </c>
      <c r="L10" s="163" t="s">
        <v>140</v>
      </c>
      <c r="M10" s="163"/>
      <c r="N10" s="123" t="s">
        <v>197</v>
      </c>
      <c r="O10" s="161" t="s">
        <v>139</v>
      </c>
    </row>
    <row r="11" spans="1:15" x14ac:dyDescent="0.25">
      <c r="C11" s="162">
        <v>31</v>
      </c>
      <c r="D11" s="162">
        <v>8</v>
      </c>
      <c r="E11" s="162">
        <f t="shared" si="0"/>
        <v>2019</v>
      </c>
      <c r="F11" s="123" t="s">
        <v>119</v>
      </c>
      <c r="L11" s="163" t="s">
        <v>227</v>
      </c>
      <c r="M11" s="163"/>
      <c r="N11" s="123"/>
      <c r="O11" s="161" t="s">
        <v>143</v>
      </c>
    </row>
    <row r="12" spans="1:15" x14ac:dyDescent="0.25">
      <c r="C12" s="162">
        <v>30</v>
      </c>
      <c r="D12" s="162">
        <v>9</v>
      </c>
      <c r="E12" s="162">
        <f t="shared" si="0"/>
        <v>2019</v>
      </c>
      <c r="F12" s="123" t="s">
        <v>126</v>
      </c>
      <c r="I12" s="123" t="s">
        <v>221</v>
      </c>
      <c r="N12" s="123"/>
      <c r="O12" s="161" t="s">
        <v>144</v>
      </c>
    </row>
    <row r="13" spans="1:15" x14ac:dyDescent="0.25">
      <c r="C13" s="162">
        <v>31</v>
      </c>
      <c r="D13" s="162">
        <v>10</v>
      </c>
      <c r="E13" s="162">
        <f t="shared" si="0"/>
        <v>2019</v>
      </c>
      <c r="F13" s="123" t="s">
        <v>127</v>
      </c>
      <c r="I13" s="123" t="s">
        <v>200</v>
      </c>
      <c r="N13" s="123"/>
      <c r="O13" s="161" t="s">
        <v>141</v>
      </c>
    </row>
    <row r="14" spans="1:15" x14ac:dyDescent="0.25">
      <c r="C14" s="162">
        <v>30</v>
      </c>
      <c r="D14" s="162">
        <v>11</v>
      </c>
      <c r="E14" s="162">
        <f t="shared" si="0"/>
        <v>2019</v>
      </c>
      <c r="F14" s="123" t="s">
        <v>128</v>
      </c>
      <c r="I14" s="123" t="s">
        <v>205</v>
      </c>
      <c r="O14" s="161" t="s">
        <v>142</v>
      </c>
    </row>
    <row r="15" spans="1:15" x14ac:dyDescent="0.25">
      <c r="C15" s="162">
        <v>31</v>
      </c>
      <c r="D15" s="162">
        <v>12</v>
      </c>
      <c r="E15" s="162">
        <f t="shared" si="0"/>
        <v>2019</v>
      </c>
      <c r="F15" s="123" t="s">
        <v>129</v>
      </c>
      <c r="O15" s="161" t="s">
        <v>140</v>
      </c>
    </row>
    <row r="16" spans="1:15" x14ac:dyDescent="0.25">
      <c r="E16" s="162"/>
      <c r="F16" s="123" t="s">
        <v>130</v>
      </c>
      <c r="O16" s="161" t="s">
        <v>131</v>
      </c>
    </row>
    <row r="17" spans="3:11" x14ac:dyDescent="0.25">
      <c r="E17" s="162"/>
      <c r="F17" s="123" t="s">
        <v>137</v>
      </c>
    </row>
    <row r="18" spans="3:11" x14ac:dyDescent="0.25">
      <c r="F18" s="123"/>
    </row>
    <row r="21" spans="3:11" x14ac:dyDescent="0.25">
      <c r="E21" s="123" t="s">
        <v>99</v>
      </c>
      <c r="F21" s="123" t="s">
        <v>100</v>
      </c>
      <c r="G21" s="123" t="s">
        <v>101</v>
      </c>
      <c r="H21" s="123" t="s">
        <v>102</v>
      </c>
      <c r="I21" s="123" t="s">
        <v>103</v>
      </c>
      <c r="J21" s="123" t="s">
        <v>145</v>
      </c>
      <c r="K21" s="123" t="s">
        <v>185</v>
      </c>
    </row>
    <row r="22" spans="3:11" x14ac:dyDescent="0.25">
      <c r="E22" s="123" t="s">
        <v>200</v>
      </c>
      <c r="F22" s="244" t="s">
        <v>200</v>
      </c>
      <c r="G22" s="123" t="s">
        <v>113</v>
      </c>
      <c r="H22" s="123" t="s">
        <v>200</v>
      </c>
      <c r="I22" s="123" t="s">
        <v>200</v>
      </c>
      <c r="J22" s="123" t="s">
        <v>200</v>
      </c>
      <c r="K22" s="123" t="s">
        <v>200</v>
      </c>
    </row>
    <row r="23" spans="3:11" x14ac:dyDescent="0.25">
      <c r="E23" s="123" t="s">
        <v>205</v>
      </c>
      <c r="F23" s="123" t="s">
        <v>205</v>
      </c>
      <c r="G23" s="123" t="s">
        <v>117</v>
      </c>
      <c r="H23" s="123" t="s">
        <v>205</v>
      </c>
      <c r="I23" s="123" t="s">
        <v>205</v>
      </c>
      <c r="J23" s="123" t="s">
        <v>205</v>
      </c>
      <c r="K23" s="123" t="s">
        <v>205</v>
      </c>
    </row>
    <row r="24" spans="3:11" x14ac:dyDescent="0.25">
      <c r="E24" s="123" t="s">
        <v>222</v>
      </c>
      <c r="F24" s="123" t="s">
        <v>222</v>
      </c>
      <c r="H24" s="123" t="s">
        <v>223</v>
      </c>
      <c r="J24" s="123" t="s">
        <v>222</v>
      </c>
    </row>
    <row r="25" spans="3:11" x14ac:dyDescent="0.25">
      <c r="H25" s="123" t="s">
        <v>222</v>
      </c>
      <c r="J25" s="123" t="s">
        <v>224</v>
      </c>
    </row>
    <row r="26" spans="3:11" x14ac:dyDescent="0.25">
      <c r="C26" t="s">
        <v>138</v>
      </c>
      <c r="D26" t="s">
        <v>228</v>
      </c>
      <c r="E26" t="s">
        <v>225</v>
      </c>
      <c r="F26" t="s">
        <v>226</v>
      </c>
      <c r="G26" t="s">
        <v>141</v>
      </c>
      <c r="H26" s="245" t="s">
        <v>142</v>
      </c>
      <c r="I26" s="159" t="s">
        <v>140</v>
      </c>
    </row>
  </sheetData>
  <sheetProtection selectLockedCells="1" selectUnlockedCells="1"/>
  <mergeCells count="3">
    <mergeCell ref="A1:G1"/>
    <mergeCell ref="C3:E3"/>
    <mergeCell ref="J2:N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workbookViewId="0">
      <selection activeCell="E10" sqref="E1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N182"/>
  <sheetViews>
    <sheetView zoomScale="85" zoomScaleNormal="85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A15" sqref="A15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customWidth="1"/>
    <col min="31" max="32" width="18" style="89" customWidth="1"/>
    <col min="33" max="33" width="11.42578125" style="89" customWidth="1"/>
    <col min="34" max="34" width="18.7109375" customWidth="1"/>
    <col min="35" max="35" width="18.7109375" style="168" customWidth="1"/>
    <col min="36" max="36" width="20" style="166" customWidth="1"/>
    <col min="37" max="39" width="18" style="89" customWidth="1"/>
    <col min="40" max="45" width="19" style="89" customWidth="1"/>
    <col min="46" max="46" width="11.42578125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2" width="11.42578125" style="89" customWidth="1"/>
    <col min="113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C1" s="90">
        <f>COLUMN()</f>
        <v>55</v>
      </c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7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220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138</v>
      </c>
      <c r="B3" s="170">
        <v>860072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SUM(PORTEFEUILLE_DELPHINE[[#This Row],[PCR COMPTABLE €]:[MONTANT
RESPONSABLE RELATION CLIENT €]])-PORTEFEUILLE_DELPHINE[[#This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 t="s">
        <v>205</v>
      </c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400</v>
      </c>
      <c r="AT3" s="188" t="str">
        <f>IF(PORTEFEUILLE_DELPHINE[[#This Row],[BONI AAC]]&lt;&gt;0,1,"")</f>
        <v/>
      </c>
      <c r="AU3" s="188">
        <f>IF(PORTEFEUILLE_DELPHINE[[#This Row],[MALI AAC]]&lt;&gt;0,1,"")</f>
        <v>1</v>
      </c>
      <c r="AV3" s="225">
        <f>IF(AP3&lt;&gt;"",IF((AP3*Paramètres!$H$4)-PORTEFEUILLE_DELPHINE[[#This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€]]-(DELPHINE!AP3*Paramètres!$H$4),0),0)</f>
        <v>0</v>
      </c>
      <c r="AW3" s="225">
        <f>IF(AP3&lt;&gt;"",IF(((AP3*Paramètres!$H$4)-PORTEFEUILLE_DELPHINE[[#This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" s="190" t="str">
        <f>IF(PORTEFEUILLE_DELPHINE[[#This Row],[BONI COMPTABLE]]&lt;&gt;0,1,"")</f>
        <v/>
      </c>
      <c r="AY3" s="190" t="str">
        <f>IF(PORTEFEUILLE_DELPHINE[[#This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205</v>
      </c>
      <c r="BJ3" s="193"/>
      <c r="BK3" s="192"/>
    </row>
    <row r="4" spans="1:78" x14ac:dyDescent="0.25">
      <c r="A4" s="172" t="s">
        <v>138</v>
      </c>
      <c r="B4" s="170">
        <v>860070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59" si="0">IF(I4="","",MONTH(I4))</f>
        <v>2</v>
      </c>
      <c r="L4" s="190">
        <f t="shared" ref="L4:L59" si="1">IF(I4="","",DAYS360(E4,I4))</f>
        <v>42</v>
      </c>
      <c r="M4" s="188" t="s">
        <v>200</v>
      </c>
      <c r="N4" s="188" t="s">
        <v>200</v>
      </c>
      <c r="O4" s="188" t="s">
        <v>117</v>
      </c>
      <c r="P4" s="188" t="s">
        <v>223</v>
      </c>
      <c r="Q4" s="188" t="s">
        <v>205</v>
      </c>
      <c r="R4" s="188" t="s">
        <v>222</v>
      </c>
      <c r="S4" s="213">
        <v>0</v>
      </c>
      <c r="T4" s="207">
        <v>100</v>
      </c>
      <c r="U4" s="219" t="s">
        <v>231</v>
      </c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SUM(PORTEFEUILLE_DELPHINE[[#This Row],[PCR COMPTABLE €]:[MONTANT
RESPONSABLE RELATION CLIENT €]])-PORTEFEUILLE_DELPHINE[[#This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 t="s">
        <v>205</v>
      </c>
      <c r="AP4" s="188">
        <v>30</v>
      </c>
      <c r="AQ4" s="188">
        <v>20</v>
      </c>
      <c r="AR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1000</v>
      </c>
      <c r="AT4" s="188" t="str">
        <f>IF(PORTEFEUILLE_DELPHINE[[#This Row],[BONI AAC]]&lt;&gt;0,1,"")</f>
        <v/>
      </c>
      <c r="AU4" s="188">
        <f>IF(PORTEFEUILLE_DELPHINE[[#This Row],[MALI AAC]]&lt;&gt;0,1,"")</f>
        <v>1</v>
      </c>
      <c r="AV4" s="225" t="e">
        <f>IF(AP4&lt;&gt;"",IF((AP4*Paramètres!$H$4)-PORTEFEUILLE_DELPHINE[[#This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€]]-(DELPHINE!AP4*Paramètres!$H$4),0),0)</f>
        <v>#VALUE!</v>
      </c>
      <c r="AW4" s="225" t="e">
        <f>IF(AP4&lt;&gt;"",IF(((AP4*Paramètres!$H$4)-PORTEFEUILLE_DELPHINE[[#This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#VALUE!</v>
      </c>
      <c r="AX4" s="190" t="e">
        <f>IF(PORTEFEUILLE_DELPHINE[[#This Row],[BONI COMPTABLE]]&lt;&gt;0,1,"")</f>
        <v>#VALUE!</v>
      </c>
      <c r="AY4" s="190" t="e">
        <f>IF(PORTEFEUILLE_DELPHINE[[#This Row],[MALI COMPTABLE]]&lt;&gt;0,1,"")</f>
        <v>#VALUE!</v>
      </c>
      <c r="AZ4" s="188">
        <v>4</v>
      </c>
      <c r="BA4" s="188" t="s">
        <v>209</v>
      </c>
      <c r="BB4" s="188" t="s">
        <v>209</v>
      </c>
      <c r="BC4" s="188" t="s">
        <v>209</v>
      </c>
      <c r="BD4" s="188" t="s">
        <v>232</v>
      </c>
      <c r="BE4" s="188" t="s">
        <v>233</v>
      </c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72" t="s">
        <v>138</v>
      </c>
      <c r="B5" s="170">
        <v>860071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SUM(PORTEFEUILLE_DELPHINE[[#This Row],[PCR COMPTABLE €]:[MONTANT
RESPONSABLE RELATION CLIENT €]])-PORTEFEUILLE_DELPHINE[[#This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2200</v>
      </c>
      <c r="AT5" s="188" t="str">
        <f>IF(PORTEFEUILLE_DELPHINE[[#This Row],[BONI AAC]]&lt;&gt;0,1,"")</f>
        <v/>
      </c>
      <c r="AU5" s="188">
        <f>IF(PORTEFEUILLE_DELPHINE[[#This Row],[MALI AAC]]&lt;&gt;0,1,"")</f>
        <v>1</v>
      </c>
      <c r="AV5" s="225">
        <f>IF(AP5&lt;&gt;"",IF((AP5*Paramètres!$H$4)-PORTEFEUILLE_DELPHINE[[#This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€]]-(DELPHINE!AP5*Paramètres!$H$4),0),0)</f>
        <v>0</v>
      </c>
      <c r="AW5" s="225">
        <f>IF(AP5&lt;&gt;"",IF(((AP5*Paramètres!$H$4)-PORTEFEUILLE_DELPHINE[[#This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4150</v>
      </c>
      <c r="AX5" s="190" t="str">
        <f>IF(PORTEFEUILLE_DELPHINE[[#This Row],[BONI COMPTABLE]]&lt;&gt;0,1,"")</f>
        <v/>
      </c>
      <c r="AY5" s="190">
        <f>IF(PORTEFEUILLE_DELPHINE[[#This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3"/>
      <c r="C6" s="165"/>
      <c r="D6" s="171"/>
      <c r="E6" s="189"/>
      <c r="F6" s="188"/>
      <c r="G6" s="189"/>
      <c r="H6" s="189"/>
      <c r="I6" s="189"/>
      <c r="J6" s="189"/>
      <c r="K6" s="190"/>
      <c r="L6" s="190"/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/>
      <c r="AI6" s="191"/>
      <c r="AJ6" s="188"/>
      <c r="AK6" s="188"/>
      <c r="AL6" s="188"/>
      <c r="AM6" s="191"/>
      <c r="AN6" s="188"/>
      <c r="AO6" s="188"/>
      <c r="AP6" s="188"/>
      <c r="AQ6" s="188"/>
      <c r="AR6" s="225"/>
      <c r="AS6" s="225"/>
      <c r="AT6" s="188"/>
      <c r="AU6" s="188"/>
      <c r="AV6" s="225"/>
      <c r="AW6" s="225"/>
      <c r="AX6" s="190"/>
      <c r="AY6" s="190"/>
      <c r="AZ6" s="188"/>
      <c r="BA6" s="188"/>
      <c r="BB6" s="188"/>
      <c r="BC6" s="188"/>
      <c r="BD6" s="196"/>
      <c r="BE6" s="196"/>
      <c r="BF6" s="196"/>
      <c r="BG6" s="192"/>
      <c r="BH6" s="194"/>
      <c r="BI6" s="194"/>
      <c r="BJ6" s="195"/>
      <c r="BK6" s="194"/>
    </row>
    <row r="7" spans="1:78" x14ac:dyDescent="0.25">
      <c r="A7" s="172"/>
      <c r="B7" s="170"/>
      <c r="C7" s="165"/>
      <c r="D7" s="171"/>
      <c r="E7" s="189"/>
      <c r="F7" s="188"/>
      <c r="G7" s="189"/>
      <c r="H7" s="189"/>
      <c r="I7" s="189"/>
      <c r="J7" s="189"/>
      <c r="K7" s="190"/>
      <c r="L7" s="190"/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/>
      <c r="AI7" s="191"/>
      <c r="AJ7" s="188"/>
      <c r="AK7" s="188"/>
      <c r="AL7" s="188"/>
      <c r="AM7" s="191"/>
      <c r="AN7" s="188"/>
      <c r="AO7" s="188"/>
      <c r="AP7" s="188"/>
      <c r="AQ7" s="188"/>
      <c r="AR7" s="225"/>
      <c r="AS7" s="225"/>
      <c r="AT7" s="188"/>
      <c r="AU7" s="188"/>
      <c r="AV7" s="225"/>
      <c r="AW7" s="225"/>
      <c r="AX7" s="190"/>
      <c r="AY7" s="190"/>
      <c r="AZ7" s="188"/>
      <c r="BA7" s="188"/>
      <c r="BB7" s="188"/>
      <c r="BC7" s="188"/>
      <c r="BD7" s="188"/>
      <c r="BE7" s="188"/>
      <c r="BF7" s="188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8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4"/>
      <c r="T8" s="208"/>
      <c r="U8" s="220"/>
      <c r="V8" s="220"/>
      <c r="W8" s="220"/>
      <c r="X8" s="220"/>
      <c r="Y8" s="220"/>
      <c r="Z8" s="220"/>
      <c r="AA8" s="220"/>
      <c r="AB8" s="220"/>
      <c r="AC8" s="220"/>
      <c r="AD8" s="220"/>
      <c r="AE8" s="220"/>
      <c r="AF8" s="220"/>
      <c r="AG8" s="219"/>
      <c r="AH8" s="225">
        <f>SUM(PORTEFEUILLE_DELPHINE[[#This Row],[PCR COMPTABLE €]:[MONTANT
RESPONSABLE RELATION CLIENT €]])-PORTEFEUILLE_DELPHINE[[#This Row],[MONTANT TOTAL LETTRE DE MISION €]]</f>
        <v>0</v>
      </c>
      <c r="AI8" s="191"/>
      <c r="AJ8" s="188"/>
      <c r="AK8" s="188"/>
      <c r="AL8" s="188"/>
      <c r="AM8" s="191"/>
      <c r="AN8" s="196"/>
      <c r="AO8" s="196"/>
      <c r="AP8" s="196"/>
      <c r="AQ8" s="196"/>
      <c r="AR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8" s="188" t="str">
        <f>IF(PORTEFEUILLE_DELPHINE[[#This Row],[BONI AAC]]&lt;&gt;0,1,"")</f>
        <v/>
      </c>
      <c r="AU8" s="188" t="str">
        <f>IF(PORTEFEUILLE_DELPHINE[[#This Row],[MALI AAC]]&lt;&gt;0,1,"")</f>
        <v/>
      </c>
      <c r="AV8" s="225">
        <f>IF(AP8&lt;&gt;"",IF((AP8*Paramètres!$H$4)-PORTEFEUILLE_DELPHINE[[#This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€]]-(DELPHINE!AP8*Paramètres!$H$4),0),0)</f>
        <v>0</v>
      </c>
      <c r="AW8" s="225">
        <f>IF(AP8&lt;&gt;"",IF(((AP8*Paramètres!$H$4)-PORTEFEUILLE_DELPHINE[[#This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8" s="190" t="str">
        <f>IF(PORTEFEUILLE_DELPHINE[[#This Row],[BONI COMPTABLE]]&lt;&gt;0,1,"")</f>
        <v/>
      </c>
      <c r="AY8" s="190" t="str">
        <f>IF(PORTEFEUILLE_DELPHINE[[#This Row],[MALI COMPTABLE]]&lt;&gt;0,1,"")</f>
        <v/>
      </c>
      <c r="AZ8" s="196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9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3"/>
      <c r="T9" s="207"/>
      <c r="U9" s="219"/>
      <c r="V9" s="219"/>
      <c r="W9" s="219"/>
      <c r="X9" s="219"/>
      <c r="Y9" s="219"/>
      <c r="Z9" s="219"/>
      <c r="AA9" s="219"/>
      <c r="AB9" s="219"/>
      <c r="AC9" s="219"/>
      <c r="AD9" s="219"/>
      <c r="AE9" s="219"/>
      <c r="AF9" s="219"/>
      <c r="AG9" s="219"/>
      <c r="AH9" s="225">
        <f>SUM(PORTEFEUILLE_DELPHINE[[#This Row],[PCR COMPTABLE €]:[MONTANT
RESPONSABLE RELATION CLIENT €]])-PORTEFEUILLE_DELPHINE[[#This Row],[MONTANT TOTAL LETTRE DE MISION €]]</f>
        <v>0</v>
      </c>
      <c r="AI9" s="191"/>
      <c r="AJ9" s="188"/>
      <c r="AK9" s="188"/>
      <c r="AL9" s="188"/>
      <c r="AM9" s="191"/>
      <c r="AN9" s="188"/>
      <c r="AO9" s="188"/>
      <c r="AP9" s="188"/>
      <c r="AQ9" s="188"/>
      <c r="AR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9" s="188" t="str">
        <f>IF(PORTEFEUILLE_DELPHINE[[#This Row],[BONI AAC]]&lt;&gt;0,1,"")</f>
        <v/>
      </c>
      <c r="AU9" s="188" t="str">
        <f>IF(PORTEFEUILLE_DELPHINE[[#This Row],[MALI AAC]]&lt;&gt;0,1,"")</f>
        <v/>
      </c>
      <c r="AV9" s="225">
        <f>IF(AP9&lt;&gt;"",IF((AP9*Paramètres!$H$4)-PORTEFEUILLE_DELPHINE[[#This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€]]-(DELPHINE!AP9*Paramètres!$H$4),0),0)</f>
        <v>0</v>
      </c>
      <c r="AW9" s="225">
        <f>IF(AP9&lt;&gt;"",IF(((AP9*Paramètres!$H$4)-PORTEFEUILLE_DELPHINE[[#This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9" s="190" t="str">
        <f>IF(PORTEFEUILLE_DELPHINE[[#This Row],[BONI COMPTABLE]]&lt;&gt;0,1,"")</f>
        <v/>
      </c>
      <c r="AY9" s="190" t="str">
        <f>IF(PORTEFEUILLE_DELPHINE[[#This Row],[MALI COMPTABLE]]&lt;&gt;0,1,"")</f>
        <v/>
      </c>
      <c r="AZ9" s="188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3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SUM(PORTEFEUILLE_DELPHINE[[#This Row],[PCR COMPTABLE €]:[MONTANT
RESPONSABLE RELATION CLIENT €]])-PORTEFEUILLE_DELPHINE[[#This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0" s="188" t="str">
        <f>IF(PORTEFEUILLE_DELPHINE[[#This Row],[BONI AAC]]&lt;&gt;0,1,"")</f>
        <v/>
      </c>
      <c r="AU10" s="188" t="str">
        <f>IF(PORTEFEUILLE_DELPHINE[[#This Row],[MALI AAC]]&lt;&gt;0,1,"")</f>
        <v/>
      </c>
      <c r="AV10" s="225">
        <f>IF(AP10&lt;&gt;"",IF((AP10*Paramètres!$H$4)-PORTEFEUILLE_DELPHINE[[#This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€]]-(DELPHINE!AP10*Paramètres!$H$4),0),0)</f>
        <v>0</v>
      </c>
      <c r="AW10" s="225">
        <f>IF(AP10&lt;&gt;"",IF(((AP10*Paramètres!$H$4)-PORTEFEUILLE_DELPHINE[[#This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0" s="190" t="str">
        <f>IF(PORTEFEUILLE_DELPHINE[[#This Row],[BONI COMPTABLE]]&lt;&gt;0,1,"")</f>
        <v/>
      </c>
      <c r="AY10" s="190" t="str">
        <f>IF(PORTEFEUILLE_DELPHINE[[#This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0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SUM(PORTEFEUILLE_DELPHINE[[#This Row],[PCR COMPTABLE €]:[MONTANT
RESPONSABLE RELATION CLIENT €]])-PORTEFEUILLE_DELPHINE[[#This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1" s="188" t="str">
        <f>IF(PORTEFEUILLE_DELPHINE[[#This Row],[BONI AAC]]&lt;&gt;0,1,"")</f>
        <v/>
      </c>
      <c r="AU11" s="188" t="str">
        <f>IF(PORTEFEUILLE_DELPHINE[[#This Row],[MALI AAC]]&lt;&gt;0,1,"")</f>
        <v/>
      </c>
      <c r="AV11" s="225">
        <f>IF(AP11&lt;&gt;"",IF((AP11*Paramètres!$H$4)-PORTEFEUILLE_DELPHINE[[#This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€]]-(DELPHINE!AP11*Paramètres!$H$4),0),0)</f>
        <v>0</v>
      </c>
      <c r="AW11" s="225">
        <f>IF(AP11&lt;&gt;"",IF(((AP11*Paramètres!$H$4)-PORTEFEUILLE_DELPHINE[[#This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1" s="190" t="str">
        <f>IF(PORTEFEUILLE_DELPHINE[[#This Row],[BONI COMPTABLE]]&lt;&gt;0,1,"")</f>
        <v/>
      </c>
      <c r="AY11" s="190" t="str">
        <f>IF(PORTEFEUILLE_DELPHINE[[#This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SUM(PORTEFEUILLE_DELPHINE[[#This Row],[PCR COMPTABLE €]:[MONTANT
RESPONSABLE RELATION CLIENT €]])-PORTEFEUILLE_DELPHINE[[#This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2" s="188" t="str">
        <f>IF(PORTEFEUILLE_DELPHINE[[#This Row],[BONI AAC]]&lt;&gt;0,1,"")</f>
        <v/>
      </c>
      <c r="AU12" s="188" t="str">
        <f>IF(PORTEFEUILLE_DELPHINE[[#This Row],[MALI AAC]]&lt;&gt;0,1,"")</f>
        <v/>
      </c>
      <c r="AV12" s="225">
        <f>IF(AP12&lt;&gt;"",IF((AP12*Paramètres!$H$4)-PORTEFEUILLE_DELPHINE[[#This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€]]-(DELPHINE!AP12*Paramètres!$H$4),0),0)</f>
        <v>0</v>
      </c>
      <c r="AW12" s="225">
        <f>IF(AP12&lt;&gt;"",IF(((AP12*Paramètres!$H$4)-PORTEFEUILLE_DELPHINE[[#This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2" s="190" t="str">
        <f>IF(PORTEFEUILLE_DELPHINE[[#This Row],[BONI COMPTABLE]]&lt;&gt;0,1,"")</f>
        <v/>
      </c>
      <c r="AY12" s="190" t="str">
        <f>IF(PORTEFEUILLE_DELPHINE[[#This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SUM(PORTEFEUILLE_DELPHINE[[#This Row],[PCR COMPTABLE €]:[MONTANT
RESPONSABLE RELATION CLIENT €]])-PORTEFEUILLE_DELPHINE[[#This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3" s="188" t="str">
        <f>IF(PORTEFEUILLE_DELPHINE[[#This Row],[BONI AAC]]&lt;&gt;0,1,"")</f>
        <v/>
      </c>
      <c r="AU13" s="188" t="str">
        <f>IF(PORTEFEUILLE_DELPHINE[[#This Row],[MALI AAC]]&lt;&gt;0,1,"")</f>
        <v/>
      </c>
      <c r="AV13" s="225">
        <f>IF(AP13&lt;&gt;"",IF((AP13*Paramètres!$H$4)-PORTEFEUILLE_DELPHINE[[#This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€]]-(DELPHINE!AP13*Paramètres!$H$4),0),0)</f>
        <v>0</v>
      </c>
      <c r="AW13" s="225">
        <f>IF(AP13&lt;&gt;"",IF(((AP13*Paramètres!$H$4)-PORTEFEUILLE_DELPHINE[[#This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3" s="190" t="str">
        <f>IF(PORTEFEUILLE_DELPHINE[[#This Row],[BONI COMPTABLE]]&lt;&gt;0,1,"")</f>
        <v/>
      </c>
      <c r="AY13" s="190" t="str">
        <f>IF(PORTEFEUILLE_DELPHINE[[#This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ht="14.25" customHeight="1" x14ac:dyDescent="0.25">
      <c r="A14" s="172"/>
      <c r="B14" s="170"/>
      <c r="C14" s="170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SUM(PORTEFEUILLE_DELPHINE[[#This Row],[PCR COMPTABLE €]:[MONTANT
RESPONSABLE RELATION CLIENT €]])-PORTEFEUILLE_DELPHINE[[#This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4" s="188" t="str">
        <f>IF(PORTEFEUILLE_DELPHINE[[#This Row],[BONI AAC]]&lt;&gt;0,1,"")</f>
        <v/>
      </c>
      <c r="AU14" s="188" t="str">
        <f>IF(PORTEFEUILLE_DELPHINE[[#This Row],[MALI AAC]]&lt;&gt;0,1,"")</f>
        <v/>
      </c>
      <c r="AV14" s="225">
        <f>IF(AP14&lt;&gt;"",IF((AP14*Paramètres!$H$4)-PORTEFEUILLE_DELPHINE[[#This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€]]-(DELPHINE!AP14*Paramètres!$H$4),0),0)</f>
        <v>0</v>
      </c>
      <c r="AW14" s="225">
        <f>IF(AP14&lt;&gt;"",IF(((AP14*Paramètres!$H$4)-PORTEFEUILLE_DELPHINE[[#This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4" s="190" t="str">
        <f>IF(PORTEFEUILLE_DELPHINE[[#This Row],[BONI COMPTABLE]]&lt;&gt;0,1,"")</f>
        <v/>
      </c>
      <c r="AY14" s="190" t="str">
        <f>IF(PORTEFEUILLE_DELPHINE[[#This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4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SUM(PORTEFEUILLE_DELPHINE[[#This Row],[PCR COMPTABLE €]:[MONTANT
RESPONSABLE RELATION CLIENT €]])-PORTEFEUILLE_DELPHINE[[#This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5" s="188" t="str">
        <f>IF(PORTEFEUILLE_DELPHINE[[#This Row],[BONI AAC]]&lt;&gt;0,1,"")</f>
        <v/>
      </c>
      <c r="AU15" s="188" t="str">
        <f>IF(PORTEFEUILLE_DELPHINE[[#This Row],[MALI AAC]]&lt;&gt;0,1,"")</f>
        <v/>
      </c>
      <c r="AV15" s="225">
        <f>IF(AP15&lt;&gt;"",IF((AP15*Paramètres!$H$4)-PORTEFEUILLE_DELPHINE[[#This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€]]-(DELPHINE!AP15*Paramètres!$H$4),0),0)</f>
        <v>0</v>
      </c>
      <c r="AW15" s="225">
        <f>IF(AP15&lt;&gt;"",IF(((AP15*Paramètres!$H$4)-PORTEFEUILLE_DELPHINE[[#This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5" s="190" t="str">
        <f>IF(PORTEFEUILLE_DELPHINE[[#This Row],[BONI COMPTABLE]]&lt;&gt;0,1,"")</f>
        <v/>
      </c>
      <c r="AY15" s="190" t="str">
        <f>IF(PORTEFEUILLE_DELPHINE[[#This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5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SUM(PORTEFEUILLE_DELPHINE[[#This Row],[PCR COMPTABLE €]:[MONTANT
RESPONSABLE RELATION CLIENT €]])-PORTEFEUILLE_DELPHINE[[#This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6" s="188" t="str">
        <f>IF(PORTEFEUILLE_DELPHINE[[#This Row],[BONI AAC]]&lt;&gt;0,1,"")</f>
        <v/>
      </c>
      <c r="AU16" s="188" t="str">
        <f>IF(PORTEFEUILLE_DELPHINE[[#This Row],[MALI AAC]]&lt;&gt;0,1,"")</f>
        <v/>
      </c>
      <c r="AV16" s="225">
        <f>IF(AP16&lt;&gt;"",IF((AP16*Paramètres!$H$4)-PORTEFEUILLE_DELPHINE[[#This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€]]-(DELPHINE!AP16*Paramètres!$H$4),0),0)</f>
        <v>0</v>
      </c>
      <c r="AW16" s="225">
        <f>IF(AP16&lt;&gt;"",IF(((AP16*Paramètres!$H$4)-PORTEFEUILLE_DELPHINE[[#This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6" s="190" t="str">
        <f>IF(PORTEFEUILLE_DELPHINE[[#This Row],[BONI COMPTABLE]]&lt;&gt;0,1,"")</f>
        <v/>
      </c>
      <c r="AY16" s="190" t="str">
        <f>IF(PORTEFEUILLE_DELPHINE[[#This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customFormat="1" x14ac:dyDescent="0.25">
      <c r="A17" s="172"/>
      <c r="B17" s="170"/>
      <c r="C17" s="16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SUM(PORTEFEUILLE_DELPHINE[[#This Row],[PCR COMPTABLE €]:[MONTANT
RESPONSABLE RELATION CLIENT €]])-PORTEFEUILLE_DELPHINE[[#This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7" s="188" t="str">
        <f>IF(PORTEFEUILLE_DELPHINE[[#This Row],[BONI AAC]]&lt;&gt;0,1,"")</f>
        <v/>
      </c>
      <c r="AU17" s="188" t="str">
        <f>IF(PORTEFEUILLE_DELPHINE[[#This Row],[MALI AAC]]&lt;&gt;0,1,"")</f>
        <v/>
      </c>
      <c r="AV17" s="225">
        <f>IF(AP17&lt;&gt;"",IF((AP17*Paramètres!$H$4)-PORTEFEUILLE_DELPHINE[[#This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€]]-(DELPHINE!AP17*Paramètres!$H$4),0),0)</f>
        <v>0</v>
      </c>
      <c r="AW17" s="225">
        <f>IF(AP17&lt;&gt;"",IF(((AP17*Paramètres!$H$4)-PORTEFEUILLE_DELPHINE[[#This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7" s="190" t="str">
        <f>IF(PORTEFEUILLE_DELPHINE[[#This Row],[BONI COMPTABLE]]&lt;&gt;0,1,"")</f>
        <v/>
      </c>
      <c r="AY17" s="190" t="str">
        <f>IF(PORTEFEUILLE_DELPHINE[[#This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SUM(PORTEFEUILLE_DELPHINE[[#This Row],[PCR COMPTABLE €]:[MONTANT
RESPONSABLE RELATION CLIENT €]])-PORTEFEUILLE_DELPHINE[[#This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8" s="188" t="str">
        <f>IF(PORTEFEUILLE_DELPHINE[[#This Row],[BONI AAC]]&lt;&gt;0,1,"")</f>
        <v/>
      </c>
      <c r="AU18" s="188" t="str">
        <f>IF(PORTEFEUILLE_DELPHINE[[#This Row],[MALI AAC]]&lt;&gt;0,1,"")</f>
        <v/>
      </c>
      <c r="AV18" s="225">
        <f>IF(AP18&lt;&gt;"",IF((AP18*Paramètres!$H$4)-PORTEFEUILLE_DELPHINE[[#This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€]]-(DELPHINE!AP18*Paramètres!$H$4),0),0)</f>
        <v>0</v>
      </c>
      <c r="AW18" s="225">
        <f>IF(AP18&lt;&gt;"",IF(((AP18*Paramètres!$H$4)-PORTEFEUILLE_DELPHINE[[#This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8" s="190" t="str">
        <f>IF(PORTEFEUILLE_DELPHINE[[#This Row],[BONI COMPTABLE]]&lt;&gt;0,1,"")</f>
        <v/>
      </c>
      <c r="AY18" s="190" t="str">
        <f>IF(PORTEFEUILLE_DELPHINE[[#This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8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4"/>
      <c r="T19" s="208"/>
      <c r="U19" s="220"/>
      <c r="V19" s="220"/>
      <c r="W19" s="220"/>
      <c r="X19" s="220"/>
      <c r="Y19" s="220"/>
      <c r="Z19" s="220"/>
      <c r="AA19" s="220"/>
      <c r="AB19" s="220"/>
      <c r="AC19" s="220"/>
      <c r="AD19" s="220"/>
      <c r="AE19" s="220"/>
      <c r="AF19" s="220"/>
      <c r="AG19" s="219"/>
      <c r="AH19" s="225">
        <f>SUM(PORTEFEUILLE_DELPHINE[[#This Row],[PCR COMPTABLE €]:[MONTANT
RESPONSABLE RELATION CLIENT €]])-PORTEFEUILLE_DELPHINE[[#This Row],[MONTANT TOTAL LETTRE DE MISION €]]</f>
        <v>0</v>
      </c>
      <c r="AI19" s="191"/>
      <c r="AJ19" s="188"/>
      <c r="AK19" s="188"/>
      <c r="AL19" s="188"/>
      <c r="AM19" s="191"/>
      <c r="AN19" s="196"/>
      <c r="AO19" s="196"/>
      <c r="AP19" s="196"/>
      <c r="AQ19" s="196"/>
      <c r="AR1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9" s="188" t="str">
        <f>IF(PORTEFEUILLE_DELPHINE[[#This Row],[BONI AAC]]&lt;&gt;0,1,"")</f>
        <v/>
      </c>
      <c r="AU19" s="188" t="str">
        <f>IF(PORTEFEUILLE_DELPHINE[[#This Row],[MALI AAC]]&lt;&gt;0,1,"")</f>
        <v/>
      </c>
      <c r="AV19" s="225">
        <f>IF(AP19&lt;&gt;"",IF((AP19*Paramètres!$H$4)-PORTEFEUILLE_DELPHINE[[#This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€]]-(DELPHINE!AP19*Paramètres!$H$4),0),0)</f>
        <v>0</v>
      </c>
      <c r="AW19" s="225">
        <f>IF(AP19&lt;&gt;"",IF(((AP19*Paramètres!$H$4)-PORTEFEUILLE_DELPHINE[[#This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9" s="190" t="str">
        <f>IF(PORTEFEUILLE_DELPHINE[[#This Row],[BONI COMPTABLE]]&lt;&gt;0,1,"")</f>
        <v/>
      </c>
      <c r="AY19" s="190" t="str">
        <f>IF(PORTEFEUILLE_DELPHINE[[#This Row],[MALI COMPTABLE]]&lt;&gt;0,1,"")</f>
        <v/>
      </c>
      <c r="AZ19" s="196"/>
      <c r="BA19" s="188"/>
      <c r="BB19" s="188"/>
      <c r="BC19" s="188"/>
      <c r="BD19" s="196"/>
      <c r="BE19" s="196"/>
      <c r="BF19" s="196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9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3"/>
      <c r="T20" s="207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19"/>
      <c r="AG20" s="219"/>
      <c r="AH20" s="225">
        <f>SUM(PORTEFEUILLE_DELPHINE[[#This Row],[PCR COMPTABLE €]:[MONTANT
RESPONSABLE RELATION CLIENT €]])-PORTEFEUILLE_DELPHINE[[#This Row],[MONTANT TOTAL LETTRE DE MISION €]]</f>
        <v>0</v>
      </c>
      <c r="AI20" s="191"/>
      <c r="AJ20" s="188"/>
      <c r="AK20" s="188"/>
      <c r="AL20" s="188"/>
      <c r="AM20" s="191"/>
      <c r="AN20" s="188"/>
      <c r="AO20" s="188"/>
      <c r="AP20" s="188"/>
      <c r="AQ20" s="188"/>
      <c r="AR2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0" s="188" t="str">
        <f>IF(PORTEFEUILLE_DELPHINE[[#This Row],[BONI AAC]]&lt;&gt;0,1,"")</f>
        <v/>
      </c>
      <c r="AU20" s="188" t="str">
        <f>IF(PORTEFEUILLE_DELPHINE[[#This Row],[MALI AAC]]&lt;&gt;0,1,"")</f>
        <v/>
      </c>
      <c r="AV20" s="225">
        <f>IF(AP20&lt;&gt;"",IF((AP20*Paramètres!$H$4)-PORTEFEUILLE_DELPHINE[[#This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€]]-(DELPHINE!AP20*Paramètres!$H$4),0),0)</f>
        <v>0</v>
      </c>
      <c r="AW20" s="225">
        <f>IF(AP20&lt;&gt;"",IF(((AP20*Paramètres!$H$4)-PORTEFEUILLE_DELPHINE[[#This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0" s="190" t="str">
        <f>IF(PORTEFEUILLE_DELPHINE[[#This Row],[BONI COMPTABLE]]&lt;&gt;0,1,"")</f>
        <v/>
      </c>
      <c r="AY20" s="190" t="str">
        <f>IF(PORTEFEUILLE_DELPHINE[[#This Row],[MALI COMPTABLE]]&lt;&gt;0,1,"")</f>
        <v/>
      </c>
      <c r="AZ20" s="188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5"/>
      <c r="T21" s="209"/>
      <c r="U21" s="221"/>
      <c r="V21" s="221"/>
      <c r="W21" s="221"/>
      <c r="X21" s="221"/>
      <c r="Y21" s="221"/>
      <c r="Z21" s="221"/>
      <c r="AA21" s="221"/>
      <c r="AB21" s="221"/>
      <c r="AC21" s="221"/>
      <c r="AD21" s="221"/>
      <c r="AE21" s="221"/>
      <c r="AF21" s="221"/>
      <c r="AG21" s="219"/>
      <c r="AH21" s="225">
        <f>SUM(PORTEFEUILLE_DELPHINE[[#This Row],[PCR COMPTABLE €]:[MONTANT
RESPONSABLE RELATION CLIENT €]])-PORTEFEUILLE_DELPHINE[[#This Row],[MONTANT TOTAL LETTRE DE MISION €]]</f>
        <v>0</v>
      </c>
      <c r="AI21" s="191"/>
      <c r="AJ21" s="188"/>
      <c r="AK21" s="188"/>
      <c r="AL21" s="188"/>
      <c r="AM21" s="191"/>
      <c r="AN21" s="197"/>
      <c r="AO21" s="197"/>
      <c r="AP21" s="197"/>
      <c r="AQ21" s="197"/>
      <c r="AR2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1" s="188" t="str">
        <f>IF(PORTEFEUILLE_DELPHINE[[#This Row],[BONI AAC]]&lt;&gt;0,1,"")</f>
        <v/>
      </c>
      <c r="AU21" s="188" t="str">
        <f>IF(PORTEFEUILLE_DELPHINE[[#This Row],[MALI AAC]]&lt;&gt;0,1,"")</f>
        <v/>
      </c>
      <c r="AV21" s="225">
        <f>IF(AP21&lt;&gt;"",IF((AP21*Paramètres!$H$4)-PORTEFEUILLE_DELPHINE[[#This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€]]-(DELPHINE!AP21*Paramètres!$H$4),0),0)</f>
        <v>0</v>
      </c>
      <c r="AW21" s="225">
        <f>IF(AP21&lt;&gt;"",IF(((AP21*Paramètres!$H$4)-PORTEFEUILLE_DELPHINE[[#This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1" s="190" t="str">
        <f>IF(PORTEFEUILLE_DELPHINE[[#This Row],[BONI COMPTABLE]]&lt;&gt;0,1,"")</f>
        <v/>
      </c>
      <c r="AY21" s="190" t="str">
        <f>IF(PORTEFEUILLE_DELPHINE[[#This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3"/>
      <c r="T22" s="207"/>
      <c r="U22" s="219"/>
      <c r="V22" s="219"/>
      <c r="W22" s="219"/>
      <c r="X22" s="219"/>
      <c r="Y22" s="219"/>
      <c r="Z22" s="219"/>
      <c r="AA22" s="219"/>
      <c r="AB22" s="219"/>
      <c r="AC22" s="219"/>
      <c r="AD22" s="219"/>
      <c r="AE22" s="219"/>
      <c r="AF22" s="219"/>
      <c r="AG22" s="219"/>
      <c r="AH22" s="225">
        <f>SUM(PORTEFEUILLE_DELPHINE[[#This Row],[PCR COMPTABLE €]:[MONTANT
RESPONSABLE RELATION CLIENT €]])-PORTEFEUILLE_DELPHINE[[#This Row],[MONTANT TOTAL LETTRE DE MISION €]]</f>
        <v>0</v>
      </c>
      <c r="AI22" s="191"/>
      <c r="AJ22" s="188"/>
      <c r="AK22" s="188"/>
      <c r="AL22" s="188"/>
      <c r="AM22" s="191"/>
      <c r="AN22" s="188"/>
      <c r="AO22" s="188"/>
      <c r="AP22" s="188"/>
      <c r="AQ22" s="188"/>
      <c r="AR2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2" s="188" t="str">
        <f>IF(PORTEFEUILLE_DELPHINE[[#This Row],[BONI AAC]]&lt;&gt;0,1,"")</f>
        <v/>
      </c>
      <c r="AU22" s="188" t="str">
        <f>IF(PORTEFEUILLE_DELPHINE[[#This Row],[MALI AAC]]&lt;&gt;0,1,"")</f>
        <v/>
      </c>
      <c r="AV22" s="225">
        <f>IF(AP22&lt;&gt;"",IF((AP22*Paramètres!$H$4)-PORTEFEUILLE_DELPHINE[[#This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€]]-(DELPHINE!AP22*Paramètres!$H$4),0),0)</f>
        <v>0</v>
      </c>
      <c r="AW22" s="225">
        <f>IF(AP22&lt;&gt;"",IF(((AP22*Paramètres!$H$4)-PORTEFEUILLE_DELPHINE[[#This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2" s="190" t="str">
        <f>IF(PORTEFEUILLE_DELPHINE[[#This Row],[BONI COMPTABLE]]&lt;&gt;0,1,"")</f>
        <v/>
      </c>
      <c r="AY22" s="190" t="str">
        <f>IF(PORTEFEUILLE_DELPHINE[[#This Row],[MALI COMPTABLE]]&lt;&gt;0,1,"")</f>
        <v/>
      </c>
      <c r="AZ22" s="188"/>
      <c r="BA22" s="188"/>
      <c r="BB22" s="188"/>
      <c r="BC22" s="188"/>
      <c r="BD22" s="188"/>
      <c r="BE22" s="188"/>
      <c r="BF22" s="188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8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4"/>
      <c r="T23" s="208"/>
      <c r="U23" s="220"/>
      <c r="V23" s="220"/>
      <c r="W23" s="220"/>
      <c r="X23" s="220"/>
      <c r="Y23" s="220"/>
      <c r="Z23" s="220"/>
      <c r="AA23" s="220"/>
      <c r="AB23" s="220"/>
      <c r="AC23" s="220"/>
      <c r="AD23" s="220"/>
      <c r="AE23" s="220"/>
      <c r="AF23" s="220"/>
      <c r="AG23" s="219"/>
      <c r="AH23" s="225">
        <f>SUM(PORTEFEUILLE_DELPHINE[[#This Row],[PCR COMPTABLE €]:[MONTANT
RESPONSABLE RELATION CLIENT €]])-PORTEFEUILLE_DELPHINE[[#This Row],[MONTANT TOTAL LETTRE DE MISION €]]</f>
        <v>0</v>
      </c>
      <c r="AI23" s="191"/>
      <c r="AJ23" s="188"/>
      <c r="AK23" s="188"/>
      <c r="AL23" s="188"/>
      <c r="AM23" s="191"/>
      <c r="AN23" s="196"/>
      <c r="AO23" s="196"/>
      <c r="AP23" s="196"/>
      <c r="AQ23" s="196"/>
      <c r="AR2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3" s="188" t="str">
        <f>IF(PORTEFEUILLE_DELPHINE[[#This Row],[BONI AAC]]&lt;&gt;0,1,"")</f>
        <v/>
      </c>
      <c r="AU23" s="188" t="str">
        <f>IF(PORTEFEUILLE_DELPHINE[[#This Row],[MALI AAC]]&lt;&gt;0,1,"")</f>
        <v/>
      </c>
      <c r="AV23" s="225">
        <f>IF(AP23&lt;&gt;"",IF((AP23*Paramètres!$H$4)-PORTEFEUILLE_DELPHINE[[#This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€]]-(DELPHINE!AP23*Paramètres!$H$4),0),0)</f>
        <v>0</v>
      </c>
      <c r="AW23" s="225">
        <f>IF(AP23&lt;&gt;"",IF(((AP23*Paramètres!$H$4)-PORTEFEUILLE_DELPHINE[[#This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3" s="190" t="str">
        <f>IF(PORTEFEUILLE_DELPHINE[[#This Row],[BONI COMPTABLE]]&lt;&gt;0,1,"")</f>
        <v/>
      </c>
      <c r="AY23" s="190" t="str">
        <f>IF(PORTEFEUILLE_DELPHINE[[#This Row],[MALI COMPTABLE]]&lt;&gt;0,1,"")</f>
        <v/>
      </c>
      <c r="AZ23" s="196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SUM(PORTEFEUILLE_DELPHINE[[#This Row],[PCR COMPTABLE €]:[MONTANT
RESPONSABLE RELATION CLIENT €]])-PORTEFEUILLE_DELPHINE[[#This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4" s="188" t="str">
        <f>IF(PORTEFEUILLE_DELPHINE[[#This Row],[BONI AAC]]&lt;&gt;0,1,"")</f>
        <v/>
      </c>
      <c r="AU24" s="188" t="str">
        <f>IF(PORTEFEUILLE_DELPHINE[[#This Row],[MALI AAC]]&lt;&gt;0,1,"")</f>
        <v/>
      </c>
      <c r="AV24" s="225">
        <f>IF(AP24&lt;&gt;"",IF((AP24*Paramètres!$H$4)-PORTEFEUILLE_DELPHINE[[#This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€]]-(DELPHINE!AP24*Paramètres!$H$4),0),0)</f>
        <v>0</v>
      </c>
      <c r="AW24" s="225">
        <f>IF(AP24&lt;&gt;"",IF(((AP24*Paramètres!$H$4)-PORTEFEUILLE_DELPHINE[[#This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4" s="190" t="str">
        <f>IF(PORTEFEUILLE_DELPHINE[[#This Row],[BONI COMPTABLE]]&lt;&gt;0,1,"")</f>
        <v/>
      </c>
      <c r="AY24" s="190" t="str">
        <f>IF(PORTEFEUILLE_DELPHINE[[#This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SUM(PORTEFEUILLE_DELPHINE[[#This Row],[PCR COMPTABLE €]:[MONTANT
RESPONSABLE RELATION CLIENT €]])-PORTEFEUILLE_DELPHINE[[#This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5" s="188" t="str">
        <f>IF(PORTEFEUILLE_DELPHINE[[#This Row],[BONI AAC]]&lt;&gt;0,1,"")</f>
        <v/>
      </c>
      <c r="AU25" s="188" t="str">
        <f>IF(PORTEFEUILLE_DELPHINE[[#This Row],[MALI AAC]]&lt;&gt;0,1,"")</f>
        <v/>
      </c>
      <c r="AV25" s="225">
        <f>IF(AP25&lt;&gt;"",IF((AP25*Paramètres!$H$4)-PORTEFEUILLE_DELPHINE[[#This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€]]-(DELPHINE!AP25*Paramètres!$H$4),0),0)</f>
        <v>0</v>
      </c>
      <c r="AW25" s="225">
        <f>IF(AP25&lt;&gt;"",IF(((AP25*Paramètres!$H$4)-PORTEFEUILLE_DELPHINE[[#This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5" s="190" t="str">
        <f>IF(PORTEFEUILLE_DELPHINE[[#This Row],[BONI COMPTABLE]]&lt;&gt;0,1,"")</f>
        <v/>
      </c>
      <c r="AY25" s="190" t="str">
        <f>IF(PORTEFEUILLE_DELPHINE[[#This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SUM(PORTEFEUILLE_DELPHINE[[#This Row],[PCR COMPTABLE €]:[MONTANT
RESPONSABLE RELATION CLIENT €]])-PORTEFEUILLE_DELPHINE[[#This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6" s="188" t="str">
        <f>IF(PORTEFEUILLE_DELPHINE[[#This Row],[BONI AAC]]&lt;&gt;0,1,"")</f>
        <v/>
      </c>
      <c r="AU26" s="188" t="str">
        <f>IF(PORTEFEUILLE_DELPHINE[[#This Row],[MALI AAC]]&lt;&gt;0,1,"")</f>
        <v/>
      </c>
      <c r="AV26" s="225">
        <f>IF(AP26&lt;&gt;"",IF((AP26*Paramètres!$H$4)-PORTEFEUILLE_DELPHINE[[#This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€]]-(DELPHINE!AP26*Paramètres!$H$4),0),0)</f>
        <v>0</v>
      </c>
      <c r="AW26" s="225">
        <f>IF(AP26&lt;&gt;"",IF(((AP26*Paramètres!$H$4)-PORTEFEUILLE_DELPHINE[[#This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6" s="190" t="str">
        <f>IF(PORTEFEUILLE_DELPHINE[[#This Row],[BONI COMPTABLE]]&lt;&gt;0,1,"")</f>
        <v/>
      </c>
      <c r="AY26" s="190" t="str">
        <f>IF(PORTEFEUILLE_DELPHINE[[#This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s="90" customFormat="1" x14ac:dyDescent="0.25">
      <c r="A27" s="176"/>
      <c r="B27" s="170"/>
      <c r="C27" s="165"/>
      <c r="D27" s="171"/>
      <c r="E27" s="189"/>
      <c r="F27" s="188"/>
      <c r="G27" s="189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3"/>
      <c r="T27" s="207"/>
      <c r="U27" s="219"/>
      <c r="V27" s="219"/>
      <c r="W27" s="219"/>
      <c r="X27" s="219"/>
      <c r="Y27" s="219"/>
      <c r="Z27" s="219"/>
      <c r="AA27" s="219"/>
      <c r="AB27" s="219"/>
      <c r="AC27" s="219"/>
      <c r="AD27" s="219"/>
      <c r="AE27" s="219"/>
      <c r="AF27" s="219"/>
      <c r="AG27" s="219"/>
      <c r="AH27" s="225">
        <f>SUM(PORTEFEUILLE_DELPHINE[[#This Row],[PCR COMPTABLE €]:[MONTANT
RESPONSABLE RELATION CLIENT €]])-PORTEFEUILLE_DELPHINE[[#This Row],[MONTANT TOTAL LETTRE DE MISION €]]</f>
        <v>0</v>
      </c>
      <c r="AI27" s="191"/>
      <c r="AJ27" s="188"/>
      <c r="AK27" s="188"/>
      <c r="AL27" s="188"/>
      <c r="AM27" s="191"/>
      <c r="AN27" s="188"/>
      <c r="AO27" s="188"/>
      <c r="AP27" s="188"/>
      <c r="AQ27" s="188"/>
      <c r="AR2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7" s="188" t="str">
        <f>IF(PORTEFEUILLE_DELPHINE[[#This Row],[BONI AAC]]&lt;&gt;0,1,"")</f>
        <v/>
      </c>
      <c r="AU27" s="188" t="str">
        <f>IF(PORTEFEUILLE_DELPHINE[[#This Row],[MALI AAC]]&lt;&gt;0,1,"")</f>
        <v/>
      </c>
      <c r="AV27" s="225">
        <f>IF(AP27&lt;&gt;"",IF((AP27*Paramètres!$H$4)-PORTEFEUILLE_DELPHINE[[#This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€]]-(DELPHINE!AP27*Paramètres!$H$4),0),0)</f>
        <v>0</v>
      </c>
      <c r="AW27" s="225">
        <f>IF(AP27&lt;&gt;"",IF(((AP27*Paramètres!$H$4)-PORTEFEUILLE_DELPHINE[[#This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7" s="190" t="str">
        <f>IF(PORTEFEUILLE_DELPHINE[[#This Row],[BONI COMPTABLE]]&lt;&gt;0,1,"")</f>
        <v/>
      </c>
      <c r="AY27" s="190" t="str">
        <f>IF(PORTEFEUILLE_DELPHINE[[#This Row],[MALI COMPTABLE]]&lt;&gt;0,1,"")</f>
        <v/>
      </c>
      <c r="AZ27" s="188"/>
      <c r="BA27" s="188"/>
      <c r="BB27" s="188"/>
      <c r="BC27" s="188"/>
      <c r="BD27" s="196"/>
      <c r="BE27" s="196"/>
      <c r="BF27" s="196"/>
      <c r="BG27" s="192"/>
      <c r="BH27" s="196"/>
      <c r="BI27" s="196"/>
      <c r="BJ27" s="198"/>
      <c r="BK27" s="196"/>
    </row>
    <row r="28" spans="1:63" x14ac:dyDescent="0.25">
      <c r="A28" s="172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SUM(PORTEFEUILLE_DELPHINE[[#This Row],[PCR COMPTABLE €]:[MONTANT
RESPONSABLE RELATION CLIENT €]])-PORTEFEUILLE_DELPHINE[[#This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8" s="188" t="str">
        <f>IF(PORTEFEUILLE_DELPHINE[[#This Row],[BONI AAC]]&lt;&gt;0,1,"")</f>
        <v/>
      </c>
      <c r="AU28" s="188" t="str">
        <f>IF(PORTEFEUILLE_DELPHINE[[#This Row],[MALI AAC]]&lt;&gt;0,1,"")</f>
        <v/>
      </c>
      <c r="AV28" s="225">
        <f>IF(AP28&lt;&gt;"",IF((AP28*Paramètres!$H$4)-PORTEFEUILLE_DELPHINE[[#This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€]]-(DELPHINE!AP28*Paramètres!$H$4),0),0)</f>
        <v>0</v>
      </c>
      <c r="AW28" s="225">
        <f>IF(AP28&lt;&gt;"",IF(((AP28*Paramètres!$H$4)-PORTEFEUILLE_DELPHINE[[#This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8" s="190" t="str">
        <f>IF(PORTEFEUILLE_DELPHINE[[#This Row],[BONI COMPTABLE]]&lt;&gt;0,1,"")</f>
        <v/>
      </c>
      <c r="AY28" s="190" t="str">
        <f>IF(PORTEFEUILLE_DELPHINE[[#This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4"/>
      <c r="BI28" s="194"/>
      <c r="BJ28" s="195"/>
      <c r="BK28" s="194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SUM(PORTEFEUILLE_DELPHINE[[#This Row],[PCR COMPTABLE €]:[MONTANT
RESPONSABLE RELATION CLIENT €]])-PORTEFEUILLE_DELPHINE[[#This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9" s="188" t="str">
        <f>IF(PORTEFEUILLE_DELPHINE[[#This Row],[BONI AAC]]&lt;&gt;0,1,"")</f>
        <v/>
      </c>
      <c r="AU29" s="188" t="str">
        <f>IF(PORTEFEUILLE_DELPHINE[[#This Row],[MALI AAC]]&lt;&gt;0,1,"")</f>
        <v/>
      </c>
      <c r="AV29" s="225">
        <f>IF(AP29&lt;&gt;"",IF((AP29*Paramètres!$H$4)-PORTEFEUILLE_DELPHINE[[#This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€]]-(DELPHINE!AP29*Paramètres!$H$4),0),0)</f>
        <v>0</v>
      </c>
      <c r="AW29" s="225">
        <f>IF(AP29&lt;&gt;"",IF(((AP29*Paramètres!$H$4)-PORTEFEUILLE_DELPHINE[[#This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9" s="190" t="str">
        <f>IF(PORTEFEUILLE_DELPHINE[[#This Row],[BONI COMPTABLE]]&lt;&gt;0,1,"")</f>
        <v/>
      </c>
      <c r="AY29" s="190" t="str">
        <f>IF(PORTEFEUILLE_DELPHINE[[#This Row],[MALI COMPTABLE]]&lt;&gt;0,1,"")</f>
        <v/>
      </c>
      <c r="AZ29" s="188"/>
      <c r="BA29" s="188"/>
      <c r="BB29" s="188"/>
      <c r="BC29" s="188"/>
      <c r="BD29" s="188"/>
      <c r="BE29" s="188"/>
      <c r="BF29" s="188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SUM(PORTEFEUILLE_DELPHINE[[#This Row],[PCR COMPTABLE €]:[MONTANT
RESPONSABLE RELATION CLIENT €]])-PORTEFEUILLE_DELPHINE[[#This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0" s="188" t="str">
        <f>IF(PORTEFEUILLE_DELPHINE[[#This Row],[BONI AAC]]&lt;&gt;0,1,"")</f>
        <v/>
      </c>
      <c r="AU30" s="188" t="str">
        <f>IF(PORTEFEUILLE_DELPHINE[[#This Row],[MALI AAC]]&lt;&gt;0,1,"")</f>
        <v/>
      </c>
      <c r="AV30" s="225">
        <f>IF(AP30&lt;&gt;"",IF((AP30*Paramètres!$H$4)-PORTEFEUILLE_DELPHINE[[#This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€]]-(DELPHINE!AP30*Paramètres!$H$4),0),0)</f>
        <v>0</v>
      </c>
      <c r="AW30" s="225">
        <f>IF(AP30&lt;&gt;"",IF(((AP30*Paramètres!$H$4)-PORTEFEUILLE_DELPHINE[[#This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0" s="190" t="str">
        <f>IF(PORTEFEUILLE_DELPHINE[[#This Row],[BONI COMPTABLE]]&lt;&gt;0,1,"")</f>
        <v/>
      </c>
      <c r="AY30" s="190" t="str">
        <f>IF(PORTEFEUILLE_DELPHINE[[#This Row],[MALI COMPTABLE]]&lt;&gt;0,1,"")</f>
        <v/>
      </c>
      <c r="AZ30" s="188"/>
      <c r="BA30" s="188"/>
      <c r="BB30" s="188"/>
      <c r="BC30" s="188"/>
      <c r="BD30" s="196"/>
      <c r="BE30" s="196"/>
      <c r="BF30" s="196"/>
      <c r="BG30" s="192"/>
      <c r="BH30" s="194"/>
      <c r="BI30" s="194"/>
      <c r="BJ30" s="195"/>
      <c r="BK30" s="194"/>
    </row>
    <row r="31" spans="1:63" x14ac:dyDescent="0.25">
      <c r="A31" s="172"/>
      <c r="B31" s="177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SUM(PORTEFEUILLE_DELPHINE[[#This Row],[PCR COMPTABLE €]:[MONTANT
RESPONSABLE RELATION CLIENT €]])-PORTEFEUILLE_DELPHINE[[#This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1" s="188" t="str">
        <f>IF(PORTEFEUILLE_DELPHINE[[#This Row],[BONI AAC]]&lt;&gt;0,1,"")</f>
        <v/>
      </c>
      <c r="AU31" s="188" t="str">
        <f>IF(PORTEFEUILLE_DELPHINE[[#This Row],[MALI AAC]]&lt;&gt;0,1,"")</f>
        <v/>
      </c>
      <c r="AV31" s="225">
        <f>IF(AP31&lt;&gt;"",IF((AP31*Paramètres!$H$4)-PORTEFEUILLE_DELPHINE[[#This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€]]-(DELPHINE!AP31*Paramètres!$H$4),0),0)</f>
        <v>0</v>
      </c>
      <c r="AW31" s="225">
        <f>IF(AP31&lt;&gt;"",IF(((AP31*Paramètres!$H$4)-PORTEFEUILLE_DELPHINE[[#This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1" s="190" t="str">
        <f>IF(PORTEFEUILLE_DELPHINE[[#This Row],[BONI COMPTABLE]]&lt;&gt;0,1,"")</f>
        <v/>
      </c>
      <c r="AY31" s="190" t="str">
        <f>IF(PORTEFEUILLE_DELPHINE[[#This Row],[MALI COMPTABLE]]&lt;&gt;0,1,"")</f>
        <v/>
      </c>
      <c r="AZ31" s="188"/>
      <c r="BA31" s="188"/>
      <c r="BB31" s="188"/>
      <c r="BC31" s="188"/>
      <c r="BD31" s="188"/>
      <c r="BE31" s="188"/>
      <c r="BF31" s="188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8"/>
      <c r="H32" s="189"/>
      <c r="I32" s="188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4"/>
      <c r="T32" s="208"/>
      <c r="U32" s="220"/>
      <c r="V32" s="220"/>
      <c r="W32" s="220"/>
      <c r="X32" s="220"/>
      <c r="Y32" s="220"/>
      <c r="Z32" s="220"/>
      <c r="AA32" s="220"/>
      <c r="AB32" s="220"/>
      <c r="AC32" s="220"/>
      <c r="AD32" s="220"/>
      <c r="AE32" s="220"/>
      <c r="AF32" s="220"/>
      <c r="AG32" s="219"/>
      <c r="AH32" s="225">
        <f>SUM(PORTEFEUILLE_DELPHINE[[#This Row],[PCR COMPTABLE €]:[MONTANT
RESPONSABLE RELATION CLIENT €]])-PORTEFEUILLE_DELPHINE[[#This Row],[MONTANT TOTAL LETTRE DE MISION €]]</f>
        <v>0</v>
      </c>
      <c r="AI32" s="191"/>
      <c r="AJ32" s="188"/>
      <c r="AK32" s="188"/>
      <c r="AL32" s="188"/>
      <c r="AM32" s="191"/>
      <c r="AN32" s="196"/>
      <c r="AO32" s="196"/>
      <c r="AP32" s="196"/>
      <c r="AQ32" s="196"/>
      <c r="AR3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2" s="188" t="str">
        <f>IF(PORTEFEUILLE_DELPHINE[[#This Row],[BONI AAC]]&lt;&gt;0,1,"")</f>
        <v/>
      </c>
      <c r="AU32" s="188" t="str">
        <f>IF(PORTEFEUILLE_DELPHINE[[#This Row],[MALI AAC]]&lt;&gt;0,1,"")</f>
        <v/>
      </c>
      <c r="AV32" s="225">
        <f>IF(AP32&lt;&gt;"",IF((AP32*Paramètres!$H$4)-PORTEFEUILLE_DELPHINE[[#This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€]]-(DELPHINE!AP32*Paramètres!$H$4),0),0)</f>
        <v>0</v>
      </c>
      <c r="AW32" s="225">
        <f>IF(AP32&lt;&gt;"",IF(((AP32*Paramètres!$H$4)-PORTEFEUILLE_DELPHINE[[#This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2" s="190" t="str">
        <f>IF(PORTEFEUILLE_DELPHINE[[#This Row],[BONI COMPTABLE]]&lt;&gt;0,1,"")</f>
        <v/>
      </c>
      <c r="AY32" s="190" t="str">
        <f>IF(PORTEFEUILLE_DELPHINE[[#This Row],[MALI COMPTABLE]]&lt;&gt;0,1,"")</f>
        <v/>
      </c>
      <c r="AZ32" s="196"/>
      <c r="BA32" s="188"/>
      <c r="BB32" s="188"/>
      <c r="BC32" s="188"/>
      <c r="BD32" s="196"/>
      <c r="BE32" s="196"/>
      <c r="BF32" s="196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9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SUM(PORTEFEUILLE_DELPHINE[[#This Row],[PCR COMPTABLE €]:[MONTANT
RESPONSABLE RELATION CLIENT €]])-PORTEFEUILLE_DELPHINE[[#This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3" s="188" t="str">
        <f>IF(PORTEFEUILLE_DELPHINE[[#This Row],[BONI AAC]]&lt;&gt;0,1,"")</f>
        <v/>
      </c>
      <c r="AU33" s="188" t="str">
        <f>IF(PORTEFEUILLE_DELPHINE[[#This Row],[MALI AAC]]&lt;&gt;0,1,"")</f>
        <v/>
      </c>
      <c r="AV33" s="225">
        <f>IF(AP33&lt;&gt;"",IF((AP33*Paramètres!$H$4)-PORTEFEUILLE_DELPHINE[[#This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€]]-(DELPHINE!AP33*Paramètres!$H$4),0),0)</f>
        <v>0</v>
      </c>
      <c r="AW33" s="225">
        <f>IF(AP33&lt;&gt;"",IF(((AP33*Paramètres!$H$4)-PORTEFEUILLE_DELPHINE[[#This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3" s="190" t="str">
        <f>IF(PORTEFEUILLE_DELPHINE[[#This Row],[BONI COMPTABLE]]&lt;&gt;0,1,"")</f>
        <v/>
      </c>
      <c r="AY33" s="190" t="str">
        <f>IF(PORTEFEUILLE_DELPHINE[[#This Row],[MALI COMPTABLE]]&lt;&gt;0,1,"")</f>
        <v/>
      </c>
      <c r="AZ33" s="196"/>
      <c r="BA33" s="188"/>
      <c r="BB33" s="188"/>
      <c r="BC33" s="188"/>
      <c r="BD33" s="188"/>
      <c r="BE33" s="188"/>
      <c r="BF33" s="188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9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3"/>
      <c r="T34" s="207"/>
      <c r="U34" s="219"/>
      <c r="V34" s="219"/>
      <c r="W34" s="219"/>
      <c r="X34" s="219"/>
      <c r="Y34" s="219"/>
      <c r="Z34" s="219"/>
      <c r="AA34" s="219"/>
      <c r="AB34" s="219"/>
      <c r="AC34" s="219"/>
      <c r="AD34" s="219"/>
      <c r="AE34" s="219"/>
      <c r="AF34" s="219"/>
      <c r="AG34" s="219"/>
      <c r="AH34" s="225">
        <f>SUM(PORTEFEUILLE_DELPHINE[[#This Row],[PCR COMPTABLE €]:[MONTANT
RESPONSABLE RELATION CLIENT €]])-PORTEFEUILLE_DELPHINE[[#This Row],[MONTANT TOTAL LETTRE DE MISION €]]</f>
        <v>0</v>
      </c>
      <c r="AI34" s="191"/>
      <c r="AJ34" s="188"/>
      <c r="AK34" s="188"/>
      <c r="AL34" s="188"/>
      <c r="AM34" s="191"/>
      <c r="AN34" s="188"/>
      <c r="AO34" s="188"/>
      <c r="AP34" s="188"/>
      <c r="AQ34" s="188"/>
      <c r="AR3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4" s="188" t="str">
        <f>IF(PORTEFEUILLE_DELPHINE[[#This Row],[BONI AAC]]&lt;&gt;0,1,"")</f>
        <v/>
      </c>
      <c r="AU34" s="188" t="str">
        <f>IF(PORTEFEUILLE_DELPHINE[[#This Row],[MALI AAC]]&lt;&gt;0,1,"")</f>
        <v/>
      </c>
      <c r="AV34" s="225">
        <f>IF(AP34&lt;&gt;"",IF((AP34*Paramètres!$H$4)-PORTEFEUILLE_DELPHINE[[#This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€]]-(DELPHINE!AP34*Paramètres!$H$4),0),0)</f>
        <v>0</v>
      </c>
      <c r="AW34" s="225">
        <f>IF(AP34&lt;&gt;"",IF(((AP34*Paramètres!$H$4)-PORTEFEUILLE_DELPHINE[[#This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4" s="190" t="str">
        <f>IF(PORTEFEUILLE_DELPHINE[[#This Row],[BONI COMPTABLE]]&lt;&gt;0,1,"")</f>
        <v/>
      </c>
      <c r="AY34" s="190" t="str">
        <f>IF(PORTEFEUILLE_DELPHINE[[#This Row],[MALI COMPTABLE]]&lt;&gt;0,1,"")</f>
        <v/>
      </c>
      <c r="AZ34" s="188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8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SUM(PORTEFEUILLE_DELPHINE[[#This Row],[PCR COMPTABLE €]:[MONTANT
RESPONSABLE RELATION CLIENT €]])-PORTEFEUILLE_DELPHINE[[#This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5" s="188" t="str">
        <f>IF(PORTEFEUILLE_DELPHINE[[#This Row],[BONI AAC]]&lt;&gt;0,1,"")</f>
        <v/>
      </c>
      <c r="AU35" s="188" t="str">
        <f>IF(PORTEFEUILLE_DELPHINE[[#This Row],[MALI AAC]]&lt;&gt;0,1,"")</f>
        <v/>
      </c>
      <c r="AV35" s="225">
        <f>IF(AP35&lt;&gt;"",IF((AP35*Paramètres!$H$4)-PORTEFEUILLE_DELPHINE[[#This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€]]-(DELPHINE!AP35*Paramètres!$H$4),0),0)</f>
        <v>0</v>
      </c>
      <c r="AW35" s="225">
        <f>IF(AP35&lt;&gt;"",IF(((AP35*Paramètres!$H$4)-PORTEFEUILLE_DELPHINE[[#This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5" s="190" t="str">
        <f>IF(PORTEFEUILLE_DELPHINE[[#This Row],[BONI COMPTABLE]]&lt;&gt;0,1,"")</f>
        <v/>
      </c>
      <c r="AY35" s="190" t="str">
        <f>IF(PORTEFEUILLE_DELPHINE[[#This Row],[MALI COMPTABLE]]&lt;&gt;0,1,"")</f>
        <v/>
      </c>
      <c r="AZ35" s="188"/>
      <c r="BA35" s="188"/>
      <c r="BB35" s="188"/>
      <c r="BC35" s="188"/>
      <c r="BD35" s="196"/>
      <c r="BE35" s="196"/>
      <c r="BF35" s="196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SUM(PORTEFEUILLE_DELPHINE[[#This Row],[PCR COMPTABLE €]:[MONTANT
RESPONSABLE RELATION CLIENT €]])-PORTEFEUILLE_DELPHINE[[#This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6" s="188" t="str">
        <f>IF(PORTEFEUILLE_DELPHINE[[#This Row],[BONI AAC]]&lt;&gt;0,1,"")</f>
        <v/>
      </c>
      <c r="AU36" s="188" t="str">
        <f>IF(PORTEFEUILLE_DELPHINE[[#This Row],[MALI AAC]]&lt;&gt;0,1,"")</f>
        <v/>
      </c>
      <c r="AV36" s="225">
        <f>IF(AP36&lt;&gt;"",IF((AP36*Paramètres!$H$4)-PORTEFEUILLE_DELPHINE[[#This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€]]-(DELPHINE!AP36*Paramètres!$H$4),0),0)</f>
        <v>0</v>
      </c>
      <c r="AW36" s="225">
        <f>IF(AP36&lt;&gt;"",IF(((AP36*Paramètres!$H$4)-PORTEFEUILLE_DELPHINE[[#This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6" s="190" t="str">
        <f>IF(PORTEFEUILLE_DELPHINE[[#This Row],[BONI COMPTABLE]]&lt;&gt;0,1,"")</f>
        <v/>
      </c>
      <c r="AY36" s="190" t="str">
        <f>IF(PORTEFEUILLE_DELPHINE[[#This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9"/>
      <c r="C37" s="165"/>
      <c r="D37" s="171"/>
      <c r="E37" s="189"/>
      <c r="F37" s="188"/>
      <c r="G37" s="188"/>
      <c r="H37" s="189"/>
      <c r="I37" s="189"/>
      <c r="J37" s="19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SUM(PORTEFEUILLE_DELPHINE[[#This Row],[PCR COMPTABLE €]:[MONTANT
RESPONSABLE RELATION CLIENT €]])-PORTEFEUILLE_DELPHINE[[#This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7" s="188" t="str">
        <f>IF(PORTEFEUILLE_DELPHINE[[#This Row],[BONI AAC]]&lt;&gt;0,1,"")</f>
        <v/>
      </c>
      <c r="AU37" s="188" t="str">
        <f>IF(PORTEFEUILLE_DELPHINE[[#This Row],[MALI AAC]]&lt;&gt;0,1,"")</f>
        <v/>
      </c>
      <c r="AV37" s="225">
        <f>IF(AP37&lt;&gt;"",IF((AP37*Paramètres!$H$4)-PORTEFEUILLE_DELPHINE[[#This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€]]-(DELPHINE!AP37*Paramètres!$H$4),0),0)</f>
        <v>0</v>
      </c>
      <c r="AW37" s="225">
        <f>IF(AP37&lt;&gt;"",IF(((AP37*Paramètres!$H$4)-PORTEFEUILLE_DELPHINE[[#This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7" s="190" t="str">
        <f>IF(PORTEFEUILLE_DELPHINE[[#This Row],[BONI COMPTABLE]]&lt;&gt;0,1,"")</f>
        <v/>
      </c>
      <c r="AY37" s="190" t="str">
        <f>IF(PORTEFEUILLE_DELPHINE[[#This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80"/>
      <c r="C38" s="165"/>
      <c r="D38" s="171"/>
      <c r="E38" s="189"/>
      <c r="F38" s="188"/>
      <c r="G38" s="189"/>
      <c r="H38" s="189"/>
      <c r="I38" s="189"/>
      <c r="J38" s="18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SUM(PORTEFEUILLE_DELPHINE[[#This Row],[PCR COMPTABLE €]:[MONTANT
RESPONSABLE RELATION CLIENT €]])-PORTEFEUILLE_DELPHINE[[#This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8" s="188" t="str">
        <f>IF(PORTEFEUILLE_DELPHINE[[#This Row],[BONI AAC]]&lt;&gt;0,1,"")</f>
        <v/>
      </c>
      <c r="AU38" s="188" t="str">
        <f>IF(PORTEFEUILLE_DELPHINE[[#This Row],[MALI AAC]]&lt;&gt;0,1,"")</f>
        <v/>
      </c>
      <c r="AV38" s="225">
        <f>IF(AP38&lt;&gt;"",IF((AP38*Paramètres!$H$4)-PORTEFEUILLE_DELPHINE[[#This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€]]-(DELPHINE!AP38*Paramètres!$H$4),0),0)</f>
        <v>0</v>
      </c>
      <c r="AW38" s="225">
        <f>IF(AP38&lt;&gt;"",IF(((AP38*Paramètres!$H$4)-PORTEFEUILLE_DELPHINE[[#This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8" s="190" t="str">
        <f>IF(PORTEFEUILLE_DELPHINE[[#This Row],[BONI COMPTABLE]]&lt;&gt;0,1,"")</f>
        <v/>
      </c>
      <c r="AY38" s="190" t="str">
        <f>IF(PORTEFEUILLE_DELPHINE[[#This Row],[MALI COMPTABLE]]&lt;&gt;0,1,"")</f>
        <v/>
      </c>
      <c r="AZ38" s="188"/>
      <c r="BA38" s="188"/>
      <c r="BB38" s="188"/>
      <c r="BC38" s="188"/>
      <c r="BD38" s="188"/>
      <c r="BE38" s="188"/>
      <c r="BF38" s="188"/>
      <c r="BG38" s="192"/>
      <c r="BH38" s="194"/>
      <c r="BI38" s="194"/>
      <c r="BJ38" s="195"/>
      <c r="BK38" s="194"/>
    </row>
    <row r="39" spans="1:63" x14ac:dyDescent="0.25">
      <c r="A39" s="172"/>
      <c r="B39" s="178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SUM(PORTEFEUILLE_DELPHINE[[#This Row],[PCR COMPTABLE €]:[MONTANT
RESPONSABLE RELATION CLIENT €]])-PORTEFEUILLE_DELPHINE[[#This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9" s="188" t="str">
        <f>IF(PORTEFEUILLE_DELPHINE[[#This Row],[BONI AAC]]&lt;&gt;0,1,"")</f>
        <v/>
      </c>
      <c r="AU39" s="188" t="str">
        <f>IF(PORTEFEUILLE_DELPHINE[[#This Row],[MALI AAC]]&lt;&gt;0,1,"")</f>
        <v/>
      </c>
      <c r="AV39" s="225">
        <f>IF(AP39&lt;&gt;"",IF((AP39*Paramètres!$H$4)-PORTEFEUILLE_DELPHINE[[#This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€]]-(DELPHINE!AP39*Paramètres!$H$4),0),0)</f>
        <v>0</v>
      </c>
      <c r="AW39" s="225">
        <f>IF(AP39&lt;&gt;"",IF(((AP39*Paramètres!$H$4)-PORTEFEUILLE_DELPHINE[[#This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9" s="190" t="str">
        <f>IF(PORTEFEUILLE_DELPHINE[[#This Row],[BONI COMPTABLE]]&lt;&gt;0,1,"")</f>
        <v/>
      </c>
      <c r="AY39" s="190" t="str">
        <f>IF(PORTEFEUILLE_DELPHINE[[#This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8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4"/>
      <c r="T40" s="208"/>
      <c r="U40" s="220"/>
      <c r="V40" s="220"/>
      <c r="W40" s="220"/>
      <c r="X40" s="220"/>
      <c r="Y40" s="220"/>
      <c r="Z40" s="220"/>
      <c r="AA40" s="220"/>
      <c r="AB40" s="220"/>
      <c r="AC40" s="220"/>
      <c r="AD40" s="220"/>
      <c r="AE40" s="220"/>
      <c r="AF40" s="220"/>
      <c r="AG40" s="219"/>
      <c r="AH40" s="225">
        <f>SUM(PORTEFEUILLE_DELPHINE[[#This Row],[PCR COMPTABLE €]:[MONTANT
RESPONSABLE RELATION CLIENT €]])-PORTEFEUILLE_DELPHINE[[#This Row],[MONTANT TOTAL LETTRE DE MISION €]]</f>
        <v>0</v>
      </c>
      <c r="AI40" s="191"/>
      <c r="AJ40" s="188"/>
      <c r="AK40" s="188"/>
      <c r="AL40" s="188"/>
      <c r="AM40" s="191"/>
      <c r="AN40" s="196"/>
      <c r="AO40" s="196"/>
      <c r="AP40" s="196"/>
      <c r="AQ40" s="196"/>
      <c r="AR4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0" s="188" t="str">
        <f>IF(PORTEFEUILLE_DELPHINE[[#This Row],[BONI AAC]]&lt;&gt;0,1,"")</f>
        <v/>
      </c>
      <c r="AU40" s="188" t="str">
        <f>IF(PORTEFEUILLE_DELPHINE[[#This Row],[MALI AAC]]&lt;&gt;0,1,"")</f>
        <v/>
      </c>
      <c r="AV40" s="225">
        <f>IF(AP40&lt;&gt;"",IF((AP40*Paramètres!$H$4)-PORTEFEUILLE_DELPHINE[[#This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€]]-(DELPHINE!AP40*Paramètres!$H$4),0),0)</f>
        <v>0</v>
      </c>
      <c r="AW40" s="225">
        <f>IF(AP40&lt;&gt;"",IF(((AP40*Paramètres!$H$4)-PORTEFEUILLE_DELPHINE[[#This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0" s="190" t="str">
        <f>IF(PORTEFEUILLE_DELPHINE[[#This Row],[BONI COMPTABLE]]&lt;&gt;0,1,"")</f>
        <v/>
      </c>
      <c r="AY40" s="190" t="str">
        <f>IF(PORTEFEUILLE_DELPHINE[[#This Row],[MALI COMPTABLE]]&lt;&gt;0,1,"")</f>
        <v/>
      </c>
      <c r="AZ40" s="196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8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SUM(PORTEFEUILLE_DELPHINE[[#This Row],[PCR COMPTABLE €]:[MONTANT
RESPONSABLE RELATION CLIENT €]])-PORTEFEUILLE_DELPHINE[[#This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1" s="188" t="str">
        <f>IF(PORTEFEUILLE_DELPHINE[[#This Row],[BONI AAC]]&lt;&gt;0,1,"")</f>
        <v/>
      </c>
      <c r="AU41" s="188" t="str">
        <f>IF(PORTEFEUILLE_DELPHINE[[#This Row],[MALI AAC]]&lt;&gt;0,1,"")</f>
        <v/>
      </c>
      <c r="AV41" s="225">
        <f>IF(AP41&lt;&gt;"",IF((AP41*Paramètres!$H$4)-PORTEFEUILLE_DELPHINE[[#This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€]]-(DELPHINE!AP41*Paramètres!$H$4),0),0)</f>
        <v>0</v>
      </c>
      <c r="AW41" s="225">
        <f>IF(AP41&lt;&gt;"",IF(((AP41*Paramètres!$H$4)-PORTEFEUILLE_DELPHINE[[#This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1" s="190" t="str">
        <f>IF(PORTEFEUILLE_DELPHINE[[#This Row],[BONI COMPTABLE]]&lt;&gt;0,1,"")</f>
        <v/>
      </c>
      <c r="AY41" s="190" t="str">
        <f>IF(PORTEFEUILLE_DELPHINE[[#This Row],[MALI COMPTABLE]]&lt;&gt;0,1,"")</f>
        <v/>
      </c>
      <c r="AZ41" s="196"/>
      <c r="BA41" s="188"/>
      <c r="BB41" s="188"/>
      <c r="BC41" s="188"/>
      <c r="BD41" s="196"/>
      <c r="BE41" s="196"/>
      <c r="BF41" s="196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9"/>
      <c r="H42" s="189"/>
      <c r="I42" s="189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3"/>
      <c r="T42" s="207"/>
      <c r="U42" s="219"/>
      <c r="V42" s="219"/>
      <c r="W42" s="219"/>
      <c r="X42" s="219"/>
      <c r="Y42" s="219"/>
      <c r="Z42" s="219"/>
      <c r="AA42" s="219"/>
      <c r="AB42" s="219"/>
      <c r="AC42" s="219"/>
      <c r="AD42" s="219"/>
      <c r="AE42" s="219"/>
      <c r="AF42" s="219"/>
      <c r="AG42" s="219"/>
      <c r="AH42" s="225">
        <f>SUM(PORTEFEUILLE_DELPHINE[[#This Row],[PCR COMPTABLE €]:[MONTANT
RESPONSABLE RELATION CLIENT €]])-PORTEFEUILLE_DELPHINE[[#This Row],[MONTANT TOTAL LETTRE DE MISION €]]</f>
        <v>0</v>
      </c>
      <c r="AI42" s="191"/>
      <c r="AJ42" s="188"/>
      <c r="AK42" s="188"/>
      <c r="AL42" s="188"/>
      <c r="AM42" s="191"/>
      <c r="AN42" s="188"/>
      <c r="AO42" s="188"/>
      <c r="AP42" s="188"/>
      <c r="AQ42" s="188"/>
      <c r="AR4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2" s="188" t="str">
        <f>IF(PORTEFEUILLE_DELPHINE[[#This Row],[BONI AAC]]&lt;&gt;0,1,"")</f>
        <v/>
      </c>
      <c r="AU42" s="188" t="str">
        <f>IF(PORTEFEUILLE_DELPHINE[[#This Row],[MALI AAC]]&lt;&gt;0,1,"")</f>
        <v/>
      </c>
      <c r="AV42" s="225">
        <f>IF(AP42&lt;&gt;"",IF((AP42*Paramètres!$H$4)-PORTEFEUILLE_DELPHINE[[#This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€]]-(DELPHINE!AP42*Paramètres!$H$4),0),0)</f>
        <v>0</v>
      </c>
      <c r="AW42" s="225">
        <f>IF(AP42&lt;&gt;"",IF(((AP42*Paramètres!$H$4)-PORTEFEUILLE_DELPHINE[[#This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2" s="190" t="str">
        <f>IF(PORTEFEUILLE_DELPHINE[[#This Row],[BONI COMPTABLE]]&lt;&gt;0,1,"")</f>
        <v/>
      </c>
      <c r="AY42" s="190" t="str">
        <f>IF(PORTEFEUILLE_DELPHINE[[#This Row],[MALI COMPTABLE]]&lt;&gt;0,1,"")</f>
        <v/>
      </c>
      <c r="AZ42" s="188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customFormat="1" x14ac:dyDescent="0.25">
      <c r="A43" s="172"/>
      <c r="B43" s="181"/>
      <c r="C43" s="165"/>
      <c r="D43" s="165"/>
      <c r="E43" s="189"/>
      <c r="F43" s="188"/>
      <c r="G43" s="189"/>
      <c r="H43" s="189"/>
      <c r="I43" s="189"/>
      <c r="J43" s="19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SUM(PORTEFEUILLE_DELPHINE[[#This Row],[PCR COMPTABLE €]:[MONTANT
RESPONSABLE RELATION CLIENT €]])-PORTEFEUILLE_DELPHINE[[#This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3" s="188" t="str">
        <f>IF(PORTEFEUILLE_DELPHINE[[#This Row],[BONI AAC]]&lt;&gt;0,1,"")</f>
        <v/>
      </c>
      <c r="AU43" s="188" t="str">
        <f>IF(PORTEFEUILLE_DELPHINE[[#This Row],[MALI AAC]]&lt;&gt;0,1,"")</f>
        <v/>
      </c>
      <c r="AV43" s="225">
        <f>IF(AP43&lt;&gt;"",IF((AP43*Paramètres!$H$4)-PORTEFEUILLE_DELPHINE[[#This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€]]-(DELPHINE!AP43*Paramètres!$H$4),0),0)</f>
        <v>0</v>
      </c>
      <c r="AW43" s="225">
        <f>IF(AP43&lt;&gt;"",IF(((AP43*Paramètres!$H$4)-PORTEFEUILLE_DELPHINE[[#This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3" s="190" t="str">
        <f>IF(PORTEFEUILLE_DELPHINE[[#This Row],[BONI COMPTABLE]]&lt;&gt;0,1,"")</f>
        <v/>
      </c>
      <c r="AY43" s="190" t="str">
        <f>IF(PORTEFEUILLE_DELPHINE[[#This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8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SUM(PORTEFEUILLE_DELPHINE[[#This Row],[PCR COMPTABLE €]:[MONTANT
RESPONSABLE RELATION CLIENT €]])-PORTEFEUILLE_DELPHINE[[#This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4" s="188" t="str">
        <f>IF(PORTEFEUILLE_DELPHINE[[#This Row],[BONI AAC]]&lt;&gt;0,1,"")</f>
        <v/>
      </c>
      <c r="AU44" s="188" t="str">
        <f>IF(PORTEFEUILLE_DELPHINE[[#This Row],[MALI AAC]]&lt;&gt;0,1,"")</f>
        <v/>
      </c>
      <c r="AV44" s="225">
        <f>IF(AP44&lt;&gt;"",IF((AP44*Paramètres!$H$4)-PORTEFEUILLE_DELPHINE[[#This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€]]-(DELPHINE!AP44*Paramètres!$H$4),0),0)</f>
        <v>0</v>
      </c>
      <c r="AW44" s="225">
        <f>IF(AP44&lt;&gt;"",IF(((AP44*Paramètres!$H$4)-PORTEFEUILLE_DELPHINE[[#This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4" s="190" t="str">
        <f>IF(PORTEFEUILLE_DELPHINE[[#This Row],[BONI COMPTABLE]]&lt;&gt;0,1,"")</f>
        <v/>
      </c>
      <c r="AY44" s="190" t="str">
        <f>IF(PORTEFEUILLE_DELPHINE[[#This Row],[MALI COMPTABLE]]&lt;&gt;0,1,"")</f>
        <v/>
      </c>
      <c r="AZ44" s="188"/>
      <c r="BA44" s="188"/>
      <c r="BB44" s="188"/>
      <c r="BC44" s="188"/>
      <c r="BD44" s="188"/>
      <c r="BE44" s="188"/>
      <c r="BF44" s="188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71"/>
      <c r="E45" s="189"/>
      <c r="F45" s="188"/>
      <c r="G45" s="188"/>
      <c r="H45" s="189"/>
      <c r="I45" s="188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4"/>
      <c r="T45" s="208"/>
      <c r="U45" s="220"/>
      <c r="V45" s="220"/>
      <c r="W45" s="220"/>
      <c r="X45" s="220"/>
      <c r="Y45" s="220"/>
      <c r="Z45" s="220"/>
      <c r="AA45" s="220"/>
      <c r="AB45" s="220"/>
      <c r="AC45" s="220"/>
      <c r="AD45" s="220"/>
      <c r="AE45" s="220"/>
      <c r="AF45" s="220"/>
      <c r="AG45" s="219"/>
      <c r="AH45" s="225">
        <f>SUM(PORTEFEUILLE_DELPHINE[[#This Row],[PCR COMPTABLE €]:[MONTANT
RESPONSABLE RELATION CLIENT €]])-PORTEFEUILLE_DELPHINE[[#This Row],[MONTANT TOTAL LETTRE DE MISION €]]</f>
        <v>0</v>
      </c>
      <c r="AI45" s="191"/>
      <c r="AJ45" s="188"/>
      <c r="AK45" s="188"/>
      <c r="AL45" s="188"/>
      <c r="AM45" s="191"/>
      <c r="AN45" s="196"/>
      <c r="AO45" s="196"/>
      <c r="AP45" s="196"/>
      <c r="AQ45" s="196"/>
      <c r="AR4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5" s="188" t="str">
        <f>IF(PORTEFEUILLE_DELPHINE[[#This Row],[BONI AAC]]&lt;&gt;0,1,"")</f>
        <v/>
      </c>
      <c r="AU45" s="188" t="str">
        <f>IF(PORTEFEUILLE_DELPHINE[[#This Row],[MALI AAC]]&lt;&gt;0,1,"")</f>
        <v/>
      </c>
      <c r="AV45" s="225">
        <f>IF(AP45&lt;&gt;"",IF((AP45*Paramètres!$H$4)-PORTEFEUILLE_DELPHINE[[#This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€]]-(DELPHINE!AP45*Paramètres!$H$4),0),0)</f>
        <v>0</v>
      </c>
      <c r="AW45" s="225">
        <f>IF(AP45&lt;&gt;"",IF(((AP45*Paramètres!$H$4)-PORTEFEUILLE_DELPHINE[[#This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5" s="190" t="str">
        <f>IF(PORTEFEUILLE_DELPHINE[[#This Row],[BONI COMPTABLE]]&lt;&gt;0,1,"")</f>
        <v/>
      </c>
      <c r="AY45" s="190" t="str">
        <f>IF(PORTEFEUILLE_DELPHINE[[#This Row],[MALI COMPTABLE]]&lt;&gt;0,1,"")</f>
        <v/>
      </c>
      <c r="AZ45" s="196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9"/>
      <c r="H46" s="189"/>
      <c r="I46" s="189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3"/>
      <c r="T46" s="207"/>
      <c r="U46" s="219"/>
      <c r="V46" s="219"/>
      <c r="W46" s="219"/>
      <c r="X46" s="219"/>
      <c r="Y46" s="219"/>
      <c r="Z46" s="219"/>
      <c r="AA46" s="219"/>
      <c r="AB46" s="219"/>
      <c r="AC46" s="219"/>
      <c r="AD46" s="219"/>
      <c r="AE46" s="219"/>
      <c r="AF46" s="219"/>
      <c r="AG46" s="219"/>
      <c r="AH46" s="225">
        <f>SUM(PORTEFEUILLE_DELPHINE[[#This Row],[PCR COMPTABLE €]:[MONTANT
RESPONSABLE RELATION CLIENT €]])-PORTEFEUILLE_DELPHINE[[#This Row],[MONTANT TOTAL LETTRE DE MISION €]]</f>
        <v>0</v>
      </c>
      <c r="AI46" s="191"/>
      <c r="AJ46" s="188"/>
      <c r="AK46" s="188"/>
      <c r="AL46" s="188"/>
      <c r="AM46" s="191"/>
      <c r="AN46" s="188"/>
      <c r="AO46" s="188"/>
      <c r="AP46" s="188"/>
      <c r="AQ46" s="188"/>
      <c r="AR4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6" s="188" t="str">
        <f>IF(PORTEFEUILLE_DELPHINE[[#This Row],[BONI AAC]]&lt;&gt;0,1,"")</f>
        <v/>
      </c>
      <c r="AU46" s="188" t="str">
        <f>IF(PORTEFEUILLE_DELPHINE[[#This Row],[MALI AAC]]&lt;&gt;0,1,"")</f>
        <v/>
      </c>
      <c r="AV46" s="225">
        <f>IF(AP46&lt;&gt;"",IF((AP46*Paramètres!$H$4)-PORTEFEUILLE_DELPHINE[[#This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€]]-(DELPHINE!AP46*Paramètres!$H$4),0),0)</f>
        <v>0</v>
      </c>
      <c r="AW46" s="225">
        <f>IF(AP46&lt;&gt;"",IF(((AP46*Paramètres!$H$4)-PORTEFEUILLE_DELPHINE[[#This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6" s="190" t="str">
        <f>IF(PORTEFEUILLE_DELPHINE[[#This Row],[BONI COMPTABLE]]&lt;&gt;0,1,"")</f>
        <v/>
      </c>
      <c r="AY46" s="190" t="str">
        <f>IF(PORTEFEUILLE_DELPHINE[[#This Row],[MALI COMPTABLE]]&lt;&gt;0,1,"")</f>
        <v/>
      </c>
      <c r="AZ46" s="188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0"/>
      <c r="C47" s="165"/>
      <c r="D47" s="171"/>
      <c r="E47" s="189"/>
      <c r="F47" s="188"/>
      <c r="G47" s="188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4"/>
      <c r="T47" s="208"/>
      <c r="U47" s="220"/>
      <c r="V47" s="220"/>
      <c r="W47" s="220"/>
      <c r="X47" s="220"/>
      <c r="Y47" s="220"/>
      <c r="Z47" s="220"/>
      <c r="AA47" s="220"/>
      <c r="AB47" s="220"/>
      <c r="AC47" s="220"/>
      <c r="AD47" s="220"/>
      <c r="AE47" s="220"/>
      <c r="AF47" s="220"/>
      <c r="AG47" s="219"/>
      <c r="AH47" s="225">
        <f>SUM(PORTEFEUILLE_DELPHINE[[#This Row],[PCR COMPTABLE €]:[MONTANT
RESPONSABLE RELATION CLIENT €]])-PORTEFEUILLE_DELPHINE[[#This Row],[MONTANT TOTAL LETTRE DE MISION €]]</f>
        <v>0</v>
      </c>
      <c r="AI47" s="191"/>
      <c r="AJ47" s="188"/>
      <c r="AK47" s="188"/>
      <c r="AL47" s="188"/>
      <c r="AM47" s="191"/>
      <c r="AN47" s="196"/>
      <c r="AO47" s="196"/>
      <c r="AP47" s="196"/>
      <c r="AQ47" s="196"/>
      <c r="AR4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7" s="188" t="str">
        <f>IF(PORTEFEUILLE_DELPHINE[[#This Row],[BONI AAC]]&lt;&gt;0,1,"")</f>
        <v/>
      </c>
      <c r="AU47" s="188" t="str">
        <f>IF(PORTEFEUILLE_DELPHINE[[#This Row],[MALI AAC]]&lt;&gt;0,1,"")</f>
        <v/>
      </c>
      <c r="AV47" s="225">
        <f>IF(AP47&lt;&gt;"",IF((AP47*Paramètres!$H$4)-PORTEFEUILLE_DELPHINE[[#This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€]]-(DELPHINE!AP47*Paramètres!$H$4),0),0)</f>
        <v>0</v>
      </c>
      <c r="AW47" s="225">
        <f>IF(AP47&lt;&gt;"",IF(((AP47*Paramètres!$H$4)-PORTEFEUILLE_DELPHINE[[#This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7" s="190" t="str">
        <f>IF(PORTEFEUILLE_DELPHINE[[#This Row],[BONI COMPTABLE]]&lt;&gt;0,1,"")</f>
        <v/>
      </c>
      <c r="AY47" s="190" t="str">
        <f>IF(PORTEFEUILLE_DELPHINE[[#This Row],[MALI COMPTABLE]]&lt;&gt;0,1,"")</f>
        <v/>
      </c>
      <c r="AZ47" s="196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9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3"/>
      <c r="T48" s="207"/>
      <c r="U48" s="219"/>
      <c r="V48" s="219"/>
      <c r="W48" s="219"/>
      <c r="X48" s="219"/>
      <c r="Y48" s="219"/>
      <c r="Z48" s="219"/>
      <c r="AA48" s="219"/>
      <c r="AB48" s="219"/>
      <c r="AC48" s="219"/>
      <c r="AD48" s="219"/>
      <c r="AE48" s="219"/>
      <c r="AF48" s="219"/>
      <c r="AG48" s="219"/>
      <c r="AH48" s="225">
        <f>SUM(PORTEFEUILLE_DELPHINE[[#This Row],[PCR COMPTABLE €]:[MONTANT
RESPONSABLE RELATION CLIENT €]])-PORTEFEUILLE_DELPHINE[[#This Row],[MONTANT TOTAL LETTRE DE MISION €]]</f>
        <v>0</v>
      </c>
      <c r="AI48" s="191"/>
      <c r="AJ48" s="188"/>
      <c r="AK48" s="188"/>
      <c r="AL48" s="188"/>
      <c r="AM48" s="191"/>
      <c r="AN48" s="188"/>
      <c r="AO48" s="188"/>
      <c r="AP48" s="188"/>
      <c r="AQ48" s="188"/>
      <c r="AR4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8" s="188" t="str">
        <f>IF(PORTEFEUILLE_DELPHINE[[#This Row],[BONI AAC]]&lt;&gt;0,1,"")</f>
        <v/>
      </c>
      <c r="AU48" s="188" t="str">
        <f>IF(PORTEFEUILLE_DELPHINE[[#This Row],[MALI AAC]]&lt;&gt;0,1,"")</f>
        <v/>
      </c>
      <c r="AV48" s="225">
        <f>IF(AP48&lt;&gt;"",IF((AP48*Paramètres!$H$4)-PORTEFEUILLE_DELPHINE[[#This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€]]-(DELPHINE!AP48*Paramètres!$H$4),0),0)</f>
        <v>0</v>
      </c>
      <c r="AW48" s="225">
        <f>IF(AP48&lt;&gt;"",IF(((AP48*Paramètres!$H$4)-PORTEFEUILLE_DELPHINE[[#This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8" s="190" t="str">
        <f>IF(PORTEFEUILLE_DELPHINE[[#This Row],[BONI COMPTABLE]]&lt;&gt;0,1,"")</f>
        <v/>
      </c>
      <c r="AY48" s="190" t="str">
        <f>IF(PORTEFEUILLE_DELPHINE[[#This Row],[MALI COMPTABLE]]&lt;&gt;0,1,"")</f>
        <v/>
      </c>
      <c r="AZ48" s="188"/>
      <c r="BA48" s="188"/>
      <c r="BB48" s="188"/>
      <c r="BC48" s="188"/>
      <c r="BD48" s="196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70"/>
      <c r="C49" s="165"/>
      <c r="D49" s="171"/>
      <c r="E49" s="189"/>
      <c r="F49" s="188"/>
      <c r="G49" s="188"/>
      <c r="H49" s="189"/>
      <c r="I49" s="188"/>
      <c r="J49" s="188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4"/>
      <c r="T49" s="208"/>
      <c r="U49" s="220"/>
      <c r="V49" s="220"/>
      <c r="W49" s="220"/>
      <c r="X49" s="220"/>
      <c r="Y49" s="220"/>
      <c r="Z49" s="220"/>
      <c r="AA49" s="220"/>
      <c r="AB49" s="220"/>
      <c r="AC49" s="220"/>
      <c r="AD49" s="220"/>
      <c r="AE49" s="220"/>
      <c r="AF49" s="220"/>
      <c r="AG49" s="219"/>
      <c r="AH49" s="225">
        <f>SUM(PORTEFEUILLE_DELPHINE[[#This Row],[PCR COMPTABLE €]:[MONTANT
RESPONSABLE RELATION CLIENT €]])-PORTEFEUILLE_DELPHINE[[#This Row],[MONTANT TOTAL LETTRE DE MISION €]]</f>
        <v>0</v>
      </c>
      <c r="AI49" s="191"/>
      <c r="AJ49" s="188"/>
      <c r="AK49" s="188"/>
      <c r="AL49" s="188"/>
      <c r="AM49" s="191"/>
      <c r="AN49" s="196"/>
      <c r="AO49" s="196"/>
      <c r="AP49" s="196"/>
      <c r="AQ49" s="196"/>
      <c r="AR4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9" s="188" t="str">
        <f>IF(PORTEFEUILLE_DELPHINE[[#This Row],[BONI AAC]]&lt;&gt;0,1,"")</f>
        <v/>
      </c>
      <c r="AU49" s="188" t="str">
        <f>IF(PORTEFEUILLE_DELPHINE[[#This Row],[MALI AAC]]&lt;&gt;0,1,"")</f>
        <v/>
      </c>
      <c r="AV49" s="225">
        <f>IF(AP49&lt;&gt;"",IF((AP49*Paramètres!$H$4)-PORTEFEUILLE_DELPHINE[[#This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€]]-(DELPHINE!AP49*Paramètres!$H$4),0),0)</f>
        <v>0</v>
      </c>
      <c r="AW49" s="225">
        <f>IF(AP49&lt;&gt;"",IF(((AP49*Paramètres!$H$4)-PORTEFEUILLE_DELPHINE[[#This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9" s="190" t="str">
        <f>IF(PORTEFEUILLE_DELPHINE[[#This Row],[BONI COMPTABLE]]&lt;&gt;0,1,"")</f>
        <v/>
      </c>
      <c r="AY49" s="190" t="str">
        <f>IF(PORTEFEUILLE_DELPHINE[[#This Row],[MALI COMPTABLE]]&lt;&gt;0,1,"")</f>
        <v/>
      </c>
      <c r="AZ49" s="196"/>
      <c r="BA49" s="188"/>
      <c r="BB49" s="188"/>
      <c r="BC49" s="188"/>
      <c r="BD49" s="196"/>
      <c r="BE49" s="196"/>
      <c r="BF49" s="196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9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SUM(PORTEFEUILLE_DELPHINE[[#This Row],[PCR COMPTABLE €]:[MONTANT
RESPONSABLE RELATION CLIENT €]])-PORTEFEUILLE_DELPHINE[[#This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0" s="188" t="str">
        <f>IF(PORTEFEUILLE_DELPHINE[[#This Row],[BONI AAC]]&lt;&gt;0,1,"")</f>
        <v/>
      </c>
      <c r="AU50" s="188" t="str">
        <f>IF(PORTEFEUILLE_DELPHINE[[#This Row],[MALI AAC]]&lt;&gt;0,1,"")</f>
        <v/>
      </c>
      <c r="AV50" s="225">
        <f>IF(AP50&lt;&gt;"",IF((AP50*Paramètres!$H$4)-PORTEFEUILLE_DELPHINE[[#This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€]]-(DELPHINE!AP50*Paramètres!$H$4),0),0)</f>
        <v>0</v>
      </c>
      <c r="AW50" s="225">
        <f>IF(AP50&lt;&gt;"",IF(((AP50*Paramètres!$H$4)-PORTEFEUILLE_DELPHINE[[#This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0" s="190" t="str">
        <f>IF(PORTEFEUILLE_DELPHINE[[#This Row],[BONI COMPTABLE]]&lt;&gt;0,1,"")</f>
        <v/>
      </c>
      <c r="AY50" s="190" t="str">
        <f>IF(PORTEFEUILLE_DELPHINE[[#This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SUM(PORTEFEUILLE_DELPHINE[[#This Row],[PCR COMPTABLE €]:[MONTANT
RESPONSABLE RELATION CLIENT €]])-PORTEFEUILLE_DELPHINE[[#This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1" s="188" t="str">
        <f>IF(PORTEFEUILLE_DELPHINE[[#This Row],[BONI AAC]]&lt;&gt;0,1,"")</f>
        <v/>
      </c>
      <c r="AU51" s="188" t="str">
        <f>IF(PORTEFEUILLE_DELPHINE[[#This Row],[MALI AAC]]&lt;&gt;0,1,"")</f>
        <v/>
      </c>
      <c r="AV51" s="225">
        <f>IF(AP51&lt;&gt;"",IF((AP51*Paramètres!$H$4)-PORTEFEUILLE_DELPHINE[[#This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€]]-(DELPHINE!AP51*Paramètres!$H$4),0),0)</f>
        <v>0</v>
      </c>
      <c r="AW51" s="225">
        <f>IF(AP51&lt;&gt;"",IF(((AP51*Paramètres!$H$4)-PORTEFEUILLE_DELPHINE[[#This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1" s="190" t="str">
        <f>IF(PORTEFEUILLE_DELPHINE[[#This Row],[BONI COMPTABLE]]&lt;&gt;0,1,"")</f>
        <v/>
      </c>
      <c r="AY51" s="190" t="str">
        <f>IF(PORTEFEUILLE_DELPHINE[[#This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82"/>
      <c r="C52" s="183"/>
      <c r="D52" s="184"/>
      <c r="E52" s="200"/>
      <c r="F52" s="201"/>
      <c r="G52" s="201"/>
      <c r="H52" s="189"/>
      <c r="I52" s="201"/>
      <c r="J52" s="201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6"/>
      <c r="T52" s="210"/>
      <c r="U52" s="222"/>
      <c r="V52" s="222"/>
      <c r="W52" s="222"/>
      <c r="X52" s="222"/>
      <c r="Y52" s="222"/>
      <c r="Z52" s="222"/>
      <c r="AA52" s="222"/>
      <c r="AB52" s="222"/>
      <c r="AC52" s="222"/>
      <c r="AD52" s="222"/>
      <c r="AE52" s="222"/>
      <c r="AF52" s="222"/>
      <c r="AG52" s="219"/>
      <c r="AH52" s="225">
        <f>SUM(PORTEFEUILLE_DELPHINE[[#This Row],[PCR COMPTABLE €]:[MONTANT
RESPONSABLE RELATION CLIENT €]])-PORTEFEUILLE_DELPHINE[[#This Row],[MONTANT TOTAL LETTRE DE MISION €]]</f>
        <v>0</v>
      </c>
      <c r="AI52" s="191"/>
      <c r="AJ52" s="188"/>
      <c r="AK52" s="201"/>
      <c r="AL52" s="201"/>
      <c r="AM52" s="246"/>
      <c r="AN52" s="202"/>
      <c r="AO52" s="202"/>
      <c r="AP52" s="202"/>
      <c r="AQ52" s="202"/>
      <c r="AR5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2" s="188" t="str">
        <f>IF(PORTEFEUILLE_DELPHINE[[#This Row],[BONI AAC]]&lt;&gt;0,1,"")</f>
        <v/>
      </c>
      <c r="AU52" s="188" t="str">
        <f>IF(PORTEFEUILLE_DELPHINE[[#This Row],[MALI AAC]]&lt;&gt;0,1,"")</f>
        <v/>
      </c>
      <c r="AV52" s="225">
        <f>IF(AP52&lt;&gt;"",IF((AP52*Paramètres!$H$4)-PORTEFEUILLE_DELPHINE[[#This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€]]-(DELPHINE!AP52*Paramètres!$H$4),0),0)</f>
        <v>0</v>
      </c>
      <c r="AW52" s="225">
        <f>IF(AP52&lt;&gt;"",IF(((AP52*Paramètres!$H$4)-PORTEFEUILLE_DELPHINE[[#This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2" s="190" t="str">
        <f>IF(PORTEFEUILLE_DELPHINE[[#This Row],[BONI COMPTABLE]]&lt;&gt;0,1,"")</f>
        <v/>
      </c>
      <c r="AY52" s="190" t="str">
        <f>IF(PORTEFEUILLE_DELPHINE[[#This Row],[MALI COMPTABLE]]&lt;&gt;0,1,"")</f>
        <v/>
      </c>
      <c r="AZ52" s="202"/>
      <c r="BA52" s="188"/>
      <c r="BB52" s="188"/>
      <c r="BC52" s="188"/>
      <c r="BD52" s="202"/>
      <c r="BE52" s="202"/>
      <c r="BF52" s="202"/>
      <c r="BG52" s="192"/>
      <c r="BH52" s="194"/>
      <c r="BI52" s="194"/>
      <c r="BJ52" s="195"/>
      <c r="BK52" s="194"/>
    </row>
    <row r="53" spans="1:63" x14ac:dyDescent="0.25">
      <c r="A53" s="172"/>
      <c r="B53" s="185"/>
      <c r="C53" s="172"/>
      <c r="D53" s="172"/>
      <c r="E53" s="203"/>
      <c r="F53" s="194"/>
      <c r="G53" s="194"/>
      <c r="H53" s="189"/>
      <c r="I53" s="194"/>
      <c r="J53" s="194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7"/>
      <c r="T53" s="211"/>
      <c r="U53" s="223"/>
      <c r="V53" s="223"/>
      <c r="W53" s="223"/>
      <c r="X53" s="223"/>
      <c r="Y53" s="223"/>
      <c r="Z53" s="223"/>
      <c r="AA53" s="223"/>
      <c r="AB53" s="223"/>
      <c r="AC53" s="223"/>
      <c r="AD53" s="223"/>
      <c r="AE53" s="223"/>
      <c r="AF53" s="223"/>
      <c r="AG53" s="219"/>
      <c r="AH53" s="225">
        <f>SUM(PORTEFEUILLE_DELPHINE[[#This Row],[PCR COMPTABLE €]:[MONTANT
RESPONSABLE RELATION CLIENT €]])-PORTEFEUILLE_DELPHINE[[#This Row],[MONTANT TOTAL LETTRE DE MISION €]]</f>
        <v>0</v>
      </c>
      <c r="AI53" s="191"/>
      <c r="AJ53" s="188"/>
      <c r="AK53" s="188"/>
      <c r="AL53" s="188"/>
      <c r="AM53" s="191"/>
      <c r="AN53" s="194"/>
      <c r="AO53" s="194"/>
      <c r="AP53" s="194"/>
      <c r="AQ53" s="194"/>
      <c r="AR5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3" s="188" t="str">
        <f>IF(PORTEFEUILLE_DELPHINE[[#This Row],[BONI AAC]]&lt;&gt;0,1,"")</f>
        <v/>
      </c>
      <c r="AU53" s="188" t="str">
        <f>IF(PORTEFEUILLE_DELPHINE[[#This Row],[MALI AAC]]&lt;&gt;0,1,"")</f>
        <v/>
      </c>
      <c r="AV53" s="225">
        <f>IF(AP53&lt;&gt;"",IF((AP53*Paramètres!$H$4)-PORTEFEUILLE_DELPHINE[[#This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€]]-(DELPHINE!AP53*Paramètres!$H$4),0),0)</f>
        <v>0</v>
      </c>
      <c r="AW53" s="225">
        <f>IF(AP53&lt;&gt;"",IF(((AP53*Paramètres!$H$4)-PORTEFEUILLE_DELPHINE[[#This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3" s="190" t="str">
        <f>IF(PORTEFEUILLE_DELPHINE[[#This Row],[BONI COMPTABLE]]&lt;&gt;0,1,"")</f>
        <v/>
      </c>
      <c r="AY53" s="190" t="str">
        <f>IF(PORTEFEUILLE_DELPHINE[[#This Row],[MALI COMPTABLE]]&lt;&gt;0,1,"")</f>
        <v/>
      </c>
      <c r="AZ53" s="194"/>
      <c r="BA53" s="188"/>
      <c r="BB53" s="188"/>
      <c r="BC53" s="188"/>
      <c r="BD53" s="194"/>
      <c r="BE53" s="194"/>
      <c r="BF53" s="194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SUM(PORTEFEUILLE_DELPHINE[[#This Row],[PCR COMPTABLE €]:[MONTANT
RESPONSABLE RELATION CLIENT €]])-PORTEFEUILLE_DELPHINE[[#This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4" s="188" t="str">
        <f>IF(PORTEFEUILLE_DELPHINE[[#This Row],[BONI AAC]]&lt;&gt;0,1,"")</f>
        <v/>
      </c>
      <c r="AU54" s="188" t="str">
        <f>IF(PORTEFEUILLE_DELPHINE[[#This Row],[MALI AAC]]&lt;&gt;0,1,"")</f>
        <v/>
      </c>
      <c r="AV54" s="225">
        <f>IF(AP54&lt;&gt;"",IF((AP54*Paramètres!$H$4)-PORTEFEUILLE_DELPHINE[[#This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€]]-(DELPHINE!AP54*Paramètres!$H$4),0),0)</f>
        <v>0</v>
      </c>
      <c r="AW54" s="225">
        <f>IF(AP54&lt;&gt;"",IF(((AP54*Paramètres!$H$4)-PORTEFEUILLE_DELPHINE[[#This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4" s="190" t="str">
        <f>IF(PORTEFEUILLE_DELPHINE[[#This Row],[BONI COMPTABLE]]&lt;&gt;0,1,"")</f>
        <v/>
      </c>
      <c r="AY54" s="190" t="str">
        <f>IF(PORTEFEUILLE_DELPHINE[[#This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SUM(PORTEFEUILLE_DELPHINE[[#This Row],[PCR COMPTABLE €]:[MONTANT
RESPONSABLE RELATION CLIENT €]])-PORTEFEUILLE_DELPHINE[[#This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5" s="188" t="str">
        <f>IF(PORTEFEUILLE_DELPHINE[[#This Row],[BONI AAC]]&lt;&gt;0,1,"")</f>
        <v/>
      </c>
      <c r="AU55" s="188" t="str">
        <f>IF(PORTEFEUILLE_DELPHINE[[#This Row],[MALI AAC]]&lt;&gt;0,1,"")</f>
        <v/>
      </c>
      <c r="AV55" s="225">
        <f>IF(AP55&lt;&gt;"",IF((AP55*Paramètres!$H$4)-PORTEFEUILLE_DELPHINE[[#This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€]]-(DELPHINE!AP55*Paramètres!$H$4),0),0)</f>
        <v>0</v>
      </c>
      <c r="AW55" s="225">
        <f>IF(AP55&lt;&gt;"",IF(((AP55*Paramètres!$H$4)-PORTEFEUILLE_DELPHINE[[#This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5" s="190" t="str">
        <f>IF(PORTEFEUILLE_DELPHINE[[#This Row],[BONI COMPTABLE]]&lt;&gt;0,1,"")</f>
        <v/>
      </c>
      <c r="AY55" s="190" t="str">
        <f>IF(PORTEFEUILLE_DELPHINE[[#This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SUM(PORTEFEUILLE_DELPHINE[[#This Row],[PCR COMPTABLE €]:[MONTANT
RESPONSABLE RELATION CLIENT €]])-PORTEFEUILLE_DELPHINE[[#This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6" s="188" t="str">
        <f>IF(PORTEFEUILLE_DELPHINE[[#This Row],[BONI AAC]]&lt;&gt;0,1,"")</f>
        <v/>
      </c>
      <c r="AU56" s="188" t="str">
        <f>IF(PORTEFEUILLE_DELPHINE[[#This Row],[MALI AAC]]&lt;&gt;0,1,"")</f>
        <v/>
      </c>
      <c r="AV56" s="225">
        <f>IF(AP56&lt;&gt;"",IF((AP56*Paramètres!$H$4)-PORTEFEUILLE_DELPHINE[[#This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€]]-(DELPHINE!AP56*Paramètres!$H$4),0),0)</f>
        <v>0</v>
      </c>
      <c r="AW56" s="225">
        <f>IF(AP56&lt;&gt;"",IF(((AP56*Paramètres!$H$4)-PORTEFEUILLE_DELPHINE[[#This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6" s="190" t="str">
        <f>IF(PORTEFEUILLE_DELPHINE[[#This Row],[BONI COMPTABLE]]&lt;&gt;0,1,"")</f>
        <v/>
      </c>
      <c r="AY56" s="190" t="str">
        <f>IF(PORTEFEUILLE_DELPHINE[[#This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79"/>
      <c r="C57" s="176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SUM(PORTEFEUILLE_DELPHINE[[#This Row],[PCR COMPTABLE €]:[MONTANT
RESPONSABLE RELATION CLIENT €]])-PORTEFEUILLE_DELPHINE[[#This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7" s="188" t="str">
        <f>IF(PORTEFEUILLE_DELPHINE[[#This Row],[BONI AAC]]&lt;&gt;0,1,"")</f>
        <v/>
      </c>
      <c r="AU57" s="188" t="str">
        <f>IF(PORTEFEUILLE_DELPHINE[[#This Row],[MALI AAC]]&lt;&gt;0,1,"")</f>
        <v/>
      </c>
      <c r="AV57" s="225">
        <f>IF(AP57&lt;&gt;"",IF((AP57*Paramètres!$H$4)-PORTEFEUILLE_DELPHINE[[#This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€]]-(DELPHINE!AP57*Paramètres!$H$4),0),0)</f>
        <v>0</v>
      </c>
      <c r="AW57" s="225">
        <f>IF(AP57&lt;&gt;"",IF(((AP57*Paramètres!$H$4)-PORTEFEUILLE_DELPHINE[[#This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7" s="190" t="str">
        <f>IF(PORTEFEUILLE_DELPHINE[[#This Row],[BONI COMPTABLE]]&lt;&gt;0,1,"")</f>
        <v/>
      </c>
      <c r="AY57" s="190" t="str">
        <f>IF(PORTEFEUILLE_DELPHINE[[#This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SUM(PORTEFEUILLE_DELPHINE[[#This Row],[PCR COMPTABLE €]:[MONTANT
RESPONSABLE RELATION CLIENT €]])-PORTEFEUILLE_DELPHINE[[#This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8" s="188" t="str">
        <f>IF(PORTEFEUILLE_DELPHINE[[#This Row],[BONI AAC]]&lt;&gt;0,1,"")</f>
        <v/>
      </c>
      <c r="AU58" s="188" t="str">
        <f>IF(PORTEFEUILLE_DELPHINE[[#This Row],[MALI AAC]]&lt;&gt;0,1,"")</f>
        <v/>
      </c>
      <c r="AV58" s="225">
        <f>IF(AP58&lt;&gt;"",IF((AP58*Paramètres!$H$4)-PORTEFEUILLE_DELPHINE[[#This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€]]-(DELPHINE!AP58*Paramètres!$H$4),0),0)</f>
        <v>0</v>
      </c>
      <c r="AW58" s="225">
        <f>IF(AP58&lt;&gt;"",IF(((AP58*Paramètres!$H$4)-PORTEFEUILLE_DELPHINE[[#This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8" s="190" t="str">
        <f>IF(PORTEFEUILLE_DELPHINE[[#This Row],[BONI COMPTABLE]]&lt;&gt;0,1,"")</f>
        <v/>
      </c>
      <c r="AY58" s="190" t="str">
        <f>IF(PORTEFEUILLE_DELPHINE[[#This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86"/>
      <c r="B59" s="187"/>
      <c r="C59" s="186"/>
      <c r="D59" s="186"/>
      <c r="E59" s="204"/>
      <c r="F59" s="205"/>
      <c r="G59" s="205"/>
      <c r="H59" s="189"/>
      <c r="I59" s="205"/>
      <c r="J59" s="205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8"/>
      <c r="T59" s="212"/>
      <c r="U59" s="224"/>
      <c r="V59" s="224"/>
      <c r="W59" s="224"/>
      <c r="X59" s="224"/>
      <c r="Y59" s="224"/>
      <c r="Z59" s="224"/>
      <c r="AA59" s="224"/>
      <c r="AB59" s="224"/>
      <c r="AC59" s="224"/>
      <c r="AD59" s="224"/>
      <c r="AE59" s="224"/>
      <c r="AF59" s="224"/>
      <c r="AG59" s="219"/>
      <c r="AH59" s="225">
        <f>SUM(PORTEFEUILLE_DELPHINE[[#This Row],[PCR COMPTABLE €]:[MONTANT
RESPONSABLE RELATION CLIENT €]])-PORTEFEUILLE_DELPHINE[[#This Row],[MONTANT TOTAL LETTRE DE MISION €]]</f>
        <v>0</v>
      </c>
      <c r="AI59" s="191"/>
      <c r="AJ59" s="188"/>
      <c r="AK59" s="201"/>
      <c r="AL59" s="201"/>
      <c r="AM59" s="246"/>
      <c r="AN59" s="205"/>
      <c r="AO59" s="205"/>
      <c r="AP59" s="205"/>
      <c r="AQ59" s="205"/>
      <c r="AR5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9" s="188" t="str">
        <f>IF(PORTEFEUILLE_DELPHINE[[#This Row],[BONI AAC]]&lt;&gt;0,1,"")</f>
        <v/>
      </c>
      <c r="AU59" s="188" t="str">
        <f>IF(PORTEFEUILLE_DELPHINE[[#This Row],[MALI AAC]]&lt;&gt;0,1,"")</f>
        <v/>
      </c>
      <c r="AV59" s="225">
        <f>IF(AP59&lt;&gt;"",IF((AP59*Paramètres!$H$4)-PORTEFEUILLE_DELPHINE[[#This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€]]-(DELPHINE!AP59*Paramètres!$H$4),0),0)</f>
        <v>0</v>
      </c>
      <c r="AW59" s="225">
        <f>IF(AP59&lt;&gt;"",IF(((AP59*Paramètres!$H$4)-PORTEFEUILLE_DELPHINE[[#This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9" s="190" t="str">
        <f>IF(PORTEFEUILLE_DELPHINE[[#This Row],[BONI COMPTABLE]]&lt;&gt;0,1,"")</f>
        <v/>
      </c>
      <c r="AY59" s="190" t="str">
        <f>IF(PORTEFEUILLE_DELPHINE[[#This Row],[MALI COMPTABLE]]&lt;&gt;0,1,"")</f>
        <v/>
      </c>
      <c r="AZ59" s="205"/>
      <c r="BA59" s="188"/>
      <c r="BB59" s="188"/>
      <c r="BC59" s="188"/>
      <c r="BD59" s="205"/>
      <c r="BE59" s="205"/>
      <c r="BF59" s="205"/>
      <c r="BG59" s="192"/>
      <c r="BH59" s="205"/>
      <c r="BI59" s="205"/>
      <c r="BJ59" s="206"/>
      <c r="BK59" s="205"/>
    </row>
    <row r="62" spans="1:63" x14ac:dyDescent="0.25">
      <c r="B62" s="89" t="s">
        <v>120</v>
      </c>
    </row>
    <row r="64" spans="1:63" x14ac:dyDescent="0.25">
      <c r="B64" s="275" t="s">
        <v>120</v>
      </c>
      <c r="C64" s="122"/>
      <c r="D64" s="122"/>
      <c r="E64" s="125" t="s">
        <v>112</v>
      </c>
      <c r="F64" s="121" t="s">
        <v>115</v>
      </c>
      <c r="G64" s="126" t="s">
        <v>118</v>
      </c>
      <c r="H64" s="127" t="s">
        <v>116</v>
      </c>
      <c r="I64" s="127" t="s">
        <v>136</v>
      </c>
      <c r="J64" s="128" t="s">
        <v>125</v>
      </c>
      <c r="K64" s="128" t="s">
        <v>110</v>
      </c>
      <c r="L64" s="128" t="s">
        <v>119</v>
      </c>
      <c r="M64" s="128" t="s">
        <v>126</v>
      </c>
      <c r="N64" s="128" t="s">
        <v>127</v>
      </c>
      <c r="O64" s="128" t="s">
        <v>128</v>
      </c>
      <c r="P64" s="128" t="s">
        <v>129</v>
      </c>
      <c r="Q64" s="128" t="s">
        <v>130</v>
      </c>
      <c r="R64" s="128" t="s">
        <v>137</v>
      </c>
      <c r="S64" s="128"/>
      <c r="T64" s="121"/>
      <c r="U64" s="164"/>
      <c r="V64" s="164"/>
      <c r="W64" s="164"/>
      <c r="X64" s="164"/>
      <c r="Y64" s="164"/>
      <c r="Z64" s="164"/>
      <c r="AA64" s="164"/>
      <c r="AB64" s="164"/>
      <c r="AC64" s="164"/>
      <c r="AE64" s="164"/>
      <c r="AF64" s="164"/>
      <c r="AG64" s="164"/>
      <c r="AH64" s="164"/>
      <c r="AI64" s="164"/>
      <c r="AJ64" s="164"/>
      <c r="AK64" s="164"/>
      <c r="AL64" s="164"/>
      <c r="AM64" s="164"/>
      <c r="AN64" s="164"/>
      <c r="AO64" s="164"/>
      <c r="AP64" s="164"/>
      <c r="AQ64" s="164"/>
      <c r="AR64" s="164"/>
      <c r="AS64" s="164"/>
      <c r="AT64" s="164"/>
      <c r="AU64" s="164"/>
      <c r="AV64" s="164"/>
      <c r="AW64" s="164"/>
      <c r="AX64" s="164"/>
      <c r="AY64" s="164"/>
      <c r="AZ64" s="164"/>
    </row>
    <row r="65" spans="2:52" x14ac:dyDescent="0.25">
      <c r="B65" s="276"/>
      <c r="C65" s="120" t="s">
        <v>109</v>
      </c>
      <c r="D65" s="122">
        <f>COUNTIF($D$3:$D$59,"ACS")</f>
        <v>3</v>
      </c>
      <c r="E65" s="129">
        <f>+COUNTIF($F$3:$F$59,"SARL")</f>
        <v>1</v>
      </c>
      <c r="F65" s="121">
        <f>+COUNTIF($F$3:$F$59,"EURL")</f>
        <v>1</v>
      </c>
      <c r="G65" s="124">
        <f>COUNTIFS($F$3:$F$59,"SAS",$D$3:$D$59,"ACS")</f>
        <v>0</v>
      </c>
      <c r="H65" s="122">
        <f>COUNTIFS($F$3:$F$59,"INDIVIDUEL",$D$3:$D$59,"ACS")</f>
        <v>0</v>
      </c>
      <c r="I65" s="122">
        <f>COUNTIF($F$3:$F$59,"ASSOCIATION")</f>
        <v>0</v>
      </c>
      <c r="J65" s="122"/>
      <c r="K65" s="122">
        <f>COUNTIF($F$3:$F$59,"SNC")</f>
        <v>0</v>
      </c>
      <c r="L65" s="122">
        <f>+COUNTIF($F$3:$F$59,"SCI")</f>
        <v>0</v>
      </c>
      <c r="M65" s="130"/>
      <c r="N65" s="131"/>
      <c r="O65" s="132"/>
      <c r="P65" s="122">
        <f>+COUNTIF($F$3:$F$59,"GROUPEMENT")</f>
        <v>0</v>
      </c>
      <c r="Q65" s="121">
        <f>COUNTIF($F$3:$F$59,"EIRL")</f>
        <v>1</v>
      </c>
      <c r="R65" s="121">
        <f>COUNTIF($F$3:$F$59,"AUTRE")</f>
        <v>0</v>
      </c>
      <c r="S65" s="121"/>
      <c r="T65" s="122">
        <f>+SUM(E65:P65)</f>
        <v>2</v>
      </c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121</v>
      </c>
      <c r="D66" s="122">
        <f>COUNTIF($D$3:$D$59,"BNC")</f>
        <v>0</v>
      </c>
      <c r="E66" s="133"/>
      <c r="F66" s="121"/>
      <c r="G66" s="134"/>
      <c r="H66" s="135"/>
      <c r="I66" s="132"/>
      <c r="J66" s="122">
        <f>+COUNTIF($F$3:$F$59,"PROFESSION LIBERALE")</f>
        <v>0</v>
      </c>
      <c r="K66" s="122"/>
      <c r="L66" s="122"/>
      <c r="M66" s="122"/>
      <c r="N66" s="122"/>
      <c r="O66" s="122"/>
      <c r="P66" s="122"/>
      <c r="Q66" s="121"/>
      <c r="R66" s="121"/>
      <c r="S66" s="121"/>
      <c r="T66" s="122">
        <f>+SUM(E66:P66)</f>
        <v>0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7"/>
      <c r="C67" s="122" t="s">
        <v>122</v>
      </c>
      <c r="D67" s="122">
        <f>COUNTIF($D$3:$D$59,"AGRI")</f>
        <v>0</v>
      </c>
      <c r="E67" s="129"/>
      <c r="F67" s="121"/>
      <c r="G67" s="124">
        <f>COUNTIFS($F$3:$F$59,"SAS",$D$3:$D$59,"AGRI")</f>
        <v>0</v>
      </c>
      <c r="H67" s="122">
        <f>COUNTIFS($F$3:$F$59,"INDIVIDUEL",$D$3:$D$59,"AGRI")</f>
        <v>0</v>
      </c>
      <c r="I67" s="122"/>
      <c r="J67" s="122"/>
      <c r="K67" s="122"/>
      <c r="L67" s="122"/>
      <c r="M67" s="122">
        <f>COUNTIF($F$5:$F$61,"EARL")</f>
        <v>0</v>
      </c>
      <c r="N67" s="122">
        <f>COUNTIF($F$5:$F$61,"ETA")</f>
        <v>0</v>
      </c>
      <c r="O67" s="122">
        <f>COUNTIF($F$5:$F$61,"SCEA")</f>
        <v>0</v>
      </c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8" t="s">
        <v>123</v>
      </c>
      <c r="C68" s="278"/>
      <c r="D68" s="122">
        <f>+SUM(D65:D67)</f>
        <v>3</v>
      </c>
      <c r="E68" s="129">
        <f>+SUM(E65:E67)</f>
        <v>1</v>
      </c>
      <c r="F68" s="129">
        <f t="shared" ref="F68:R68" si="2">+SUM(F65:F67)</f>
        <v>1</v>
      </c>
      <c r="G68" s="129">
        <f t="shared" si="2"/>
        <v>0</v>
      </c>
      <c r="H68" s="129">
        <f t="shared" si="2"/>
        <v>0</v>
      </c>
      <c r="I68" s="129">
        <f t="shared" si="2"/>
        <v>0</v>
      </c>
      <c r="J68" s="129">
        <f t="shared" si="2"/>
        <v>0</v>
      </c>
      <c r="K68" s="129">
        <f t="shared" si="2"/>
        <v>0</v>
      </c>
      <c r="L68" s="129">
        <f t="shared" si="2"/>
        <v>0</v>
      </c>
      <c r="M68" s="129">
        <f t="shared" si="2"/>
        <v>0</v>
      </c>
      <c r="N68" s="129">
        <f t="shared" si="2"/>
        <v>0</v>
      </c>
      <c r="O68" s="129">
        <f t="shared" si="2"/>
        <v>0</v>
      </c>
      <c r="P68" s="129">
        <f t="shared" si="2"/>
        <v>0</v>
      </c>
      <c r="Q68" s="129">
        <f t="shared" si="2"/>
        <v>1</v>
      </c>
      <c r="R68" s="129">
        <f t="shared" si="2"/>
        <v>0</v>
      </c>
      <c r="S68" s="129"/>
      <c r="T68" s="122">
        <f>+SUM(T65:T67)</f>
        <v>2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90"/>
      <c r="C69" s="90"/>
      <c r="D69" s="90"/>
      <c r="E69" s="90"/>
      <c r="G69" s="90"/>
      <c r="H69" s="90"/>
      <c r="I69" s="90"/>
      <c r="J69" s="90"/>
      <c r="K69" s="90"/>
      <c r="L69" s="90"/>
      <c r="M69" s="90"/>
      <c r="N69" s="90"/>
      <c r="O69" s="90"/>
      <c r="P69" s="90"/>
      <c r="T69" s="90"/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279">
        <v>44196</v>
      </c>
      <c r="C70" s="122"/>
      <c r="D70" s="122"/>
      <c r="E70" s="125" t="str">
        <f t="shared" ref="E70:R70" si="3">E64</f>
        <v>SARL</v>
      </c>
      <c r="F70" s="122" t="str">
        <f t="shared" si="3"/>
        <v>EURL</v>
      </c>
      <c r="G70" s="126" t="str">
        <f t="shared" si="3"/>
        <v>SAS</v>
      </c>
      <c r="H70" s="127" t="str">
        <f t="shared" si="3"/>
        <v>INDIVIDUEL</v>
      </c>
      <c r="I70" s="127" t="str">
        <f t="shared" si="3"/>
        <v>ASSOCIATION</v>
      </c>
      <c r="J70" s="128" t="str">
        <f t="shared" si="3"/>
        <v>PROFESSION LIBERALE</v>
      </c>
      <c r="K70" s="128" t="str">
        <f t="shared" si="3"/>
        <v>SNC</v>
      </c>
      <c r="L70" s="128" t="str">
        <f t="shared" si="3"/>
        <v>SCI</v>
      </c>
      <c r="M70" s="128" t="str">
        <f t="shared" si="3"/>
        <v>EARL</v>
      </c>
      <c r="N70" s="128" t="str">
        <f t="shared" si="3"/>
        <v>ETA</v>
      </c>
      <c r="O70" s="128" t="str">
        <f t="shared" si="3"/>
        <v>SCEA</v>
      </c>
      <c r="P70" s="128" t="str">
        <f t="shared" si="3"/>
        <v>GROUPEMENT</v>
      </c>
      <c r="Q70" s="122" t="str">
        <f t="shared" si="3"/>
        <v>EIRL</v>
      </c>
      <c r="R70" s="122" t="str">
        <f t="shared" si="3"/>
        <v>AUTRES</v>
      </c>
      <c r="S70" s="122"/>
      <c r="T70" s="128" t="s">
        <v>86</v>
      </c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6"/>
      <c r="C71" s="120" t="s">
        <v>109</v>
      </c>
      <c r="D71" s="122">
        <f>COUNTIFS($E$3:$E$59,DATE(Paramètres!A4,Paramètres!D15,Paramètres!C15),$D$3:$D$59,"ACS")</f>
        <v>3</v>
      </c>
      <c r="E71" s="129">
        <f>COUNTIFS($E$3:$E$59,DATE(Paramètres!A4,Paramètres!D15,Paramètres!C15),$F$3:$F$59,"SARL")</f>
        <v>1</v>
      </c>
      <c r="F71" s="122">
        <f>+COUNTIFS($E$3:$E$59,DATE(Paramètres!A4,Paramètres!D15,Paramètres!C15),$F$3:$F$59,"EURL")</f>
        <v>1</v>
      </c>
      <c r="G71" s="124">
        <f>COUNTIFS($E$3:$E$59,DATE(Paramètres!A4,Paramètres!D15,Paramètres!C15),$F$3:$F$59,"SAS",$D$3:$D$59,"ACS")</f>
        <v>0</v>
      </c>
      <c r="H71" s="122">
        <f>COUNTIFS($E$3:$E$59,DATE(Paramètres!A4,Paramètres!D15,Paramètres!C15),$F$3:$F$59,"INDIVIDUEL",$D$3:$D$59,"ACS")</f>
        <v>0</v>
      </c>
      <c r="I71" s="122">
        <f>+COUNTIFS($E$3:$E$59,DATE(Paramètres!A4,Paramètres!D15,Paramètres!C15),$F$3:$F$59,"ASSOCIATION")</f>
        <v>0</v>
      </c>
      <c r="J71" s="122"/>
      <c r="K71" s="122">
        <f>COUNTIFS($E$3:$E$59,DATE(Paramètres!A4,Paramètres!D15,Paramètres!C15),$F$3:$F$59,"SNC")</f>
        <v>0</v>
      </c>
      <c r="L71" s="122">
        <f>COUNTIFS($E$3:$E$59,DATE(Paramètres!A4,Paramètres!D15,Paramètres!C15),$F$3:$F$59,"SCI")</f>
        <v>0</v>
      </c>
      <c r="M71" s="130"/>
      <c r="N71" s="131"/>
      <c r="O71" s="132"/>
      <c r="P71" s="122">
        <f>COUNTIFS($E$3:$E$59,DATE(Paramètres!A4,Paramètres!D15,Paramètres!C15),$F$3:$F$59,"GROUPEMENT")</f>
        <v>0</v>
      </c>
      <c r="Q71" s="122">
        <f>+COUNTIFS($E$3:$E$59,DATE(Paramètres!A4,Paramètres!D15,Paramètres!C15),$F$3:$F$59,"EIRL")</f>
        <v>1</v>
      </c>
      <c r="R71" s="122">
        <f>+COUNTIFS($E$3:$E$59,DATE(Paramètres!B4,Paramètres!E15,Paramètres!D15),$F$3:$F$59,"AUTRES")</f>
        <v>0</v>
      </c>
      <c r="S71" s="122"/>
      <c r="T71" s="122">
        <f>+SUM(E71:P71)</f>
        <v>2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121</v>
      </c>
      <c r="D72" s="122">
        <f>COUNTIFS($E$3:$E$59,DATE(Paramètres!A4,Paramètres!D15,Paramètres!C15),$D$3:$D$59,"BNC")</f>
        <v>0</v>
      </c>
      <c r="E72" s="133"/>
      <c r="F72" s="122"/>
      <c r="G72" s="134"/>
      <c r="H72" s="135"/>
      <c r="I72" s="132"/>
      <c r="J72" s="122">
        <f>COUNTIFS($E$3:$E$59,DATE(Paramètres!A4,Paramètres!D15,Paramètres!C15),$D$3:$D$59,"BNC")</f>
        <v>0</v>
      </c>
      <c r="K72" s="130"/>
      <c r="L72" s="131"/>
      <c r="M72" s="131"/>
      <c r="N72" s="131"/>
      <c r="O72" s="131"/>
      <c r="P72" s="132"/>
      <c r="Q72" s="122"/>
      <c r="R72" s="122"/>
      <c r="S72" s="122"/>
      <c r="T72" s="122">
        <f>+SUM(E72:P72)</f>
        <v>0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7"/>
      <c r="C73" s="122" t="s">
        <v>122</v>
      </c>
      <c r="D73" s="122">
        <f>COUNTIFS($E$3:$E$59,DATE(Paramètres!A4,Paramètres!D15,Paramètres!C15),$D$3:$D$59,"AGRI")</f>
        <v>0</v>
      </c>
      <c r="E73" s="133"/>
      <c r="F73" s="122"/>
      <c r="G73" s="134">
        <f>COUNTIFS($E$3:$E$59,DATE(Paramètres!A4,Paramètres!D15,Paramètres!C15),$F$3:$F$59,"SAS",$D$3:$D$59,"AGRI")</f>
        <v>0</v>
      </c>
      <c r="H73" s="122">
        <f>COUNTIFS($E$3:$E$59,DATE(Paramètres!A4,Paramètres!D15,Paramètres!C15),$F$3:$F$59,"INDIVIDUEL",$D$3:$D$59,"AGRI")</f>
        <v>0</v>
      </c>
      <c r="I73" s="136"/>
      <c r="J73" s="131"/>
      <c r="K73" s="131"/>
      <c r="L73" s="132"/>
      <c r="M73" s="122">
        <f>COUNTIFS($E$3:$E$59,DATE(Paramètres!A4,Paramètres!D15,Paramètres!C15),$F$3:$F$59,"EARL")</f>
        <v>0</v>
      </c>
      <c r="N73" s="122">
        <f>COUNTIFS($E$3:$E$59,DATE(Paramètres!A4,Paramètres!D15,Paramètres!C15),$F$3:$F$59,"ETA")</f>
        <v>0</v>
      </c>
      <c r="O73" s="122">
        <f>COUNTIFS($E$3:$E$59,DATE(Paramètres!A4,Paramètres!D15,Paramètres!C15),$F$3:$F$59,"SCEA")</f>
        <v>0</v>
      </c>
      <c r="P73" s="12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8" t="s">
        <v>123</v>
      </c>
      <c r="C74" s="278"/>
      <c r="D74" s="122">
        <f>+SUM(D71:D73)</f>
        <v>3</v>
      </c>
      <c r="E74" s="129">
        <f>+SUM(E71:E73)</f>
        <v>1</v>
      </c>
      <c r="F74" s="129">
        <f>+SUM(F71:F73)</f>
        <v>1</v>
      </c>
      <c r="G74" s="124">
        <f>+SUM(G71:G73)</f>
        <v>0</v>
      </c>
      <c r="H74" s="122">
        <f>+SUM(H71:H73)</f>
        <v>0</v>
      </c>
      <c r="I74" s="122">
        <f t="shared" ref="I74:R74" si="4">+SUM(I71:I73)</f>
        <v>0</v>
      </c>
      <c r="J74" s="122">
        <f t="shared" si="4"/>
        <v>0</v>
      </c>
      <c r="K74" s="122">
        <f t="shared" si="4"/>
        <v>0</v>
      </c>
      <c r="L74" s="122">
        <f t="shared" si="4"/>
        <v>0</v>
      </c>
      <c r="M74" s="122">
        <f t="shared" si="4"/>
        <v>0</v>
      </c>
      <c r="N74" s="122">
        <f t="shared" si="4"/>
        <v>0</v>
      </c>
      <c r="O74" s="122">
        <f t="shared" si="4"/>
        <v>0</v>
      </c>
      <c r="P74" s="122">
        <f t="shared" si="4"/>
        <v>0</v>
      </c>
      <c r="Q74" s="122">
        <f t="shared" si="4"/>
        <v>1</v>
      </c>
      <c r="R74" s="122">
        <f t="shared" si="4"/>
        <v>0</v>
      </c>
      <c r="S74" s="122"/>
      <c r="T74" s="122">
        <f>+SUM(E74:R74)</f>
        <v>3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90"/>
      <c r="C75" s="90"/>
      <c r="D75" s="90"/>
      <c r="E75" s="90"/>
      <c r="G75" s="90"/>
      <c r="H75" s="90"/>
      <c r="I75" s="90"/>
      <c r="J75" s="90"/>
      <c r="K75" s="90"/>
      <c r="L75" s="90"/>
      <c r="M75" s="90"/>
      <c r="N75" s="90"/>
      <c r="O75" s="90"/>
      <c r="P75" s="90"/>
      <c r="T75" s="90"/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279" t="s">
        <v>40</v>
      </c>
      <c r="C76" s="122"/>
      <c r="D76" s="122"/>
      <c r="E76" s="125" t="s">
        <v>112</v>
      </c>
      <c r="F76" s="121" t="s">
        <v>115</v>
      </c>
      <c r="G76" s="126" t="s">
        <v>118</v>
      </c>
      <c r="H76" s="127" t="s">
        <v>116</v>
      </c>
      <c r="I76" s="127" t="s">
        <v>124</v>
      </c>
      <c r="J76" s="128" t="s">
        <v>125</v>
      </c>
      <c r="K76" s="128" t="s">
        <v>110</v>
      </c>
      <c r="L76" s="128" t="s">
        <v>119</v>
      </c>
      <c r="M76" s="128" t="s">
        <v>126</v>
      </c>
      <c r="N76" s="128" t="s">
        <v>127</v>
      </c>
      <c r="O76" s="128" t="s">
        <v>128</v>
      </c>
      <c r="P76" s="128" t="s">
        <v>129</v>
      </c>
      <c r="Q76" s="128" t="s">
        <v>130</v>
      </c>
      <c r="R76" s="128" t="s">
        <v>131</v>
      </c>
      <c r="S76" s="128"/>
      <c r="T76" s="128" t="s">
        <v>86</v>
      </c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6"/>
      <c r="C77" s="120" t="s">
        <v>109</v>
      </c>
      <c r="D77" s="122">
        <f>+D65-D71</f>
        <v>0</v>
      </c>
      <c r="E77" s="122">
        <f>+E65-E71</f>
        <v>0</v>
      </c>
      <c r="F77" s="122">
        <f t="shared" ref="F77:R77" si="5">+F65-F71</f>
        <v>0</v>
      </c>
      <c r="G77" s="122">
        <f t="shared" si="5"/>
        <v>0</v>
      </c>
      <c r="H77" s="122">
        <f t="shared" si="5"/>
        <v>0</v>
      </c>
      <c r="I77" s="122">
        <f t="shared" si="5"/>
        <v>0</v>
      </c>
      <c r="J77" s="122">
        <f t="shared" si="5"/>
        <v>0</v>
      </c>
      <c r="K77" s="122">
        <f t="shared" si="5"/>
        <v>0</v>
      </c>
      <c r="L77" s="122">
        <f t="shared" si="5"/>
        <v>0</v>
      </c>
      <c r="M77" s="122">
        <f t="shared" si="5"/>
        <v>0</v>
      </c>
      <c r="N77" s="122">
        <f t="shared" si="5"/>
        <v>0</v>
      </c>
      <c r="O77" s="122">
        <f t="shared" si="5"/>
        <v>0</v>
      </c>
      <c r="P77" s="122">
        <f t="shared" si="5"/>
        <v>0</v>
      </c>
      <c r="Q77" s="122">
        <f t="shared" si="5"/>
        <v>0</v>
      </c>
      <c r="R77" s="122">
        <f t="shared" si="5"/>
        <v>0</v>
      </c>
      <c r="S77" s="122"/>
      <c r="T77" s="122">
        <f>+SUM(E77:P77)</f>
        <v>0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121</v>
      </c>
      <c r="D78" s="122">
        <f>+D66-D72</f>
        <v>0</v>
      </c>
      <c r="E78" s="122">
        <f t="shared" ref="E78:R80" si="6">+E66-E72</f>
        <v>0</v>
      </c>
      <c r="F78" s="122">
        <f t="shared" si="6"/>
        <v>0</v>
      </c>
      <c r="G78" s="122">
        <f t="shared" si="6"/>
        <v>0</v>
      </c>
      <c r="H78" s="122">
        <f t="shared" si="6"/>
        <v>0</v>
      </c>
      <c r="I78" s="122">
        <f t="shared" si="6"/>
        <v>0</v>
      </c>
      <c r="J78" s="122">
        <f t="shared" si="6"/>
        <v>0</v>
      </c>
      <c r="K78" s="122">
        <f t="shared" si="6"/>
        <v>0</v>
      </c>
      <c r="L78" s="122">
        <f t="shared" si="6"/>
        <v>0</v>
      </c>
      <c r="M78" s="122">
        <f t="shared" si="6"/>
        <v>0</v>
      </c>
      <c r="N78" s="122">
        <f t="shared" si="6"/>
        <v>0</v>
      </c>
      <c r="O78" s="122">
        <f t="shared" si="6"/>
        <v>0</v>
      </c>
      <c r="P78" s="122">
        <f t="shared" si="6"/>
        <v>0</v>
      </c>
      <c r="Q78" s="122">
        <f t="shared" si="6"/>
        <v>0</v>
      </c>
      <c r="R78" s="122">
        <f t="shared" si="6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7"/>
      <c r="C79" s="122" t="s">
        <v>122</v>
      </c>
      <c r="D79" s="122">
        <f>+D67-D73</f>
        <v>0</v>
      </c>
      <c r="E79" s="122">
        <f t="shared" si="6"/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8" t="s">
        <v>123</v>
      </c>
      <c r="C80" s="278"/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+SUM(T77:T79)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B82" s="137" t="s">
        <v>132</v>
      </c>
      <c r="C82" s="137"/>
      <c r="D82" s="137"/>
      <c r="E82" s="137"/>
      <c r="F82" s="137"/>
      <c r="G82" s="137"/>
      <c r="H82" s="137"/>
      <c r="I82" s="137"/>
      <c r="J82" s="137"/>
      <c r="K82" s="137"/>
      <c r="L82" s="137"/>
      <c r="M82" s="137"/>
      <c r="N82" s="137"/>
      <c r="O82" s="137"/>
      <c r="P82" s="137"/>
      <c r="Q82" s="137"/>
      <c r="R82" s="138"/>
      <c r="S82" s="139"/>
      <c r="T82" s="137"/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280" t="s">
        <v>120</v>
      </c>
      <c r="C83" s="138"/>
      <c r="D83" s="138"/>
      <c r="E83" s="140" t="str">
        <f t="shared" ref="E83:R83" si="7">E64</f>
        <v>SARL</v>
      </c>
      <c r="F83" s="138" t="str">
        <f t="shared" si="7"/>
        <v>EURL</v>
      </c>
      <c r="G83" s="141" t="str">
        <f t="shared" si="7"/>
        <v>SAS</v>
      </c>
      <c r="H83" s="142" t="str">
        <f t="shared" si="7"/>
        <v>INDIVIDUEL</v>
      </c>
      <c r="I83" s="142" t="str">
        <f t="shared" si="7"/>
        <v>ASSOCIATION</v>
      </c>
      <c r="J83" s="143" t="str">
        <f t="shared" si="7"/>
        <v>PROFESSION LIBERALE</v>
      </c>
      <c r="K83" s="143" t="str">
        <f t="shared" si="7"/>
        <v>SNC</v>
      </c>
      <c r="L83" s="143" t="str">
        <f t="shared" si="7"/>
        <v>SCI</v>
      </c>
      <c r="M83" s="143" t="str">
        <f t="shared" si="7"/>
        <v>EARL</v>
      </c>
      <c r="N83" s="143" t="str">
        <f t="shared" si="7"/>
        <v>ETA</v>
      </c>
      <c r="O83" s="143" t="str">
        <f t="shared" si="7"/>
        <v>SCEA</v>
      </c>
      <c r="P83" s="143" t="str">
        <f t="shared" si="7"/>
        <v>GROUPEMENT</v>
      </c>
      <c r="Q83" s="143" t="str">
        <f t="shared" si="7"/>
        <v>EIRL</v>
      </c>
      <c r="R83" s="143" t="str">
        <f t="shared" si="7"/>
        <v>AUTRES</v>
      </c>
      <c r="S83" s="144"/>
      <c r="T83" s="145" t="s">
        <v>86</v>
      </c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1"/>
      <c r="C84" s="146" t="s">
        <v>109</v>
      </c>
      <c r="D84" s="138">
        <f>COUNTIFS($I$3:$I$59,"&lt;&gt;",$D$3:$D$59,"ACS")</f>
        <v>2</v>
      </c>
      <c r="E84" s="147">
        <f>+COUNTIFS($I$3:$I$59,"&lt;&gt;",$F$3:$F$59,"SARL")</f>
        <v>1</v>
      </c>
      <c r="F84" s="138">
        <f>+COUNTIFS($I3:$I59,"&lt;&gt;",$F$3:$F$59,"EURL")</f>
        <v>1</v>
      </c>
      <c r="G84" s="148">
        <f>COUNTIFS($I$3:$I$59,"&lt;&gt;",$F$3:$F$59,"SAS",$D$3:$D$59,"ACS")</f>
        <v>0</v>
      </c>
      <c r="H84" s="138">
        <f>COUNTIFS($I$3:$I$59,"&lt;&gt;",$F$3:$F$59,"INDIVIDUEL",$D$3:$D$59,"ACS")</f>
        <v>0</v>
      </c>
      <c r="I84" s="138">
        <f>COUNTIFS($I$3:$I$59,"&lt;&gt;",$F$3:$F$59,"ASSOCIATION")</f>
        <v>0</v>
      </c>
      <c r="J84" s="138"/>
      <c r="K84" s="138">
        <f>COUNTIFS($I$3:$I$59,"&lt;&gt;",$F$3:$F$59,"SNC")</f>
        <v>0</v>
      </c>
      <c r="L84" s="138">
        <f>COUNTIFS($I$3:$I$59,"&lt;&gt;",$F$3:$F$59,"SCI")</f>
        <v>0</v>
      </c>
      <c r="M84" s="149"/>
      <c r="N84" s="150"/>
      <c r="O84" s="151"/>
      <c r="P84" s="138">
        <f>COUNTIFS($I$3:$I$59,"&lt;&gt;",$F$3:$F$59,"GROUPEMENT")</f>
        <v>0</v>
      </c>
      <c r="Q84" s="152">
        <f>COUNTIFS($I$3:$I$59,"&lt;&gt;",$F$3:$F$59,"EIRL")</f>
        <v>0</v>
      </c>
      <c r="R84" s="138">
        <f>COUNTIFS($I$3:$I$59,"&lt;&gt;",$F$3:$F$59,"AUTRES")</f>
        <v>0</v>
      </c>
      <c r="S84" s="148"/>
      <c r="T84" s="148">
        <f>+SUM(E84:P84)</f>
        <v>2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121</v>
      </c>
      <c r="D85" s="138">
        <f>COUNTIFS($I$3:$I$59,"&lt;&gt;",$D$3:$D$59,"BNC")</f>
        <v>0</v>
      </c>
      <c r="E85" s="153"/>
      <c r="F85" s="138"/>
      <c r="G85" s="154"/>
      <c r="H85" s="155"/>
      <c r="I85" s="151"/>
      <c r="J85" s="138">
        <f>COUNTIFS($I$3:$I$59,"&lt;&gt;",$D$3:$D$59,"BNC")</f>
        <v>0</v>
      </c>
      <c r="K85" s="138"/>
      <c r="L85" s="138"/>
      <c r="M85" s="138"/>
      <c r="N85" s="138"/>
      <c r="O85" s="138"/>
      <c r="P85" s="138"/>
      <c r="Q85" s="152"/>
      <c r="R85" s="138"/>
      <c r="S85" s="148"/>
      <c r="T85" s="148">
        <f>+SUM(E85:P85)</f>
        <v>0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38" t="s">
        <v>122</v>
      </c>
      <c r="D86" s="138">
        <f>COUNTIFS($I$3:$I$59,"&lt;&gt;",$D$3:$D$59,"AGRI")</f>
        <v>0</v>
      </c>
      <c r="E86" s="152"/>
      <c r="F86" s="138"/>
      <c r="G86" s="148">
        <f>COUNTIFS($I$3:$I$59,"&lt;&gt;",$F$3:$F$59,"SAS",$D$3:$D$59,"AGRI")</f>
        <v>0</v>
      </c>
      <c r="H86" s="138">
        <f>COUNTIFS($F$3:$F$59,"INDIVIDUEL",$D$3:$D$59,"AGRI",$I3:$I$59,"&lt;&gt;")</f>
        <v>0</v>
      </c>
      <c r="I86" s="138"/>
      <c r="J86" s="138"/>
      <c r="K86" s="138"/>
      <c r="L86" s="138"/>
      <c r="M86" s="138">
        <f>COUNTIFS($I$3:$I$59,"&lt;&gt;",$F$5:$F$61,"EARL")</f>
        <v>0</v>
      </c>
      <c r="N86" s="138">
        <f>COUNTIFS($I$3:$I$59,"&lt;&gt;",$F$5:$F$61,"ETA")</f>
        <v>0</v>
      </c>
      <c r="O86" s="138">
        <f>COUNTIFS($I$3:$I$59,"&lt;&gt;",$F$5:$F$61,"SCEA")</f>
        <v>0</v>
      </c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 t="s">
        <v>123</v>
      </c>
      <c r="C87" s="281"/>
      <c r="D87" s="138">
        <f t="shared" ref="D87:R87" si="8">+SUM(D84:D86)</f>
        <v>2</v>
      </c>
      <c r="E87" s="152">
        <f t="shared" si="8"/>
        <v>1</v>
      </c>
      <c r="F87" s="152">
        <f t="shared" si="8"/>
        <v>1</v>
      </c>
      <c r="G87" s="152">
        <f t="shared" si="8"/>
        <v>0</v>
      </c>
      <c r="H87" s="152">
        <f t="shared" si="8"/>
        <v>0</v>
      </c>
      <c r="I87" s="152">
        <f t="shared" si="8"/>
        <v>0</v>
      </c>
      <c r="J87" s="152">
        <f t="shared" si="8"/>
        <v>0</v>
      </c>
      <c r="K87" s="152">
        <f t="shared" si="8"/>
        <v>0</v>
      </c>
      <c r="L87" s="152">
        <f t="shared" si="8"/>
        <v>0</v>
      </c>
      <c r="M87" s="152">
        <f t="shared" si="8"/>
        <v>0</v>
      </c>
      <c r="N87" s="152">
        <f t="shared" si="8"/>
        <v>0</v>
      </c>
      <c r="O87" s="152">
        <f t="shared" si="8"/>
        <v>0</v>
      </c>
      <c r="P87" s="152">
        <f t="shared" si="8"/>
        <v>0</v>
      </c>
      <c r="Q87" s="152">
        <f t="shared" si="8"/>
        <v>0</v>
      </c>
      <c r="R87" s="152">
        <f t="shared" si="8"/>
        <v>0</v>
      </c>
      <c r="S87" s="156"/>
      <c r="T87" s="148">
        <f>+SUM(T84:T86)</f>
        <v>2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137"/>
      <c r="C88" s="137"/>
      <c r="D88" s="137"/>
      <c r="E88" s="137"/>
      <c r="F88" s="137"/>
      <c r="G88" s="137"/>
      <c r="H88" s="137"/>
      <c r="I88" s="137"/>
      <c r="J88" s="137"/>
      <c r="K88" s="137"/>
      <c r="L88" s="137"/>
      <c r="M88" s="137"/>
      <c r="N88" s="137"/>
      <c r="O88" s="137"/>
      <c r="P88" s="137"/>
      <c r="Q88" s="137"/>
      <c r="R88" s="137"/>
      <c r="S88" s="137"/>
      <c r="T88" s="137"/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282">
        <v>44196</v>
      </c>
      <c r="C89" s="138"/>
      <c r="D89" s="138"/>
      <c r="E89" s="140" t="str">
        <f t="shared" ref="E89:R89" si="9">E64</f>
        <v>SARL</v>
      </c>
      <c r="F89" s="138" t="str">
        <f t="shared" si="9"/>
        <v>EURL</v>
      </c>
      <c r="G89" s="141" t="str">
        <f t="shared" si="9"/>
        <v>SAS</v>
      </c>
      <c r="H89" s="142" t="str">
        <f t="shared" si="9"/>
        <v>INDIVIDUEL</v>
      </c>
      <c r="I89" s="142" t="str">
        <f t="shared" si="9"/>
        <v>ASSOCIATION</v>
      </c>
      <c r="J89" s="143" t="str">
        <f t="shared" si="9"/>
        <v>PROFESSION LIBERALE</v>
      </c>
      <c r="K89" s="143" t="str">
        <f t="shared" si="9"/>
        <v>SNC</v>
      </c>
      <c r="L89" s="143" t="str">
        <f t="shared" si="9"/>
        <v>SCI</v>
      </c>
      <c r="M89" s="143" t="str">
        <f t="shared" si="9"/>
        <v>EARL</v>
      </c>
      <c r="N89" s="143" t="str">
        <f t="shared" si="9"/>
        <v>ETA</v>
      </c>
      <c r="O89" s="143" t="str">
        <f t="shared" si="9"/>
        <v>SCEA</v>
      </c>
      <c r="P89" s="143" t="str">
        <f t="shared" si="9"/>
        <v>GROUPEMENT</v>
      </c>
      <c r="Q89" s="138" t="str">
        <f t="shared" si="9"/>
        <v>EIRL</v>
      </c>
      <c r="R89" s="138" t="str">
        <f t="shared" si="9"/>
        <v>AUTRES</v>
      </c>
      <c r="S89" s="138"/>
      <c r="T89" s="143" t="s">
        <v>86</v>
      </c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1"/>
      <c r="C90" s="146" t="s">
        <v>109</v>
      </c>
      <c r="D90" s="138">
        <f>COUNTIFS($I$3:$I$59,"&lt;&gt;",$E$3:$E$59,DATE(Paramètres!A4,Paramètres!D15,Paramètres!C15),$D$3:$D$59,"ACS")</f>
        <v>2</v>
      </c>
      <c r="E90" s="147">
        <f>COUNTIFS($I$3:$I$59,"&lt;&gt;",$E$3:$E$59,DATE(Paramètres!A4,Paramètres!D15,Paramètres!C15),$F$3:$F$59,"SARL")</f>
        <v>1</v>
      </c>
      <c r="F90" s="138">
        <f>+COUNTIFS($I$3:$I$59,"&lt;&gt;",$E$3:$E$59,DATE(Paramètres!A4,Paramètres!D15,Paramètres!C15),$F$3:$F$59,"EURL")</f>
        <v>1</v>
      </c>
      <c r="G90" s="148">
        <f>COUNTIFS($I$3:$I$59,"&lt;&gt;",$E$3:$E$59,DATE(Paramètres!A4,Paramètres!D15,Paramètres!C15),$F$3:$F$59,"SAS",$D$3:$D$59,"ACS")</f>
        <v>0</v>
      </c>
      <c r="H90" s="138">
        <f>COUNTIFS($I$3:$I$59,"&lt;&gt;",$E$3:$E$59,DATE(Paramètres!A4,Paramètres!D15,Paramètres!C15),$F$3:$F$59,"INDIVIDUEL",$D$3:$D$59,"ACS")</f>
        <v>0</v>
      </c>
      <c r="I90" s="138">
        <f>+COUNTIFS($I$3:$I$59,"&lt;&gt;",$E$3:$E$59,DATE(Paramètres!A4,Paramètres!D15,Paramètres!C15),$F$3:$F$59,"ASSOCIATION")</f>
        <v>0</v>
      </c>
      <c r="J90" s="138"/>
      <c r="K90" s="138">
        <f>COUNTIFS($I$3:$I$59,"&lt;&gt;",$E$3:$E$59,DATE(Paramètres!A4,Paramètres!D15,Paramètres!C15),$F$3:$F$59,"SNC")</f>
        <v>0</v>
      </c>
      <c r="L90" s="138">
        <f>COUNTIFS($I$3:$I$59,"&lt;&gt;",$E$3:$E$59,DATE(Paramètres!A4,Paramètres!D15,Paramètres!C15),$F$3:$F$59,"SCI")</f>
        <v>0</v>
      </c>
      <c r="M90" s="149"/>
      <c r="N90" s="150"/>
      <c r="O90" s="151"/>
      <c r="P90" s="138">
        <f>COUNTIFS($I$3:$I$59,"&lt;&gt;",$E$3:$E$59,DATE(Paramètres!A4,Paramètres!D15,Paramètres!C15),$F$3:$F$59,"GROUPEMENT")</f>
        <v>0</v>
      </c>
      <c r="Q90" s="138">
        <f>COUNTIFS($I$3:$I$59,"&lt;&gt;",$E$3:$E$59,DATE(Paramètres!A4,Paramètres!D15,Paramètres!C15),$F$3:$F$59,"EIRL")</f>
        <v>0</v>
      </c>
      <c r="R90" s="138">
        <f>COUNTIFS($I$3:$I$59,"&lt;&gt;",$E$3:$E$59,DATE(Paramètres!A4,Paramètres!D15,Paramètres!C15),$F$3:$F$59,"AUTRES")</f>
        <v>0</v>
      </c>
      <c r="S90" s="138"/>
      <c r="T90" s="138">
        <f>+SUM(E90:P90)</f>
        <v>2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121</v>
      </c>
      <c r="D91" s="138">
        <f>COUNTIFS($I$3:$I$59,"&lt;&gt;",$E$3:$E$59,DATE(Paramètres!A4,Paramètres!D15,Paramètres!C15),$D$3:$D$59,"BNC")</f>
        <v>0</v>
      </c>
      <c r="E91" s="153"/>
      <c r="F91" s="138"/>
      <c r="G91" s="154"/>
      <c r="H91" s="155"/>
      <c r="I91" s="151"/>
      <c r="J91" s="138">
        <f>COUNTIFS($I$3:$I$59,"&lt;&gt;",$E$3:$E$59,DATE(Paramètres!A4,Paramètres!D15,Paramètres!C15),$D$3:$D$59,"BNC")</f>
        <v>0</v>
      </c>
      <c r="K91" s="149"/>
      <c r="L91" s="150"/>
      <c r="M91" s="150"/>
      <c r="N91" s="150"/>
      <c r="O91" s="150"/>
      <c r="P91" s="151"/>
      <c r="Q91" s="138"/>
      <c r="R91" s="138"/>
      <c r="S91" s="138"/>
      <c r="T91" s="138">
        <f>+SUM(E91:P91)</f>
        <v>0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38" t="s">
        <v>122</v>
      </c>
      <c r="D92" s="138">
        <f>COUNTIFS($I$3:$I$59,"&lt;&gt;",$E$3:$E$59,DATE(Paramètres!A4,Paramètres!D15,Paramètres!C15),$D$3:$D$59,"AGRI")</f>
        <v>0</v>
      </c>
      <c r="E92" s="153"/>
      <c r="F92" s="138"/>
      <c r="G92" s="154">
        <f>COUNTIFS($I$3:$I$59,"&lt;&gt;",$E$3:$E$59,DATE(Paramètres!A4,Paramètres!D15,Paramètres!C15),$F$3:$F$59,"SAS",$D$3:$D$59,"AGRI")</f>
        <v>0</v>
      </c>
      <c r="H92" s="138">
        <f>COUNTIFS($I$3:$I$59,"&lt;&gt;",$E$3:$E$59,DATE(Paramètres!A4,Paramètres!D15,Paramètres!C15),$F$3:$F$59,"INDIVIDUEL",$D$3:$D$59,"AGRI")</f>
        <v>0</v>
      </c>
      <c r="I92" s="152"/>
      <c r="J92" s="149"/>
      <c r="K92" s="150"/>
      <c r="L92" s="151"/>
      <c r="M92" s="138">
        <f>COUNTIFS($I$3:$I$59,"&lt;&gt;",$BB$3:$BB$59,"X",$E$3:$E$59,DATE(Paramètres!A4,Paramètres!D15,Paramètres!C15),$F$3:$F$59,"EARL")</f>
        <v>0</v>
      </c>
      <c r="N92" s="138">
        <f>COUNTIFS($I$3:$I$59,"&lt;&gt;",$E$3:$E$59,DATE(Paramètres!A4,Paramètres!D15,Paramètres!C15),$F$3:$F$59,"ETA")</f>
        <v>0</v>
      </c>
      <c r="O92" s="138">
        <f>COUNTIFS($I$3:$I$59,"&lt;&gt;",$E$3:$E$59,DATE(Paramètres!A4,Paramètres!D15,Paramètres!C15),$F$3:$F$59,"SCEA")</f>
        <v>0</v>
      </c>
      <c r="P92" s="138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 t="s">
        <v>123</v>
      </c>
      <c r="C93" s="281"/>
      <c r="D93" s="138">
        <f t="shared" ref="D93:R93" si="10">+SUM(D90:D92)</f>
        <v>2</v>
      </c>
      <c r="E93" s="152">
        <f t="shared" si="10"/>
        <v>1</v>
      </c>
      <c r="F93" s="152">
        <f t="shared" si="10"/>
        <v>1</v>
      </c>
      <c r="G93" s="152">
        <f t="shared" si="10"/>
        <v>0</v>
      </c>
      <c r="H93" s="152">
        <f t="shared" si="10"/>
        <v>0</v>
      </c>
      <c r="I93" s="152">
        <f t="shared" si="10"/>
        <v>0</v>
      </c>
      <c r="J93" s="152">
        <f t="shared" si="10"/>
        <v>0</v>
      </c>
      <c r="K93" s="152">
        <f t="shared" si="10"/>
        <v>0</v>
      </c>
      <c r="L93" s="152">
        <f t="shared" si="10"/>
        <v>0</v>
      </c>
      <c r="M93" s="152">
        <f t="shared" si="10"/>
        <v>0</v>
      </c>
      <c r="N93" s="152">
        <f t="shared" si="10"/>
        <v>0</v>
      </c>
      <c r="O93" s="152">
        <f t="shared" si="10"/>
        <v>0</v>
      </c>
      <c r="P93" s="152">
        <f t="shared" si="10"/>
        <v>0</v>
      </c>
      <c r="Q93" s="152">
        <f t="shared" si="10"/>
        <v>0</v>
      </c>
      <c r="R93" s="152">
        <f t="shared" si="10"/>
        <v>0</v>
      </c>
      <c r="S93" s="152"/>
      <c r="T93" s="138">
        <f>+SUM(T90:T92)</f>
        <v>2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137"/>
      <c r="C94" s="137"/>
      <c r="D94" s="137"/>
      <c r="E94" s="137"/>
      <c r="F94" s="137"/>
      <c r="G94" s="137"/>
      <c r="H94" s="137"/>
      <c r="I94" s="137"/>
      <c r="J94" s="137"/>
      <c r="K94" s="137"/>
      <c r="L94" s="137"/>
      <c r="M94" s="137"/>
      <c r="N94" s="137"/>
      <c r="O94" s="137"/>
      <c r="P94" s="137"/>
      <c r="Q94" s="137"/>
      <c r="R94" s="137"/>
      <c r="S94" s="137"/>
      <c r="T94" s="137"/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281" t="s">
        <v>40</v>
      </c>
      <c r="C95" s="138"/>
      <c r="D95" s="138"/>
      <c r="E95" s="140" t="str">
        <f t="shared" ref="E95:R95" si="11">E64</f>
        <v>SARL</v>
      </c>
      <c r="F95" s="138" t="str">
        <f t="shared" si="11"/>
        <v>EURL</v>
      </c>
      <c r="G95" s="141" t="str">
        <f t="shared" si="11"/>
        <v>SAS</v>
      </c>
      <c r="H95" s="142" t="str">
        <f t="shared" si="11"/>
        <v>INDIVIDUEL</v>
      </c>
      <c r="I95" s="142" t="str">
        <f t="shared" si="11"/>
        <v>ASSOCIATION</v>
      </c>
      <c r="J95" s="143" t="str">
        <f t="shared" si="11"/>
        <v>PROFESSION LIBERALE</v>
      </c>
      <c r="K95" s="143" t="str">
        <f t="shared" si="11"/>
        <v>SNC</v>
      </c>
      <c r="L95" s="143" t="str">
        <f t="shared" si="11"/>
        <v>SCI</v>
      </c>
      <c r="M95" s="143" t="str">
        <f t="shared" si="11"/>
        <v>EARL</v>
      </c>
      <c r="N95" s="143" t="str">
        <f t="shared" si="11"/>
        <v>ETA</v>
      </c>
      <c r="O95" s="143" t="str">
        <f t="shared" si="11"/>
        <v>SCEA</v>
      </c>
      <c r="P95" s="143" t="str">
        <f t="shared" si="11"/>
        <v>GROUPEMENT</v>
      </c>
      <c r="Q95" s="138" t="str">
        <f t="shared" si="11"/>
        <v>EIRL</v>
      </c>
      <c r="R95" s="138" t="str">
        <f t="shared" si="11"/>
        <v>AUTRES</v>
      </c>
      <c r="S95" s="138"/>
      <c r="T95" s="143" t="s">
        <v>86</v>
      </c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/>
      <c r="C96" s="146" t="s">
        <v>109</v>
      </c>
      <c r="D96" s="138">
        <f>+D84-D90</f>
        <v>0</v>
      </c>
      <c r="E96" s="152">
        <f>+E84-E90</f>
        <v>0</v>
      </c>
      <c r="F96" s="152">
        <f t="shared" ref="F96:R96" si="12">+F84-F90</f>
        <v>0</v>
      </c>
      <c r="G96" s="152">
        <f t="shared" si="12"/>
        <v>0</v>
      </c>
      <c r="H96" s="152">
        <f t="shared" si="12"/>
        <v>0</v>
      </c>
      <c r="I96" s="152">
        <f t="shared" si="12"/>
        <v>0</v>
      </c>
      <c r="J96" s="152">
        <f t="shared" si="12"/>
        <v>0</v>
      </c>
      <c r="K96" s="152">
        <f t="shared" si="12"/>
        <v>0</v>
      </c>
      <c r="L96" s="152">
        <f t="shared" si="12"/>
        <v>0</v>
      </c>
      <c r="M96" s="152">
        <f t="shared" si="12"/>
        <v>0</v>
      </c>
      <c r="N96" s="152">
        <f t="shared" si="12"/>
        <v>0</v>
      </c>
      <c r="O96" s="152">
        <f t="shared" si="12"/>
        <v>0</v>
      </c>
      <c r="P96" s="152">
        <f t="shared" si="12"/>
        <v>0</v>
      </c>
      <c r="Q96" s="152">
        <f t="shared" si="12"/>
        <v>0</v>
      </c>
      <c r="R96" s="152">
        <f t="shared" si="12"/>
        <v>0</v>
      </c>
      <c r="S96" s="152"/>
      <c r="T96" s="138">
        <f>+SUM(E96:P96)</f>
        <v>0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121</v>
      </c>
      <c r="D97" s="138">
        <f>+D85-D91</f>
        <v>0</v>
      </c>
      <c r="E97" s="138">
        <f t="shared" ref="E97:R99" si="13">+E85-E91</f>
        <v>0</v>
      </c>
      <c r="F97" s="138">
        <f t="shared" si="13"/>
        <v>0</v>
      </c>
      <c r="G97" s="138">
        <f t="shared" si="13"/>
        <v>0</v>
      </c>
      <c r="H97" s="138">
        <f t="shared" si="13"/>
        <v>0</v>
      </c>
      <c r="I97" s="138">
        <f t="shared" si="13"/>
        <v>0</v>
      </c>
      <c r="J97" s="138">
        <f t="shared" si="13"/>
        <v>0</v>
      </c>
      <c r="K97" s="138">
        <f t="shared" si="13"/>
        <v>0</v>
      </c>
      <c r="L97" s="138">
        <f t="shared" si="13"/>
        <v>0</v>
      </c>
      <c r="M97" s="138">
        <f t="shared" si="13"/>
        <v>0</v>
      </c>
      <c r="N97" s="138">
        <f t="shared" si="13"/>
        <v>0</v>
      </c>
      <c r="O97" s="138">
        <f t="shared" si="13"/>
        <v>0</v>
      </c>
      <c r="P97" s="138">
        <f t="shared" si="13"/>
        <v>0</v>
      </c>
      <c r="Q97" s="138">
        <f t="shared" si="13"/>
        <v>0</v>
      </c>
      <c r="R97" s="138">
        <f t="shared" si="13"/>
        <v>0</v>
      </c>
      <c r="S97" s="138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38" t="s">
        <v>122</v>
      </c>
      <c r="D98" s="138">
        <f>+D86-D92</f>
        <v>0</v>
      </c>
      <c r="E98" s="138">
        <f t="shared" si="13"/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 t="s">
        <v>123</v>
      </c>
      <c r="C99" s="281"/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+SUM(T96:T98)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B101" s="89" t="s">
        <v>133</v>
      </c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B103" s="275" t="s">
        <v>120</v>
      </c>
      <c r="C103" s="122"/>
      <c r="D103" s="122"/>
      <c r="E103" s="157" t="str">
        <f t="shared" ref="E103:R103" si="14">E64</f>
        <v>SARL</v>
      </c>
      <c r="F103" s="121" t="str">
        <f t="shared" si="14"/>
        <v>EURL</v>
      </c>
      <c r="G103" s="158" t="str">
        <f t="shared" si="14"/>
        <v>SAS</v>
      </c>
      <c r="H103" s="158" t="str">
        <f t="shared" si="14"/>
        <v>INDIVIDUEL</v>
      </c>
      <c r="I103" s="158" t="str">
        <f t="shared" si="14"/>
        <v>ASSOCIATION</v>
      </c>
      <c r="J103" s="157" t="str">
        <f t="shared" si="14"/>
        <v>PROFESSION LIBERALE</v>
      </c>
      <c r="K103" s="157" t="str">
        <f t="shared" si="14"/>
        <v>SNC</v>
      </c>
      <c r="L103" s="157" t="str">
        <f t="shared" si="14"/>
        <v>SCI</v>
      </c>
      <c r="M103" s="157" t="str">
        <f t="shared" si="14"/>
        <v>EARL</v>
      </c>
      <c r="N103" s="157" t="str">
        <f t="shared" si="14"/>
        <v>ETA</v>
      </c>
      <c r="O103" s="157" t="str">
        <f t="shared" si="14"/>
        <v>SCEA</v>
      </c>
      <c r="P103" s="157" t="str">
        <f t="shared" si="14"/>
        <v>GROUPEMENT</v>
      </c>
      <c r="Q103" s="121" t="str">
        <f t="shared" si="14"/>
        <v>EIRL</v>
      </c>
      <c r="R103" s="121" t="str">
        <f t="shared" si="14"/>
        <v>AUTRES</v>
      </c>
      <c r="S103" s="121"/>
      <c r="T103" s="157" t="s">
        <v>86</v>
      </c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6"/>
      <c r="C104" s="120" t="s">
        <v>109</v>
      </c>
      <c r="D104" s="122">
        <f>+D65-D84</f>
        <v>1</v>
      </c>
      <c r="E104" s="122">
        <f t="shared" ref="E104:R106" si="15">+E65-E84</f>
        <v>0</v>
      </c>
      <c r="F104" s="122">
        <f t="shared" si="15"/>
        <v>0</v>
      </c>
      <c r="G104" s="122">
        <f t="shared" si="15"/>
        <v>0</v>
      </c>
      <c r="H104" s="122">
        <f t="shared" si="15"/>
        <v>0</v>
      </c>
      <c r="I104" s="122">
        <f t="shared" si="15"/>
        <v>0</v>
      </c>
      <c r="J104" s="122">
        <f t="shared" si="15"/>
        <v>0</v>
      </c>
      <c r="K104" s="122">
        <f t="shared" si="15"/>
        <v>0</v>
      </c>
      <c r="L104" s="122">
        <f t="shared" si="15"/>
        <v>0</v>
      </c>
      <c r="M104" s="122">
        <f t="shared" si="15"/>
        <v>0</v>
      </c>
      <c r="N104" s="122">
        <f t="shared" si="15"/>
        <v>0</v>
      </c>
      <c r="O104" s="122">
        <f t="shared" si="15"/>
        <v>0</v>
      </c>
      <c r="P104" s="122">
        <f t="shared" si="15"/>
        <v>0</v>
      </c>
      <c r="Q104" s="122">
        <f t="shared" si="15"/>
        <v>1</v>
      </c>
      <c r="R104" s="122">
        <f t="shared" si="15"/>
        <v>0</v>
      </c>
      <c r="S104" s="122"/>
      <c r="T104" s="122">
        <f>+SUM(E104:P104)</f>
        <v>0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121</v>
      </c>
      <c r="D105" s="122">
        <f>+D66-D85</f>
        <v>0</v>
      </c>
      <c r="E105" s="122">
        <f t="shared" si="15"/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0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7"/>
      <c r="C106" s="122" t="s">
        <v>122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8" t="s">
        <v>123</v>
      </c>
      <c r="C107" s="278"/>
      <c r="D107" s="122">
        <f t="shared" ref="D107:R107" si="16">+SUM(D104:D106)</f>
        <v>1</v>
      </c>
      <c r="E107" s="122">
        <f t="shared" si="16"/>
        <v>0</v>
      </c>
      <c r="F107" s="122">
        <f t="shared" si="16"/>
        <v>0</v>
      </c>
      <c r="G107" s="122">
        <f t="shared" si="16"/>
        <v>0</v>
      </c>
      <c r="H107" s="122">
        <f t="shared" si="16"/>
        <v>0</v>
      </c>
      <c r="I107" s="122">
        <f t="shared" si="16"/>
        <v>0</v>
      </c>
      <c r="J107" s="122">
        <f t="shared" si="16"/>
        <v>0</v>
      </c>
      <c r="K107" s="122">
        <f t="shared" si="16"/>
        <v>0</v>
      </c>
      <c r="L107" s="122">
        <f t="shared" si="16"/>
        <v>0</v>
      </c>
      <c r="M107" s="122">
        <f t="shared" si="16"/>
        <v>0</v>
      </c>
      <c r="N107" s="122">
        <f t="shared" si="16"/>
        <v>0</v>
      </c>
      <c r="O107" s="122">
        <f t="shared" si="16"/>
        <v>0</v>
      </c>
      <c r="P107" s="122">
        <f t="shared" si="16"/>
        <v>0</v>
      </c>
      <c r="Q107" s="122">
        <f t="shared" si="16"/>
        <v>1</v>
      </c>
      <c r="R107" s="122">
        <f t="shared" si="16"/>
        <v>0</v>
      </c>
      <c r="S107" s="122"/>
      <c r="T107" s="122">
        <f>+SUM(T104:T106)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90"/>
      <c r="C108" s="90"/>
      <c r="D108" s="90"/>
      <c r="E108" s="90"/>
      <c r="G108" s="90"/>
      <c r="H108" s="90"/>
      <c r="I108" s="90"/>
      <c r="J108" s="90"/>
      <c r="K108" s="90"/>
      <c r="L108" s="90"/>
      <c r="M108" s="90"/>
      <c r="N108" s="90"/>
      <c r="O108" s="90"/>
      <c r="P108" s="90"/>
      <c r="T108" s="90"/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279">
        <v>44196</v>
      </c>
      <c r="C109" s="122"/>
      <c r="D109" s="122"/>
      <c r="E109" s="128" t="str">
        <f t="shared" ref="E109:R109" si="17">E64</f>
        <v>SARL</v>
      </c>
      <c r="F109" s="121" t="str">
        <f t="shared" si="17"/>
        <v>EURL</v>
      </c>
      <c r="G109" s="127" t="str">
        <f t="shared" si="17"/>
        <v>SAS</v>
      </c>
      <c r="H109" s="127" t="str">
        <f t="shared" si="17"/>
        <v>INDIVIDUEL</v>
      </c>
      <c r="I109" s="127" t="str">
        <f t="shared" si="17"/>
        <v>ASSOCIATION</v>
      </c>
      <c r="J109" s="128" t="str">
        <f t="shared" si="17"/>
        <v>PROFESSION LIBERALE</v>
      </c>
      <c r="K109" s="128" t="str">
        <f t="shared" si="17"/>
        <v>SNC</v>
      </c>
      <c r="L109" s="128" t="str">
        <f t="shared" si="17"/>
        <v>SCI</v>
      </c>
      <c r="M109" s="128" t="str">
        <f t="shared" si="17"/>
        <v>EARL</v>
      </c>
      <c r="N109" s="128" t="str">
        <f t="shared" si="17"/>
        <v>ETA</v>
      </c>
      <c r="O109" s="128" t="str">
        <f t="shared" si="17"/>
        <v>SCEA</v>
      </c>
      <c r="P109" s="128" t="str">
        <f t="shared" si="17"/>
        <v>GROUPEMENT</v>
      </c>
      <c r="Q109" s="128" t="str">
        <f t="shared" si="17"/>
        <v>EIRL</v>
      </c>
      <c r="R109" s="121" t="str">
        <f t="shared" si="17"/>
        <v>AUTRES</v>
      </c>
      <c r="S109" s="121"/>
      <c r="T109" s="128" t="s">
        <v>86</v>
      </c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6"/>
      <c r="C110" s="120" t="s">
        <v>109</v>
      </c>
      <c r="D110" s="122">
        <f>+D71-D90</f>
        <v>1</v>
      </c>
      <c r="E110" s="122">
        <f t="shared" ref="E110:R112" si="18">+E71-E90</f>
        <v>0</v>
      </c>
      <c r="F110" s="122">
        <f t="shared" si="18"/>
        <v>0</v>
      </c>
      <c r="G110" s="122">
        <f t="shared" si="18"/>
        <v>0</v>
      </c>
      <c r="H110" s="122">
        <f t="shared" si="18"/>
        <v>0</v>
      </c>
      <c r="I110" s="122">
        <f t="shared" si="18"/>
        <v>0</v>
      </c>
      <c r="J110" s="122">
        <f t="shared" si="18"/>
        <v>0</v>
      </c>
      <c r="K110" s="122">
        <f t="shared" si="18"/>
        <v>0</v>
      </c>
      <c r="L110" s="122">
        <f t="shared" si="18"/>
        <v>0</v>
      </c>
      <c r="M110" s="122">
        <f t="shared" si="18"/>
        <v>0</v>
      </c>
      <c r="N110" s="122">
        <f t="shared" si="18"/>
        <v>0</v>
      </c>
      <c r="O110" s="122">
        <f t="shared" si="18"/>
        <v>0</v>
      </c>
      <c r="P110" s="122">
        <f t="shared" si="18"/>
        <v>0</v>
      </c>
      <c r="Q110" s="122">
        <f t="shared" si="18"/>
        <v>1</v>
      </c>
      <c r="R110" s="122">
        <f t="shared" si="18"/>
        <v>0</v>
      </c>
      <c r="S110" s="122"/>
      <c r="T110" s="122">
        <f>+SUM(E110:P110)</f>
        <v>0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121</v>
      </c>
      <c r="D111" s="122">
        <f>+D72-D91</f>
        <v>0</v>
      </c>
      <c r="E111" s="122">
        <f t="shared" si="18"/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0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7"/>
      <c r="C112" s="122" t="s">
        <v>122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8" t="s">
        <v>123</v>
      </c>
      <c r="C113" s="278"/>
      <c r="D113" s="122">
        <f t="shared" ref="D113:R113" si="19">+SUM(D110:D112)</f>
        <v>1</v>
      </c>
      <c r="E113" s="122">
        <f t="shared" si="19"/>
        <v>0</v>
      </c>
      <c r="F113" s="122">
        <f t="shared" si="19"/>
        <v>0</v>
      </c>
      <c r="G113" s="122">
        <f t="shared" si="19"/>
        <v>0</v>
      </c>
      <c r="H113" s="122">
        <f t="shared" si="19"/>
        <v>0</v>
      </c>
      <c r="I113" s="122">
        <f t="shared" si="19"/>
        <v>0</v>
      </c>
      <c r="J113" s="122">
        <f t="shared" si="19"/>
        <v>0</v>
      </c>
      <c r="K113" s="122">
        <f t="shared" si="19"/>
        <v>0</v>
      </c>
      <c r="L113" s="122">
        <f t="shared" si="19"/>
        <v>0</v>
      </c>
      <c r="M113" s="122">
        <f t="shared" si="19"/>
        <v>0</v>
      </c>
      <c r="N113" s="122">
        <f t="shared" si="19"/>
        <v>0</v>
      </c>
      <c r="O113" s="122">
        <f t="shared" si="19"/>
        <v>0</v>
      </c>
      <c r="P113" s="122">
        <f t="shared" si="19"/>
        <v>0</v>
      </c>
      <c r="Q113" s="122">
        <f t="shared" si="19"/>
        <v>1</v>
      </c>
      <c r="R113" s="122">
        <f t="shared" si="19"/>
        <v>0</v>
      </c>
      <c r="S113" s="122"/>
      <c r="T113" s="122">
        <f>+SUM(T110:T112)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90"/>
      <c r="C114" s="90"/>
      <c r="D114" s="90"/>
      <c r="E114" s="90"/>
      <c r="G114" s="90"/>
      <c r="H114" s="90"/>
      <c r="I114" s="90"/>
      <c r="J114" s="90"/>
      <c r="K114" s="90"/>
      <c r="L114" s="90"/>
      <c r="M114" s="90"/>
      <c r="N114" s="90"/>
      <c r="O114" s="90"/>
      <c r="P114" s="90"/>
      <c r="T114" s="90"/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279" t="s">
        <v>40</v>
      </c>
      <c r="C115" s="122"/>
      <c r="D115" s="122"/>
      <c r="E115" s="125" t="str">
        <f t="shared" ref="E115:R115" si="20">E64</f>
        <v>SARL</v>
      </c>
      <c r="F115" s="121" t="str">
        <f t="shared" si="20"/>
        <v>EURL</v>
      </c>
      <c r="G115" s="126" t="str">
        <f t="shared" si="20"/>
        <v>SAS</v>
      </c>
      <c r="H115" s="127" t="str">
        <f t="shared" si="20"/>
        <v>INDIVIDUEL</v>
      </c>
      <c r="I115" s="127" t="str">
        <f t="shared" si="20"/>
        <v>ASSOCIATION</v>
      </c>
      <c r="J115" s="128" t="str">
        <f t="shared" si="20"/>
        <v>PROFESSION LIBERALE</v>
      </c>
      <c r="K115" s="128" t="str">
        <f t="shared" si="20"/>
        <v>SNC</v>
      </c>
      <c r="L115" s="128" t="str">
        <f t="shared" si="20"/>
        <v>SCI</v>
      </c>
      <c r="M115" s="128" t="str">
        <f t="shared" si="20"/>
        <v>EARL</v>
      </c>
      <c r="N115" s="128" t="str">
        <f t="shared" si="20"/>
        <v>ETA</v>
      </c>
      <c r="O115" s="128" t="str">
        <f t="shared" si="20"/>
        <v>SCEA</v>
      </c>
      <c r="P115" s="128" t="str">
        <f t="shared" si="20"/>
        <v>GROUPEMENT</v>
      </c>
      <c r="Q115" s="128" t="str">
        <f t="shared" si="20"/>
        <v>EIRL</v>
      </c>
      <c r="R115" s="121" t="str">
        <f t="shared" si="20"/>
        <v>AUTRES</v>
      </c>
      <c r="S115" s="121"/>
      <c r="T115" s="128" t="s">
        <v>86</v>
      </c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6"/>
      <c r="C116" s="120" t="s">
        <v>109</v>
      </c>
      <c r="D116" s="122">
        <f>+D104-D110</f>
        <v>0</v>
      </c>
      <c r="E116" s="122">
        <f t="shared" ref="E116:R119" si="21">+E104-E110</f>
        <v>0</v>
      </c>
      <c r="F116" s="122">
        <f t="shared" si="21"/>
        <v>0</v>
      </c>
      <c r="G116" s="122">
        <f t="shared" si="21"/>
        <v>0</v>
      </c>
      <c r="H116" s="122">
        <f t="shared" si="21"/>
        <v>0</v>
      </c>
      <c r="I116" s="122">
        <f t="shared" si="21"/>
        <v>0</v>
      </c>
      <c r="J116" s="122">
        <f t="shared" si="21"/>
        <v>0</v>
      </c>
      <c r="K116" s="122">
        <f t="shared" si="21"/>
        <v>0</v>
      </c>
      <c r="L116" s="122">
        <f t="shared" si="21"/>
        <v>0</v>
      </c>
      <c r="M116" s="122">
        <f t="shared" si="21"/>
        <v>0</v>
      </c>
      <c r="N116" s="122">
        <f t="shared" si="21"/>
        <v>0</v>
      </c>
      <c r="O116" s="122">
        <f t="shared" si="21"/>
        <v>0</v>
      </c>
      <c r="P116" s="122">
        <f t="shared" si="21"/>
        <v>0</v>
      </c>
      <c r="Q116" s="122">
        <f t="shared" si="21"/>
        <v>0</v>
      </c>
      <c r="R116" s="122">
        <f t="shared" si="21"/>
        <v>0</v>
      </c>
      <c r="S116" s="122"/>
      <c r="T116" s="122">
        <f>+SUM(E116:P116)</f>
        <v>0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121</v>
      </c>
      <c r="D117" s="122">
        <f>+D105-D111</f>
        <v>0</v>
      </c>
      <c r="E117" s="122">
        <f t="shared" si="21"/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7"/>
      <c r="C118" s="122" t="s">
        <v>122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8" t="s">
        <v>123</v>
      </c>
      <c r="C119" s="278"/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+SUM(T116:T118)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</sheetData>
  <sheetProtection selectLockedCells="1" selectUnlockedCells="1"/>
  <mergeCells count="18">
    <mergeCell ref="B80:C80"/>
    <mergeCell ref="B119:C119"/>
    <mergeCell ref="B83:B86"/>
    <mergeCell ref="B87:C87"/>
    <mergeCell ref="B89:B92"/>
    <mergeCell ref="B93:C93"/>
    <mergeCell ref="B95:B98"/>
    <mergeCell ref="B99:C99"/>
    <mergeCell ref="B103:B106"/>
    <mergeCell ref="B107:C107"/>
    <mergeCell ref="B109:B112"/>
    <mergeCell ref="B113:C113"/>
    <mergeCell ref="B115:B118"/>
    <mergeCell ref="B64:B67"/>
    <mergeCell ref="B68:C68"/>
    <mergeCell ref="B70:B73"/>
    <mergeCell ref="B74:C74"/>
    <mergeCell ref="B76:B79"/>
  </mergeCells>
  <conditionalFormatting sqref="P3:P59">
    <cfRule type="expression" dxfId="63" priority="4">
      <formula>AND(P3&lt;&gt;"",P3&lt;&gt;"OUI")</formula>
    </cfRule>
  </conditionalFormatting>
  <conditionalFormatting sqref="AN3:AO59 S3:AH59">
    <cfRule type="expression" dxfId="62" priority="1" stopIfTrue="1">
      <formula>$AH3&lt;&gt;0</formula>
    </cfRule>
  </conditionalFormatting>
  <conditionalFormatting sqref="A3:E59">
    <cfRule type="expression" dxfId="61" priority="29" stopIfTrue="1">
      <formula>AND($I3&lt;&gt;"",AND($J3="",AND($BA3="",$BB3="")))</formula>
    </cfRule>
    <cfRule type="expression" dxfId="60" priority="30" stopIfTrue="1">
      <formula>AND($J3&lt;&gt;"",AND($BA3="",$BB3=""))</formula>
    </cfRule>
    <cfRule type="expression" dxfId="59" priority="31" stopIfTrue="1">
      <formula>AND($BA3&lt;&gt;"",$BB3="")</formula>
    </cfRule>
    <cfRule type="expression" dxfId="58" priority="32" stopIfTrue="1">
      <formula>$BB3="X"</formula>
    </cfRule>
  </conditionalFormatting>
  <dataValidations count="12">
    <dataValidation type="list" allowBlank="1" showInputMessage="1" showErrorMessage="1" sqref="D65538:D65595 JU65538:JU65595 TQ65538:TQ65595 ADM65538:ADM65595 ANI65538:ANI65595 AXE65538:AXE65595 BHA65538:BHA65595 BQW65538:BQW65595 CAS65538:CAS65595 CKO65538:CKO65595 CUK65538:CUK65595 DEG65538:DEG65595 DOC65538:DOC65595 DXY65538:DXY65595 EHU65538:EHU65595 ERQ65538:ERQ65595 FBM65538:FBM65595 FLI65538:FLI65595 FVE65538:FVE65595 GFA65538:GFA65595 GOW65538:GOW65595 GYS65538:GYS65595 HIO65538:HIO65595 HSK65538:HSK65595 ICG65538:ICG65595 IMC65538:IMC65595 IVY65538:IVY65595 JFU65538:JFU65595 JPQ65538:JPQ65595 JZM65538:JZM65595 KJI65538:KJI65595 KTE65538:KTE65595 LDA65538:LDA65595 LMW65538:LMW65595 LWS65538:LWS65595 MGO65538:MGO65595 MQK65538:MQK65595 NAG65538:NAG65595 NKC65538:NKC65595 NTY65538:NTY65595 ODU65538:ODU65595 ONQ65538:ONQ65595 OXM65538:OXM65595 PHI65538:PHI65595 PRE65538:PRE65595 QBA65538:QBA65595 QKW65538:QKW65595 QUS65538:QUS65595 REO65538:REO65595 ROK65538:ROK65595 RYG65538:RYG65595 SIC65538:SIC65595 SRY65538:SRY65595 TBU65538:TBU65595 TLQ65538:TLQ65595 TVM65538:TVM65595 UFI65538:UFI65595 UPE65538:UPE65595 UZA65538:UZA65595 VIW65538:VIW65595 VSS65538:VSS65595 WCO65538:WCO65595 WMK65538:WMK65595 WWG65538:WWG65595 D131074:D131131 JU131074:JU131131 TQ131074:TQ131131 ADM131074:ADM131131 ANI131074:ANI131131 AXE131074:AXE131131 BHA131074:BHA131131 BQW131074:BQW131131 CAS131074:CAS131131 CKO131074:CKO131131 CUK131074:CUK131131 DEG131074:DEG131131 DOC131074:DOC131131 DXY131074:DXY131131 EHU131074:EHU131131 ERQ131074:ERQ131131 FBM131074:FBM131131 FLI131074:FLI131131 FVE131074:FVE131131 GFA131074:GFA131131 GOW131074:GOW131131 GYS131074:GYS131131 HIO131074:HIO131131 HSK131074:HSK131131 ICG131074:ICG131131 IMC131074:IMC131131 IVY131074:IVY131131 JFU131074:JFU131131 JPQ131074:JPQ131131 JZM131074:JZM131131 KJI131074:KJI131131 KTE131074:KTE131131 LDA131074:LDA131131 LMW131074:LMW131131 LWS131074:LWS131131 MGO131074:MGO131131 MQK131074:MQK131131 NAG131074:NAG131131 NKC131074:NKC131131 NTY131074:NTY131131 ODU131074:ODU131131 ONQ131074:ONQ131131 OXM131074:OXM131131 PHI131074:PHI131131 PRE131074:PRE131131 QBA131074:QBA131131 QKW131074:QKW131131 QUS131074:QUS131131 REO131074:REO131131 ROK131074:ROK131131 RYG131074:RYG131131 SIC131074:SIC131131 SRY131074:SRY131131 TBU131074:TBU131131 TLQ131074:TLQ131131 TVM131074:TVM131131 UFI131074:UFI131131 UPE131074:UPE131131 UZA131074:UZA131131 VIW131074:VIW131131 VSS131074:VSS131131 WCO131074:WCO131131 WMK131074:WMK131131 WWG131074:WWG131131 D196610:D196667 JU196610:JU196667 TQ196610:TQ196667 ADM196610:ADM196667 ANI196610:ANI196667 AXE196610:AXE196667 BHA196610:BHA196667 BQW196610:BQW196667 CAS196610:CAS196667 CKO196610:CKO196667 CUK196610:CUK196667 DEG196610:DEG196667 DOC196610:DOC196667 DXY196610:DXY196667 EHU196610:EHU196667 ERQ196610:ERQ196667 FBM196610:FBM196667 FLI196610:FLI196667 FVE196610:FVE196667 GFA196610:GFA196667 GOW196610:GOW196667 GYS196610:GYS196667 HIO196610:HIO196667 HSK196610:HSK196667 ICG196610:ICG196667 IMC196610:IMC196667 IVY196610:IVY196667 JFU196610:JFU196667 JPQ196610:JPQ196667 JZM196610:JZM196667 KJI196610:KJI196667 KTE196610:KTE196667 LDA196610:LDA196667 LMW196610:LMW196667 LWS196610:LWS196667 MGO196610:MGO196667 MQK196610:MQK196667 NAG196610:NAG196667 NKC196610:NKC196667 NTY196610:NTY196667 ODU196610:ODU196667 ONQ196610:ONQ196667 OXM196610:OXM196667 PHI196610:PHI196667 PRE196610:PRE196667 QBA196610:QBA196667 QKW196610:QKW196667 QUS196610:QUS196667 REO196610:REO196667 ROK196610:ROK196667 RYG196610:RYG196667 SIC196610:SIC196667 SRY196610:SRY196667 TBU196610:TBU196667 TLQ196610:TLQ196667 TVM196610:TVM196667 UFI196610:UFI196667 UPE196610:UPE196667 UZA196610:UZA196667 VIW196610:VIW196667 VSS196610:VSS196667 WCO196610:WCO196667 WMK196610:WMK196667 WWG196610:WWG196667 D262146:D262203 JU262146:JU262203 TQ262146:TQ262203 ADM262146:ADM262203 ANI262146:ANI262203 AXE262146:AXE262203 BHA262146:BHA262203 BQW262146:BQW262203 CAS262146:CAS262203 CKO262146:CKO262203 CUK262146:CUK262203 DEG262146:DEG262203 DOC262146:DOC262203 DXY262146:DXY262203 EHU262146:EHU262203 ERQ262146:ERQ262203 FBM262146:FBM262203 FLI262146:FLI262203 FVE262146:FVE262203 GFA262146:GFA262203 GOW262146:GOW262203 GYS262146:GYS262203 HIO262146:HIO262203 HSK262146:HSK262203 ICG262146:ICG262203 IMC262146:IMC262203 IVY262146:IVY262203 JFU262146:JFU262203 JPQ262146:JPQ262203 JZM262146:JZM262203 KJI262146:KJI262203 KTE262146:KTE262203 LDA262146:LDA262203 LMW262146:LMW262203 LWS262146:LWS262203 MGO262146:MGO262203 MQK262146:MQK262203 NAG262146:NAG262203 NKC262146:NKC262203 NTY262146:NTY262203 ODU262146:ODU262203 ONQ262146:ONQ262203 OXM262146:OXM262203 PHI262146:PHI262203 PRE262146:PRE262203 QBA262146:QBA262203 QKW262146:QKW262203 QUS262146:QUS262203 REO262146:REO262203 ROK262146:ROK262203 RYG262146:RYG262203 SIC262146:SIC262203 SRY262146:SRY262203 TBU262146:TBU262203 TLQ262146:TLQ262203 TVM262146:TVM262203 UFI262146:UFI262203 UPE262146:UPE262203 UZA262146:UZA262203 VIW262146:VIW262203 VSS262146:VSS262203 WCO262146:WCO262203 WMK262146:WMK262203 WWG262146:WWG262203 D327682:D327739 JU327682:JU327739 TQ327682:TQ327739 ADM327682:ADM327739 ANI327682:ANI327739 AXE327682:AXE327739 BHA327682:BHA327739 BQW327682:BQW327739 CAS327682:CAS327739 CKO327682:CKO327739 CUK327682:CUK327739 DEG327682:DEG327739 DOC327682:DOC327739 DXY327682:DXY327739 EHU327682:EHU327739 ERQ327682:ERQ327739 FBM327682:FBM327739 FLI327682:FLI327739 FVE327682:FVE327739 GFA327682:GFA327739 GOW327682:GOW327739 GYS327682:GYS327739 HIO327682:HIO327739 HSK327682:HSK327739 ICG327682:ICG327739 IMC327682:IMC327739 IVY327682:IVY327739 JFU327682:JFU327739 JPQ327682:JPQ327739 JZM327682:JZM327739 KJI327682:KJI327739 KTE327682:KTE327739 LDA327682:LDA327739 LMW327682:LMW327739 LWS327682:LWS327739 MGO327682:MGO327739 MQK327682:MQK327739 NAG327682:NAG327739 NKC327682:NKC327739 NTY327682:NTY327739 ODU327682:ODU327739 ONQ327682:ONQ327739 OXM327682:OXM327739 PHI327682:PHI327739 PRE327682:PRE327739 QBA327682:QBA327739 QKW327682:QKW327739 QUS327682:QUS327739 REO327682:REO327739 ROK327682:ROK327739 RYG327682:RYG327739 SIC327682:SIC327739 SRY327682:SRY327739 TBU327682:TBU327739 TLQ327682:TLQ327739 TVM327682:TVM327739 UFI327682:UFI327739 UPE327682:UPE327739 UZA327682:UZA327739 VIW327682:VIW327739 VSS327682:VSS327739 WCO327682:WCO327739 WMK327682:WMK327739 WWG327682:WWG327739 D393218:D393275 JU393218:JU393275 TQ393218:TQ393275 ADM393218:ADM393275 ANI393218:ANI393275 AXE393218:AXE393275 BHA393218:BHA393275 BQW393218:BQW393275 CAS393218:CAS393275 CKO393218:CKO393275 CUK393218:CUK393275 DEG393218:DEG393275 DOC393218:DOC393275 DXY393218:DXY393275 EHU393218:EHU393275 ERQ393218:ERQ393275 FBM393218:FBM393275 FLI393218:FLI393275 FVE393218:FVE393275 GFA393218:GFA393275 GOW393218:GOW393275 GYS393218:GYS393275 HIO393218:HIO393275 HSK393218:HSK393275 ICG393218:ICG393275 IMC393218:IMC393275 IVY393218:IVY393275 JFU393218:JFU393275 JPQ393218:JPQ393275 JZM393218:JZM393275 KJI393218:KJI393275 KTE393218:KTE393275 LDA393218:LDA393275 LMW393218:LMW393275 LWS393218:LWS393275 MGO393218:MGO393275 MQK393218:MQK393275 NAG393218:NAG393275 NKC393218:NKC393275 NTY393218:NTY393275 ODU393218:ODU393275 ONQ393218:ONQ393275 OXM393218:OXM393275 PHI393218:PHI393275 PRE393218:PRE393275 QBA393218:QBA393275 QKW393218:QKW393275 QUS393218:QUS393275 REO393218:REO393275 ROK393218:ROK393275 RYG393218:RYG393275 SIC393218:SIC393275 SRY393218:SRY393275 TBU393218:TBU393275 TLQ393218:TLQ393275 TVM393218:TVM393275 UFI393218:UFI393275 UPE393218:UPE393275 UZA393218:UZA393275 VIW393218:VIW393275 VSS393218:VSS393275 WCO393218:WCO393275 WMK393218:WMK393275 WWG393218:WWG393275 D458754:D458811 JU458754:JU458811 TQ458754:TQ458811 ADM458754:ADM458811 ANI458754:ANI458811 AXE458754:AXE458811 BHA458754:BHA458811 BQW458754:BQW458811 CAS458754:CAS458811 CKO458754:CKO458811 CUK458754:CUK458811 DEG458754:DEG458811 DOC458754:DOC458811 DXY458754:DXY458811 EHU458754:EHU458811 ERQ458754:ERQ458811 FBM458754:FBM458811 FLI458754:FLI458811 FVE458754:FVE458811 GFA458754:GFA458811 GOW458754:GOW458811 GYS458754:GYS458811 HIO458754:HIO458811 HSK458754:HSK458811 ICG458754:ICG458811 IMC458754:IMC458811 IVY458754:IVY458811 JFU458754:JFU458811 JPQ458754:JPQ458811 JZM458754:JZM458811 KJI458754:KJI458811 KTE458754:KTE458811 LDA458754:LDA458811 LMW458754:LMW458811 LWS458754:LWS458811 MGO458754:MGO458811 MQK458754:MQK458811 NAG458754:NAG458811 NKC458754:NKC458811 NTY458754:NTY458811 ODU458754:ODU458811 ONQ458754:ONQ458811 OXM458754:OXM458811 PHI458754:PHI458811 PRE458754:PRE458811 QBA458754:QBA458811 QKW458754:QKW458811 QUS458754:QUS458811 REO458754:REO458811 ROK458754:ROK458811 RYG458754:RYG458811 SIC458754:SIC458811 SRY458754:SRY458811 TBU458754:TBU458811 TLQ458754:TLQ458811 TVM458754:TVM458811 UFI458754:UFI458811 UPE458754:UPE458811 UZA458754:UZA458811 VIW458754:VIW458811 VSS458754:VSS458811 WCO458754:WCO458811 WMK458754:WMK458811 WWG458754:WWG458811 D524290:D524347 JU524290:JU524347 TQ524290:TQ524347 ADM524290:ADM524347 ANI524290:ANI524347 AXE524290:AXE524347 BHA524290:BHA524347 BQW524290:BQW524347 CAS524290:CAS524347 CKO524290:CKO524347 CUK524290:CUK524347 DEG524290:DEG524347 DOC524290:DOC524347 DXY524290:DXY524347 EHU524290:EHU524347 ERQ524290:ERQ524347 FBM524290:FBM524347 FLI524290:FLI524347 FVE524290:FVE524347 GFA524290:GFA524347 GOW524290:GOW524347 GYS524290:GYS524347 HIO524290:HIO524347 HSK524290:HSK524347 ICG524290:ICG524347 IMC524290:IMC524347 IVY524290:IVY524347 JFU524290:JFU524347 JPQ524290:JPQ524347 JZM524290:JZM524347 KJI524290:KJI524347 KTE524290:KTE524347 LDA524290:LDA524347 LMW524290:LMW524347 LWS524290:LWS524347 MGO524290:MGO524347 MQK524290:MQK524347 NAG524290:NAG524347 NKC524290:NKC524347 NTY524290:NTY524347 ODU524290:ODU524347 ONQ524290:ONQ524347 OXM524290:OXM524347 PHI524290:PHI524347 PRE524290:PRE524347 QBA524290:QBA524347 QKW524290:QKW524347 QUS524290:QUS524347 REO524290:REO524347 ROK524290:ROK524347 RYG524290:RYG524347 SIC524290:SIC524347 SRY524290:SRY524347 TBU524290:TBU524347 TLQ524290:TLQ524347 TVM524290:TVM524347 UFI524290:UFI524347 UPE524290:UPE524347 UZA524290:UZA524347 VIW524290:VIW524347 VSS524290:VSS524347 WCO524290:WCO524347 WMK524290:WMK524347 WWG524290:WWG524347 D589826:D589883 JU589826:JU589883 TQ589826:TQ589883 ADM589826:ADM589883 ANI589826:ANI589883 AXE589826:AXE589883 BHA589826:BHA589883 BQW589826:BQW589883 CAS589826:CAS589883 CKO589826:CKO589883 CUK589826:CUK589883 DEG589826:DEG589883 DOC589826:DOC589883 DXY589826:DXY589883 EHU589826:EHU589883 ERQ589826:ERQ589883 FBM589826:FBM589883 FLI589826:FLI589883 FVE589826:FVE589883 GFA589826:GFA589883 GOW589826:GOW589883 GYS589826:GYS589883 HIO589826:HIO589883 HSK589826:HSK589883 ICG589826:ICG589883 IMC589826:IMC589883 IVY589826:IVY589883 JFU589826:JFU589883 JPQ589826:JPQ589883 JZM589826:JZM589883 KJI589826:KJI589883 KTE589826:KTE589883 LDA589826:LDA589883 LMW589826:LMW589883 LWS589826:LWS589883 MGO589826:MGO589883 MQK589826:MQK589883 NAG589826:NAG589883 NKC589826:NKC589883 NTY589826:NTY589883 ODU589826:ODU589883 ONQ589826:ONQ589883 OXM589826:OXM589883 PHI589826:PHI589883 PRE589826:PRE589883 QBA589826:QBA589883 QKW589826:QKW589883 QUS589826:QUS589883 REO589826:REO589883 ROK589826:ROK589883 RYG589826:RYG589883 SIC589826:SIC589883 SRY589826:SRY589883 TBU589826:TBU589883 TLQ589826:TLQ589883 TVM589826:TVM589883 UFI589826:UFI589883 UPE589826:UPE589883 UZA589826:UZA589883 VIW589826:VIW589883 VSS589826:VSS589883 WCO589826:WCO589883 WMK589826:WMK589883 WWG589826:WWG589883 D655362:D655419 JU655362:JU655419 TQ655362:TQ655419 ADM655362:ADM655419 ANI655362:ANI655419 AXE655362:AXE655419 BHA655362:BHA655419 BQW655362:BQW655419 CAS655362:CAS655419 CKO655362:CKO655419 CUK655362:CUK655419 DEG655362:DEG655419 DOC655362:DOC655419 DXY655362:DXY655419 EHU655362:EHU655419 ERQ655362:ERQ655419 FBM655362:FBM655419 FLI655362:FLI655419 FVE655362:FVE655419 GFA655362:GFA655419 GOW655362:GOW655419 GYS655362:GYS655419 HIO655362:HIO655419 HSK655362:HSK655419 ICG655362:ICG655419 IMC655362:IMC655419 IVY655362:IVY655419 JFU655362:JFU655419 JPQ655362:JPQ655419 JZM655362:JZM655419 KJI655362:KJI655419 KTE655362:KTE655419 LDA655362:LDA655419 LMW655362:LMW655419 LWS655362:LWS655419 MGO655362:MGO655419 MQK655362:MQK655419 NAG655362:NAG655419 NKC655362:NKC655419 NTY655362:NTY655419 ODU655362:ODU655419 ONQ655362:ONQ655419 OXM655362:OXM655419 PHI655362:PHI655419 PRE655362:PRE655419 QBA655362:QBA655419 QKW655362:QKW655419 QUS655362:QUS655419 REO655362:REO655419 ROK655362:ROK655419 RYG655362:RYG655419 SIC655362:SIC655419 SRY655362:SRY655419 TBU655362:TBU655419 TLQ655362:TLQ655419 TVM655362:TVM655419 UFI655362:UFI655419 UPE655362:UPE655419 UZA655362:UZA655419 VIW655362:VIW655419 VSS655362:VSS655419 WCO655362:WCO655419 WMK655362:WMK655419 WWG655362:WWG655419 D720898:D720955 JU720898:JU720955 TQ720898:TQ720955 ADM720898:ADM720955 ANI720898:ANI720955 AXE720898:AXE720955 BHA720898:BHA720955 BQW720898:BQW720955 CAS720898:CAS720955 CKO720898:CKO720955 CUK720898:CUK720955 DEG720898:DEG720955 DOC720898:DOC720955 DXY720898:DXY720955 EHU720898:EHU720955 ERQ720898:ERQ720955 FBM720898:FBM720955 FLI720898:FLI720955 FVE720898:FVE720955 GFA720898:GFA720955 GOW720898:GOW720955 GYS720898:GYS720955 HIO720898:HIO720955 HSK720898:HSK720955 ICG720898:ICG720955 IMC720898:IMC720955 IVY720898:IVY720955 JFU720898:JFU720955 JPQ720898:JPQ720955 JZM720898:JZM720955 KJI720898:KJI720955 KTE720898:KTE720955 LDA720898:LDA720955 LMW720898:LMW720955 LWS720898:LWS720955 MGO720898:MGO720955 MQK720898:MQK720955 NAG720898:NAG720955 NKC720898:NKC720955 NTY720898:NTY720955 ODU720898:ODU720955 ONQ720898:ONQ720955 OXM720898:OXM720955 PHI720898:PHI720955 PRE720898:PRE720955 QBA720898:QBA720955 QKW720898:QKW720955 QUS720898:QUS720955 REO720898:REO720955 ROK720898:ROK720955 RYG720898:RYG720955 SIC720898:SIC720955 SRY720898:SRY720955 TBU720898:TBU720955 TLQ720898:TLQ720955 TVM720898:TVM720955 UFI720898:UFI720955 UPE720898:UPE720955 UZA720898:UZA720955 VIW720898:VIW720955 VSS720898:VSS720955 WCO720898:WCO720955 WMK720898:WMK720955 WWG720898:WWG720955 D786434:D786491 JU786434:JU786491 TQ786434:TQ786491 ADM786434:ADM786491 ANI786434:ANI786491 AXE786434:AXE786491 BHA786434:BHA786491 BQW786434:BQW786491 CAS786434:CAS786491 CKO786434:CKO786491 CUK786434:CUK786491 DEG786434:DEG786491 DOC786434:DOC786491 DXY786434:DXY786491 EHU786434:EHU786491 ERQ786434:ERQ786491 FBM786434:FBM786491 FLI786434:FLI786491 FVE786434:FVE786491 GFA786434:GFA786491 GOW786434:GOW786491 GYS786434:GYS786491 HIO786434:HIO786491 HSK786434:HSK786491 ICG786434:ICG786491 IMC786434:IMC786491 IVY786434:IVY786491 JFU786434:JFU786491 JPQ786434:JPQ786491 JZM786434:JZM786491 KJI786434:KJI786491 KTE786434:KTE786491 LDA786434:LDA786491 LMW786434:LMW786491 LWS786434:LWS786491 MGO786434:MGO786491 MQK786434:MQK786491 NAG786434:NAG786491 NKC786434:NKC786491 NTY786434:NTY786491 ODU786434:ODU786491 ONQ786434:ONQ786491 OXM786434:OXM786491 PHI786434:PHI786491 PRE786434:PRE786491 QBA786434:QBA786491 QKW786434:QKW786491 QUS786434:QUS786491 REO786434:REO786491 ROK786434:ROK786491 RYG786434:RYG786491 SIC786434:SIC786491 SRY786434:SRY786491 TBU786434:TBU786491 TLQ786434:TLQ786491 TVM786434:TVM786491 UFI786434:UFI786491 UPE786434:UPE786491 UZA786434:UZA786491 VIW786434:VIW786491 VSS786434:VSS786491 WCO786434:WCO786491 WMK786434:WMK786491 WWG786434:WWG786491 D851970:D852027 JU851970:JU852027 TQ851970:TQ852027 ADM851970:ADM852027 ANI851970:ANI852027 AXE851970:AXE852027 BHA851970:BHA852027 BQW851970:BQW852027 CAS851970:CAS852027 CKO851970:CKO852027 CUK851970:CUK852027 DEG851970:DEG852027 DOC851970:DOC852027 DXY851970:DXY852027 EHU851970:EHU852027 ERQ851970:ERQ852027 FBM851970:FBM852027 FLI851970:FLI852027 FVE851970:FVE852027 GFA851970:GFA852027 GOW851970:GOW852027 GYS851970:GYS852027 HIO851970:HIO852027 HSK851970:HSK852027 ICG851970:ICG852027 IMC851970:IMC852027 IVY851970:IVY852027 JFU851970:JFU852027 JPQ851970:JPQ852027 JZM851970:JZM852027 KJI851970:KJI852027 KTE851970:KTE852027 LDA851970:LDA852027 LMW851970:LMW852027 LWS851970:LWS852027 MGO851970:MGO852027 MQK851970:MQK852027 NAG851970:NAG852027 NKC851970:NKC852027 NTY851970:NTY852027 ODU851970:ODU852027 ONQ851970:ONQ852027 OXM851970:OXM852027 PHI851970:PHI852027 PRE851970:PRE852027 QBA851970:QBA852027 QKW851970:QKW852027 QUS851970:QUS852027 REO851970:REO852027 ROK851970:ROK852027 RYG851970:RYG852027 SIC851970:SIC852027 SRY851970:SRY852027 TBU851970:TBU852027 TLQ851970:TLQ852027 TVM851970:TVM852027 UFI851970:UFI852027 UPE851970:UPE852027 UZA851970:UZA852027 VIW851970:VIW852027 VSS851970:VSS852027 WCO851970:WCO852027 WMK851970:WMK852027 WWG851970:WWG852027 D917506:D917563 JU917506:JU917563 TQ917506:TQ917563 ADM917506:ADM917563 ANI917506:ANI917563 AXE917506:AXE917563 BHA917506:BHA917563 BQW917506:BQW917563 CAS917506:CAS917563 CKO917506:CKO917563 CUK917506:CUK917563 DEG917506:DEG917563 DOC917506:DOC917563 DXY917506:DXY917563 EHU917506:EHU917563 ERQ917506:ERQ917563 FBM917506:FBM917563 FLI917506:FLI917563 FVE917506:FVE917563 GFA917506:GFA917563 GOW917506:GOW917563 GYS917506:GYS917563 HIO917506:HIO917563 HSK917506:HSK917563 ICG917506:ICG917563 IMC917506:IMC917563 IVY917506:IVY917563 JFU917506:JFU917563 JPQ917506:JPQ917563 JZM917506:JZM917563 KJI917506:KJI917563 KTE917506:KTE917563 LDA917506:LDA917563 LMW917506:LMW917563 LWS917506:LWS917563 MGO917506:MGO917563 MQK917506:MQK917563 NAG917506:NAG917563 NKC917506:NKC917563 NTY917506:NTY917563 ODU917506:ODU917563 ONQ917506:ONQ917563 OXM917506:OXM917563 PHI917506:PHI917563 PRE917506:PRE917563 QBA917506:QBA917563 QKW917506:QKW917563 QUS917506:QUS917563 REO917506:REO917563 ROK917506:ROK917563 RYG917506:RYG917563 SIC917506:SIC917563 SRY917506:SRY917563 TBU917506:TBU917563 TLQ917506:TLQ917563 TVM917506:TVM917563 UFI917506:UFI917563 UPE917506:UPE917563 UZA917506:UZA917563 VIW917506:VIW917563 VSS917506:VSS917563 WCO917506:WCO917563 WMK917506:WMK917563 WWG917506:WWG917563 D983042:D983099 JU983042:JU983099 TQ983042:TQ983099 ADM983042:ADM983099 ANI983042:ANI983099 AXE983042:AXE983099 BHA983042:BHA983099 BQW983042:BQW983099 CAS983042:CAS983099 CKO983042:CKO983099 CUK983042:CUK983099 DEG983042:DEG983099 DOC983042:DOC983099 DXY983042:DXY983099 EHU983042:EHU983099 ERQ983042:ERQ983099 FBM983042:FBM983099 FLI983042:FLI983099 FVE983042:FVE983099 GFA983042:GFA983099 GOW983042:GOW983099 GYS983042:GYS983099 HIO983042:HIO983099 HSK983042:HSK983099 ICG983042:ICG983099 IMC983042:IMC983099 IVY983042:IVY983099 JFU983042:JFU983099 JPQ983042:JPQ983099 JZM983042:JZM983099 KJI983042:KJI983099 KTE983042:KTE983099 LDA983042:LDA983099 LMW983042:LMW983099 LWS983042:LWS983099 MGO983042:MGO983099 MQK983042:MQK983099 NAG983042:NAG983099 NKC983042:NKC983099 NTY983042:NTY983099 ODU983042:ODU983099 ONQ983042:ONQ983099 OXM983042:OXM983099 PHI983042:PHI983099 PRE983042:PRE983099 QBA983042:QBA983099 QKW983042:QKW983099 QUS983042:QUS983099 REO983042:REO983099 ROK983042:ROK983099 RYG983042:RYG983099 SIC983042:SIC983099 SRY983042:SRY983099 TBU983042:TBU983099 TLQ983042:TLQ983099 TVM983042:TVM983099 UFI983042:UFI983099 UPE983042:UPE983099 UZA983042:UZA983099 VIW983042:VIW983099 VSS983042:VSS983099 WCO983042:WCO983099 WMK983042:WMK983099 WWG983042:WWG983099 WWH3:WWH59 WML3:WML59 WCP3:WCP59 VST3:VST59 VIX3:VIX59 UZB3:UZB59 UPF3:UPF59 UFJ3:UFJ59 TVN3:TVN59 TLR3:TLR59 TBV3:TBV59 SRZ3:SRZ59 SID3:SID59 RYH3:RYH59 ROL3:ROL59 REP3:REP59 QUT3:QUT59 QKX3:QKX59 QBB3:QBB59 PRF3:PRF59 PHJ3:PHJ59 OXN3:OXN59 ONR3:ONR59 ODV3:ODV59 NTZ3:NTZ59 NKD3:NKD59 NAH3:NAH59 MQL3:MQL59 MGP3:MGP59 LWT3:LWT59 LMX3:LMX59 LDB3:LDB59 KTF3:KTF59 KJJ3:KJJ59 JZN3:JZN59 JPR3:JPR59 JFV3:JFV59 IVZ3:IVZ59 IMD3:IMD59 ICH3:ICH59 HSL3:HSL59 HIP3:HIP59 GYT3:GYT59 GOX3:GOX59 GFB3:GFB59 FVF3:FVF59 FLJ3:FLJ59 FBN3:FBN59 ERR3:ERR59 EHV3:EHV59 DXZ3:DXZ59 DOD3:DOD59 DEH3:DEH59 CUL3:CUL59 CKP3:CKP59 CAT3:CAT59 BQX3:BQX59 BHB3:BHB59 AXF3:AXF59 ANJ3:ANJ59 ADN3:ADN59 TR3:TR59 JV3:JV59 D3:D59">
      <formula1>"ACS,AGRI,BNC,"</formula1>
    </dataValidation>
    <dataValidation type="list" allowBlank="1" showInputMessage="1" showErrorMessage="1" sqref="G65538:G65595 JX65538:JX65595 TT65538:TT65595 ADP65538:ADP65595 ANL65538:ANL65595 AXH65538:AXH65595 BHD65538:BHD65595 BQZ65538:BQZ65595 CAV65538:CAV65595 CKR65538:CKR65595 CUN65538:CUN65595 DEJ65538:DEJ65595 DOF65538:DOF65595 DYB65538:DYB65595 EHX65538:EHX65595 ERT65538:ERT65595 FBP65538:FBP65595 FLL65538:FLL65595 FVH65538:FVH65595 GFD65538:GFD65595 GOZ65538:GOZ65595 GYV65538:GYV65595 HIR65538:HIR65595 HSN65538:HSN65595 ICJ65538:ICJ65595 IMF65538:IMF65595 IWB65538:IWB65595 JFX65538:JFX65595 JPT65538:JPT65595 JZP65538:JZP65595 KJL65538:KJL65595 KTH65538:KTH65595 LDD65538:LDD65595 LMZ65538:LMZ65595 LWV65538:LWV65595 MGR65538:MGR65595 MQN65538:MQN65595 NAJ65538:NAJ65595 NKF65538:NKF65595 NUB65538:NUB65595 ODX65538:ODX65595 ONT65538:ONT65595 OXP65538:OXP65595 PHL65538:PHL65595 PRH65538:PRH65595 QBD65538:QBD65595 QKZ65538:QKZ65595 QUV65538:QUV65595 RER65538:RER65595 RON65538:RON65595 RYJ65538:RYJ65595 SIF65538:SIF65595 SSB65538:SSB65595 TBX65538:TBX65595 TLT65538:TLT65595 TVP65538:TVP65595 UFL65538:UFL65595 UPH65538:UPH65595 UZD65538:UZD65595 VIZ65538:VIZ65595 VSV65538:VSV65595 WCR65538:WCR65595 WMN65538:WMN65595 WWJ65538:WWJ65595 G131074:G131131 JX131074:JX131131 TT131074:TT131131 ADP131074:ADP131131 ANL131074:ANL131131 AXH131074:AXH131131 BHD131074:BHD131131 BQZ131074:BQZ131131 CAV131074:CAV131131 CKR131074:CKR131131 CUN131074:CUN131131 DEJ131074:DEJ131131 DOF131074:DOF131131 DYB131074:DYB131131 EHX131074:EHX131131 ERT131074:ERT131131 FBP131074:FBP131131 FLL131074:FLL131131 FVH131074:FVH131131 GFD131074:GFD131131 GOZ131074:GOZ131131 GYV131074:GYV131131 HIR131074:HIR131131 HSN131074:HSN131131 ICJ131074:ICJ131131 IMF131074:IMF131131 IWB131074:IWB131131 JFX131074:JFX131131 JPT131074:JPT131131 JZP131074:JZP131131 KJL131074:KJL131131 KTH131074:KTH131131 LDD131074:LDD131131 LMZ131074:LMZ131131 LWV131074:LWV131131 MGR131074:MGR131131 MQN131074:MQN131131 NAJ131074:NAJ131131 NKF131074:NKF131131 NUB131074:NUB131131 ODX131074:ODX131131 ONT131074:ONT131131 OXP131074:OXP131131 PHL131074:PHL131131 PRH131074:PRH131131 QBD131074:QBD131131 QKZ131074:QKZ131131 QUV131074:QUV131131 RER131074:RER131131 RON131074:RON131131 RYJ131074:RYJ131131 SIF131074:SIF131131 SSB131074:SSB131131 TBX131074:TBX131131 TLT131074:TLT131131 TVP131074:TVP131131 UFL131074:UFL131131 UPH131074:UPH131131 UZD131074:UZD131131 VIZ131074:VIZ131131 VSV131074:VSV131131 WCR131074:WCR131131 WMN131074:WMN131131 WWJ131074:WWJ131131 G196610:G196667 JX196610:JX196667 TT196610:TT196667 ADP196610:ADP196667 ANL196610:ANL196667 AXH196610:AXH196667 BHD196610:BHD196667 BQZ196610:BQZ196667 CAV196610:CAV196667 CKR196610:CKR196667 CUN196610:CUN196667 DEJ196610:DEJ196667 DOF196610:DOF196667 DYB196610:DYB196667 EHX196610:EHX196667 ERT196610:ERT196667 FBP196610:FBP196667 FLL196610:FLL196667 FVH196610:FVH196667 GFD196610:GFD196667 GOZ196610:GOZ196667 GYV196610:GYV196667 HIR196610:HIR196667 HSN196610:HSN196667 ICJ196610:ICJ196667 IMF196610:IMF196667 IWB196610:IWB196667 JFX196610:JFX196667 JPT196610:JPT196667 JZP196610:JZP196667 KJL196610:KJL196667 KTH196610:KTH196667 LDD196610:LDD196667 LMZ196610:LMZ196667 LWV196610:LWV196667 MGR196610:MGR196667 MQN196610:MQN196667 NAJ196610:NAJ196667 NKF196610:NKF196667 NUB196610:NUB196667 ODX196610:ODX196667 ONT196610:ONT196667 OXP196610:OXP196667 PHL196610:PHL196667 PRH196610:PRH196667 QBD196610:QBD196667 QKZ196610:QKZ196667 QUV196610:QUV196667 RER196610:RER196667 RON196610:RON196667 RYJ196610:RYJ196667 SIF196610:SIF196667 SSB196610:SSB196667 TBX196610:TBX196667 TLT196610:TLT196667 TVP196610:TVP196667 UFL196610:UFL196667 UPH196610:UPH196667 UZD196610:UZD196667 VIZ196610:VIZ196667 VSV196610:VSV196667 WCR196610:WCR196667 WMN196610:WMN196667 WWJ196610:WWJ196667 G262146:G262203 JX262146:JX262203 TT262146:TT262203 ADP262146:ADP262203 ANL262146:ANL262203 AXH262146:AXH262203 BHD262146:BHD262203 BQZ262146:BQZ262203 CAV262146:CAV262203 CKR262146:CKR262203 CUN262146:CUN262203 DEJ262146:DEJ262203 DOF262146:DOF262203 DYB262146:DYB262203 EHX262146:EHX262203 ERT262146:ERT262203 FBP262146:FBP262203 FLL262146:FLL262203 FVH262146:FVH262203 GFD262146:GFD262203 GOZ262146:GOZ262203 GYV262146:GYV262203 HIR262146:HIR262203 HSN262146:HSN262203 ICJ262146:ICJ262203 IMF262146:IMF262203 IWB262146:IWB262203 JFX262146:JFX262203 JPT262146:JPT262203 JZP262146:JZP262203 KJL262146:KJL262203 KTH262146:KTH262203 LDD262146:LDD262203 LMZ262146:LMZ262203 LWV262146:LWV262203 MGR262146:MGR262203 MQN262146:MQN262203 NAJ262146:NAJ262203 NKF262146:NKF262203 NUB262146:NUB262203 ODX262146:ODX262203 ONT262146:ONT262203 OXP262146:OXP262203 PHL262146:PHL262203 PRH262146:PRH262203 QBD262146:QBD262203 QKZ262146:QKZ262203 QUV262146:QUV262203 RER262146:RER262203 RON262146:RON262203 RYJ262146:RYJ262203 SIF262146:SIF262203 SSB262146:SSB262203 TBX262146:TBX262203 TLT262146:TLT262203 TVP262146:TVP262203 UFL262146:UFL262203 UPH262146:UPH262203 UZD262146:UZD262203 VIZ262146:VIZ262203 VSV262146:VSV262203 WCR262146:WCR262203 WMN262146:WMN262203 WWJ262146:WWJ262203 G327682:G327739 JX327682:JX327739 TT327682:TT327739 ADP327682:ADP327739 ANL327682:ANL327739 AXH327682:AXH327739 BHD327682:BHD327739 BQZ327682:BQZ327739 CAV327682:CAV327739 CKR327682:CKR327739 CUN327682:CUN327739 DEJ327682:DEJ327739 DOF327682:DOF327739 DYB327682:DYB327739 EHX327682:EHX327739 ERT327682:ERT327739 FBP327682:FBP327739 FLL327682:FLL327739 FVH327682:FVH327739 GFD327682:GFD327739 GOZ327682:GOZ327739 GYV327682:GYV327739 HIR327682:HIR327739 HSN327682:HSN327739 ICJ327682:ICJ327739 IMF327682:IMF327739 IWB327682:IWB327739 JFX327682:JFX327739 JPT327682:JPT327739 JZP327682:JZP327739 KJL327682:KJL327739 KTH327682:KTH327739 LDD327682:LDD327739 LMZ327682:LMZ327739 LWV327682:LWV327739 MGR327682:MGR327739 MQN327682:MQN327739 NAJ327682:NAJ327739 NKF327682:NKF327739 NUB327682:NUB327739 ODX327682:ODX327739 ONT327682:ONT327739 OXP327682:OXP327739 PHL327682:PHL327739 PRH327682:PRH327739 QBD327682:QBD327739 QKZ327682:QKZ327739 QUV327682:QUV327739 RER327682:RER327739 RON327682:RON327739 RYJ327682:RYJ327739 SIF327682:SIF327739 SSB327682:SSB327739 TBX327682:TBX327739 TLT327682:TLT327739 TVP327682:TVP327739 UFL327682:UFL327739 UPH327682:UPH327739 UZD327682:UZD327739 VIZ327682:VIZ327739 VSV327682:VSV327739 WCR327682:WCR327739 WMN327682:WMN327739 WWJ327682:WWJ327739 G393218:G393275 JX393218:JX393275 TT393218:TT393275 ADP393218:ADP393275 ANL393218:ANL393275 AXH393218:AXH393275 BHD393218:BHD393275 BQZ393218:BQZ393275 CAV393218:CAV393275 CKR393218:CKR393275 CUN393218:CUN393275 DEJ393218:DEJ393275 DOF393218:DOF393275 DYB393218:DYB393275 EHX393218:EHX393275 ERT393218:ERT393275 FBP393218:FBP393275 FLL393218:FLL393275 FVH393218:FVH393275 GFD393218:GFD393275 GOZ393218:GOZ393275 GYV393218:GYV393275 HIR393218:HIR393275 HSN393218:HSN393275 ICJ393218:ICJ393275 IMF393218:IMF393275 IWB393218:IWB393275 JFX393218:JFX393275 JPT393218:JPT393275 JZP393218:JZP393275 KJL393218:KJL393275 KTH393218:KTH393275 LDD393218:LDD393275 LMZ393218:LMZ393275 LWV393218:LWV393275 MGR393218:MGR393275 MQN393218:MQN393275 NAJ393218:NAJ393275 NKF393218:NKF393275 NUB393218:NUB393275 ODX393218:ODX393275 ONT393218:ONT393275 OXP393218:OXP393275 PHL393218:PHL393275 PRH393218:PRH393275 QBD393218:QBD393275 QKZ393218:QKZ393275 QUV393218:QUV393275 RER393218:RER393275 RON393218:RON393275 RYJ393218:RYJ393275 SIF393218:SIF393275 SSB393218:SSB393275 TBX393218:TBX393275 TLT393218:TLT393275 TVP393218:TVP393275 UFL393218:UFL393275 UPH393218:UPH393275 UZD393218:UZD393275 VIZ393218:VIZ393275 VSV393218:VSV393275 WCR393218:WCR393275 WMN393218:WMN393275 WWJ393218:WWJ393275 G458754:G458811 JX458754:JX458811 TT458754:TT458811 ADP458754:ADP458811 ANL458754:ANL458811 AXH458754:AXH458811 BHD458754:BHD458811 BQZ458754:BQZ458811 CAV458754:CAV458811 CKR458754:CKR458811 CUN458754:CUN458811 DEJ458754:DEJ458811 DOF458754:DOF458811 DYB458754:DYB458811 EHX458754:EHX458811 ERT458754:ERT458811 FBP458754:FBP458811 FLL458754:FLL458811 FVH458754:FVH458811 GFD458754:GFD458811 GOZ458754:GOZ458811 GYV458754:GYV458811 HIR458754:HIR458811 HSN458754:HSN458811 ICJ458754:ICJ458811 IMF458754:IMF458811 IWB458754:IWB458811 JFX458754:JFX458811 JPT458754:JPT458811 JZP458754:JZP458811 KJL458754:KJL458811 KTH458754:KTH458811 LDD458754:LDD458811 LMZ458754:LMZ458811 LWV458754:LWV458811 MGR458754:MGR458811 MQN458754:MQN458811 NAJ458754:NAJ458811 NKF458754:NKF458811 NUB458754:NUB458811 ODX458754:ODX458811 ONT458754:ONT458811 OXP458754:OXP458811 PHL458754:PHL458811 PRH458754:PRH458811 QBD458754:QBD458811 QKZ458754:QKZ458811 QUV458754:QUV458811 RER458754:RER458811 RON458754:RON458811 RYJ458754:RYJ458811 SIF458754:SIF458811 SSB458754:SSB458811 TBX458754:TBX458811 TLT458754:TLT458811 TVP458754:TVP458811 UFL458754:UFL458811 UPH458754:UPH458811 UZD458754:UZD458811 VIZ458754:VIZ458811 VSV458754:VSV458811 WCR458754:WCR458811 WMN458754:WMN458811 WWJ458754:WWJ458811 G524290:G524347 JX524290:JX524347 TT524290:TT524347 ADP524290:ADP524347 ANL524290:ANL524347 AXH524290:AXH524347 BHD524290:BHD524347 BQZ524290:BQZ524347 CAV524290:CAV524347 CKR524290:CKR524347 CUN524290:CUN524347 DEJ524290:DEJ524347 DOF524290:DOF524347 DYB524290:DYB524347 EHX524290:EHX524347 ERT524290:ERT524347 FBP524290:FBP524347 FLL524290:FLL524347 FVH524290:FVH524347 GFD524290:GFD524347 GOZ524290:GOZ524347 GYV524290:GYV524347 HIR524290:HIR524347 HSN524290:HSN524347 ICJ524290:ICJ524347 IMF524290:IMF524347 IWB524290:IWB524347 JFX524290:JFX524347 JPT524290:JPT524347 JZP524290:JZP524347 KJL524290:KJL524347 KTH524290:KTH524347 LDD524290:LDD524347 LMZ524290:LMZ524347 LWV524290:LWV524347 MGR524290:MGR524347 MQN524290:MQN524347 NAJ524290:NAJ524347 NKF524290:NKF524347 NUB524290:NUB524347 ODX524290:ODX524347 ONT524290:ONT524347 OXP524290:OXP524347 PHL524290:PHL524347 PRH524290:PRH524347 QBD524290:QBD524347 QKZ524290:QKZ524347 QUV524290:QUV524347 RER524290:RER524347 RON524290:RON524347 RYJ524290:RYJ524347 SIF524290:SIF524347 SSB524290:SSB524347 TBX524290:TBX524347 TLT524290:TLT524347 TVP524290:TVP524347 UFL524290:UFL524347 UPH524290:UPH524347 UZD524290:UZD524347 VIZ524290:VIZ524347 VSV524290:VSV524347 WCR524290:WCR524347 WMN524290:WMN524347 WWJ524290:WWJ524347 G589826:G589883 JX589826:JX589883 TT589826:TT589883 ADP589826:ADP589883 ANL589826:ANL589883 AXH589826:AXH589883 BHD589826:BHD589883 BQZ589826:BQZ589883 CAV589826:CAV589883 CKR589826:CKR589883 CUN589826:CUN589883 DEJ589826:DEJ589883 DOF589826:DOF589883 DYB589826:DYB589883 EHX589826:EHX589883 ERT589826:ERT589883 FBP589826:FBP589883 FLL589826:FLL589883 FVH589826:FVH589883 GFD589826:GFD589883 GOZ589826:GOZ589883 GYV589826:GYV589883 HIR589826:HIR589883 HSN589826:HSN589883 ICJ589826:ICJ589883 IMF589826:IMF589883 IWB589826:IWB589883 JFX589826:JFX589883 JPT589826:JPT589883 JZP589826:JZP589883 KJL589826:KJL589883 KTH589826:KTH589883 LDD589826:LDD589883 LMZ589826:LMZ589883 LWV589826:LWV589883 MGR589826:MGR589883 MQN589826:MQN589883 NAJ589826:NAJ589883 NKF589826:NKF589883 NUB589826:NUB589883 ODX589826:ODX589883 ONT589826:ONT589883 OXP589826:OXP589883 PHL589826:PHL589883 PRH589826:PRH589883 QBD589826:QBD589883 QKZ589826:QKZ589883 QUV589826:QUV589883 RER589826:RER589883 RON589826:RON589883 RYJ589826:RYJ589883 SIF589826:SIF589883 SSB589826:SSB589883 TBX589826:TBX589883 TLT589826:TLT589883 TVP589826:TVP589883 UFL589826:UFL589883 UPH589826:UPH589883 UZD589826:UZD589883 VIZ589826:VIZ589883 VSV589826:VSV589883 WCR589826:WCR589883 WMN589826:WMN589883 WWJ589826:WWJ589883 G655362:G655419 JX655362:JX655419 TT655362:TT655419 ADP655362:ADP655419 ANL655362:ANL655419 AXH655362:AXH655419 BHD655362:BHD655419 BQZ655362:BQZ655419 CAV655362:CAV655419 CKR655362:CKR655419 CUN655362:CUN655419 DEJ655362:DEJ655419 DOF655362:DOF655419 DYB655362:DYB655419 EHX655362:EHX655419 ERT655362:ERT655419 FBP655362:FBP655419 FLL655362:FLL655419 FVH655362:FVH655419 GFD655362:GFD655419 GOZ655362:GOZ655419 GYV655362:GYV655419 HIR655362:HIR655419 HSN655362:HSN655419 ICJ655362:ICJ655419 IMF655362:IMF655419 IWB655362:IWB655419 JFX655362:JFX655419 JPT655362:JPT655419 JZP655362:JZP655419 KJL655362:KJL655419 KTH655362:KTH655419 LDD655362:LDD655419 LMZ655362:LMZ655419 LWV655362:LWV655419 MGR655362:MGR655419 MQN655362:MQN655419 NAJ655362:NAJ655419 NKF655362:NKF655419 NUB655362:NUB655419 ODX655362:ODX655419 ONT655362:ONT655419 OXP655362:OXP655419 PHL655362:PHL655419 PRH655362:PRH655419 QBD655362:QBD655419 QKZ655362:QKZ655419 QUV655362:QUV655419 RER655362:RER655419 RON655362:RON655419 RYJ655362:RYJ655419 SIF655362:SIF655419 SSB655362:SSB655419 TBX655362:TBX655419 TLT655362:TLT655419 TVP655362:TVP655419 UFL655362:UFL655419 UPH655362:UPH655419 UZD655362:UZD655419 VIZ655362:VIZ655419 VSV655362:VSV655419 WCR655362:WCR655419 WMN655362:WMN655419 WWJ655362:WWJ655419 G720898:G720955 JX720898:JX720955 TT720898:TT720955 ADP720898:ADP720955 ANL720898:ANL720955 AXH720898:AXH720955 BHD720898:BHD720955 BQZ720898:BQZ720955 CAV720898:CAV720955 CKR720898:CKR720955 CUN720898:CUN720955 DEJ720898:DEJ720955 DOF720898:DOF720955 DYB720898:DYB720955 EHX720898:EHX720955 ERT720898:ERT720955 FBP720898:FBP720955 FLL720898:FLL720955 FVH720898:FVH720955 GFD720898:GFD720955 GOZ720898:GOZ720955 GYV720898:GYV720955 HIR720898:HIR720955 HSN720898:HSN720955 ICJ720898:ICJ720955 IMF720898:IMF720955 IWB720898:IWB720955 JFX720898:JFX720955 JPT720898:JPT720955 JZP720898:JZP720955 KJL720898:KJL720955 KTH720898:KTH720955 LDD720898:LDD720955 LMZ720898:LMZ720955 LWV720898:LWV720955 MGR720898:MGR720955 MQN720898:MQN720955 NAJ720898:NAJ720955 NKF720898:NKF720955 NUB720898:NUB720955 ODX720898:ODX720955 ONT720898:ONT720955 OXP720898:OXP720955 PHL720898:PHL720955 PRH720898:PRH720955 QBD720898:QBD720955 QKZ720898:QKZ720955 QUV720898:QUV720955 RER720898:RER720955 RON720898:RON720955 RYJ720898:RYJ720955 SIF720898:SIF720955 SSB720898:SSB720955 TBX720898:TBX720955 TLT720898:TLT720955 TVP720898:TVP720955 UFL720898:UFL720955 UPH720898:UPH720955 UZD720898:UZD720955 VIZ720898:VIZ720955 VSV720898:VSV720955 WCR720898:WCR720955 WMN720898:WMN720955 WWJ720898:WWJ720955 G786434:G786491 JX786434:JX786491 TT786434:TT786491 ADP786434:ADP786491 ANL786434:ANL786491 AXH786434:AXH786491 BHD786434:BHD786491 BQZ786434:BQZ786491 CAV786434:CAV786491 CKR786434:CKR786491 CUN786434:CUN786491 DEJ786434:DEJ786491 DOF786434:DOF786491 DYB786434:DYB786491 EHX786434:EHX786491 ERT786434:ERT786491 FBP786434:FBP786491 FLL786434:FLL786491 FVH786434:FVH786491 GFD786434:GFD786491 GOZ786434:GOZ786491 GYV786434:GYV786491 HIR786434:HIR786491 HSN786434:HSN786491 ICJ786434:ICJ786491 IMF786434:IMF786491 IWB786434:IWB786491 JFX786434:JFX786491 JPT786434:JPT786491 JZP786434:JZP786491 KJL786434:KJL786491 KTH786434:KTH786491 LDD786434:LDD786491 LMZ786434:LMZ786491 LWV786434:LWV786491 MGR786434:MGR786491 MQN786434:MQN786491 NAJ786434:NAJ786491 NKF786434:NKF786491 NUB786434:NUB786491 ODX786434:ODX786491 ONT786434:ONT786491 OXP786434:OXP786491 PHL786434:PHL786491 PRH786434:PRH786491 QBD786434:QBD786491 QKZ786434:QKZ786491 QUV786434:QUV786491 RER786434:RER786491 RON786434:RON786491 RYJ786434:RYJ786491 SIF786434:SIF786491 SSB786434:SSB786491 TBX786434:TBX786491 TLT786434:TLT786491 TVP786434:TVP786491 UFL786434:UFL786491 UPH786434:UPH786491 UZD786434:UZD786491 VIZ786434:VIZ786491 VSV786434:VSV786491 WCR786434:WCR786491 WMN786434:WMN786491 WWJ786434:WWJ786491 G851970:G852027 JX851970:JX852027 TT851970:TT852027 ADP851970:ADP852027 ANL851970:ANL852027 AXH851970:AXH852027 BHD851970:BHD852027 BQZ851970:BQZ852027 CAV851970:CAV852027 CKR851970:CKR852027 CUN851970:CUN852027 DEJ851970:DEJ852027 DOF851970:DOF852027 DYB851970:DYB852027 EHX851970:EHX852027 ERT851970:ERT852027 FBP851970:FBP852027 FLL851970:FLL852027 FVH851970:FVH852027 GFD851970:GFD852027 GOZ851970:GOZ852027 GYV851970:GYV852027 HIR851970:HIR852027 HSN851970:HSN852027 ICJ851970:ICJ852027 IMF851970:IMF852027 IWB851970:IWB852027 JFX851970:JFX852027 JPT851970:JPT852027 JZP851970:JZP852027 KJL851970:KJL852027 KTH851970:KTH852027 LDD851970:LDD852027 LMZ851970:LMZ852027 LWV851970:LWV852027 MGR851970:MGR852027 MQN851970:MQN852027 NAJ851970:NAJ852027 NKF851970:NKF852027 NUB851970:NUB852027 ODX851970:ODX852027 ONT851970:ONT852027 OXP851970:OXP852027 PHL851970:PHL852027 PRH851970:PRH852027 QBD851970:QBD852027 QKZ851970:QKZ852027 QUV851970:QUV852027 RER851970:RER852027 RON851970:RON852027 RYJ851970:RYJ852027 SIF851970:SIF852027 SSB851970:SSB852027 TBX851970:TBX852027 TLT851970:TLT852027 TVP851970:TVP852027 UFL851970:UFL852027 UPH851970:UPH852027 UZD851970:UZD852027 VIZ851970:VIZ852027 VSV851970:VSV852027 WCR851970:WCR852027 WMN851970:WMN852027 WWJ851970:WWJ852027 G917506:G917563 JX917506:JX917563 TT917506:TT917563 ADP917506:ADP917563 ANL917506:ANL917563 AXH917506:AXH917563 BHD917506:BHD917563 BQZ917506:BQZ917563 CAV917506:CAV917563 CKR917506:CKR917563 CUN917506:CUN917563 DEJ917506:DEJ917563 DOF917506:DOF917563 DYB917506:DYB917563 EHX917506:EHX917563 ERT917506:ERT917563 FBP917506:FBP917563 FLL917506:FLL917563 FVH917506:FVH917563 GFD917506:GFD917563 GOZ917506:GOZ917563 GYV917506:GYV917563 HIR917506:HIR917563 HSN917506:HSN917563 ICJ917506:ICJ917563 IMF917506:IMF917563 IWB917506:IWB917563 JFX917506:JFX917563 JPT917506:JPT917563 JZP917506:JZP917563 KJL917506:KJL917563 KTH917506:KTH917563 LDD917506:LDD917563 LMZ917506:LMZ917563 LWV917506:LWV917563 MGR917506:MGR917563 MQN917506:MQN917563 NAJ917506:NAJ917563 NKF917506:NKF917563 NUB917506:NUB917563 ODX917506:ODX917563 ONT917506:ONT917563 OXP917506:OXP917563 PHL917506:PHL917563 PRH917506:PRH917563 QBD917506:QBD917563 QKZ917506:QKZ917563 QUV917506:QUV917563 RER917506:RER917563 RON917506:RON917563 RYJ917506:RYJ917563 SIF917506:SIF917563 SSB917506:SSB917563 TBX917506:TBX917563 TLT917506:TLT917563 TVP917506:TVP917563 UFL917506:UFL917563 UPH917506:UPH917563 UZD917506:UZD917563 VIZ917506:VIZ917563 VSV917506:VSV917563 WCR917506:WCR917563 WMN917506:WMN917563 WWJ917506:WWJ917563 G983042:G983099 JX983042:JX983099 TT983042:TT983099 ADP983042:ADP983099 ANL983042:ANL983099 AXH983042:AXH983099 BHD983042:BHD983099 BQZ983042:BQZ983099 CAV983042:CAV983099 CKR983042:CKR983099 CUN983042:CUN983099 DEJ983042:DEJ983099 DOF983042:DOF983099 DYB983042:DYB983099 EHX983042:EHX983099 ERT983042:ERT983099 FBP983042:FBP983099 FLL983042:FLL983099 FVH983042:FVH983099 GFD983042:GFD983099 GOZ983042:GOZ983099 GYV983042:GYV983099 HIR983042:HIR983099 HSN983042:HSN983099 ICJ983042:ICJ983099 IMF983042:IMF983099 IWB983042:IWB983099 JFX983042:JFX983099 JPT983042:JPT983099 JZP983042:JZP983099 KJL983042:KJL983099 KTH983042:KTH983099 LDD983042:LDD983099 LMZ983042:LMZ983099 LWV983042:LWV983099 MGR983042:MGR983099 MQN983042:MQN983099 NAJ983042:NAJ983099 NKF983042:NKF983099 NUB983042:NUB983099 ODX983042:ODX983099 ONT983042:ONT983099 OXP983042:OXP983099 PHL983042:PHL983099 PRH983042:PRH983099 QBD983042:QBD983099 QKZ983042:QKZ983099 QUV983042:QUV983099 RER983042:RER983099 RON983042:RON983099 RYJ983042:RYJ983099 SIF983042:SIF983099 SSB983042:SSB983099 TBX983042:TBX983099 TLT983042:TLT983099 TVP983042:TVP983099 UFL983042:UFL983099 UPH983042:UPH983099 UZD983042:UZD983099 VIZ983042:VIZ983099 VSV983042:VSV983099 WCR983042:WCR983099 WMN983042:WMN983099 WWJ983042:WWJ983099 G3:G59 WWK3:WWK59 WMO3:WMO59 WCS3:WCS59 VSW3:VSW59 VJA3:VJA59 UZE3:UZE59 UPI3:UPI59 UFM3:UFM59 TVQ3:TVQ59 TLU3:TLU59 TBY3:TBY59 SSC3:SSC59 SIG3:SIG59 RYK3:RYK59 ROO3:ROO59 RES3:RES59 QUW3:QUW59 QLA3:QLA59 QBE3:QBE59 PRI3:PRI59 PHM3:PHM59 OXQ3:OXQ59 ONU3:ONU59 ODY3:ODY59 NUC3:NUC59 NKG3:NKG59 NAK3:NAK59 MQO3:MQO59 MGS3:MGS59 LWW3:LWW59 LNA3:LNA59 LDE3:LDE59 KTI3:KTI59 KJM3:KJM59 JZQ3:JZQ59 JPU3:JPU59 JFY3:JFY59 IWC3:IWC59 IMG3:IMG59 ICK3:ICK59 HSO3:HSO59 HIS3:HIS59 GYW3:GYW59 GPA3:GPA59 GFE3:GFE59 FVI3:FVI59 FLM3:FLM59 FBQ3:FBQ59 ERU3:ERU59 EHY3:EHY59 DYC3:DYC59 DOG3:DOG59 DEK3:DEK59 CUO3:CUO59 CKS3:CKS59 CAW3:CAW59 BRA3:BRA59 BHE3:BHE59 AXI3:AXI59 ANM3:ANM59 ADQ3:ADQ59 TU3:TU59 JY3:JY59">
      <formula1>"IS,IR,"</formula1>
    </dataValidation>
    <dataValidation type="list" allowBlank="1" showInputMessage="1" showErrorMessage="1" sqref="M3:N59">
      <formula1>"OUI,NON,A FAIRE"</formula1>
    </dataValidation>
    <dataValidation type="list" allowBlank="1" showInputMessage="1" showErrorMessage="1" sqref="O3:O59">
      <formula1>"COMPTABLE,CONSEILLER"</formula1>
    </dataValidation>
    <dataValidation type="list" allowBlank="1" showInputMessage="1" showErrorMessage="1" sqref="AO3:AO59 Q3:Q59">
      <formula1>"OUI,NON"</formula1>
    </dataValidation>
    <dataValidation type="list" allowBlank="1" showInputMessage="1" showErrorMessage="1" sqref="R3:R59">
      <formula1>"OUI,NON,A FAIRE,N/A"</formula1>
    </dataValidation>
    <dataValidation type="list" allowBlank="1" showInputMessage="1" showErrorMessage="1" sqref="BA3:BC59">
      <formula1>"X"</formula1>
    </dataValidation>
    <dataValidation type="list" allowBlank="1" showInputMessage="1" showErrorMessage="1" sqref="P3:P59">
      <formula1>"OUI,NON,A TERMINER,A FAIRE"</formula1>
    </dataValidation>
    <dataValidation type="list" allowBlank="1" showInputMessage="1" showErrorMessage="1" sqref="AN3:AN59">
      <formula1>"ABONNE COURT,ABONNE LONG"</formula1>
    </dataValidation>
    <dataValidation type="list" allowBlank="1" showInputMessage="1" showErrorMessage="1" sqref="BI3:BK59">
      <formula1>"OUI,NON,N/C"</formula1>
    </dataValidation>
    <dataValidation type="list" allowBlank="1" showInputMessage="1" showErrorMessage="1" sqref="H3:H59">
      <formula1>"MENSUELLE,TRIMESTRIELLE,EXERCICE,ANNUELLE"</formula1>
    </dataValidation>
    <dataValidation type="list" allowBlank="1" showInputMessage="1" showErrorMessage="1" sqref="AL3:AL59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Paramètres!$F$4:$F$17</xm:f>
          </x14:formula1>
          <xm:sqref>F3:F51</xm:sqref>
        </x14:dataValidation>
        <x14:dataValidation type="list" allowBlank="1" showInputMessage="1" showErrorMessage="1">
          <x14:formula1>
            <xm:f>Paramètres!$J$4:$J$7</xm:f>
          </x14:formula1>
          <xm:sqref>AI3:AI59</xm:sqref>
        </x14:dataValidation>
        <x14:dataValidation type="list" allowBlank="1" showInputMessage="1" showErrorMessage="1">
          <x14:formula1>
            <xm:f>Paramètres!$K$4:$K$8</xm:f>
          </x14:formula1>
          <xm:sqref>AJ4:AJ59</xm:sqref>
        </x14:dataValidation>
        <x14:dataValidation type="list" allowBlank="1" showInputMessage="1" showErrorMessage="1">
          <x14:formula1>
            <xm:f>Paramètres!$L$4:$L$11</xm:f>
          </x14:formula1>
          <xm:sqref>A3:A59</xm:sqref>
        </x14:dataValidation>
        <x14:dataValidation type="list" allowBlank="1" showInputMessage="1" showErrorMessage="1">
          <x14:formula1>
            <xm:f>Paramètres!$N$4:$N$13</xm:f>
          </x14:formula1>
          <xm:sqref>BG3:BG59</xm:sqref>
        </x14:dataValidation>
        <x14:dataValidation type="list" allowBlank="1" showInputMessage="1" showErrorMessage="1">
          <x14:formula1>
            <xm:f>Paramètres!$O$4:$O$16</xm:f>
          </x14:formula1>
          <xm:sqref>BH3:BH59</xm:sqref>
        </x14:dataValidation>
        <x14:dataValidation type="list" allowBlank="1" showInputMessage="1" showErrorMessage="1">
          <x14:formula1>
            <xm:f>Paramètres!$O$6:$O$16</xm:f>
          </x14:formula1>
          <xm:sqref>AK3:AK59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N183"/>
  <sheetViews>
    <sheetView zoomScale="85" zoomScaleNormal="85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139</v>
      </c>
      <c r="B3" s="170">
        <v>860072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SUM(PORTEFEUILLE_FREDERIQUE[[#This Row],[PCR COMPTABLE €]:[MONTANT
RESPONSABLE RELATION CLIENT €]])-PORTEFEUILLE_FREDERIQUE[[#This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400</v>
      </c>
      <c r="AT3" s="188" t="str">
        <f>IF(PORTEFEUILLE_FREDERIQUE[[#This Row],[BONI AAC]]&lt;&gt;0,1,"")</f>
        <v/>
      </c>
      <c r="AU3" s="188">
        <f>IF(PORTEFEUILLE_FREDERIQUE[[#This Row],[MALI AAC]]&lt;&gt;0,1,"")</f>
        <v>1</v>
      </c>
      <c r="AV3" s="225">
        <f>IF(AP3&lt;&gt;"",IF((AP3*Paramètres!$H$4)-PORTEFEUILLE_FREDERIQUE[[#This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€]]-(DELPHINE!AP3*Paramètres!$H$4),0),0)</f>
        <v>0</v>
      </c>
      <c r="AW3" s="225">
        <f>IF(AP3&lt;&gt;"",IF(((AP3*Paramètres!$H$4)-PORTEFEUILLE_FREDERIQUE[[#This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" s="190" t="str">
        <f>IF(PORTEFEUILLE_FREDERIQUE[[#This Row],[BONI COMPTABLE]]&lt;&gt;0,1,"")</f>
        <v/>
      </c>
      <c r="AY3" s="190" t="str">
        <f>IF(PORTEFEUILLE_FREDERIQUE[[#This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139</v>
      </c>
      <c r="B4" s="170">
        <v>860073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SUM(PORTEFEUILLE_FREDERIQUE[[#This Row],[PCR COMPTABLE €]:[MONTANT
RESPONSABLE RELATION CLIENT €]])-PORTEFEUILLE_FREDERIQUE[[#This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1000</v>
      </c>
      <c r="AT4" s="188" t="str">
        <f>IF(PORTEFEUILLE_FREDERIQUE[[#This Row],[BONI AAC]]&lt;&gt;0,1,"")</f>
        <v/>
      </c>
      <c r="AU4" s="188">
        <f>IF(PORTEFEUILLE_FREDERIQUE[[#This Row],[MALI AAC]]&lt;&gt;0,1,"")</f>
        <v>1</v>
      </c>
      <c r="AV4" s="225">
        <f>IF(AP4&lt;&gt;"",IF((AP4*Paramètres!$H$4)-PORTEFEUILLE_FREDERIQUE[[#This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€]]-(DELPHINE!AP4*Paramètres!$H$4),0),0)</f>
        <v>0</v>
      </c>
      <c r="AW4" s="225">
        <f>IF(AP4&lt;&gt;"",IF(((AP4*Paramètres!$H$4)-PORTEFEUILLE_FREDERIQUE[[#This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3000</v>
      </c>
      <c r="AX4" s="190" t="str">
        <f>IF(PORTEFEUILLE_FREDERIQUE[[#This Row],[BONI COMPTABLE]]&lt;&gt;0,1,"")</f>
        <v/>
      </c>
      <c r="AY4" s="190">
        <f>IF(PORTEFEUILLE_FREDERIQUE[[#This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139</v>
      </c>
      <c r="B5" s="170">
        <v>860074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SUM(PORTEFEUILLE_FREDERIQUE[[#This Row],[PCR COMPTABLE €]:[MONTANT
RESPONSABLE RELATION CLIENT €]])-PORTEFEUILLE_FREDERIQUE[[#This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2200</v>
      </c>
      <c r="AT5" s="188" t="str">
        <f>IF(PORTEFEUILLE_FREDERIQUE[[#This Row],[BONI AAC]]&lt;&gt;0,1,"")</f>
        <v/>
      </c>
      <c r="AU5" s="188">
        <f>IF(PORTEFEUILLE_FREDERIQUE[[#This Row],[MALI AAC]]&lt;&gt;0,1,"")</f>
        <v>1</v>
      </c>
      <c r="AV5" s="225">
        <f>IF(AP5&lt;&gt;"",IF((AP5*Paramètres!$H$4)-PORTEFEUILLE_FREDERIQUE[[#This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€]]-(DELPHINE!AP5*Paramètres!$H$4),0),0)</f>
        <v>0</v>
      </c>
      <c r="AW5" s="225">
        <f>IF(AP5&lt;&gt;"",IF(((AP5*Paramètres!$H$4)-PORTEFEUILLE_FREDERIQUE[[#This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4150</v>
      </c>
      <c r="AX5" s="190" t="str">
        <f>IF(PORTEFEUILLE_FREDERIQUE[[#This Row],[BONI COMPTABLE]]&lt;&gt;0,1,"")</f>
        <v/>
      </c>
      <c r="AY5" s="190">
        <f>IF(PORTEFEUILLE_FREDERIQUE[[#This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SUM(PORTEFEUILLE_FREDERIQUE[[#This Row],[PCR COMPTABLE €]:[MONTANT
RESPONSABLE RELATION CLIENT €]])-PORTEFEUILLE_FREDERIQUE[[#This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6" s="188" t="str">
        <f>IF(PORTEFEUILLE_FREDERIQUE[[#This Row],[BONI AAC]]&lt;&gt;0,1,"")</f>
        <v/>
      </c>
      <c r="AU6" s="188" t="str">
        <f>IF(PORTEFEUILLE_FREDERIQUE[[#This Row],[MALI AAC]]&lt;&gt;0,1,"")</f>
        <v/>
      </c>
      <c r="AV6" s="225">
        <f>IF(AP6&lt;&gt;"",IF((AP6*Paramètres!$H$4)-PORTEFEUILLE_FREDERIQUE[[#This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6" s="225">
        <f>IF(AP6&lt;&gt;"",IF(((AP6*Paramètres!$H$4)-PORTEFEUILLE_FREDERIQUE[[#This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6" s="190" t="str">
        <f>IF(PORTEFEUILLE_FREDERIQUE[[#This Row],[BONI COMPTABLE]]&lt;&gt;0,1,"")</f>
        <v/>
      </c>
      <c r="AY6" s="190" t="str">
        <f>IF(PORTEFEUILLE_FREDERIQUE[[#This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SUM(PORTEFEUILLE_FREDERIQUE[[#This Row],[PCR COMPTABLE €]:[MONTANT
RESPONSABLE RELATION CLIENT €]])-PORTEFEUILLE_FREDERIQUE[[#This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7" s="188" t="str">
        <f>IF(PORTEFEUILLE_FREDERIQUE[[#This Row],[BONI AAC]]&lt;&gt;0,1,"")</f>
        <v/>
      </c>
      <c r="AU7" s="188" t="str">
        <f>IF(PORTEFEUILLE_FREDERIQUE[[#This Row],[MALI AAC]]&lt;&gt;0,1,"")</f>
        <v/>
      </c>
      <c r="AV7" s="225">
        <f>IF(AP7&lt;&gt;"",IF((AP7*Paramètres!$H$4)-PORTEFEUILLE_FREDERIQUE[[#This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€]]-(DELPHINE!AP6*Paramètres!$H$4),0),0)</f>
        <v>0</v>
      </c>
      <c r="AW7" s="225">
        <f>IF(AP7&lt;&gt;"",IF(((AP7*Paramètres!$H$4)-PORTEFEUILLE_FREDERIQUE[[#This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7" s="190" t="str">
        <f>IF(PORTEFEUILLE_FREDERIQUE[[#This Row],[BONI COMPTABLE]]&lt;&gt;0,1,"")</f>
        <v/>
      </c>
      <c r="AY7" s="190" t="str">
        <f>IF(PORTEFEUILLE_FREDERIQUE[[#This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SUM(PORTEFEUILLE_FREDERIQUE[[#This Row],[PCR COMPTABLE €]:[MONTANT
RESPONSABLE RELATION CLIENT €]])-PORTEFEUILLE_FREDERIQUE[[#This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8" s="188" t="str">
        <f>IF(PORTEFEUILLE_FREDERIQUE[[#This Row],[BONI AAC]]&lt;&gt;0,1,"")</f>
        <v/>
      </c>
      <c r="AU8" s="188" t="str">
        <f>IF(PORTEFEUILLE_FREDERIQUE[[#This Row],[MALI AAC]]&lt;&gt;0,1,"")</f>
        <v/>
      </c>
      <c r="AV8" s="225">
        <f>IF(AP8&lt;&gt;"",IF((AP8*Paramètres!$H$4)-PORTEFEUILLE_FREDERIQUE[[#This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€]]-(DELPHINE!AP7*Paramètres!$H$4),0),0)</f>
        <v>0</v>
      </c>
      <c r="AW8" s="225">
        <f>IF(AP8&lt;&gt;"",IF(((AP8*Paramètres!$H$4)-PORTEFEUILLE_FREDERIQUE[[#This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8" s="190" t="str">
        <f>IF(PORTEFEUILLE_FREDERIQUE[[#This Row],[BONI COMPTABLE]]&lt;&gt;0,1,"")</f>
        <v/>
      </c>
      <c r="AY8" s="190" t="str">
        <f>IF(PORTEFEUILLE_FREDERIQUE[[#This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SUM(PORTEFEUILLE_FREDERIQUE[[#This Row],[PCR COMPTABLE €]:[MONTANT
RESPONSABLE RELATION CLIENT €]])-PORTEFEUILLE_FREDERIQUE[[#This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9" s="188" t="str">
        <f>IF(PORTEFEUILLE_FREDERIQUE[[#This Row],[BONI AAC]]&lt;&gt;0,1,"")</f>
        <v/>
      </c>
      <c r="AU9" s="188" t="str">
        <f>IF(PORTEFEUILLE_FREDERIQUE[[#This Row],[MALI AAC]]&lt;&gt;0,1,"")</f>
        <v/>
      </c>
      <c r="AV9" s="225">
        <f>IF(AP9&lt;&gt;"",IF((AP9*Paramètres!$H$4)-PORTEFEUILLE_FREDERIQUE[[#This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€]]-(DELPHINE!AP8*Paramètres!$H$4),0),0)</f>
        <v>0</v>
      </c>
      <c r="AW9" s="225">
        <f>IF(AP9&lt;&gt;"",IF(((AP9*Paramètres!$H$4)-PORTEFEUILLE_FREDERIQUE[[#This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9" s="190" t="str">
        <f>IF(PORTEFEUILLE_FREDERIQUE[[#This Row],[BONI COMPTABLE]]&lt;&gt;0,1,"")</f>
        <v/>
      </c>
      <c r="AY9" s="190" t="str">
        <f>IF(PORTEFEUILLE_FREDERIQUE[[#This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SUM(PORTEFEUILLE_FREDERIQUE[[#This Row],[PCR COMPTABLE €]:[MONTANT
RESPONSABLE RELATION CLIENT €]])-PORTEFEUILLE_FREDERIQUE[[#This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0" s="188" t="str">
        <f>IF(PORTEFEUILLE_FREDERIQUE[[#This Row],[BONI AAC]]&lt;&gt;0,1,"")</f>
        <v/>
      </c>
      <c r="AU10" s="188" t="str">
        <f>IF(PORTEFEUILLE_FREDERIQUE[[#This Row],[MALI AAC]]&lt;&gt;0,1,"")</f>
        <v/>
      </c>
      <c r="AV10" s="225">
        <f>IF(AP10&lt;&gt;"",IF((AP10*Paramètres!$H$4)-PORTEFEUILLE_FREDERIQUE[[#This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€]]-(DELPHINE!AP9*Paramètres!$H$4),0),0)</f>
        <v>0</v>
      </c>
      <c r="AW10" s="225">
        <f>IF(AP10&lt;&gt;"",IF(((AP10*Paramètres!$H$4)-PORTEFEUILLE_FREDERIQUE[[#This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0" s="190" t="str">
        <f>IF(PORTEFEUILLE_FREDERIQUE[[#This Row],[BONI COMPTABLE]]&lt;&gt;0,1,"")</f>
        <v/>
      </c>
      <c r="AY10" s="190" t="str">
        <f>IF(PORTEFEUILLE_FREDERIQUE[[#This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SUM(PORTEFEUILLE_FREDERIQUE[[#This Row],[PCR COMPTABLE €]:[MONTANT
RESPONSABLE RELATION CLIENT €]])-PORTEFEUILLE_FREDERIQUE[[#This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1" s="188" t="str">
        <f>IF(PORTEFEUILLE_FREDERIQUE[[#This Row],[BONI AAC]]&lt;&gt;0,1,"")</f>
        <v/>
      </c>
      <c r="AU11" s="188" t="str">
        <f>IF(PORTEFEUILLE_FREDERIQUE[[#This Row],[MALI AAC]]&lt;&gt;0,1,"")</f>
        <v/>
      </c>
      <c r="AV11" s="225">
        <f>IF(AP11&lt;&gt;"",IF((AP11*Paramètres!$H$4)-PORTEFEUILLE_FREDERIQUE[[#This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€]]-(DELPHINE!AP10*Paramètres!$H$4),0),0)</f>
        <v>0</v>
      </c>
      <c r="AW11" s="225">
        <f>IF(AP11&lt;&gt;"",IF(((AP11*Paramètres!$H$4)-PORTEFEUILLE_FREDERIQUE[[#This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1" s="190" t="str">
        <f>IF(PORTEFEUILLE_FREDERIQUE[[#This Row],[BONI COMPTABLE]]&lt;&gt;0,1,"")</f>
        <v/>
      </c>
      <c r="AY11" s="190" t="str">
        <f>IF(PORTEFEUILLE_FREDERIQUE[[#This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SUM(PORTEFEUILLE_FREDERIQUE[[#This Row],[PCR COMPTABLE €]:[MONTANT
RESPONSABLE RELATION CLIENT €]])-PORTEFEUILLE_FREDERIQUE[[#This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2" s="188" t="str">
        <f>IF(PORTEFEUILLE_FREDERIQUE[[#This Row],[BONI AAC]]&lt;&gt;0,1,"")</f>
        <v/>
      </c>
      <c r="AU12" s="188" t="str">
        <f>IF(PORTEFEUILLE_FREDERIQUE[[#This Row],[MALI AAC]]&lt;&gt;0,1,"")</f>
        <v/>
      </c>
      <c r="AV12" s="225">
        <f>IF(AP12&lt;&gt;"",IF((AP12*Paramètres!$H$4)-PORTEFEUILLE_FREDERIQUE[[#This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€]]-(DELPHINE!AP11*Paramètres!$H$4),0),0)</f>
        <v>0</v>
      </c>
      <c r="AW12" s="225">
        <f>IF(AP12&lt;&gt;"",IF(((AP12*Paramètres!$H$4)-PORTEFEUILLE_FREDERIQUE[[#This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2" s="190" t="str">
        <f>IF(PORTEFEUILLE_FREDERIQUE[[#This Row],[BONI COMPTABLE]]&lt;&gt;0,1,"")</f>
        <v/>
      </c>
      <c r="AY12" s="190" t="str">
        <f>IF(PORTEFEUILLE_FREDERIQUE[[#This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SUM(PORTEFEUILLE_FREDERIQUE[[#This Row],[PCR COMPTABLE €]:[MONTANT
RESPONSABLE RELATION CLIENT €]])-PORTEFEUILLE_FREDERIQUE[[#This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3" s="188" t="str">
        <f>IF(PORTEFEUILLE_FREDERIQUE[[#This Row],[BONI AAC]]&lt;&gt;0,1,"")</f>
        <v/>
      </c>
      <c r="AU13" s="188" t="str">
        <f>IF(PORTEFEUILLE_FREDERIQUE[[#This Row],[MALI AAC]]&lt;&gt;0,1,"")</f>
        <v/>
      </c>
      <c r="AV13" s="225">
        <f>IF(AP13&lt;&gt;"",IF((AP13*Paramètres!$H$4)-PORTEFEUILLE_FREDERIQUE[[#This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€]]-(DELPHINE!AP12*Paramètres!$H$4),0),0)</f>
        <v>0</v>
      </c>
      <c r="AW13" s="225">
        <f>IF(AP13&lt;&gt;"",IF(((AP13*Paramètres!$H$4)-PORTEFEUILLE_FREDERIQUE[[#This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3" s="190" t="str">
        <f>IF(PORTEFEUILLE_FREDERIQUE[[#This Row],[BONI COMPTABLE]]&lt;&gt;0,1,"")</f>
        <v/>
      </c>
      <c r="AY13" s="190" t="str">
        <f>IF(PORTEFEUILLE_FREDERIQUE[[#This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SUM(PORTEFEUILLE_FREDERIQUE[[#This Row],[PCR COMPTABLE €]:[MONTANT
RESPONSABLE RELATION CLIENT €]])-PORTEFEUILLE_FREDERIQUE[[#This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4" s="188" t="str">
        <f>IF(PORTEFEUILLE_FREDERIQUE[[#This Row],[BONI AAC]]&lt;&gt;0,1,"")</f>
        <v/>
      </c>
      <c r="AU14" s="188" t="str">
        <f>IF(PORTEFEUILLE_FREDERIQUE[[#This Row],[MALI AAC]]&lt;&gt;0,1,"")</f>
        <v/>
      </c>
      <c r="AV14" s="225">
        <f>IF(AP14&lt;&gt;"",IF((AP14*Paramètres!$H$4)-PORTEFEUILLE_FREDERIQUE[[#This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€]]-(DELPHINE!AP13*Paramètres!$H$4),0),0)</f>
        <v>0</v>
      </c>
      <c r="AW14" s="225">
        <f>IF(AP14&lt;&gt;"",IF(((AP14*Paramètres!$H$4)-PORTEFEUILLE_FREDERIQUE[[#This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4" s="190" t="str">
        <f>IF(PORTEFEUILLE_FREDERIQUE[[#This Row],[BONI COMPTABLE]]&lt;&gt;0,1,"")</f>
        <v/>
      </c>
      <c r="AY14" s="190" t="str">
        <f>IF(PORTEFEUILLE_FREDERIQUE[[#This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SUM(PORTEFEUILLE_FREDERIQUE[[#This Row],[PCR COMPTABLE €]:[MONTANT
RESPONSABLE RELATION CLIENT €]])-PORTEFEUILLE_FREDERIQUE[[#This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5" s="188" t="str">
        <f>IF(PORTEFEUILLE_FREDERIQUE[[#This Row],[BONI AAC]]&lt;&gt;0,1,"")</f>
        <v/>
      </c>
      <c r="AU15" s="188" t="str">
        <f>IF(PORTEFEUILLE_FREDERIQUE[[#This Row],[MALI AAC]]&lt;&gt;0,1,"")</f>
        <v/>
      </c>
      <c r="AV15" s="225">
        <f>IF(AP15&lt;&gt;"",IF((AP15*Paramètres!$H$4)-PORTEFEUILLE_FREDERIQUE[[#This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€]]-(DELPHINE!AP14*Paramètres!$H$4),0),0)</f>
        <v>0</v>
      </c>
      <c r="AW15" s="225">
        <f>IF(AP15&lt;&gt;"",IF(((AP15*Paramètres!$H$4)-PORTEFEUILLE_FREDERIQUE[[#This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5" s="190" t="str">
        <f>IF(PORTEFEUILLE_FREDERIQUE[[#This Row],[BONI COMPTABLE]]&lt;&gt;0,1,"")</f>
        <v/>
      </c>
      <c r="AY15" s="190" t="str">
        <f>IF(PORTEFEUILLE_FREDERIQUE[[#This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SUM(PORTEFEUILLE_FREDERIQUE[[#This Row],[PCR COMPTABLE €]:[MONTANT
RESPONSABLE RELATION CLIENT €]])-PORTEFEUILLE_FREDERIQUE[[#This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6" s="188" t="str">
        <f>IF(PORTEFEUILLE_FREDERIQUE[[#This Row],[BONI AAC]]&lt;&gt;0,1,"")</f>
        <v/>
      </c>
      <c r="AU16" s="188" t="str">
        <f>IF(PORTEFEUILLE_FREDERIQUE[[#This Row],[MALI AAC]]&lt;&gt;0,1,"")</f>
        <v/>
      </c>
      <c r="AV16" s="225">
        <f>IF(AP16&lt;&gt;"",IF((AP16*Paramètres!$H$4)-PORTEFEUILLE_FREDERIQUE[[#This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€]]-(DELPHINE!AP15*Paramètres!$H$4),0),0)</f>
        <v>0</v>
      </c>
      <c r="AW16" s="225">
        <f>IF(AP16&lt;&gt;"",IF(((AP16*Paramètres!$H$4)-PORTEFEUILLE_FREDERIQUE[[#This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6" s="190" t="str">
        <f>IF(PORTEFEUILLE_FREDERIQUE[[#This Row],[BONI COMPTABLE]]&lt;&gt;0,1,"")</f>
        <v/>
      </c>
      <c r="AY16" s="190" t="str">
        <f>IF(PORTEFEUILLE_FREDERIQUE[[#This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SUM(PORTEFEUILLE_FREDERIQUE[[#This Row],[PCR COMPTABLE €]:[MONTANT
RESPONSABLE RELATION CLIENT €]])-PORTEFEUILLE_FREDERIQUE[[#This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7" s="188" t="str">
        <f>IF(PORTEFEUILLE_FREDERIQUE[[#This Row],[BONI AAC]]&lt;&gt;0,1,"")</f>
        <v/>
      </c>
      <c r="AU17" s="188" t="str">
        <f>IF(PORTEFEUILLE_FREDERIQUE[[#This Row],[MALI AAC]]&lt;&gt;0,1,"")</f>
        <v/>
      </c>
      <c r="AV17" s="225">
        <f>IF(AP17&lt;&gt;"",IF((AP17*Paramètres!$H$4)-PORTEFEUILLE_FREDERIQUE[[#This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€]]-(DELPHINE!AP16*Paramètres!$H$4),0),0)</f>
        <v>0</v>
      </c>
      <c r="AW17" s="225">
        <f>IF(AP17&lt;&gt;"",IF(((AP17*Paramètres!$H$4)-PORTEFEUILLE_FREDERIQUE[[#This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7" s="190" t="str">
        <f>IF(PORTEFEUILLE_FREDERIQUE[[#This Row],[BONI COMPTABLE]]&lt;&gt;0,1,"")</f>
        <v/>
      </c>
      <c r="AY17" s="190" t="str">
        <f>IF(PORTEFEUILLE_FREDERIQUE[[#This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SUM(PORTEFEUILLE_FREDERIQUE[[#This Row],[PCR COMPTABLE €]:[MONTANT
RESPONSABLE RELATION CLIENT €]])-PORTEFEUILLE_FREDERIQUE[[#This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8" s="188" t="str">
        <f>IF(PORTEFEUILLE_FREDERIQUE[[#This Row],[BONI AAC]]&lt;&gt;0,1,"")</f>
        <v/>
      </c>
      <c r="AU18" s="188" t="str">
        <f>IF(PORTEFEUILLE_FREDERIQUE[[#This Row],[MALI AAC]]&lt;&gt;0,1,"")</f>
        <v/>
      </c>
      <c r="AV18" s="225">
        <f>IF(AP18&lt;&gt;"",IF((AP18*Paramètres!$H$4)-PORTEFEUILLE_FREDERIQUE[[#This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€]]-(DELPHINE!AP17*Paramètres!$H$4),0),0)</f>
        <v>0</v>
      </c>
      <c r="AW18" s="225">
        <f>IF(AP18&lt;&gt;"",IF(((AP18*Paramètres!$H$4)-PORTEFEUILLE_FREDERIQUE[[#This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8" s="190" t="str">
        <f>IF(PORTEFEUILLE_FREDERIQUE[[#This Row],[BONI COMPTABLE]]&lt;&gt;0,1,"")</f>
        <v/>
      </c>
      <c r="AY18" s="190" t="str">
        <f>IF(PORTEFEUILLE_FREDERIQUE[[#This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SUM(PORTEFEUILLE_FREDERIQUE[[#This Row],[PCR COMPTABLE €]:[MONTANT
RESPONSABLE RELATION CLIENT €]])-PORTEFEUILLE_FREDERIQUE[[#This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9" s="188" t="str">
        <f>IF(PORTEFEUILLE_FREDERIQUE[[#This Row],[BONI AAC]]&lt;&gt;0,1,"")</f>
        <v/>
      </c>
      <c r="AU19" s="188" t="str">
        <f>IF(PORTEFEUILLE_FREDERIQUE[[#This Row],[MALI AAC]]&lt;&gt;0,1,"")</f>
        <v/>
      </c>
      <c r="AV19" s="225">
        <f>IF(AP19&lt;&gt;"",IF((AP19*Paramètres!$H$4)-PORTEFEUILLE_FREDERIQUE[[#This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€]]-(DELPHINE!AP18*Paramètres!$H$4),0),0)</f>
        <v>0</v>
      </c>
      <c r="AW19" s="225">
        <f>IF(AP19&lt;&gt;"",IF(((AP19*Paramètres!$H$4)-PORTEFEUILLE_FREDERIQUE[[#This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9" s="190" t="str">
        <f>IF(PORTEFEUILLE_FREDERIQUE[[#This Row],[BONI COMPTABLE]]&lt;&gt;0,1,"")</f>
        <v/>
      </c>
      <c r="AY19" s="190" t="str">
        <f>IF(PORTEFEUILLE_FREDERIQUE[[#This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SUM(PORTEFEUILLE_FREDERIQUE[[#This Row],[PCR COMPTABLE €]:[MONTANT
RESPONSABLE RELATION CLIENT €]])-PORTEFEUILLE_FREDERIQUE[[#This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0" s="188" t="str">
        <f>IF(PORTEFEUILLE_FREDERIQUE[[#This Row],[BONI AAC]]&lt;&gt;0,1,"")</f>
        <v/>
      </c>
      <c r="AU20" s="188" t="str">
        <f>IF(PORTEFEUILLE_FREDERIQUE[[#This Row],[MALI AAC]]&lt;&gt;0,1,"")</f>
        <v/>
      </c>
      <c r="AV20" s="225">
        <f>IF(AP20&lt;&gt;"",IF((AP20*Paramètres!$H$4)-PORTEFEUILLE_FREDERIQUE[[#This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€]]-(DELPHINE!AP19*Paramètres!$H$4),0),0)</f>
        <v>0</v>
      </c>
      <c r="AW20" s="225">
        <f>IF(AP20&lt;&gt;"",IF(((AP20*Paramètres!$H$4)-PORTEFEUILLE_FREDERIQUE[[#This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0" s="190" t="str">
        <f>IF(PORTEFEUILLE_FREDERIQUE[[#This Row],[BONI COMPTABLE]]&lt;&gt;0,1,"")</f>
        <v/>
      </c>
      <c r="AY20" s="190" t="str">
        <f>IF(PORTEFEUILLE_FREDERIQUE[[#This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SUM(PORTEFEUILLE_FREDERIQUE[[#This Row],[PCR COMPTABLE €]:[MONTANT
RESPONSABLE RELATION CLIENT €]])-PORTEFEUILLE_FREDERIQUE[[#This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1" s="188" t="str">
        <f>IF(PORTEFEUILLE_FREDERIQUE[[#This Row],[BONI AAC]]&lt;&gt;0,1,"")</f>
        <v/>
      </c>
      <c r="AU21" s="188" t="str">
        <f>IF(PORTEFEUILLE_FREDERIQUE[[#This Row],[MALI AAC]]&lt;&gt;0,1,"")</f>
        <v/>
      </c>
      <c r="AV21" s="225">
        <f>IF(AP21&lt;&gt;"",IF((AP21*Paramètres!$H$4)-PORTEFEUILLE_FREDERIQUE[[#This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€]]-(DELPHINE!AP20*Paramètres!$H$4),0),0)</f>
        <v>0</v>
      </c>
      <c r="AW21" s="225">
        <f>IF(AP21&lt;&gt;"",IF(((AP21*Paramètres!$H$4)-PORTEFEUILLE_FREDERIQUE[[#This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1" s="190" t="str">
        <f>IF(PORTEFEUILLE_FREDERIQUE[[#This Row],[BONI COMPTABLE]]&lt;&gt;0,1,"")</f>
        <v/>
      </c>
      <c r="AY21" s="190" t="str">
        <f>IF(PORTEFEUILLE_FREDERIQUE[[#This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SUM(PORTEFEUILLE_FREDERIQUE[[#This Row],[PCR COMPTABLE €]:[MONTANT
RESPONSABLE RELATION CLIENT €]])-PORTEFEUILLE_FREDERIQUE[[#This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2" s="188" t="str">
        <f>IF(PORTEFEUILLE_FREDERIQUE[[#This Row],[BONI AAC]]&lt;&gt;0,1,"")</f>
        <v/>
      </c>
      <c r="AU22" s="188" t="str">
        <f>IF(PORTEFEUILLE_FREDERIQUE[[#This Row],[MALI AAC]]&lt;&gt;0,1,"")</f>
        <v/>
      </c>
      <c r="AV22" s="225">
        <f>IF(AP22&lt;&gt;"",IF((AP22*Paramètres!$H$4)-PORTEFEUILLE_FREDERIQUE[[#This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€]]-(DELPHINE!AP21*Paramètres!$H$4),0),0)</f>
        <v>0</v>
      </c>
      <c r="AW22" s="225">
        <f>IF(AP22&lt;&gt;"",IF(((AP22*Paramètres!$H$4)-PORTEFEUILLE_FREDERIQUE[[#This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2" s="190" t="str">
        <f>IF(PORTEFEUILLE_FREDERIQUE[[#This Row],[BONI COMPTABLE]]&lt;&gt;0,1,"")</f>
        <v/>
      </c>
      <c r="AY22" s="190" t="str">
        <f>IF(PORTEFEUILLE_FREDERIQUE[[#This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SUM(PORTEFEUILLE_FREDERIQUE[[#This Row],[PCR COMPTABLE €]:[MONTANT
RESPONSABLE RELATION CLIENT €]])-PORTEFEUILLE_FREDERIQUE[[#This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3" s="188" t="str">
        <f>IF(PORTEFEUILLE_FREDERIQUE[[#This Row],[BONI AAC]]&lt;&gt;0,1,"")</f>
        <v/>
      </c>
      <c r="AU23" s="188" t="str">
        <f>IF(PORTEFEUILLE_FREDERIQUE[[#This Row],[MALI AAC]]&lt;&gt;0,1,"")</f>
        <v/>
      </c>
      <c r="AV23" s="225">
        <f>IF(AP23&lt;&gt;"",IF((AP23*Paramètres!$H$4)-PORTEFEUILLE_FREDERIQUE[[#This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€]]-(DELPHINE!AP22*Paramètres!$H$4),0),0)</f>
        <v>0</v>
      </c>
      <c r="AW23" s="225">
        <f>IF(AP23&lt;&gt;"",IF(((AP23*Paramètres!$H$4)-PORTEFEUILLE_FREDERIQUE[[#This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3" s="190" t="str">
        <f>IF(PORTEFEUILLE_FREDERIQUE[[#This Row],[BONI COMPTABLE]]&lt;&gt;0,1,"")</f>
        <v/>
      </c>
      <c r="AY23" s="190" t="str">
        <f>IF(PORTEFEUILLE_FREDERIQUE[[#This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SUM(PORTEFEUILLE_FREDERIQUE[[#This Row],[PCR COMPTABLE €]:[MONTANT
RESPONSABLE RELATION CLIENT €]])-PORTEFEUILLE_FREDERIQUE[[#This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4" s="188" t="str">
        <f>IF(PORTEFEUILLE_FREDERIQUE[[#This Row],[BONI AAC]]&lt;&gt;0,1,"")</f>
        <v/>
      </c>
      <c r="AU24" s="188" t="str">
        <f>IF(PORTEFEUILLE_FREDERIQUE[[#This Row],[MALI AAC]]&lt;&gt;0,1,"")</f>
        <v/>
      </c>
      <c r="AV24" s="225">
        <f>IF(AP24&lt;&gt;"",IF((AP24*Paramètres!$H$4)-PORTEFEUILLE_FREDERIQUE[[#This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€]]-(DELPHINE!AP23*Paramètres!$H$4),0),0)</f>
        <v>0</v>
      </c>
      <c r="AW24" s="225">
        <f>IF(AP24&lt;&gt;"",IF(((AP24*Paramètres!$H$4)-PORTEFEUILLE_FREDERIQUE[[#This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4" s="190" t="str">
        <f>IF(PORTEFEUILLE_FREDERIQUE[[#This Row],[BONI COMPTABLE]]&lt;&gt;0,1,"")</f>
        <v/>
      </c>
      <c r="AY24" s="190" t="str">
        <f>IF(PORTEFEUILLE_FREDERIQUE[[#This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SUM(PORTEFEUILLE_FREDERIQUE[[#This Row],[PCR COMPTABLE €]:[MONTANT
RESPONSABLE RELATION CLIENT €]])-PORTEFEUILLE_FREDERIQUE[[#This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5" s="188" t="str">
        <f>IF(PORTEFEUILLE_FREDERIQUE[[#This Row],[BONI AAC]]&lt;&gt;0,1,"")</f>
        <v/>
      </c>
      <c r="AU25" s="188" t="str">
        <f>IF(PORTEFEUILLE_FREDERIQUE[[#This Row],[MALI AAC]]&lt;&gt;0,1,"")</f>
        <v/>
      </c>
      <c r="AV25" s="225">
        <f>IF(AP25&lt;&gt;"",IF((AP25*Paramètres!$H$4)-PORTEFEUILLE_FREDERIQUE[[#This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€]]-(DELPHINE!AP24*Paramètres!$H$4),0),0)</f>
        <v>0</v>
      </c>
      <c r="AW25" s="225">
        <f>IF(AP25&lt;&gt;"",IF(((AP25*Paramètres!$H$4)-PORTEFEUILLE_FREDERIQUE[[#This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5" s="190" t="str">
        <f>IF(PORTEFEUILLE_FREDERIQUE[[#This Row],[BONI COMPTABLE]]&lt;&gt;0,1,"")</f>
        <v/>
      </c>
      <c r="AY25" s="190" t="str">
        <f>IF(PORTEFEUILLE_FREDERIQUE[[#This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SUM(PORTEFEUILLE_FREDERIQUE[[#This Row],[PCR COMPTABLE €]:[MONTANT
RESPONSABLE RELATION CLIENT €]])-PORTEFEUILLE_FREDERIQUE[[#This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6" s="188" t="str">
        <f>IF(PORTEFEUILLE_FREDERIQUE[[#This Row],[BONI AAC]]&lt;&gt;0,1,"")</f>
        <v/>
      </c>
      <c r="AU26" s="188" t="str">
        <f>IF(PORTEFEUILLE_FREDERIQUE[[#This Row],[MALI AAC]]&lt;&gt;0,1,"")</f>
        <v/>
      </c>
      <c r="AV26" s="225">
        <f>IF(AP26&lt;&gt;"",IF((AP26*Paramètres!$H$4)-PORTEFEUILLE_FREDERIQUE[[#This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€]]-(DELPHINE!AP25*Paramètres!$H$4),0),0)</f>
        <v>0</v>
      </c>
      <c r="AW26" s="225">
        <f>IF(AP26&lt;&gt;"",IF(((AP26*Paramètres!$H$4)-PORTEFEUILLE_FREDERIQUE[[#This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6" s="190" t="str">
        <f>IF(PORTEFEUILLE_FREDERIQUE[[#This Row],[BONI COMPTABLE]]&lt;&gt;0,1,"")</f>
        <v/>
      </c>
      <c r="AY26" s="190" t="str">
        <f>IF(PORTEFEUILLE_FREDERIQUE[[#This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SUM(PORTEFEUILLE_FREDERIQUE[[#This Row],[PCR COMPTABLE €]:[MONTANT
RESPONSABLE RELATION CLIENT €]])-PORTEFEUILLE_FREDERIQUE[[#This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7" s="188" t="str">
        <f>IF(PORTEFEUILLE_FREDERIQUE[[#This Row],[BONI AAC]]&lt;&gt;0,1,"")</f>
        <v/>
      </c>
      <c r="AU27" s="188" t="str">
        <f>IF(PORTEFEUILLE_FREDERIQUE[[#This Row],[MALI AAC]]&lt;&gt;0,1,"")</f>
        <v/>
      </c>
      <c r="AV27" s="225">
        <f>IF(AP27&lt;&gt;"",IF((AP27*Paramètres!$H$4)-PORTEFEUILLE_FREDERIQUE[[#This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€]]-(DELPHINE!AP26*Paramètres!$H$4),0),0)</f>
        <v>0</v>
      </c>
      <c r="AW27" s="225">
        <f>IF(AP27&lt;&gt;"",IF(((AP27*Paramètres!$H$4)-PORTEFEUILLE_FREDERIQUE[[#This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7" s="190" t="str">
        <f>IF(PORTEFEUILLE_FREDERIQUE[[#This Row],[BONI COMPTABLE]]&lt;&gt;0,1,"")</f>
        <v/>
      </c>
      <c r="AY27" s="190" t="str">
        <f>IF(PORTEFEUILLE_FREDERIQUE[[#This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SUM(PORTEFEUILLE_FREDERIQUE[[#This Row],[PCR COMPTABLE €]:[MONTANT
RESPONSABLE RELATION CLIENT €]])-PORTEFEUILLE_FREDERIQUE[[#This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8" s="188" t="str">
        <f>IF(PORTEFEUILLE_FREDERIQUE[[#This Row],[BONI AAC]]&lt;&gt;0,1,"")</f>
        <v/>
      </c>
      <c r="AU28" s="188" t="str">
        <f>IF(PORTEFEUILLE_FREDERIQUE[[#This Row],[MALI AAC]]&lt;&gt;0,1,"")</f>
        <v/>
      </c>
      <c r="AV28" s="225">
        <f>IF(AP28&lt;&gt;"",IF((AP28*Paramètres!$H$4)-PORTEFEUILLE_FREDERIQUE[[#This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€]]-(DELPHINE!AP27*Paramètres!$H$4),0),0)</f>
        <v>0</v>
      </c>
      <c r="AW28" s="225">
        <f>IF(AP28&lt;&gt;"",IF(((AP28*Paramètres!$H$4)-PORTEFEUILLE_FREDERIQUE[[#This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8" s="190" t="str">
        <f>IF(PORTEFEUILLE_FREDERIQUE[[#This Row],[BONI COMPTABLE]]&lt;&gt;0,1,"")</f>
        <v/>
      </c>
      <c r="AY28" s="190" t="str">
        <f>IF(PORTEFEUILLE_FREDERIQUE[[#This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SUM(PORTEFEUILLE_FREDERIQUE[[#This Row],[PCR COMPTABLE €]:[MONTANT
RESPONSABLE RELATION CLIENT €]])-PORTEFEUILLE_FREDERIQUE[[#This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9" s="188" t="str">
        <f>IF(PORTEFEUILLE_FREDERIQUE[[#This Row],[BONI AAC]]&lt;&gt;0,1,"")</f>
        <v/>
      </c>
      <c r="AU29" s="188" t="str">
        <f>IF(PORTEFEUILLE_FREDERIQUE[[#This Row],[MALI AAC]]&lt;&gt;0,1,"")</f>
        <v/>
      </c>
      <c r="AV29" s="225">
        <f>IF(AP29&lt;&gt;"",IF((AP29*Paramètres!$H$4)-PORTEFEUILLE_FREDERIQUE[[#This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€]]-(DELPHINE!AP28*Paramètres!$H$4),0),0)</f>
        <v>0</v>
      </c>
      <c r="AW29" s="225">
        <f>IF(AP29&lt;&gt;"",IF(((AP29*Paramètres!$H$4)-PORTEFEUILLE_FREDERIQUE[[#This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9" s="190" t="str">
        <f>IF(PORTEFEUILLE_FREDERIQUE[[#This Row],[BONI COMPTABLE]]&lt;&gt;0,1,"")</f>
        <v/>
      </c>
      <c r="AY29" s="190" t="str">
        <f>IF(PORTEFEUILLE_FREDERIQUE[[#This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SUM(PORTEFEUILLE_FREDERIQUE[[#This Row],[PCR COMPTABLE €]:[MONTANT
RESPONSABLE RELATION CLIENT €]])-PORTEFEUILLE_FREDERIQUE[[#This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0" s="188" t="str">
        <f>IF(PORTEFEUILLE_FREDERIQUE[[#This Row],[BONI AAC]]&lt;&gt;0,1,"")</f>
        <v/>
      </c>
      <c r="AU30" s="188" t="str">
        <f>IF(PORTEFEUILLE_FREDERIQUE[[#This Row],[MALI AAC]]&lt;&gt;0,1,"")</f>
        <v/>
      </c>
      <c r="AV30" s="225">
        <f>IF(AP30&lt;&gt;"",IF((AP30*Paramètres!$H$4)-PORTEFEUILLE_FREDERIQUE[[#This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€]]-(DELPHINE!AP29*Paramètres!$H$4),0),0)</f>
        <v>0</v>
      </c>
      <c r="AW30" s="225">
        <f>IF(AP30&lt;&gt;"",IF(((AP30*Paramètres!$H$4)-PORTEFEUILLE_FREDERIQUE[[#This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0" s="190" t="str">
        <f>IF(PORTEFEUILLE_FREDERIQUE[[#This Row],[BONI COMPTABLE]]&lt;&gt;0,1,"")</f>
        <v/>
      </c>
      <c r="AY30" s="190" t="str">
        <f>IF(PORTEFEUILLE_FREDERIQUE[[#This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SUM(PORTEFEUILLE_FREDERIQUE[[#This Row],[PCR COMPTABLE €]:[MONTANT
RESPONSABLE RELATION CLIENT €]])-PORTEFEUILLE_FREDERIQUE[[#This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1" s="188" t="str">
        <f>IF(PORTEFEUILLE_FREDERIQUE[[#This Row],[BONI AAC]]&lt;&gt;0,1,"")</f>
        <v/>
      </c>
      <c r="AU31" s="188" t="str">
        <f>IF(PORTEFEUILLE_FREDERIQUE[[#This Row],[MALI AAC]]&lt;&gt;0,1,"")</f>
        <v/>
      </c>
      <c r="AV31" s="225">
        <f>IF(AP31&lt;&gt;"",IF((AP31*Paramètres!$H$4)-PORTEFEUILLE_FREDERIQUE[[#This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€]]-(DELPHINE!AP30*Paramètres!$H$4),0),0)</f>
        <v>0</v>
      </c>
      <c r="AW31" s="225">
        <f>IF(AP31&lt;&gt;"",IF(((AP31*Paramètres!$H$4)-PORTEFEUILLE_FREDERIQUE[[#This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1" s="190" t="str">
        <f>IF(PORTEFEUILLE_FREDERIQUE[[#This Row],[BONI COMPTABLE]]&lt;&gt;0,1,"")</f>
        <v/>
      </c>
      <c r="AY31" s="190" t="str">
        <f>IF(PORTEFEUILLE_FREDERIQUE[[#This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SUM(PORTEFEUILLE_FREDERIQUE[[#This Row],[PCR COMPTABLE €]:[MONTANT
RESPONSABLE RELATION CLIENT €]])-PORTEFEUILLE_FREDERIQUE[[#This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2" s="188" t="str">
        <f>IF(PORTEFEUILLE_FREDERIQUE[[#This Row],[BONI AAC]]&lt;&gt;0,1,"")</f>
        <v/>
      </c>
      <c r="AU32" s="188" t="str">
        <f>IF(PORTEFEUILLE_FREDERIQUE[[#This Row],[MALI AAC]]&lt;&gt;0,1,"")</f>
        <v/>
      </c>
      <c r="AV32" s="225">
        <f>IF(AP32&lt;&gt;"",IF((AP32*Paramètres!$H$4)-PORTEFEUILLE_FREDERIQUE[[#This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€]]-(DELPHINE!AP31*Paramètres!$H$4),0),0)</f>
        <v>0</v>
      </c>
      <c r="AW32" s="225">
        <f>IF(AP32&lt;&gt;"",IF(((AP32*Paramètres!$H$4)-PORTEFEUILLE_FREDERIQUE[[#This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2" s="190" t="str">
        <f>IF(PORTEFEUILLE_FREDERIQUE[[#This Row],[BONI COMPTABLE]]&lt;&gt;0,1,"")</f>
        <v/>
      </c>
      <c r="AY32" s="190" t="str">
        <f>IF(PORTEFEUILLE_FREDERIQUE[[#This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SUM(PORTEFEUILLE_FREDERIQUE[[#This Row],[PCR COMPTABLE €]:[MONTANT
RESPONSABLE RELATION CLIENT €]])-PORTEFEUILLE_FREDERIQUE[[#This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3" s="188" t="str">
        <f>IF(PORTEFEUILLE_FREDERIQUE[[#This Row],[BONI AAC]]&lt;&gt;0,1,"")</f>
        <v/>
      </c>
      <c r="AU33" s="188" t="str">
        <f>IF(PORTEFEUILLE_FREDERIQUE[[#This Row],[MALI AAC]]&lt;&gt;0,1,"")</f>
        <v/>
      </c>
      <c r="AV33" s="225">
        <f>IF(AP33&lt;&gt;"",IF((AP33*Paramètres!$H$4)-PORTEFEUILLE_FREDERIQUE[[#This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€]]-(DELPHINE!AP32*Paramètres!$H$4),0),0)</f>
        <v>0</v>
      </c>
      <c r="AW33" s="225">
        <f>IF(AP33&lt;&gt;"",IF(((AP33*Paramètres!$H$4)-PORTEFEUILLE_FREDERIQUE[[#This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3" s="190" t="str">
        <f>IF(PORTEFEUILLE_FREDERIQUE[[#This Row],[BONI COMPTABLE]]&lt;&gt;0,1,"")</f>
        <v/>
      </c>
      <c r="AY33" s="190" t="str">
        <f>IF(PORTEFEUILLE_FREDERIQUE[[#This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SUM(PORTEFEUILLE_FREDERIQUE[[#This Row],[PCR COMPTABLE €]:[MONTANT
RESPONSABLE RELATION CLIENT €]])-PORTEFEUILLE_FREDERIQUE[[#This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4" s="188" t="str">
        <f>IF(PORTEFEUILLE_FREDERIQUE[[#This Row],[BONI AAC]]&lt;&gt;0,1,"")</f>
        <v/>
      </c>
      <c r="AU34" s="188" t="str">
        <f>IF(PORTEFEUILLE_FREDERIQUE[[#This Row],[MALI AAC]]&lt;&gt;0,1,"")</f>
        <v/>
      </c>
      <c r="AV34" s="225">
        <f>IF(AP34&lt;&gt;"",IF((AP34*Paramètres!$H$4)-PORTEFEUILLE_FREDERIQUE[[#This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€]]-(DELPHINE!AP33*Paramètres!$H$4),0),0)</f>
        <v>0</v>
      </c>
      <c r="AW34" s="225">
        <f>IF(AP34&lt;&gt;"",IF(((AP34*Paramètres!$H$4)-PORTEFEUILLE_FREDERIQUE[[#This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4" s="190" t="str">
        <f>IF(PORTEFEUILLE_FREDERIQUE[[#This Row],[BONI COMPTABLE]]&lt;&gt;0,1,"")</f>
        <v/>
      </c>
      <c r="AY34" s="190" t="str">
        <f>IF(PORTEFEUILLE_FREDERIQUE[[#This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SUM(PORTEFEUILLE_FREDERIQUE[[#This Row],[PCR COMPTABLE €]:[MONTANT
RESPONSABLE RELATION CLIENT €]])-PORTEFEUILLE_FREDERIQUE[[#This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5" s="188" t="str">
        <f>IF(PORTEFEUILLE_FREDERIQUE[[#This Row],[BONI AAC]]&lt;&gt;0,1,"")</f>
        <v/>
      </c>
      <c r="AU35" s="188" t="str">
        <f>IF(PORTEFEUILLE_FREDERIQUE[[#This Row],[MALI AAC]]&lt;&gt;0,1,"")</f>
        <v/>
      </c>
      <c r="AV35" s="225">
        <f>IF(AP35&lt;&gt;"",IF((AP35*Paramètres!$H$4)-PORTEFEUILLE_FREDERIQUE[[#This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€]]-(DELPHINE!AP34*Paramètres!$H$4),0),0)</f>
        <v>0</v>
      </c>
      <c r="AW35" s="225">
        <f>IF(AP35&lt;&gt;"",IF(((AP35*Paramètres!$H$4)-PORTEFEUILLE_FREDERIQUE[[#This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5" s="190" t="str">
        <f>IF(PORTEFEUILLE_FREDERIQUE[[#This Row],[BONI COMPTABLE]]&lt;&gt;0,1,"")</f>
        <v/>
      </c>
      <c r="AY35" s="190" t="str">
        <f>IF(PORTEFEUILLE_FREDERIQUE[[#This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SUM(PORTEFEUILLE_FREDERIQUE[[#This Row],[PCR COMPTABLE €]:[MONTANT
RESPONSABLE RELATION CLIENT €]])-PORTEFEUILLE_FREDERIQUE[[#This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6" s="188" t="str">
        <f>IF(PORTEFEUILLE_FREDERIQUE[[#This Row],[BONI AAC]]&lt;&gt;0,1,"")</f>
        <v/>
      </c>
      <c r="AU36" s="188" t="str">
        <f>IF(PORTEFEUILLE_FREDERIQUE[[#This Row],[MALI AAC]]&lt;&gt;0,1,"")</f>
        <v/>
      </c>
      <c r="AV36" s="225">
        <f>IF(AP36&lt;&gt;"",IF((AP36*Paramètres!$H$4)-PORTEFEUILLE_FREDERIQUE[[#This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€]]-(DELPHINE!AP35*Paramètres!$H$4),0),0)</f>
        <v>0</v>
      </c>
      <c r="AW36" s="225">
        <f>IF(AP36&lt;&gt;"",IF(((AP36*Paramètres!$H$4)-PORTEFEUILLE_FREDERIQUE[[#This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6" s="190" t="str">
        <f>IF(PORTEFEUILLE_FREDERIQUE[[#This Row],[BONI COMPTABLE]]&lt;&gt;0,1,"")</f>
        <v/>
      </c>
      <c r="AY36" s="190" t="str">
        <f>IF(PORTEFEUILLE_FREDERIQUE[[#This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SUM(PORTEFEUILLE_FREDERIQUE[[#This Row],[PCR COMPTABLE €]:[MONTANT
RESPONSABLE RELATION CLIENT €]])-PORTEFEUILLE_FREDERIQUE[[#This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7" s="188" t="str">
        <f>IF(PORTEFEUILLE_FREDERIQUE[[#This Row],[BONI AAC]]&lt;&gt;0,1,"")</f>
        <v/>
      </c>
      <c r="AU37" s="188" t="str">
        <f>IF(PORTEFEUILLE_FREDERIQUE[[#This Row],[MALI AAC]]&lt;&gt;0,1,"")</f>
        <v/>
      </c>
      <c r="AV37" s="225">
        <f>IF(AP37&lt;&gt;"",IF((AP37*Paramètres!$H$4)-PORTEFEUILLE_FREDERIQUE[[#This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€]]-(DELPHINE!AP36*Paramètres!$H$4),0),0)</f>
        <v>0</v>
      </c>
      <c r="AW37" s="225">
        <f>IF(AP37&lt;&gt;"",IF(((AP37*Paramètres!$H$4)-PORTEFEUILLE_FREDERIQUE[[#This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7" s="190" t="str">
        <f>IF(PORTEFEUILLE_FREDERIQUE[[#This Row],[BONI COMPTABLE]]&lt;&gt;0,1,"")</f>
        <v/>
      </c>
      <c r="AY37" s="190" t="str">
        <f>IF(PORTEFEUILLE_FREDERIQUE[[#This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SUM(PORTEFEUILLE_FREDERIQUE[[#This Row],[PCR COMPTABLE €]:[MONTANT
RESPONSABLE RELATION CLIENT €]])-PORTEFEUILLE_FREDERIQUE[[#This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8" s="188" t="str">
        <f>IF(PORTEFEUILLE_FREDERIQUE[[#This Row],[BONI AAC]]&lt;&gt;0,1,"")</f>
        <v/>
      </c>
      <c r="AU38" s="188" t="str">
        <f>IF(PORTEFEUILLE_FREDERIQUE[[#This Row],[MALI AAC]]&lt;&gt;0,1,"")</f>
        <v/>
      </c>
      <c r="AV38" s="225">
        <f>IF(AP38&lt;&gt;"",IF((AP38*Paramètres!$H$4)-PORTEFEUILLE_FREDERIQUE[[#This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€]]-(DELPHINE!AP37*Paramètres!$H$4),0),0)</f>
        <v>0</v>
      </c>
      <c r="AW38" s="225">
        <f>IF(AP38&lt;&gt;"",IF(((AP38*Paramètres!$H$4)-PORTEFEUILLE_FREDERIQUE[[#This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8" s="190" t="str">
        <f>IF(PORTEFEUILLE_FREDERIQUE[[#This Row],[BONI COMPTABLE]]&lt;&gt;0,1,"")</f>
        <v/>
      </c>
      <c r="AY38" s="190" t="str">
        <f>IF(PORTEFEUILLE_FREDERIQUE[[#This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SUM(PORTEFEUILLE_FREDERIQUE[[#This Row],[PCR COMPTABLE €]:[MONTANT
RESPONSABLE RELATION CLIENT €]])-PORTEFEUILLE_FREDERIQUE[[#This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9" s="188" t="str">
        <f>IF(PORTEFEUILLE_FREDERIQUE[[#This Row],[BONI AAC]]&lt;&gt;0,1,"")</f>
        <v/>
      </c>
      <c r="AU39" s="188" t="str">
        <f>IF(PORTEFEUILLE_FREDERIQUE[[#This Row],[MALI AAC]]&lt;&gt;0,1,"")</f>
        <v/>
      </c>
      <c r="AV39" s="225">
        <f>IF(AP39&lt;&gt;"",IF((AP39*Paramètres!$H$4)-PORTEFEUILLE_FREDERIQUE[[#This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€]]-(DELPHINE!AP38*Paramètres!$H$4),0),0)</f>
        <v>0</v>
      </c>
      <c r="AW39" s="225">
        <f>IF(AP39&lt;&gt;"",IF(((AP39*Paramètres!$H$4)-PORTEFEUILLE_FREDERIQUE[[#This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9" s="190" t="str">
        <f>IF(PORTEFEUILLE_FREDERIQUE[[#This Row],[BONI COMPTABLE]]&lt;&gt;0,1,"")</f>
        <v/>
      </c>
      <c r="AY39" s="190" t="str">
        <f>IF(PORTEFEUILLE_FREDERIQUE[[#This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SUM(PORTEFEUILLE_FREDERIQUE[[#This Row],[PCR COMPTABLE €]:[MONTANT
RESPONSABLE RELATION CLIENT €]])-PORTEFEUILLE_FREDERIQUE[[#This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0" s="188" t="str">
        <f>IF(PORTEFEUILLE_FREDERIQUE[[#This Row],[BONI AAC]]&lt;&gt;0,1,"")</f>
        <v/>
      </c>
      <c r="AU40" s="188" t="str">
        <f>IF(PORTEFEUILLE_FREDERIQUE[[#This Row],[MALI AAC]]&lt;&gt;0,1,"")</f>
        <v/>
      </c>
      <c r="AV40" s="225">
        <f>IF(AP40&lt;&gt;"",IF((AP40*Paramètres!$H$4)-PORTEFEUILLE_FREDERIQUE[[#This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€]]-(DELPHINE!AP39*Paramètres!$H$4),0),0)</f>
        <v>0</v>
      </c>
      <c r="AW40" s="225">
        <f>IF(AP40&lt;&gt;"",IF(((AP40*Paramètres!$H$4)-PORTEFEUILLE_FREDERIQUE[[#This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0" s="190" t="str">
        <f>IF(PORTEFEUILLE_FREDERIQUE[[#This Row],[BONI COMPTABLE]]&lt;&gt;0,1,"")</f>
        <v/>
      </c>
      <c r="AY40" s="190" t="str">
        <f>IF(PORTEFEUILLE_FREDERIQUE[[#This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SUM(PORTEFEUILLE_FREDERIQUE[[#This Row],[PCR COMPTABLE €]:[MONTANT
RESPONSABLE RELATION CLIENT €]])-PORTEFEUILLE_FREDERIQUE[[#This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1" s="188" t="str">
        <f>IF(PORTEFEUILLE_FREDERIQUE[[#This Row],[BONI AAC]]&lt;&gt;0,1,"")</f>
        <v/>
      </c>
      <c r="AU41" s="188" t="str">
        <f>IF(PORTEFEUILLE_FREDERIQUE[[#This Row],[MALI AAC]]&lt;&gt;0,1,"")</f>
        <v/>
      </c>
      <c r="AV41" s="225">
        <f>IF(AP41&lt;&gt;"",IF((AP41*Paramètres!$H$4)-PORTEFEUILLE_FREDERIQUE[[#This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€]]-(DELPHINE!AP40*Paramètres!$H$4),0),0)</f>
        <v>0</v>
      </c>
      <c r="AW41" s="225">
        <f>IF(AP41&lt;&gt;"",IF(((AP41*Paramètres!$H$4)-PORTEFEUILLE_FREDERIQUE[[#This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1" s="190" t="str">
        <f>IF(PORTEFEUILLE_FREDERIQUE[[#This Row],[BONI COMPTABLE]]&lt;&gt;0,1,"")</f>
        <v/>
      </c>
      <c r="AY41" s="190" t="str">
        <f>IF(PORTEFEUILLE_FREDERIQUE[[#This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SUM(PORTEFEUILLE_FREDERIQUE[[#This Row],[PCR COMPTABLE €]:[MONTANT
RESPONSABLE RELATION CLIENT €]])-PORTEFEUILLE_FREDERIQUE[[#This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2" s="188" t="str">
        <f>IF(PORTEFEUILLE_FREDERIQUE[[#This Row],[BONI AAC]]&lt;&gt;0,1,"")</f>
        <v/>
      </c>
      <c r="AU42" s="188" t="str">
        <f>IF(PORTEFEUILLE_FREDERIQUE[[#This Row],[MALI AAC]]&lt;&gt;0,1,"")</f>
        <v/>
      </c>
      <c r="AV42" s="225">
        <f>IF(AP42&lt;&gt;"",IF((AP42*Paramètres!$H$4)-PORTEFEUILLE_FREDERIQUE[[#This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€]]-(DELPHINE!AP41*Paramètres!$H$4),0),0)</f>
        <v>0</v>
      </c>
      <c r="AW42" s="225">
        <f>IF(AP42&lt;&gt;"",IF(((AP42*Paramètres!$H$4)-PORTEFEUILLE_FREDERIQUE[[#This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2" s="190" t="str">
        <f>IF(PORTEFEUILLE_FREDERIQUE[[#This Row],[BONI COMPTABLE]]&lt;&gt;0,1,"")</f>
        <v/>
      </c>
      <c r="AY42" s="190" t="str">
        <f>IF(PORTEFEUILLE_FREDERIQUE[[#This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SUM(PORTEFEUILLE_FREDERIQUE[[#This Row],[PCR COMPTABLE €]:[MONTANT
RESPONSABLE RELATION CLIENT €]])-PORTEFEUILLE_FREDERIQUE[[#This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3" s="188" t="str">
        <f>IF(PORTEFEUILLE_FREDERIQUE[[#This Row],[BONI AAC]]&lt;&gt;0,1,"")</f>
        <v/>
      </c>
      <c r="AU43" s="188" t="str">
        <f>IF(PORTEFEUILLE_FREDERIQUE[[#This Row],[MALI AAC]]&lt;&gt;0,1,"")</f>
        <v/>
      </c>
      <c r="AV43" s="225">
        <f>IF(AP43&lt;&gt;"",IF((AP43*Paramètres!$H$4)-PORTEFEUILLE_FREDERIQUE[[#This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€]]-(DELPHINE!AP42*Paramètres!$H$4),0),0)</f>
        <v>0</v>
      </c>
      <c r="AW43" s="225">
        <f>IF(AP43&lt;&gt;"",IF(((AP43*Paramètres!$H$4)-PORTEFEUILLE_FREDERIQUE[[#This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3" s="190" t="str">
        <f>IF(PORTEFEUILLE_FREDERIQUE[[#This Row],[BONI COMPTABLE]]&lt;&gt;0,1,"")</f>
        <v/>
      </c>
      <c r="AY43" s="190" t="str">
        <f>IF(PORTEFEUILLE_FREDERIQUE[[#This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SUM(PORTEFEUILLE_FREDERIQUE[[#This Row],[PCR COMPTABLE €]:[MONTANT
RESPONSABLE RELATION CLIENT €]])-PORTEFEUILLE_FREDERIQUE[[#This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4" s="188" t="str">
        <f>IF(PORTEFEUILLE_FREDERIQUE[[#This Row],[BONI AAC]]&lt;&gt;0,1,"")</f>
        <v/>
      </c>
      <c r="AU44" s="188" t="str">
        <f>IF(PORTEFEUILLE_FREDERIQUE[[#This Row],[MALI AAC]]&lt;&gt;0,1,"")</f>
        <v/>
      </c>
      <c r="AV44" s="225">
        <f>IF(AP44&lt;&gt;"",IF((AP44*Paramètres!$H$4)-PORTEFEUILLE_FREDERIQUE[[#This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€]]-(DELPHINE!AP43*Paramètres!$H$4),0),0)</f>
        <v>0</v>
      </c>
      <c r="AW44" s="225">
        <f>IF(AP44&lt;&gt;"",IF(((AP44*Paramètres!$H$4)-PORTEFEUILLE_FREDERIQUE[[#This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4" s="190" t="str">
        <f>IF(PORTEFEUILLE_FREDERIQUE[[#This Row],[BONI COMPTABLE]]&lt;&gt;0,1,"")</f>
        <v/>
      </c>
      <c r="AY44" s="190" t="str">
        <f>IF(PORTEFEUILLE_FREDERIQUE[[#This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SUM(PORTEFEUILLE_FREDERIQUE[[#This Row],[PCR COMPTABLE €]:[MONTANT
RESPONSABLE RELATION CLIENT €]])-PORTEFEUILLE_FREDERIQUE[[#This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5" s="188" t="str">
        <f>IF(PORTEFEUILLE_FREDERIQUE[[#This Row],[BONI AAC]]&lt;&gt;0,1,"")</f>
        <v/>
      </c>
      <c r="AU45" s="188" t="str">
        <f>IF(PORTEFEUILLE_FREDERIQUE[[#This Row],[MALI AAC]]&lt;&gt;0,1,"")</f>
        <v/>
      </c>
      <c r="AV45" s="225">
        <f>IF(AP45&lt;&gt;"",IF((AP45*Paramètres!$H$4)-PORTEFEUILLE_FREDERIQUE[[#This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€]]-(DELPHINE!AP44*Paramètres!$H$4),0),0)</f>
        <v>0</v>
      </c>
      <c r="AW45" s="225">
        <f>IF(AP45&lt;&gt;"",IF(((AP45*Paramètres!$H$4)-PORTEFEUILLE_FREDERIQUE[[#This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5" s="190" t="str">
        <f>IF(PORTEFEUILLE_FREDERIQUE[[#This Row],[BONI COMPTABLE]]&lt;&gt;0,1,"")</f>
        <v/>
      </c>
      <c r="AY45" s="190" t="str">
        <f>IF(PORTEFEUILLE_FREDERIQUE[[#This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SUM(PORTEFEUILLE_FREDERIQUE[[#This Row],[PCR COMPTABLE €]:[MONTANT
RESPONSABLE RELATION CLIENT €]])-PORTEFEUILLE_FREDERIQUE[[#This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6" s="188" t="str">
        <f>IF(PORTEFEUILLE_FREDERIQUE[[#This Row],[BONI AAC]]&lt;&gt;0,1,"")</f>
        <v/>
      </c>
      <c r="AU46" s="188" t="str">
        <f>IF(PORTEFEUILLE_FREDERIQUE[[#This Row],[MALI AAC]]&lt;&gt;0,1,"")</f>
        <v/>
      </c>
      <c r="AV46" s="225">
        <f>IF(AP46&lt;&gt;"",IF((AP46*Paramètres!$H$4)-PORTEFEUILLE_FREDERIQUE[[#This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€]]-(DELPHINE!AP45*Paramètres!$H$4),0),0)</f>
        <v>0</v>
      </c>
      <c r="AW46" s="225">
        <f>IF(AP46&lt;&gt;"",IF(((AP46*Paramètres!$H$4)-PORTEFEUILLE_FREDERIQUE[[#This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6" s="190" t="str">
        <f>IF(PORTEFEUILLE_FREDERIQUE[[#This Row],[BONI COMPTABLE]]&lt;&gt;0,1,"")</f>
        <v/>
      </c>
      <c r="AY46" s="190" t="str">
        <f>IF(PORTEFEUILLE_FREDERIQUE[[#This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SUM(PORTEFEUILLE_FREDERIQUE[[#This Row],[PCR COMPTABLE €]:[MONTANT
RESPONSABLE RELATION CLIENT €]])-PORTEFEUILLE_FREDERIQUE[[#This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7" s="188" t="str">
        <f>IF(PORTEFEUILLE_FREDERIQUE[[#This Row],[BONI AAC]]&lt;&gt;0,1,"")</f>
        <v/>
      </c>
      <c r="AU47" s="188" t="str">
        <f>IF(PORTEFEUILLE_FREDERIQUE[[#This Row],[MALI AAC]]&lt;&gt;0,1,"")</f>
        <v/>
      </c>
      <c r="AV47" s="225">
        <f>IF(AP47&lt;&gt;"",IF((AP47*Paramètres!$H$4)-PORTEFEUILLE_FREDERIQUE[[#This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€]]-(DELPHINE!AP46*Paramètres!$H$4),0),0)</f>
        <v>0</v>
      </c>
      <c r="AW47" s="225">
        <f>IF(AP47&lt;&gt;"",IF(((AP47*Paramètres!$H$4)-PORTEFEUILLE_FREDERIQUE[[#This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7" s="190" t="str">
        <f>IF(PORTEFEUILLE_FREDERIQUE[[#This Row],[BONI COMPTABLE]]&lt;&gt;0,1,"")</f>
        <v/>
      </c>
      <c r="AY47" s="190" t="str">
        <f>IF(PORTEFEUILLE_FREDERIQUE[[#This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SUM(PORTEFEUILLE_FREDERIQUE[[#This Row],[PCR COMPTABLE €]:[MONTANT
RESPONSABLE RELATION CLIENT €]])-PORTEFEUILLE_FREDERIQUE[[#This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8" s="188" t="str">
        <f>IF(PORTEFEUILLE_FREDERIQUE[[#This Row],[BONI AAC]]&lt;&gt;0,1,"")</f>
        <v/>
      </c>
      <c r="AU48" s="188" t="str">
        <f>IF(PORTEFEUILLE_FREDERIQUE[[#This Row],[MALI AAC]]&lt;&gt;0,1,"")</f>
        <v/>
      </c>
      <c r="AV48" s="225">
        <f>IF(AP48&lt;&gt;"",IF((AP48*Paramètres!$H$4)-PORTEFEUILLE_FREDERIQUE[[#This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€]]-(DELPHINE!AP47*Paramètres!$H$4),0),0)</f>
        <v>0</v>
      </c>
      <c r="AW48" s="225">
        <f>IF(AP48&lt;&gt;"",IF(((AP48*Paramètres!$H$4)-PORTEFEUILLE_FREDERIQUE[[#This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8" s="190" t="str">
        <f>IF(PORTEFEUILLE_FREDERIQUE[[#This Row],[BONI COMPTABLE]]&lt;&gt;0,1,"")</f>
        <v/>
      </c>
      <c r="AY48" s="190" t="str">
        <f>IF(PORTEFEUILLE_FREDERIQUE[[#This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SUM(PORTEFEUILLE_FREDERIQUE[[#This Row],[PCR COMPTABLE €]:[MONTANT
RESPONSABLE RELATION CLIENT €]])-PORTEFEUILLE_FREDERIQUE[[#This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9" s="188" t="str">
        <f>IF(PORTEFEUILLE_FREDERIQUE[[#This Row],[BONI AAC]]&lt;&gt;0,1,"")</f>
        <v/>
      </c>
      <c r="AU49" s="188" t="str">
        <f>IF(PORTEFEUILLE_FREDERIQUE[[#This Row],[MALI AAC]]&lt;&gt;0,1,"")</f>
        <v/>
      </c>
      <c r="AV49" s="225">
        <f>IF(AP49&lt;&gt;"",IF((AP49*Paramètres!$H$4)-PORTEFEUILLE_FREDERIQUE[[#This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€]]-(DELPHINE!AP48*Paramètres!$H$4),0),0)</f>
        <v>0</v>
      </c>
      <c r="AW49" s="225">
        <f>IF(AP49&lt;&gt;"",IF(((AP49*Paramètres!$H$4)-PORTEFEUILLE_FREDERIQUE[[#This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9" s="190" t="str">
        <f>IF(PORTEFEUILLE_FREDERIQUE[[#This Row],[BONI COMPTABLE]]&lt;&gt;0,1,"")</f>
        <v/>
      </c>
      <c r="AY49" s="190" t="str">
        <f>IF(PORTEFEUILLE_FREDERIQUE[[#This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SUM(PORTEFEUILLE_FREDERIQUE[[#This Row],[PCR COMPTABLE €]:[MONTANT
RESPONSABLE RELATION CLIENT €]])-PORTEFEUILLE_FREDERIQUE[[#This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0" s="188" t="str">
        <f>IF(PORTEFEUILLE_FREDERIQUE[[#This Row],[BONI AAC]]&lt;&gt;0,1,"")</f>
        <v/>
      </c>
      <c r="AU50" s="188" t="str">
        <f>IF(PORTEFEUILLE_FREDERIQUE[[#This Row],[MALI AAC]]&lt;&gt;0,1,"")</f>
        <v/>
      </c>
      <c r="AV50" s="225">
        <f>IF(AP50&lt;&gt;"",IF((AP50*Paramètres!$H$4)-PORTEFEUILLE_FREDERIQUE[[#This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€]]-(DELPHINE!AP49*Paramètres!$H$4),0),0)</f>
        <v>0</v>
      </c>
      <c r="AW50" s="225">
        <f>IF(AP50&lt;&gt;"",IF(((AP50*Paramètres!$H$4)-PORTEFEUILLE_FREDERIQUE[[#This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0" s="190" t="str">
        <f>IF(PORTEFEUILLE_FREDERIQUE[[#This Row],[BONI COMPTABLE]]&lt;&gt;0,1,"")</f>
        <v/>
      </c>
      <c r="AY50" s="190" t="str">
        <f>IF(PORTEFEUILLE_FREDERIQUE[[#This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SUM(PORTEFEUILLE_FREDERIQUE[[#This Row],[PCR COMPTABLE €]:[MONTANT
RESPONSABLE RELATION CLIENT €]])-PORTEFEUILLE_FREDERIQUE[[#This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1" s="188" t="str">
        <f>IF(PORTEFEUILLE_FREDERIQUE[[#This Row],[BONI AAC]]&lt;&gt;0,1,"")</f>
        <v/>
      </c>
      <c r="AU51" s="188" t="str">
        <f>IF(PORTEFEUILLE_FREDERIQUE[[#This Row],[MALI AAC]]&lt;&gt;0,1,"")</f>
        <v/>
      </c>
      <c r="AV51" s="225">
        <f>IF(AP51&lt;&gt;"",IF((AP51*Paramètres!$H$4)-PORTEFEUILLE_FREDERIQUE[[#This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€]]-(DELPHINE!AP50*Paramètres!$H$4),0),0)</f>
        <v>0</v>
      </c>
      <c r="AW51" s="225">
        <f>IF(AP51&lt;&gt;"",IF(((AP51*Paramètres!$H$4)-PORTEFEUILLE_FREDERIQUE[[#This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1" s="190" t="str">
        <f>IF(PORTEFEUILLE_FREDERIQUE[[#This Row],[BONI COMPTABLE]]&lt;&gt;0,1,"")</f>
        <v/>
      </c>
      <c r="AY51" s="190" t="str">
        <f>IF(PORTEFEUILLE_FREDERIQUE[[#This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SUM(PORTEFEUILLE_FREDERIQUE[[#This Row],[PCR COMPTABLE €]:[MONTANT
RESPONSABLE RELATION CLIENT €]])-PORTEFEUILLE_FREDERIQUE[[#This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2" s="188" t="str">
        <f>IF(PORTEFEUILLE_FREDERIQUE[[#This Row],[BONI AAC]]&lt;&gt;0,1,"")</f>
        <v/>
      </c>
      <c r="AU52" s="188" t="str">
        <f>IF(PORTEFEUILLE_FREDERIQUE[[#This Row],[MALI AAC]]&lt;&gt;0,1,"")</f>
        <v/>
      </c>
      <c r="AV52" s="225">
        <f>IF(AP52&lt;&gt;"",IF((AP52*Paramètres!$H$4)-PORTEFEUILLE_FREDERIQUE[[#This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€]]-(DELPHINE!AP51*Paramètres!$H$4),0),0)</f>
        <v>0</v>
      </c>
      <c r="AW52" s="225">
        <f>IF(AP52&lt;&gt;"",IF(((AP52*Paramètres!$H$4)-PORTEFEUILLE_FREDERIQUE[[#This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2" s="190" t="str">
        <f>IF(PORTEFEUILLE_FREDERIQUE[[#This Row],[BONI COMPTABLE]]&lt;&gt;0,1,"")</f>
        <v/>
      </c>
      <c r="AY52" s="190" t="str">
        <f>IF(PORTEFEUILLE_FREDERIQUE[[#This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SUM(PORTEFEUILLE_FREDERIQUE[[#This Row],[PCR COMPTABLE €]:[MONTANT
RESPONSABLE RELATION CLIENT €]])-PORTEFEUILLE_FREDERIQUE[[#This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3" s="188" t="str">
        <f>IF(PORTEFEUILLE_FREDERIQUE[[#This Row],[BONI AAC]]&lt;&gt;0,1,"")</f>
        <v/>
      </c>
      <c r="AU53" s="188" t="str">
        <f>IF(PORTEFEUILLE_FREDERIQUE[[#This Row],[MALI AAC]]&lt;&gt;0,1,"")</f>
        <v/>
      </c>
      <c r="AV53" s="225">
        <f>IF(AP53&lt;&gt;"",IF((AP53*Paramètres!$H$4)-PORTEFEUILLE_FREDERIQUE[[#This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€]]-(DELPHINE!AP52*Paramètres!$H$4),0),0)</f>
        <v>0</v>
      </c>
      <c r="AW53" s="225">
        <f>IF(AP53&lt;&gt;"",IF(((AP53*Paramètres!$H$4)-PORTEFEUILLE_FREDERIQUE[[#This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3" s="190" t="str">
        <f>IF(PORTEFEUILLE_FREDERIQUE[[#This Row],[BONI COMPTABLE]]&lt;&gt;0,1,"")</f>
        <v/>
      </c>
      <c r="AY53" s="190" t="str">
        <f>IF(PORTEFEUILLE_FREDERIQUE[[#This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SUM(PORTEFEUILLE_FREDERIQUE[[#This Row],[PCR COMPTABLE €]:[MONTANT
RESPONSABLE RELATION CLIENT €]])-PORTEFEUILLE_FREDERIQUE[[#This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4" s="188" t="str">
        <f>IF(PORTEFEUILLE_FREDERIQUE[[#This Row],[BONI AAC]]&lt;&gt;0,1,"")</f>
        <v/>
      </c>
      <c r="AU54" s="188" t="str">
        <f>IF(PORTEFEUILLE_FREDERIQUE[[#This Row],[MALI AAC]]&lt;&gt;0,1,"")</f>
        <v/>
      </c>
      <c r="AV54" s="225">
        <f>IF(AP54&lt;&gt;"",IF((AP54*Paramètres!$H$4)-PORTEFEUILLE_FREDERIQUE[[#This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€]]-(DELPHINE!AP53*Paramètres!$H$4),0),0)</f>
        <v>0</v>
      </c>
      <c r="AW54" s="225">
        <f>IF(AP54&lt;&gt;"",IF(((AP54*Paramètres!$H$4)-PORTEFEUILLE_FREDERIQUE[[#This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4" s="190" t="str">
        <f>IF(PORTEFEUILLE_FREDERIQUE[[#This Row],[BONI COMPTABLE]]&lt;&gt;0,1,"")</f>
        <v/>
      </c>
      <c r="AY54" s="190" t="str">
        <f>IF(PORTEFEUILLE_FREDERIQUE[[#This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SUM(PORTEFEUILLE_FREDERIQUE[[#This Row],[PCR COMPTABLE €]:[MONTANT
RESPONSABLE RELATION CLIENT €]])-PORTEFEUILLE_FREDERIQUE[[#This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5" s="188" t="str">
        <f>IF(PORTEFEUILLE_FREDERIQUE[[#This Row],[BONI AAC]]&lt;&gt;0,1,"")</f>
        <v/>
      </c>
      <c r="AU55" s="188" t="str">
        <f>IF(PORTEFEUILLE_FREDERIQUE[[#This Row],[MALI AAC]]&lt;&gt;0,1,"")</f>
        <v/>
      </c>
      <c r="AV55" s="225">
        <f>IF(AP55&lt;&gt;"",IF((AP55*Paramètres!$H$4)-PORTEFEUILLE_FREDERIQUE[[#This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€]]-(DELPHINE!AP54*Paramètres!$H$4),0),0)</f>
        <v>0</v>
      </c>
      <c r="AW55" s="225">
        <f>IF(AP55&lt;&gt;"",IF(((AP55*Paramètres!$H$4)-PORTEFEUILLE_FREDERIQUE[[#This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5" s="190" t="str">
        <f>IF(PORTEFEUILLE_FREDERIQUE[[#This Row],[BONI COMPTABLE]]&lt;&gt;0,1,"")</f>
        <v/>
      </c>
      <c r="AY55" s="190" t="str">
        <f>IF(PORTEFEUILLE_FREDERIQUE[[#This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SUM(PORTEFEUILLE_FREDERIQUE[[#This Row],[PCR COMPTABLE €]:[MONTANT
RESPONSABLE RELATION CLIENT €]])-PORTEFEUILLE_FREDERIQUE[[#This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6" s="188" t="str">
        <f>IF(PORTEFEUILLE_FREDERIQUE[[#This Row],[BONI AAC]]&lt;&gt;0,1,"")</f>
        <v/>
      </c>
      <c r="AU56" s="188" t="str">
        <f>IF(PORTEFEUILLE_FREDERIQUE[[#This Row],[MALI AAC]]&lt;&gt;0,1,"")</f>
        <v/>
      </c>
      <c r="AV56" s="225">
        <f>IF(AP56&lt;&gt;"",IF((AP56*Paramètres!$H$4)-PORTEFEUILLE_FREDERIQUE[[#This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€]]-(DELPHINE!AP55*Paramètres!$H$4),0),0)</f>
        <v>0</v>
      </c>
      <c r="AW56" s="225">
        <f>IF(AP56&lt;&gt;"",IF(((AP56*Paramètres!$H$4)-PORTEFEUILLE_FREDERIQUE[[#This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6" s="190" t="str">
        <f>IF(PORTEFEUILLE_FREDERIQUE[[#This Row],[BONI COMPTABLE]]&lt;&gt;0,1,"")</f>
        <v/>
      </c>
      <c r="AY56" s="190" t="str">
        <f>IF(PORTEFEUILLE_FREDERIQUE[[#This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SUM(PORTEFEUILLE_FREDERIQUE[[#This Row],[PCR COMPTABLE €]:[MONTANT
RESPONSABLE RELATION CLIENT €]])-PORTEFEUILLE_FREDERIQUE[[#This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7" s="188" t="str">
        <f>IF(PORTEFEUILLE_FREDERIQUE[[#This Row],[BONI AAC]]&lt;&gt;0,1,"")</f>
        <v/>
      </c>
      <c r="AU57" s="188" t="str">
        <f>IF(PORTEFEUILLE_FREDERIQUE[[#This Row],[MALI AAC]]&lt;&gt;0,1,"")</f>
        <v/>
      </c>
      <c r="AV57" s="225">
        <f>IF(AP57&lt;&gt;"",IF((AP57*Paramètres!$H$4)-PORTEFEUILLE_FREDERIQUE[[#This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€]]-(DELPHINE!AP56*Paramètres!$H$4),0),0)</f>
        <v>0</v>
      </c>
      <c r="AW57" s="225">
        <f>IF(AP57&lt;&gt;"",IF(((AP57*Paramètres!$H$4)-PORTEFEUILLE_FREDERIQUE[[#This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7" s="190" t="str">
        <f>IF(PORTEFEUILLE_FREDERIQUE[[#This Row],[BONI COMPTABLE]]&lt;&gt;0,1,"")</f>
        <v/>
      </c>
      <c r="AY57" s="190" t="str">
        <f>IF(PORTEFEUILLE_FREDERIQUE[[#This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SUM(PORTEFEUILLE_FREDERIQUE[[#This Row],[PCR COMPTABLE €]:[MONTANT
RESPONSABLE RELATION CLIENT €]])-PORTEFEUILLE_FREDERIQUE[[#This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8" s="188" t="str">
        <f>IF(PORTEFEUILLE_FREDERIQUE[[#This Row],[BONI AAC]]&lt;&gt;0,1,"")</f>
        <v/>
      </c>
      <c r="AU58" s="188" t="str">
        <f>IF(PORTEFEUILLE_FREDERIQUE[[#This Row],[MALI AAC]]&lt;&gt;0,1,"")</f>
        <v/>
      </c>
      <c r="AV58" s="225">
        <f>IF(AP58&lt;&gt;"",IF((AP58*Paramètres!$H$4)-PORTEFEUILLE_FREDERIQUE[[#This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€]]-(DELPHINE!AP57*Paramètres!$H$4),0),0)</f>
        <v>0</v>
      </c>
      <c r="AW58" s="225">
        <f>IF(AP58&lt;&gt;"",IF(((AP58*Paramètres!$H$4)-PORTEFEUILLE_FREDERIQUE[[#This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8" s="190" t="str">
        <f>IF(PORTEFEUILLE_FREDERIQUE[[#This Row],[BONI COMPTABLE]]&lt;&gt;0,1,"")</f>
        <v/>
      </c>
      <c r="AY58" s="190" t="str">
        <f>IF(PORTEFEUILLE_FREDERIQUE[[#This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SUM(PORTEFEUILLE_FREDERIQUE[[#This Row],[PCR COMPTABLE €]:[MONTANT
RESPONSABLE RELATION CLIENT €]])-PORTEFEUILLE_FREDERIQUE[[#This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9" s="188" t="str">
        <f>IF(PORTEFEUILLE_FREDERIQUE[[#This Row],[BONI AAC]]&lt;&gt;0,1,"")</f>
        <v/>
      </c>
      <c r="AU59" s="188" t="str">
        <f>IF(PORTEFEUILLE_FREDERIQUE[[#This Row],[MALI AAC]]&lt;&gt;0,1,"")</f>
        <v/>
      </c>
      <c r="AV59" s="225">
        <f>IF(AP59&lt;&gt;"",IF((AP59*Paramètres!$H$4)-PORTEFEUILLE_FREDERIQUE[[#This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€]]-(DELPHINE!AP58*Paramètres!$H$4),0),0)</f>
        <v>0</v>
      </c>
      <c r="AW59" s="225">
        <f>IF(AP59&lt;&gt;"",IF(((AP59*Paramètres!$H$4)-PORTEFEUILLE_FREDERIQUE[[#This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9" s="190" t="str">
        <f>IF(PORTEFEUILLE_FREDERIQUE[[#This Row],[BONI COMPTABLE]]&lt;&gt;0,1,"")</f>
        <v/>
      </c>
      <c r="AY59" s="190" t="str">
        <f>IF(PORTEFEUILLE_FREDERIQUE[[#This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SUM(PORTEFEUILLE_FREDERIQUE[[#This Row],[PCR COMPTABLE €]:[MONTANT
RESPONSABLE RELATION CLIENT €]])-PORTEFEUILLE_FREDERIQUE[[#This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6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60" s="188" t="str">
        <f>IF(PORTEFEUILLE_FREDERIQUE[[#This Row],[BONI AAC]]&lt;&gt;0,1,"")</f>
        <v/>
      </c>
      <c r="AU60" s="188" t="str">
        <f>IF(PORTEFEUILLE_FREDERIQUE[[#This Row],[MALI AAC]]&lt;&gt;0,1,"")</f>
        <v/>
      </c>
      <c r="AV60" s="225">
        <f>IF(AP60&lt;&gt;"",IF((AP60*Paramètres!$H$4)-PORTEFEUILLE_FREDERIQUE[[#This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€]]-(DELPHINE!AP59*Paramètres!$H$4),0),0)</f>
        <v>0</v>
      </c>
      <c r="AW60" s="225">
        <f>IF(AP60&lt;&gt;"",IF(((AP60*Paramètres!$H$4)-PORTEFEUILLE_FREDERIQUE[[#This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60" s="190" t="str">
        <f>IF(PORTEFEUILLE_FREDERIQUE[[#This Row],[BONI COMPTABLE]]&lt;&gt;0,1,"")</f>
        <v/>
      </c>
      <c r="AY60" s="190" t="str">
        <f>IF(PORTEFEUILLE_FREDERIQUE[[#This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57" priority="6">
      <formula>AND(P3&lt;&gt;"",P3&lt;&gt;"OUI")</formula>
    </cfRule>
  </conditionalFormatting>
  <conditionalFormatting sqref="AN3:AO60 S3:AH60">
    <cfRule type="expression" dxfId="56" priority="5" stopIfTrue="1">
      <formula>$AH3&lt;&gt;0</formula>
    </cfRule>
  </conditionalFormatting>
  <conditionalFormatting sqref="A6:E60 C3:E5 A3:A5">
    <cfRule type="expression" dxfId="55" priority="7" stopIfTrue="1">
      <formula>AND($I3&lt;&gt;"",AND($J3="",AND($BA3="",$BB3="")))</formula>
    </cfRule>
    <cfRule type="expression" dxfId="54" priority="8" stopIfTrue="1">
      <formula>AND($J3&lt;&gt;"",AND($BA3="",$BB3=""))</formula>
    </cfRule>
    <cfRule type="expression" dxfId="53" priority="9" stopIfTrue="1">
      <formula>AND($BA3&lt;&gt;"",$BB3="")</formula>
    </cfRule>
    <cfRule type="expression" dxfId="52" priority="10" stopIfTrue="1">
      <formula>$BB3="X"</formula>
    </cfRule>
  </conditionalFormatting>
  <conditionalFormatting sqref="B3:B5">
    <cfRule type="expression" dxfId="51" priority="1" stopIfTrue="1">
      <formula>AND($I3&lt;&gt;"",AND($J3="",AND($BA3="",$BB3="")))</formula>
    </cfRule>
    <cfRule type="expression" dxfId="50" priority="2" stopIfTrue="1">
      <formula>AND($J3&lt;&gt;"",AND($BA3="",$BB3=""))</formula>
    </cfRule>
    <cfRule type="expression" dxfId="49" priority="3" stopIfTrue="1">
      <formula>AND($BA3&lt;&gt;"",$BB3="")</formula>
    </cfRule>
    <cfRule type="expression" dxfId="48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C23" sqref="C23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225</v>
      </c>
      <c r="B3" s="170">
        <v>860075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SUM(PORTEFEUILLE_AURELIE_T[[#This Row],[PCR COMPTABLE €]:[MONTANT
RESPONSABLE RELATION CLIENT €]])-PORTEFEUILLE_AURELIE_T[[#This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400</v>
      </c>
      <c r="AT3" s="188" t="str">
        <f>IF(PORTEFEUILLE_AURELIE_T[[#This Row],[BONI AAC]]&lt;&gt;0,1,"")</f>
        <v/>
      </c>
      <c r="AU3" s="188">
        <f>IF(PORTEFEUILLE_AURELIE_T[[#This Row],[MALI AAC]]&lt;&gt;0,1,"")</f>
        <v>1</v>
      </c>
      <c r="AV3" s="225">
        <f>IF(AP3&lt;&gt;"",IF((AP3*Paramètres!$H$4)-PORTEFEUILLE_AURELIE_T[[#This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€]]-(DELPHINE!AP3*Paramètres!$H$4),0),0)</f>
        <v>0</v>
      </c>
      <c r="AW3" s="225">
        <f>IF(AP3&lt;&gt;"",IF(((AP3*Paramètres!$H$4)-PORTEFEUILLE_AURELIE_T[[#This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" s="190" t="str">
        <f>IF(PORTEFEUILLE_AURELIE_T[[#This Row],[BONI COMPTABLE]]&lt;&gt;0,1,"")</f>
        <v/>
      </c>
      <c r="AY3" s="190" t="str">
        <f>IF(PORTEFEUILLE_AURELIE_T[[#This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225</v>
      </c>
      <c r="B4" s="170">
        <v>860076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SUM(PORTEFEUILLE_AURELIE_T[[#This Row],[PCR COMPTABLE €]:[MONTANT
RESPONSABLE RELATION CLIENT €]])-PORTEFEUILLE_AURELIE_T[[#This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1000</v>
      </c>
      <c r="AT4" s="188" t="str">
        <f>IF(PORTEFEUILLE_AURELIE_T[[#This Row],[BONI AAC]]&lt;&gt;0,1,"")</f>
        <v/>
      </c>
      <c r="AU4" s="188">
        <f>IF(PORTEFEUILLE_AURELIE_T[[#This Row],[MALI AAC]]&lt;&gt;0,1,"")</f>
        <v>1</v>
      </c>
      <c r="AV4" s="225">
        <f>IF(AP4&lt;&gt;"",IF((AP4*Paramètres!$H$4)-PORTEFEUILLE_AURELIE_T[[#This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€]]-(DELPHINE!AP4*Paramètres!$H$4),0),0)</f>
        <v>0</v>
      </c>
      <c r="AW4" s="225">
        <f>IF(AP4&lt;&gt;"",IF(((AP4*Paramètres!$H$4)-PORTEFEUILLE_AURELIE_T[[#This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3000</v>
      </c>
      <c r="AX4" s="190" t="str">
        <f>IF(PORTEFEUILLE_AURELIE_T[[#This Row],[BONI COMPTABLE]]&lt;&gt;0,1,"")</f>
        <v/>
      </c>
      <c r="AY4" s="190">
        <f>IF(PORTEFEUILLE_AURELIE_T[[#This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225</v>
      </c>
      <c r="B5" s="170">
        <v>860077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SUM(PORTEFEUILLE_AURELIE_T[[#This Row],[PCR COMPTABLE €]:[MONTANT
RESPONSABLE RELATION CLIENT €]])-PORTEFEUILLE_AURELIE_T[[#This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2200</v>
      </c>
      <c r="AT5" s="188" t="str">
        <f>IF(PORTEFEUILLE_AURELIE_T[[#This Row],[BONI AAC]]&lt;&gt;0,1,"")</f>
        <v/>
      </c>
      <c r="AU5" s="188">
        <f>IF(PORTEFEUILLE_AURELIE_T[[#This Row],[MALI AAC]]&lt;&gt;0,1,"")</f>
        <v>1</v>
      </c>
      <c r="AV5" s="225">
        <f>IF(AP5&lt;&gt;"",IF((AP5*Paramètres!$H$4)-PORTEFEUILLE_AURELIE_T[[#This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€]]-(DELPHINE!AP5*Paramètres!$H$4),0),0)</f>
        <v>0</v>
      </c>
      <c r="AW5" s="225">
        <f>IF(AP5&lt;&gt;"",IF(((AP5*Paramètres!$H$4)-PORTEFEUILLE_AURELIE_T[[#This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4150</v>
      </c>
      <c r="AX5" s="190" t="str">
        <f>IF(PORTEFEUILLE_AURELIE_T[[#This Row],[BONI COMPTABLE]]&lt;&gt;0,1,"")</f>
        <v/>
      </c>
      <c r="AY5" s="190">
        <f>IF(PORTEFEUILLE_AURELIE_T[[#This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SUM(PORTEFEUILLE_AURELIE_T[[#This Row],[PCR COMPTABLE €]:[MONTANT
RESPONSABLE RELATION CLIENT €]])-PORTEFEUILLE_AURELIE_T[[#This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6" s="188" t="str">
        <f>IF(PORTEFEUILLE_AURELIE_T[[#This Row],[BONI AAC]]&lt;&gt;0,1,"")</f>
        <v/>
      </c>
      <c r="AU6" s="188" t="str">
        <f>IF(PORTEFEUILLE_AURELIE_T[[#This Row],[MALI AAC]]&lt;&gt;0,1,"")</f>
        <v/>
      </c>
      <c r="AV6" s="225">
        <f>IF(AP6&lt;&gt;"",IF((AP6*Paramètres!$H$4)-PORTEFEUILLE_AURELIE_T[[#This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6" s="225">
        <f>IF(AP6&lt;&gt;"",IF(((AP6*Paramètres!$H$4)-PORTEFEUILLE_AURELIE_T[[#This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6" s="190" t="str">
        <f>IF(PORTEFEUILLE_AURELIE_T[[#This Row],[BONI COMPTABLE]]&lt;&gt;0,1,"")</f>
        <v/>
      </c>
      <c r="AY6" s="190" t="str">
        <f>IF(PORTEFEUILLE_AURELIE_T[[#This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SUM(PORTEFEUILLE_AURELIE_T[[#This Row],[PCR COMPTABLE €]:[MONTANT
RESPONSABLE RELATION CLIENT €]])-PORTEFEUILLE_AURELIE_T[[#This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7" s="188" t="str">
        <f>IF(PORTEFEUILLE_AURELIE_T[[#This Row],[BONI AAC]]&lt;&gt;0,1,"")</f>
        <v/>
      </c>
      <c r="AU7" s="188" t="str">
        <f>IF(PORTEFEUILLE_AURELIE_T[[#This Row],[MALI AAC]]&lt;&gt;0,1,"")</f>
        <v/>
      </c>
      <c r="AV7" s="225">
        <f>IF(AP7&lt;&gt;"",IF((AP7*Paramètres!$H$4)-PORTEFEUILLE_AURELIE_T[[#This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€]]-(DELPHINE!AP6*Paramètres!$H$4),0),0)</f>
        <v>0</v>
      </c>
      <c r="AW7" s="225">
        <f>IF(AP7&lt;&gt;"",IF(((AP7*Paramètres!$H$4)-PORTEFEUILLE_AURELIE_T[[#This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7" s="190" t="str">
        <f>IF(PORTEFEUILLE_AURELIE_T[[#This Row],[BONI COMPTABLE]]&lt;&gt;0,1,"")</f>
        <v/>
      </c>
      <c r="AY7" s="190" t="str">
        <f>IF(PORTEFEUILLE_AURELIE_T[[#This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SUM(PORTEFEUILLE_AURELIE_T[[#This Row],[PCR COMPTABLE €]:[MONTANT
RESPONSABLE RELATION CLIENT €]])-PORTEFEUILLE_AURELIE_T[[#This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8" s="188" t="str">
        <f>IF(PORTEFEUILLE_AURELIE_T[[#This Row],[BONI AAC]]&lt;&gt;0,1,"")</f>
        <v/>
      </c>
      <c r="AU8" s="188" t="str">
        <f>IF(PORTEFEUILLE_AURELIE_T[[#This Row],[MALI AAC]]&lt;&gt;0,1,"")</f>
        <v/>
      </c>
      <c r="AV8" s="225">
        <f>IF(AP8&lt;&gt;"",IF((AP8*Paramètres!$H$4)-PORTEFEUILLE_AURELIE_T[[#This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€]]-(DELPHINE!AP7*Paramètres!$H$4),0),0)</f>
        <v>0</v>
      </c>
      <c r="AW8" s="225">
        <f>IF(AP8&lt;&gt;"",IF(((AP8*Paramètres!$H$4)-PORTEFEUILLE_AURELIE_T[[#This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8" s="190" t="str">
        <f>IF(PORTEFEUILLE_AURELIE_T[[#This Row],[BONI COMPTABLE]]&lt;&gt;0,1,"")</f>
        <v/>
      </c>
      <c r="AY8" s="190" t="str">
        <f>IF(PORTEFEUILLE_AURELIE_T[[#This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SUM(PORTEFEUILLE_AURELIE_T[[#This Row],[PCR COMPTABLE €]:[MONTANT
RESPONSABLE RELATION CLIENT €]])-PORTEFEUILLE_AURELIE_T[[#This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9" s="188" t="str">
        <f>IF(PORTEFEUILLE_AURELIE_T[[#This Row],[BONI AAC]]&lt;&gt;0,1,"")</f>
        <v/>
      </c>
      <c r="AU9" s="188" t="str">
        <f>IF(PORTEFEUILLE_AURELIE_T[[#This Row],[MALI AAC]]&lt;&gt;0,1,"")</f>
        <v/>
      </c>
      <c r="AV9" s="225">
        <f>IF(AP9&lt;&gt;"",IF((AP9*Paramètres!$H$4)-PORTEFEUILLE_AURELIE_T[[#This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€]]-(DELPHINE!AP8*Paramètres!$H$4),0),0)</f>
        <v>0</v>
      </c>
      <c r="AW9" s="225">
        <f>IF(AP9&lt;&gt;"",IF(((AP9*Paramètres!$H$4)-PORTEFEUILLE_AURELIE_T[[#This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9" s="190" t="str">
        <f>IF(PORTEFEUILLE_AURELIE_T[[#This Row],[BONI COMPTABLE]]&lt;&gt;0,1,"")</f>
        <v/>
      </c>
      <c r="AY9" s="190" t="str">
        <f>IF(PORTEFEUILLE_AURELIE_T[[#This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SUM(PORTEFEUILLE_AURELIE_T[[#This Row],[PCR COMPTABLE €]:[MONTANT
RESPONSABLE RELATION CLIENT €]])-PORTEFEUILLE_AURELIE_T[[#This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0" s="188" t="str">
        <f>IF(PORTEFEUILLE_AURELIE_T[[#This Row],[BONI AAC]]&lt;&gt;0,1,"")</f>
        <v/>
      </c>
      <c r="AU10" s="188" t="str">
        <f>IF(PORTEFEUILLE_AURELIE_T[[#This Row],[MALI AAC]]&lt;&gt;0,1,"")</f>
        <v/>
      </c>
      <c r="AV10" s="225">
        <f>IF(AP10&lt;&gt;"",IF((AP10*Paramètres!$H$4)-PORTEFEUILLE_AURELIE_T[[#This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€]]-(DELPHINE!AP9*Paramètres!$H$4),0),0)</f>
        <v>0</v>
      </c>
      <c r="AW10" s="225">
        <f>IF(AP10&lt;&gt;"",IF(((AP10*Paramètres!$H$4)-PORTEFEUILLE_AURELIE_T[[#This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0" s="190" t="str">
        <f>IF(PORTEFEUILLE_AURELIE_T[[#This Row],[BONI COMPTABLE]]&lt;&gt;0,1,"")</f>
        <v/>
      </c>
      <c r="AY10" s="190" t="str">
        <f>IF(PORTEFEUILLE_AURELIE_T[[#This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SUM(PORTEFEUILLE_AURELIE_T[[#This Row],[PCR COMPTABLE €]:[MONTANT
RESPONSABLE RELATION CLIENT €]])-PORTEFEUILLE_AURELIE_T[[#This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1" s="188" t="str">
        <f>IF(PORTEFEUILLE_AURELIE_T[[#This Row],[BONI AAC]]&lt;&gt;0,1,"")</f>
        <v/>
      </c>
      <c r="AU11" s="188" t="str">
        <f>IF(PORTEFEUILLE_AURELIE_T[[#This Row],[MALI AAC]]&lt;&gt;0,1,"")</f>
        <v/>
      </c>
      <c r="AV11" s="225">
        <f>IF(AP11&lt;&gt;"",IF((AP11*Paramètres!$H$4)-PORTEFEUILLE_AURELIE_T[[#This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€]]-(DELPHINE!AP10*Paramètres!$H$4),0),0)</f>
        <v>0</v>
      </c>
      <c r="AW11" s="225">
        <f>IF(AP11&lt;&gt;"",IF(((AP11*Paramètres!$H$4)-PORTEFEUILLE_AURELIE_T[[#This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1" s="190" t="str">
        <f>IF(PORTEFEUILLE_AURELIE_T[[#This Row],[BONI COMPTABLE]]&lt;&gt;0,1,"")</f>
        <v/>
      </c>
      <c r="AY11" s="190" t="str">
        <f>IF(PORTEFEUILLE_AURELIE_T[[#This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SUM(PORTEFEUILLE_AURELIE_T[[#This Row],[PCR COMPTABLE €]:[MONTANT
RESPONSABLE RELATION CLIENT €]])-PORTEFEUILLE_AURELIE_T[[#This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2" s="188" t="str">
        <f>IF(PORTEFEUILLE_AURELIE_T[[#This Row],[BONI AAC]]&lt;&gt;0,1,"")</f>
        <v/>
      </c>
      <c r="AU12" s="188" t="str">
        <f>IF(PORTEFEUILLE_AURELIE_T[[#This Row],[MALI AAC]]&lt;&gt;0,1,"")</f>
        <v/>
      </c>
      <c r="AV12" s="225">
        <f>IF(AP12&lt;&gt;"",IF((AP12*Paramètres!$H$4)-PORTEFEUILLE_AURELIE_T[[#This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€]]-(DELPHINE!AP11*Paramètres!$H$4),0),0)</f>
        <v>0</v>
      </c>
      <c r="AW12" s="225">
        <f>IF(AP12&lt;&gt;"",IF(((AP12*Paramètres!$H$4)-PORTEFEUILLE_AURELIE_T[[#This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2" s="190" t="str">
        <f>IF(PORTEFEUILLE_AURELIE_T[[#This Row],[BONI COMPTABLE]]&lt;&gt;0,1,"")</f>
        <v/>
      </c>
      <c r="AY12" s="190" t="str">
        <f>IF(PORTEFEUILLE_AURELIE_T[[#This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SUM(PORTEFEUILLE_AURELIE_T[[#This Row],[PCR COMPTABLE €]:[MONTANT
RESPONSABLE RELATION CLIENT €]])-PORTEFEUILLE_AURELIE_T[[#This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3" s="188" t="str">
        <f>IF(PORTEFEUILLE_AURELIE_T[[#This Row],[BONI AAC]]&lt;&gt;0,1,"")</f>
        <v/>
      </c>
      <c r="AU13" s="188" t="str">
        <f>IF(PORTEFEUILLE_AURELIE_T[[#This Row],[MALI AAC]]&lt;&gt;0,1,"")</f>
        <v/>
      </c>
      <c r="AV13" s="225">
        <f>IF(AP13&lt;&gt;"",IF((AP13*Paramètres!$H$4)-PORTEFEUILLE_AURELIE_T[[#This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€]]-(DELPHINE!AP12*Paramètres!$H$4),0),0)</f>
        <v>0</v>
      </c>
      <c r="AW13" s="225">
        <f>IF(AP13&lt;&gt;"",IF(((AP13*Paramètres!$H$4)-PORTEFEUILLE_AURELIE_T[[#This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3" s="190" t="str">
        <f>IF(PORTEFEUILLE_AURELIE_T[[#This Row],[BONI COMPTABLE]]&lt;&gt;0,1,"")</f>
        <v/>
      </c>
      <c r="AY13" s="190" t="str">
        <f>IF(PORTEFEUILLE_AURELIE_T[[#This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SUM(PORTEFEUILLE_AURELIE_T[[#This Row],[PCR COMPTABLE €]:[MONTANT
RESPONSABLE RELATION CLIENT €]])-PORTEFEUILLE_AURELIE_T[[#This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4" s="188" t="str">
        <f>IF(PORTEFEUILLE_AURELIE_T[[#This Row],[BONI AAC]]&lt;&gt;0,1,"")</f>
        <v/>
      </c>
      <c r="AU14" s="188" t="str">
        <f>IF(PORTEFEUILLE_AURELIE_T[[#This Row],[MALI AAC]]&lt;&gt;0,1,"")</f>
        <v/>
      </c>
      <c r="AV14" s="225">
        <f>IF(AP14&lt;&gt;"",IF((AP14*Paramètres!$H$4)-PORTEFEUILLE_AURELIE_T[[#This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€]]-(DELPHINE!AP13*Paramètres!$H$4),0),0)</f>
        <v>0</v>
      </c>
      <c r="AW14" s="225">
        <f>IF(AP14&lt;&gt;"",IF(((AP14*Paramètres!$H$4)-PORTEFEUILLE_AURELIE_T[[#This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4" s="190" t="str">
        <f>IF(PORTEFEUILLE_AURELIE_T[[#This Row],[BONI COMPTABLE]]&lt;&gt;0,1,"")</f>
        <v/>
      </c>
      <c r="AY14" s="190" t="str">
        <f>IF(PORTEFEUILLE_AURELIE_T[[#This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SUM(PORTEFEUILLE_AURELIE_T[[#This Row],[PCR COMPTABLE €]:[MONTANT
RESPONSABLE RELATION CLIENT €]])-PORTEFEUILLE_AURELIE_T[[#This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5" s="188" t="str">
        <f>IF(PORTEFEUILLE_AURELIE_T[[#This Row],[BONI AAC]]&lt;&gt;0,1,"")</f>
        <v/>
      </c>
      <c r="AU15" s="188" t="str">
        <f>IF(PORTEFEUILLE_AURELIE_T[[#This Row],[MALI AAC]]&lt;&gt;0,1,"")</f>
        <v/>
      </c>
      <c r="AV15" s="225">
        <f>IF(AP15&lt;&gt;"",IF((AP15*Paramètres!$H$4)-PORTEFEUILLE_AURELIE_T[[#This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€]]-(DELPHINE!AP14*Paramètres!$H$4),0),0)</f>
        <v>0</v>
      </c>
      <c r="AW15" s="225">
        <f>IF(AP15&lt;&gt;"",IF(((AP15*Paramètres!$H$4)-PORTEFEUILLE_AURELIE_T[[#This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5" s="190" t="str">
        <f>IF(PORTEFEUILLE_AURELIE_T[[#This Row],[BONI COMPTABLE]]&lt;&gt;0,1,"")</f>
        <v/>
      </c>
      <c r="AY15" s="190" t="str">
        <f>IF(PORTEFEUILLE_AURELIE_T[[#This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SUM(PORTEFEUILLE_AURELIE_T[[#This Row],[PCR COMPTABLE €]:[MONTANT
RESPONSABLE RELATION CLIENT €]])-PORTEFEUILLE_AURELIE_T[[#This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6" s="188" t="str">
        <f>IF(PORTEFEUILLE_AURELIE_T[[#This Row],[BONI AAC]]&lt;&gt;0,1,"")</f>
        <v/>
      </c>
      <c r="AU16" s="188" t="str">
        <f>IF(PORTEFEUILLE_AURELIE_T[[#This Row],[MALI AAC]]&lt;&gt;0,1,"")</f>
        <v/>
      </c>
      <c r="AV16" s="225">
        <f>IF(AP16&lt;&gt;"",IF((AP16*Paramètres!$H$4)-PORTEFEUILLE_AURELIE_T[[#This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€]]-(DELPHINE!AP15*Paramètres!$H$4),0),0)</f>
        <v>0</v>
      </c>
      <c r="AW16" s="225">
        <f>IF(AP16&lt;&gt;"",IF(((AP16*Paramètres!$H$4)-PORTEFEUILLE_AURELIE_T[[#This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6" s="190" t="str">
        <f>IF(PORTEFEUILLE_AURELIE_T[[#This Row],[BONI COMPTABLE]]&lt;&gt;0,1,"")</f>
        <v/>
      </c>
      <c r="AY16" s="190" t="str">
        <f>IF(PORTEFEUILLE_AURELIE_T[[#This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SUM(PORTEFEUILLE_AURELIE_T[[#This Row],[PCR COMPTABLE €]:[MONTANT
RESPONSABLE RELATION CLIENT €]])-PORTEFEUILLE_AURELIE_T[[#This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7" s="188" t="str">
        <f>IF(PORTEFEUILLE_AURELIE_T[[#This Row],[BONI AAC]]&lt;&gt;0,1,"")</f>
        <v/>
      </c>
      <c r="AU17" s="188" t="str">
        <f>IF(PORTEFEUILLE_AURELIE_T[[#This Row],[MALI AAC]]&lt;&gt;0,1,"")</f>
        <v/>
      </c>
      <c r="AV17" s="225">
        <f>IF(AP17&lt;&gt;"",IF((AP17*Paramètres!$H$4)-PORTEFEUILLE_AURELIE_T[[#This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€]]-(DELPHINE!AP16*Paramètres!$H$4),0),0)</f>
        <v>0</v>
      </c>
      <c r="AW17" s="225">
        <f>IF(AP17&lt;&gt;"",IF(((AP17*Paramètres!$H$4)-PORTEFEUILLE_AURELIE_T[[#This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7" s="190" t="str">
        <f>IF(PORTEFEUILLE_AURELIE_T[[#This Row],[BONI COMPTABLE]]&lt;&gt;0,1,"")</f>
        <v/>
      </c>
      <c r="AY17" s="190" t="str">
        <f>IF(PORTEFEUILLE_AURELIE_T[[#This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SUM(PORTEFEUILLE_AURELIE_T[[#This Row],[PCR COMPTABLE €]:[MONTANT
RESPONSABLE RELATION CLIENT €]])-PORTEFEUILLE_AURELIE_T[[#This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8" s="188" t="str">
        <f>IF(PORTEFEUILLE_AURELIE_T[[#This Row],[BONI AAC]]&lt;&gt;0,1,"")</f>
        <v/>
      </c>
      <c r="AU18" s="188" t="str">
        <f>IF(PORTEFEUILLE_AURELIE_T[[#This Row],[MALI AAC]]&lt;&gt;0,1,"")</f>
        <v/>
      </c>
      <c r="AV18" s="225">
        <f>IF(AP18&lt;&gt;"",IF((AP18*Paramètres!$H$4)-PORTEFEUILLE_AURELIE_T[[#This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€]]-(DELPHINE!AP17*Paramètres!$H$4),0),0)</f>
        <v>0</v>
      </c>
      <c r="AW18" s="225">
        <f>IF(AP18&lt;&gt;"",IF(((AP18*Paramètres!$H$4)-PORTEFEUILLE_AURELIE_T[[#This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8" s="190" t="str">
        <f>IF(PORTEFEUILLE_AURELIE_T[[#This Row],[BONI COMPTABLE]]&lt;&gt;0,1,"")</f>
        <v/>
      </c>
      <c r="AY18" s="190" t="str">
        <f>IF(PORTEFEUILLE_AURELIE_T[[#This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SUM(PORTEFEUILLE_AURELIE_T[[#This Row],[PCR COMPTABLE €]:[MONTANT
RESPONSABLE RELATION CLIENT €]])-PORTEFEUILLE_AURELIE_T[[#This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9" s="188" t="str">
        <f>IF(PORTEFEUILLE_AURELIE_T[[#This Row],[BONI AAC]]&lt;&gt;0,1,"")</f>
        <v/>
      </c>
      <c r="AU19" s="188" t="str">
        <f>IF(PORTEFEUILLE_AURELIE_T[[#This Row],[MALI AAC]]&lt;&gt;0,1,"")</f>
        <v/>
      </c>
      <c r="AV19" s="225">
        <f>IF(AP19&lt;&gt;"",IF((AP19*Paramètres!$H$4)-PORTEFEUILLE_AURELIE_T[[#This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€]]-(DELPHINE!AP18*Paramètres!$H$4),0),0)</f>
        <v>0</v>
      </c>
      <c r="AW19" s="225">
        <f>IF(AP19&lt;&gt;"",IF(((AP19*Paramètres!$H$4)-PORTEFEUILLE_AURELIE_T[[#This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9" s="190" t="str">
        <f>IF(PORTEFEUILLE_AURELIE_T[[#This Row],[BONI COMPTABLE]]&lt;&gt;0,1,"")</f>
        <v/>
      </c>
      <c r="AY19" s="190" t="str">
        <f>IF(PORTEFEUILLE_AURELIE_T[[#This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SUM(PORTEFEUILLE_AURELIE_T[[#This Row],[PCR COMPTABLE €]:[MONTANT
RESPONSABLE RELATION CLIENT €]])-PORTEFEUILLE_AURELIE_T[[#This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0" s="188" t="str">
        <f>IF(PORTEFEUILLE_AURELIE_T[[#This Row],[BONI AAC]]&lt;&gt;0,1,"")</f>
        <v/>
      </c>
      <c r="AU20" s="188" t="str">
        <f>IF(PORTEFEUILLE_AURELIE_T[[#This Row],[MALI AAC]]&lt;&gt;0,1,"")</f>
        <v/>
      </c>
      <c r="AV20" s="225">
        <f>IF(AP20&lt;&gt;"",IF((AP20*Paramètres!$H$4)-PORTEFEUILLE_AURELIE_T[[#This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€]]-(DELPHINE!AP19*Paramètres!$H$4),0),0)</f>
        <v>0</v>
      </c>
      <c r="AW20" s="225">
        <f>IF(AP20&lt;&gt;"",IF(((AP20*Paramètres!$H$4)-PORTEFEUILLE_AURELIE_T[[#This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0" s="190" t="str">
        <f>IF(PORTEFEUILLE_AURELIE_T[[#This Row],[BONI COMPTABLE]]&lt;&gt;0,1,"")</f>
        <v/>
      </c>
      <c r="AY20" s="190" t="str">
        <f>IF(PORTEFEUILLE_AURELIE_T[[#This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SUM(PORTEFEUILLE_AURELIE_T[[#This Row],[PCR COMPTABLE €]:[MONTANT
RESPONSABLE RELATION CLIENT €]])-PORTEFEUILLE_AURELIE_T[[#This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1" s="188" t="str">
        <f>IF(PORTEFEUILLE_AURELIE_T[[#This Row],[BONI AAC]]&lt;&gt;0,1,"")</f>
        <v/>
      </c>
      <c r="AU21" s="188" t="str">
        <f>IF(PORTEFEUILLE_AURELIE_T[[#This Row],[MALI AAC]]&lt;&gt;0,1,"")</f>
        <v/>
      </c>
      <c r="AV21" s="225">
        <f>IF(AP21&lt;&gt;"",IF((AP21*Paramètres!$H$4)-PORTEFEUILLE_AURELIE_T[[#This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€]]-(DELPHINE!AP20*Paramètres!$H$4),0),0)</f>
        <v>0</v>
      </c>
      <c r="AW21" s="225">
        <f>IF(AP21&lt;&gt;"",IF(((AP21*Paramètres!$H$4)-PORTEFEUILLE_AURELIE_T[[#This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1" s="190" t="str">
        <f>IF(PORTEFEUILLE_AURELIE_T[[#This Row],[BONI COMPTABLE]]&lt;&gt;0,1,"")</f>
        <v/>
      </c>
      <c r="AY21" s="190" t="str">
        <f>IF(PORTEFEUILLE_AURELIE_T[[#This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SUM(PORTEFEUILLE_AURELIE_T[[#This Row],[PCR COMPTABLE €]:[MONTANT
RESPONSABLE RELATION CLIENT €]])-PORTEFEUILLE_AURELIE_T[[#This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2" s="188" t="str">
        <f>IF(PORTEFEUILLE_AURELIE_T[[#This Row],[BONI AAC]]&lt;&gt;0,1,"")</f>
        <v/>
      </c>
      <c r="AU22" s="188" t="str">
        <f>IF(PORTEFEUILLE_AURELIE_T[[#This Row],[MALI AAC]]&lt;&gt;0,1,"")</f>
        <v/>
      </c>
      <c r="AV22" s="225">
        <f>IF(AP22&lt;&gt;"",IF((AP22*Paramètres!$H$4)-PORTEFEUILLE_AURELIE_T[[#This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€]]-(DELPHINE!AP21*Paramètres!$H$4),0),0)</f>
        <v>0</v>
      </c>
      <c r="AW22" s="225">
        <f>IF(AP22&lt;&gt;"",IF(((AP22*Paramètres!$H$4)-PORTEFEUILLE_AURELIE_T[[#This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2" s="190" t="str">
        <f>IF(PORTEFEUILLE_AURELIE_T[[#This Row],[BONI COMPTABLE]]&lt;&gt;0,1,"")</f>
        <v/>
      </c>
      <c r="AY22" s="190" t="str">
        <f>IF(PORTEFEUILLE_AURELIE_T[[#This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SUM(PORTEFEUILLE_AURELIE_T[[#This Row],[PCR COMPTABLE €]:[MONTANT
RESPONSABLE RELATION CLIENT €]])-PORTEFEUILLE_AURELIE_T[[#This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3" s="188" t="str">
        <f>IF(PORTEFEUILLE_AURELIE_T[[#This Row],[BONI AAC]]&lt;&gt;0,1,"")</f>
        <v/>
      </c>
      <c r="AU23" s="188" t="str">
        <f>IF(PORTEFEUILLE_AURELIE_T[[#This Row],[MALI AAC]]&lt;&gt;0,1,"")</f>
        <v/>
      </c>
      <c r="AV23" s="225">
        <f>IF(AP23&lt;&gt;"",IF((AP23*Paramètres!$H$4)-PORTEFEUILLE_AURELIE_T[[#This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€]]-(DELPHINE!AP22*Paramètres!$H$4),0),0)</f>
        <v>0</v>
      </c>
      <c r="AW23" s="225">
        <f>IF(AP23&lt;&gt;"",IF(((AP23*Paramètres!$H$4)-PORTEFEUILLE_AURELIE_T[[#This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3" s="190" t="str">
        <f>IF(PORTEFEUILLE_AURELIE_T[[#This Row],[BONI COMPTABLE]]&lt;&gt;0,1,"")</f>
        <v/>
      </c>
      <c r="AY23" s="190" t="str">
        <f>IF(PORTEFEUILLE_AURELIE_T[[#This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SUM(PORTEFEUILLE_AURELIE_T[[#This Row],[PCR COMPTABLE €]:[MONTANT
RESPONSABLE RELATION CLIENT €]])-PORTEFEUILLE_AURELIE_T[[#This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4" s="188" t="str">
        <f>IF(PORTEFEUILLE_AURELIE_T[[#This Row],[BONI AAC]]&lt;&gt;0,1,"")</f>
        <v/>
      </c>
      <c r="AU24" s="188" t="str">
        <f>IF(PORTEFEUILLE_AURELIE_T[[#This Row],[MALI AAC]]&lt;&gt;0,1,"")</f>
        <v/>
      </c>
      <c r="AV24" s="225">
        <f>IF(AP24&lt;&gt;"",IF((AP24*Paramètres!$H$4)-PORTEFEUILLE_AURELIE_T[[#This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€]]-(DELPHINE!AP23*Paramètres!$H$4),0),0)</f>
        <v>0</v>
      </c>
      <c r="AW24" s="225">
        <f>IF(AP24&lt;&gt;"",IF(((AP24*Paramètres!$H$4)-PORTEFEUILLE_AURELIE_T[[#This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4" s="190" t="str">
        <f>IF(PORTEFEUILLE_AURELIE_T[[#This Row],[BONI COMPTABLE]]&lt;&gt;0,1,"")</f>
        <v/>
      </c>
      <c r="AY24" s="190" t="str">
        <f>IF(PORTEFEUILLE_AURELIE_T[[#This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SUM(PORTEFEUILLE_AURELIE_T[[#This Row],[PCR COMPTABLE €]:[MONTANT
RESPONSABLE RELATION CLIENT €]])-PORTEFEUILLE_AURELIE_T[[#This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5" s="188" t="str">
        <f>IF(PORTEFEUILLE_AURELIE_T[[#This Row],[BONI AAC]]&lt;&gt;0,1,"")</f>
        <v/>
      </c>
      <c r="AU25" s="188" t="str">
        <f>IF(PORTEFEUILLE_AURELIE_T[[#This Row],[MALI AAC]]&lt;&gt;0,1,"")</f>
        <v/>
      </c>
      <c r="AV25" s="225">
        <f>IF(AP25&lt;&gt;"",IF((AP25*Paramètres!$H$4)-PORTEFEUILLE_AURELIE_T[[#This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€]]-(DELPHINE!AP24*Paramètres!$H$4),0),0)</f>
        <v>0</v>
      </c>
      <c r="AW25" s="225">
        <f>IF(AP25&lt;&gt;"",IF(((AP25*Paramètres!$H$4)-PORTEFEUILLE_AURELIE_T[[#This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5" s="190" t="str">
        <f>IF(PORTEFEUILLE_AURELIE_T[[#This Row],[BONI COMPTABLE]]&lt;&gt;0,1,"")</f>
        <v/>
      </c>
      <c r="AY25" s="190" t="str">
        <f>IF(PORTEFEUILLE_AURELIE_T[[#This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SUM(PORTEFEUILLE_AURELIE_T[[#This Row],[PCR COMPTABLE €]:[MONTANT
RESPONSABLE RELATION CLIENT €]])-PORTEFEUILLE_AURELIE_T[[#This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6" s="188" t="str">
        <f>IF(PORTEFEUILLE_AURELIE_T[[#This Row],[BONI AAC]]&lt;&gt;0,1,"")</f>
        <v/>
      </c>
      <c r="AU26" s="188" t="str">
        <f>IF(PORTEFEUILLE_AURELIE_T[[#This Row],[MALI AAC]]&lt;&gt;0,1,"")</f>
        <v/>
      </c>
      <c r="AV26" s="225">
        <f>IF(AP26&lt;&gt;"",IF((AP26*Paramètres!$H$4)-PORTEFEUILLE_AURELIE_T[[#This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€]]-(DELPHINE!AP25*Paramètres!$H$4),0),0)</f>
        <v>0</v>
      </c>
      <c r="AW26" s="225">
        <f>IF(AP26&lt;&gt;"",IF(((AP26*Paramètres!$H$4)-PORTEFEUILLE_AURELIE_T[[#This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6" s="190" t="str">
        <f>IF(PORTEFEUILLE_AURELIE_T[[#This Row],[BONI COMPTABLE]]&lt;&gt;0,1,"")</f>
        <v/>
      </c>
      <c r="AY26" s="190" t="str">
        <f>IF(PORTEFEUILLE_AURELIE_T[[#This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SUM(PORTEFEUILLE_AURELIE_T[[#This Row],[PCR COMPTABLE €]:[MONTANT
RESPONSABLE RELATION CLIENT €]])-PORTEFEUILLE_AURELIE_T[[#This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7" s="188" t="str">
        <f>IF(PORTEFEUILLE_AURELIE_T[[#This Row],[BONI AAC]]&lt;&gt;0,1,"")</f>
        <v/>
      </c>
      <c r="AU27" s="188" t="str">
        <f>IF(PORTEFEUILLE_AURELIE_T[[#This Row],[MALI AAC]]&lt;&gt;0,1,"")</f>
        <v/>
      </c>
      <c r="AV27" s="225">
        <f>IF(AP27&lt;&gt;"",IF((AP27*Paramètres!$H$4)-PORTEFEUILLE_AURELIE_T[[#This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€]]-(DELPHINE!AP26*Paramètres!$H$4),0),0)</f>
        <v>0</v>
      </c>
      <c r="AW27" s="225">
        <f>IF(AP27&lt;&gt;"",IF(((AP27*Paramètres!$H$4)-PORTEFEUILLE_AURELIE_T[[#This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7" s="190" t="str">
        <f>IF(PORTEFEUILLE_AURELIE_T[[#This Row],[BONI COMPTABLE]]&lt;&gt;0,1,"")</f>
        <v/>
      </c>
      <c r="AY27" s="190" t="str">
        <f>IF(PORTEFEUILLE_AURELIE_T[[#This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SUM(PORTEFEUILLE_AURELIE_T[[#This Row],[PCR COMPTABLE €]:[MONTANT
RESPONSABLE RELATION CLIENT €]])-PORTEFEUILLE_AURELIE_T[[#This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8" s="188" t="str">
        <f>IF(PORTEFEUILLE_AURELIE_T[[#This Row],[BONI AAC]]&lt;&gt;0,1,"")</f>
        <v/>
      </c>
      <c r="AU28" s="188" t="str">
        <f>IF(PORTEFEUILLE_AURELIE_T[[#This Row],[MALI AAC]]&lt;&gt;0,1,"")</f>
        <v/>
      </c>
      <c r="AV28" s="225">
        <f>IF(AP28&lt;&gt;"",IF((AP28*Paramètres!$H$4)-PORTEFEUILLE_AURELIE_T[[#This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€]]-(DELPHINE!AP27*Paramètres!$H$4),0),0)</f>
        <v>0</v>
      </c>
      <c r="AW28" s="225">
        <f>IF(AP28&lt;&gt;"",IF(((AP28*Paramètres!$H$4)-PORTEFEUILLE_AURELIE_T[[#This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8" s="190" t="str">
        <f>IF(PORTEFEUILLE_AURELIE_T[[#This Row],[BONI COMPTABLE]]&lt;&gt;0,1,"")</f>
        <v/>
      </c>
      <c r="AY28" s="190" t="str">
        <f>IF(PORTEFEUILLE_AURELIE_T[[#This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SUM(PORTEFEUILLE_AURELIE_T[[#This Row],[PCR COMPTABLE €]:[MONTANT
RESPONSABLE RELATION CLIENT €]])-PORTEFEUILLE_AURELIE_T[[#This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9" s="188" t="str">
        <f>IF(PORTEFEUILLE_AURELIE_T[[#This Row],[BONI AAC]]&lt;&gt;0,1,"")</f>
        <v/>
      </c>
      <c r="AU29" s="188" t="str">
        <f>IF(PORTEFEUILLE_AURELIE_T[[#This Row],[MALI AAC]]&lt;&gt;0,1,"")</f>
        <v/>
      </c>
      <c r="AV29" s="225">
        <f>IF(AP29&lt;&gt;"",IF((AP29*Paramètres!$H$4)-PORTEFEUILLE_AURELIE_T[[#This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€]]-(DELPHINE!AP28*Paramètres!$H$4),0),0)</f>
        <v>0</v>
      </c>
      <c r="AW29" s="225">
        <f>IF(AP29&lt;&gt;"",IF(((AP29*Paramètres!$H$4)-PORTEFEUILLE_AURELIE_T[[#This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9" s="190" t="str">
        <f>IF(PORTEFEUILLE_AURELIE_T[[#This Row],[BONI COMPTABLE]]&lt;&gt;0,1,"")</f>
        <v/>
      </c>
      <c r="AY29" s="190" t="str">
        <f>IF(PORTEFEUILLE_AURELIE_T[[#This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SUM(PORTEFEUILLE_AURELIE_T[[#This Row],[PCR COMPTABLE €]:[MONTANT
RESPONSABLE RELATION CLIENT €]])-PORTEFEUILLE_AURELIE_T[[#This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0" s="188" t="str">
        <f>IF(PORTEFEUILLE_AURELIE_T[[#This Row],[BONI AAC]]&lt;&gt;0,1,"")</f>
        <v/>
      </c>
      <c r="AU30" s="188" t="str">
        <f>IF(PORTEFEUILLE_AURELIE_T[[#This Row],[MALI AAC]]&lt;&gt;0,1,"")</f>
        <v/>
      </c>
      <c r="AV30" s="225">
        <f>IF(AP30&lt;&gt;"",IF((AP30*Paramètres!$H$4)-PORTEFEUILLE_AURELIE_T[[#This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€]]-(DELPHINE!AP29*Paramètres!$H$4),0),0)</f>
        <v>0</v>
      </c>
      <c r="AW30" s="225">
        <f>IF(AP30&lt;&gt;"",IF(((AP30*Paramètres!$H$4)-PORTEFEUILLE_AURELIE_T[[#This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0" s="190" t="str">
        <f>IF(PORTEFEUILLE_AURELIE_T[[#This Row],[BONI COMPTABLE]]&lt;&gt;0,1,"")</f>
        <v/>
      </c>
      <c r="AY30" s="190" t="str">
        <f>IF(PORTEFEUILLE_AURELIE_T[[#This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SUM(PORTEFEUILLE_AURELIE_T[[#This Row],[PCR COMPTABLE €]:[MONTANT
RESPONSABLE RELATION CLIENT €]])-PORTEFEUILLE_AURELIE_T[[#This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1" s="188" t="str">
        <f>IF(PORTEFEUILLE_AURELIE_T[[#This Row],[BONI AAC]]&lt;&gt;0,1,"")</f>
        <v/>
      </c>
      <c r="AU31" s="188" t="str">
        <f>IF(PORTEFEUILLE_AURELIE_T[[#This Row],[MALI AAC]]&lt;&gt;0,1,"")</f>
        <v/>
      </c>
      <c r="AV31" s="225">
        <f>IF(AP31&lt;&gt;"",IF((AP31*Paramètres!$H$4)-PORTEFEUILLE_AURELIE_T[[#This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€]]-(DELPHINE!AP30*Paramètres!$H$4),0),0)</f>
        <v>0</v>
      </c>
      <c r="AW31" s="225">
        <f>IF(AP31&lt;&gt;"",IF(((AP31*Paramètres!$H$4)-PORTEFEUILLE_AURELIE_T[[#This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1" s="190" t="str">
        <f>IF(PORTEFEUILLE_AURELIE_T[[#This Row],[BONI COMPTABLE]]&lt;&gt;0,1,"")</f>
        <v/>
      </c>
      <c r="AY31" s="190" t="str">
        <f>IF(PORTEFEUILLE_AURELIE_T[[#This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SUM(PORTEFEUILLE_AURELIE_T[[#This Row],[PCR COMPTABLE €]:[MONTANT
RESPONSABLE RELATION CLIENT €]])-PORTEFEUILLE_AURELIE_T[[#This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2" s="188" t="str">
        <f>IF(PORTEFEUILLE_AURELIE_T[[#This Row],[BONI AAC]]&lt;&gt;0,1,"")</f>
        <v/>
      </c>
      <c r="AU32" s="188" t="str">
        <f>IF(PORTEFEUILLE_AURELIE_T[[#This Row],[MALI AAC]]&lt;&gt;0,1,"")</f>
        <v/>
      </c>
      <c r="AV32" s="225">
        <f>IF(AP32&lt;&gt;"",IF((AP32*Paramètres!$H$4)-PORTEFEUILLE_AURELIE_T[[#This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€]]-(DELPHINE!AP31*Paramètres!$H$4),0),0)</f>
        <v>0</v>
      </c>
      <c r="AW32" s="225">
        <f>IF(AP32&lt;&gt;"",IF(((AP32*Paramètres!$H$4)-PORTEFEUILLE_AURELIE_T[[#This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2" s="190" t="str">
        <f>IF(PORTEFEUILLE_AURELIE_T[[#This Row],[BONI COMPTABLE]]&lt;&gt;0,1,"")</f>
        <v/>
      </c>
      <c r="AY32" s="190" t="str">
        <f>IF(PORTEFEUILLE_AURELIE_T[[#This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SUM(PORTEFEUILLE_AURELIE_T[[#This Row],[PCR COMPTABLE €]:[MONTANT
RESPONSABLE RELATION CLIENT €]])-PORTEFEUILLE_AURELIE_T[[#This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3" s="188" t="str">
        <f>IF(PORTEFEUILLE_AURELIE_T[[#This Row],[BONI AAC]]&lt;&gt;0,1,"")</f>
        <v/>
      </c>
      <c r="AU33" s="188" t="str">
        <f>IF(PORTEFEUILLE_AURELIE_T[[#This Row],[MALI AAC]]&lt;&gt;0,1,"")</f>
        <v/>
      </c>
      <c r="AV33" s="225">
        <f>IF(AP33&lt;&gt;"",IF((AP33*Paramètres!$H$4)-PORTEFEUILLE_AURELIE_T[[#This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€]]-(DELPHINE!AP32*Paramètres!$H$4),0),0)</f>
        <v>0</v>
      </c>
      <c r="AW33" s="225">
        <f>IF(AP33&lt;&gt;"",IF(((AP33*Paramètres!$H$4)-PORTEFEUILLE_AURELIE_T[[#This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3" s="190" t="str">
        <f>IF(PORTEFEUILLE_AURELIE_T[[#This Row],[BONI COMPTABLE]]&lt;&gt;0,1,"")</f>
        <v/>
      </c>
      <c r="AY33" s="190" t="str">
        <f>IF(PORTEFEUILLE_AURELIE_T[[#This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SUM(PORTEFEUILLE_AURELIE_T[[#This Row],[PCR COMPTABLE €]:[MONTANT
RESPONSABLE RELATION CLIENT €]])-PORTEFEUILLE_AURELIE_T[[#This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4" s="188" t="str">
        <f>IF(PORTEFEUILLE_AURELIE_T[[#This Row],[BONI AAC]]&lt;&gt;0,1,"")</f>
        <v/>
      </c>
      <c r="AU34" s="188" t="str">
        <f>IF(PORTEFEUILLE_AURELIE_T[[#This Row],[MALI AAC]]&lt;&gt;0,1,"")</f>
        <v/>
      </c>
      <c r="AV34" s="225">
        <f>IF(AP34&lt;&gt;"",IF((AP34*Paramètres!$H$4)-PORTEFEUILLE_AURELIE_T[[#This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€]]-(DELPHINE!AP33*Paramètres!$H$4),0),0)</f>
        <v>0</v>
      </c>
      <c r="AW34" s="225">
        <f>IF(AP34&lt;&gt;"",IF(((AP34*Paramètres!$H$4)-PORTEFEUILLE_AURELIE_T[[#This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4" s="190" t="str">
        <f>IF(PORTEFEUILLE_AURELIE_T[[#This Row],[BONI COMPTABLE]]&lt;&gt;0,1,"")</f>
        <v/>
      </c>
      <c r="AY34" s="190" t="str">
        <f>IF(PORTEFEUILLE_AURELIE_T[[#This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SUM(PORTEFEUILLE_AURELIE_T[[#This Row],[PCR COMPTABLE €]:[MONTANT
RESPONSABLE RELATION CLIENT €]])-PORTEFEUILLE_AURELIE_T[[#This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5" s="188" t="str">
        <f>IF(PORTEFEUILLE_AURELIE_T[[#This Row],[BONI AAC]]&lt;&gt;0,1,"")</f>
        <v/>
      </c>
      <c r="AU35" s="188" t="str">
        <f>IF(PORTEFEUILLE_AURELIE_T[[#This Row],[MALI AAC]]&lt;&gt;0,1,"")</f>
        <v/>
      </c>
      <c r="AV35" s="225">
        <f>IF(AP35&lt;&gt;"",IF((AP35*Paramètres!$H$4)-PORTEFEUILLE_AURELIE_T[[#This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€]]-(DELPHINE!AP34*Paramètres!$H$4),0),0)</f>
        <v>0</v>
      </c>
      <c r="AW35" s="225">
        <f>IF(AP35&lt;&gt;"",IF(((AP35*Paramètres!$H$4)-PORTEFEUILLE_AURELIE_T[[#This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5" s="190" t="str">
        <f>IF(PORTEFEUILLE_AURELIE_T[[#This Row],[BONI COMPTABLE]]&lt;&gt;0,1,"")</f>
        <v/>
      </c>
      <c r="AY35" s="190" t="str">
        <f>IF(PORTEFEUILLE_AURELIE_T[[#This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SUM(PORTEFEUILLE_AURELIE_T[[#This Row],[PCR COMPTABLE €]:[MONTANT
RESPONSABLE RELATION CLIENT €]])-PORTEFEUILLE_AURELIE_T[[#This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6" s="188" t="str">
        <f>IF(PORTEFEUILLE_AURELIE_T[[#This Row],[BONI AAC]]&lt;&gt;0,1,"")</f>
        <v/>
      </c>
      <c r="AU36" s="188" t="str">
        <f>IF(PORTEFEUILLE_AURELIE_T[[#This Row],[MALI AAC]]&lt;&gt;0,1,"")</f>
        <v/>
      </c>
      <c r="AV36" s="225">
        <f>IF(AP36&lt;&gt;"",IF((AP36*Paramètres!$H$4)-PORTEFEUILLE_AURELIE_T[[#This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€]]-(DELPHINE!AP35*Paramètres!$H$4),0),0)</f>
        <v>0</v>
      </c>
      <c r="AW36" s="225">
        <f>IF(AP36&lt;&gt;"",IF(((AP36*Paramètres!$H$4)-PORTEFEUILLE_AURELIE_T[[#This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6" s="190" t="str">
        <f>IF(PORTEFEUILLE_AURELIE_T[[#This Row],[BONI COMPTABLE]]&lt;&gt;0,1,"")</f>
        <v/>
      </c>
      <c r="AY36" s="190" t="str">
        <f>IF(PORTEFEUILLE_AURELIE_T[[#This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SUM(PORTEFEUILLE_AURELIE_T[[#This Row],[PCR COMPTABLE €]:[MONTANT
RESPONSABLE RELATION CLIENT €]])-PORTEFEUILLE_AURELIE_T[[#This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7" s="188" t="str">
        <f>IF(PORTEFEUILLE_AURELIE_T[[#This Row],[BONI AAC]]&lt;&gt;0,1,"")</f>
        <v/>
      </c>
      <c r="AU37" s="188" t="str">
        <f>IF(PORTEFEUILLE_AURELIE_T[[#This Row],[MALI AAC]]&lt;&gt;0,1,"")</f>
        <v/>
      </c>
      <c r="AV37" s="225">
        <f>IF(AP37&lt;&gt;"",IF((AP37*Paramètres!$H$4)-PORTEFEUILLE_AURELIE_T[[#This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€]]-(DELPHINE!AP36*Paramètres!$H$4),0),0)</f>
        <v>0</v>
      </c>
      <c r="AW37" s="225">
        <f>IF(AP37&lt;&gt;"",IF(((AP37*Paramètres!$H$4)-PORTEFEUILLE_AURELIE_T[[#This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7" s="190" t="str">
        <f>IF(PORTEFEUILLE_AURELIE_T[[#This Row],[BONI COMPTABLE]]&lt;&gt;0,1,"")</f>
        <v/>
      </c>
      <c r="AY37" s="190" t="str">
        <f>IF(PORTEFEUILLE_AURELIE_T[[#This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SUM(PORTEFEUILLE_AURELIE_T[[#This Row],[PCR COMPTABLE €]:[MONTANT
RESPONSABLE RELATION CLIENT €]])-PORTEFEUILLE_AURELIE_T[[#This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8" s="188" t="str">
        <f>IF(PORTEFEUILLE_AURELIE_T[[#This Row],[BONI AAC]]&lt;&gt;0,1,"")</f>
        <v/>
      </c>
      <c r="AU38" s="188" t="str">
        <f>IF(PORTEFEUILLE_AURELIE_T[[#This Row],[MALI AAC]]&lt;&gt;0,1,"")</f>
        <v/>
      </c>
      <c r="AV38" s="225">
        <f>IF(AP38&lt;&gt;"",IF((AP38*Paramètres!$H$4)-PORTEFEUILLE_AURELIE_T[[#This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€]]-(DELPHINE!AP37*Paramètres!$H$4),0),0)</f>
        <v>0</v>
      </c>
      <c r="AW38" s="225">
        <f>IF(AP38&lt;&gt;"",IF(((AP38*Paramètres!$H$4)-PORTEFEUILLE_AURELIE_T[[#This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8" s="190" t="str">
        <f>IF(PORTEFEUILLE_AURELIE_T[[#This Row],[BONI COMPTABLE]]&lt;&gt;0,1,"")</f>
        <v/>
      </c>
      <c r="AY38" s="190" t="str">
        <f>IF(PORTEFEUILLE_AURELIE_T[[#This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SUM(PORTEFEUILLE_AURELIE_T[[#This Row],[PCR COMPTABLE €]:[MONTANT
RESPONSABLE RELATION CLIENT €]])-PORTEFEUILLE_AURELIE_T[[#This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9" s="188" t="str">
        <f>IF(PORTEFEUILLE_AURELIE_T[[#This Row],[BONI AAC]]&lt;&gt;0,1,"")</f>
        <v/>
      </c>
      <c r="AU39" s="188" t="str">
        <f>IF(PORTEFEUILLE_AURELIE_T[[#This Row],[MALI AAC]]&lt;&gt;0,1,"")</f>
        <v/>
      </c>
      <c r="AV39" s="225">
        <f>IF(AP39&lt;&gt;"",IF((AP39*Paramètres!$H$4)-PORTEFEUILLE_AURELIE_T[[#This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€]]-(DELPHINE!AP38*Paramètres!$H$4),0),0)</f>
        <v>0</v>
      </c>
      <c r="AW39" s="225">
        <f>IF(AP39&lt;&gt;"",IF(((AP39*Paramètres!$H$4)-PORTEFEUILLE_AURELIE_T[[#This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9" s="190" t="str">
        <f>IF(PORTEFEUILLE_AURELIE_T[[#This Row],[BONI COMPTABLE]]&lt;&gt;0,1,"")</f>
        <v/>
      </c>
      <c r="AY39" s="190" t="str">
        <f>IF(PORTEFEUILLE_AURELIE_T[[#This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SUM(PORTEFEUILLE_AURELIE_T[[#This Row],[PCR COMPTABLE €]:[MONTANT
RESPONSABLE RELATION CLIENT €]])-PORTEFEUILLE_AURELIE_T[[#This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0" s="188" t="str">
        <f>IF(PORTEFEUILLE_AURELIE_T[[#This Row],[BONI AAC]]&lt;&gt;0,1,"")</f>
        <v/>
      </c>
      <c r="AU40" s="188" t="str">
        <f>IF(PORTEFEUILLE_AURELIE_T[[#This Row],[MALI AAC]]&lt;&gt;0,1,"")</f>
        <v/>
      </c>
      <c r="AV40" s="225">
        <f>IF(AP40&lt;&gt;"",IF((AP40*Paramètres!$H$4)-PORTEFEUILLE_AURELIE_T[[#This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€]]-(DELPHINE!AP39*Paramètres!$H$4),0),0)</f>
        <v>0</v>
      </c>
      <c r="AW40" s="225">
        <f>IF(AP40&lt;&gt;"",IF(((AP40*Paramètres!$H$4)-PORTEFEUILLE_AURELIE_T[[#This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0" s="190" t="str">
        <f>IF(PORTEFEUILLE_AURELIE_T[[#This Row],[BONI COMPTABLE]]&lt;&gt;0,1,"")</f>
        <v/>
      </c>
      <c r="AY40" s="190" t="str">
        <f>IF(PORTEFEUILLE_AURELIE_T[[#This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SUM(PORTEFEUILLE_AURELIE_T[[#This Row],[PCR COMPTABLE €]:[MONTANT
RESPONSABLE RELATION CLIENT €]])-PORTEFEUILLE_AURELIE_T[[#This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1" s="188" t="str">
        <f>IF(PORTEFEUILLE_AURELIE_T[[#This Row],[BONI AAC]]&lt;&gt;0,1,"")</f>
        <v/>
      </c>
      <c r="AU41" s="188" t="str">
        <f>IF(PORTEFEUILLE_AURELIE_T[[#This Row],[MALI AAC]]&lt;&gt;0,1,"")</f>
        <v/>
      </c>
      <c r="AV41" s="225">
        <f>IF(AP41&lt;&gt;"",IF((AP41*Paramètres!$H$4)-PORTEFEUILLE_AURELIE_T[[#This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€]]-(DELPHINE!AP40*Paramètres!$H$4),0),0)</f>
        <v>0</v>
      </c>
      <c r="AW41" s="225">
        <f>IF(AP41&lt;&gt;"",IF(((AP41*Paramètres!$H$4)-PORTEFEUILLE_AURELIE_T[[#This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1" s="190" t="str">
        <f>IF(PORTEFEUILLE_AURELIE_T[[#This Row],[BONI COMPTABLE]]&lt;&gt;0,1,"")</f>
        <v/>
      </c>
      <c r="AY41" s="190" t="str">
        <f>IF(PORTEFEUILLE_AURELIE_T[[#This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SUM(PORTEFEUILLE_AURELIE_T[[#This Row],[PCR COMPTABLE €]:[MONTANT
RESPONSABLE RELATION CLIENT €]])-PORTEFEUILLE_AURELIE_T[[#This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2" s="188" t="str">
        <f>IF(PORTEFEUILLE_AURELIE_T[[#This Row],[BONI AAC]]&lt;&gt;0,1,"")</f>
        <v/>
      </c>
      <c r="AU42" s="188" t="str">
        <f>IF(PORTEFEUILLE_AURELIE_T[[#This Row],[MALI AAC]]&lt;&gt;0,1,"")</f>
        <v/>
      </c>
      <c r="AV42" s="225">
        <f>IF(AP42&lt;&gt;"",IF((AP42*Paramètres!$H$4)-PORTEFEUILLE_AURELIE_T[[#This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€]]-(DELPHINE!AP41*Paramètres!$H$4),0),0)</f>
        <v>0</v>
      </c>
      <c r="AW42" s="225">
        <f>IF(AP42&lt;&gt;"",IF(((AP42*Paramètres!$H$4)-PORTEFEUILLE_AURELIE_T[[#This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2" s="190" t="str">
        <f>IF(PORTEFEUILLE_AURELIE_T[[#This Row],[BONI COMPTABLE]]&lt;&gt;0,1,"")</f>
        <v/>
      </c>
      <c r="AY42" s="190" t="str">
        <f>IF(PORTEFEUILLE_AURELIE_T[[#This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SUM(PORTEFEUILLE_AURELIE_T[[#This Row],[PCR COMPTABLE €]:[MONTANT
RESPONSABLE RELATION CLIENT €]])-PORTEFEUILLE_AURELIE_T[[#This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3" s="188" t="str">
        <f>IF(PORTEFEUILLE_AURELIE_T[[#This Row],[BONI AAC]]&lt;&gt;0,1,"")</f>
        <v/>
      </c>
      <c r="AU43" s="188" t="str">
        <f>IF(PORTEFEUILLE_AURELIE_T[[#This Row],[MALI AAC]]&lt;&gt;0,1,"")</f>
        <v/>
      </c>
      <c r="AV43" s="225">
        <f>IF(AP43&lt;&gt;"",IF((AP43*Paramètres!$H$4)-PORTEFEUILLE_AURELIE_T[[#This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€]]-(DELPHINE!AP42*Paramètres!$H$4),0),0)</f>
        <v>0</v>
      </c>
      <c r="AW43" s="225">
        <f>IF(AP43&lt;&gt;"",IF(((AP43*Paramètres!$H$4)-PORTEFEUILLE_AURELIE_T[[#This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3" s="190" t="str">
        <f>IF(PORTEFEUILLE_AURELIE_T[[#This Row],[BONI COMPTABLE]]&lt;&gt;0,1,"")</f>
        <v/>
      </c>
      <c r="AY43" s="190" t="str">
        <f>IF(PORTEFEUILLE_AURELIE_T[[#This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SUM(PORTEFEUILLE_AURELIE_T[[#This Row],[PCR COMPTABLE €]:[MONTANT
RESPONSABLE RELATION CLIENT €]])-PORTEFEUILLE_AURELIE_T[[#This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4" s="188" t="str">
        <f>IF(PORTEFEUILLE_AURELIE_T[[#This Row],[BONI AAC]]&lt;&gt;0,1,"")</f>
        <v/>
      </c>
      <c r="AU44" s="188" t="str">
        <f>IF(PORTEFEUILLE_AURELIE_T[[#This Row],[MALI AAC]]&lt;&gt;0,1,"")</f>
        <v/>
      </c>
      <c r="AV44" s="225">
        <f>IF(AP44&lt;&gt;"",IF((AP44*Paramètres!$H$4)-PORTEFEUILLE_AURELIE_T[[#This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€]]-(DELPHINE!AP43*Paramètres!$H$4),0),0)</f>
        <v>0</v>
      </c>
      <c r="AW44" s="225">
        <f>IF(AP44&lt;&gt;"",IF(((AP44*Paramètres!$H$4)-PORTEFEUILLE_AURELIE_T[[#This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4" s="190" t="str">
        <f>IF(PORTEFEUILLE_AURELIE_T[[#This Row],[BONI COMPTABLE]]&lt;&gt;0,1,"")</f>
        <v/>
      </c>
      <c r="AY44" s="190" t="str">
        <f>IF(PORTEFEUILLE_AURELIE_T[[#This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SUM(PORTEFEUILLE_AURELIE_T[[#This Row],[PCR COMPTABLE €]:[MONTANT
RESPONSABLE RELATION CLIENT €]])-PORTEFEUILLE_AURELIE_T[[#This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5" s="188" t="str">
        <f>IF(PORTEFEUILLE_AURELIE_T[[#This Row],[BONI AAC]]&lt;&gt;0,1,"")</f>
        <v/>
      </c>
      <c r="AU45" s="188" t="str">
        <f>IF(PORTEFEUILLE_AURELIE_T[[#This Row],[MALI AAC]]&lt;&gt;0,1,"")</f>
        <v/>
      </c>
      <c r="AV45" s="225">
        <f>IF(AP45&lt;&gt;"",IF((AP45*Paramètres!$H$4)-PORTEFEUILLE_AURELIE_T[[#This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€]]-(DELPHINE!AP44*Paramètres!$H$4),0),0)</f>
        <v>0</v>
      </c>
      <c r="AW45" s="225">
        <f>IF(AP45&lt;&gt;"",IF(((AP45*Paramètres!$H$4)-PORTEFEUILLE_AURELIE_T[[#This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5" s="190" t="str">
        <f>IF(PORTEFEUILLE_AURELIE_T[[#This Row],[BONI COMPTABLE]]&lt;&gt;0,1,"")</f>
        <v/>
      </c>
      <c r="AY45" s="190" t="str">
        <f>IF(PORTEFEUILLE_AURELIE_T[[#This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SUM(PORTEFEUILLE_AURELIE_T[[#This Row],[PCR COMPTABLE €]:[MONTANT
RESPONSABLE RELATION CLIENT €]])-PORTEFEUILLE_AURELIE_T[[#This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6" s="188" t="str">
        <f>IF(PORTEFEUILLE_AURELIE_T[[#This Row],[BONI AAC]]&lt;&gt;0,1,"")</f>
        <v/>
      </c>
      <c r="AU46" s="188" t="str">
        <f>IF(PORTEFEUILLE_AURELIE_T[[#This Row],[MALI AAC]]&lt;&gt;0,1,"")</f>
        <v/>
      </c>
      <c r="AV46" s="225">
        <f>IF(AP46&lt;&gt;"",IF((AP46*Paramètres!$H$4)-PORTEFEUILLE_AURELIE_T[[#This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€]]-(DELPHINE!AP45*Paramètres!$H$4),0),0)</f>
        <v>0</v>
      </c>
      <c r="AW46" s="225">
        <f>IF(AP46&lt;&gt;"",IF(((AP46*Paramètres!$H$4)-PORTEFEUILLE_AURELIE_T[[#This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6" s="190" t="str">
        <f>IF(PORTEFEUILLE_AURELIE_T[[#This Row],[BONI COMPTABLE]]&lt;&gt;0,1,"")</f>
        <v/>
      </c>
      <c r="AY46" s="190" t="str">
        <f>IF(PORTEFEUILLE_AURELIE_T[[#This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SUM(PORTEFEUILLE_AURELIE_T[[#This Row],[PCR COMPTABLE €]:[MONTANT
RESPONSABLE RELATION CLIENT €]])-PORTEFEUILLE_AURELIE_T[[#This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7" s="188" t="str">
        <f>IF(PORTEFEUILLE_AURELIE_T[[#This Row],[BONI AAC]]&lt;&gt;0,1,"")</f>
        <v/>
      </c>
      <c r="AU47" s="188" t="str">
        <f>IF(PORTEFEUILLE_AURELIE_T[[#This Row],[MALI AAC]]&lt;&gt;0,1,"")</f>
        <v/>
      </c>
      <c r="AV47" s="225">
        <f>IF(AP47&lt;&gt;"",IF((AP47*Paramètres!$H$4)-PORTEFEUILLE_AURELIE_T[[#This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€]]-(DELPHINE!AP46*Paramètres!$H$4),0),0)</f>
        <v>0</v>
      </c>
      <c r="AW47" s="225">
        <f>IF(AP47&lt;&gt;"",IF(((AP47*Paramètres!$H$4)-PORTEFEUILLE_AURELIE_T[[#This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7" s="190" t="str">
        <f>IF(PORTEFEUILLE_AURELIE_T[[#This Row],[BONI COMPTABLE]]&lt;&gt;0,1,"")</f>
        <v/>
      </c>
      <c r="AY47" s="190" t="str">
        <f>IF(PORTEFEUILLE_AURELIE_T[[#This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SUM(PORTEFEUILLE_AURELIE_T[[#This Row],[PCR COMPTABLE €]:[MONTANT
RESPONSABLE RELATION CLIENT €]])-PORTEFEUILLE_AURELIE_T[[#This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8" s="188" t="str">
        <f>IF(PORTEFEUILLE_AURELIE_T[[#This Row],[BONI AAC]]&lt;&gt;0,1,"")</f>
        <v/>
      </c>
      <c r="AU48" s="188" t="str">
        <f>IF(PORTEFEUILLE_AURELIE_T[[#This Row],[MALI AAC]]&lt;&gt;0,1,"")</f>
        <v/>
      </c>
      <c r="AV48" s="225">
        <f>IF(AP48&lt;&gt;"",IF((AP48*Paramètres!$H$4)-PORTEFEUILLE_AURELIE_T[[#This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€]]-(DELPHINE!AP47*Paramètres!$H$4),0),0)</f>
        <v>0</v>
      </c>
      <c r="AW48" s="225">
        <f>IF(AP48&lt;&gt;"",IF(((AP48*Paramètres!$H$4)-PORTEFEUILLE_AURELIE_T[[#This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8" s="190" t="str">
        <f>IF(PORTEFEUILLE_AURELIE_T[[#This Row],[BONI COMPTABLE]]&lt;&gt;0,1,"")</f>
        <v/>
      </c>
      <c r="AY48" s="190" t="str">
        <f>IF(PORTEFEUILLE_AURELIE_T[[#This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SUM(PORTEFEUILLE_AURELIE_T[[#This Row],[PCR COMPTABLE €]:[MONTANT
RESPONSABLE RELATION CLIENT €]])-PORTEFEUILLE_AURELIE_T[[#This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9" s="188" t="str">
        <f>IF(PORTEFEUILLE_AURELIE_T[[#This Row],[BONI AAC]]&lt;&gt;0,1,"")</f>
        <v/>
      </c>
      <c r="AU49" s="188" t="str">
        <f>IF(PORTEFEUILLE_AURELIE_T[[#This Row],[MALI AAC]]&lt;&gt;0,1,"")</f>
        <v/>
      </c>
      <c r="AV49" s="225">
        <f>IF(AP49&lt;&gt;"",IF((AP49*Paramètres!$H$4)-PORTEFEUILLE_AURELIE_T[[#This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€]]-(DELPHINE!AP48*Paramètres!$H$4),0),0)</f>
        <v>0</v>
      </c>
      <c r="AW49" s="225">
        <f>IF(AP49&lt;&gt;"",IF(((AP49*Paramètres!$H$4)-PORTEFEUILLE_AURELIE_T[[#This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9" s="190" t="str">
        <f>IF(PORTEFEUILLE_AURELIE_T[[#This Row],[BONI COMPTABLE]]&lt;&gt;0,1,"")</f>
        <v/>
      </c>
      <c r="AY49" s="190" t="str">
        <f>IF(PORTEFEUILLE_AURELIE_T[[#This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SUM(PORTEFEUILLE_AURELIE_T[[#This Row],[PCR COMPTABLE €]:[MONTANT
RESPONSABLE RELATION CLIENT €]])-PORTEFEUILLE_AURELIE_T[[#This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0" s="188" t="str">
        <f>IF(PORTEFEUILLE_AURELIE_T[[#This Row],[BONI AAC]]&lt;&gt;0,1,"")</f>
        <v/>
      </c>
      <c r="AU50" s="188" t="str">
        <f>IF(PORTEFEUILLE_AURELIE_T[[#This Row],[MALI AAC]]&lt;&gt;0,1,"")</f>
        <v/>
      </c>
      <c r="AV50" s="225">
        <f>IF(AP50&lt;&gt;"",IF((AP50*Paramètres!$H$4)-PORTEFEUILLE_AURELIE_T[[#This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€]]-(DELPHINE!AP49*Paramètres!$H$4),0),0)</f>
        <v>0</v>
      </c>
      <c r="AW50" s="225">
        <f>IF(AP50&lt;&gt;"",IF(((AP50*Paramètres!$H$4)-PORTEFEUILLE_AURELIE_T[[#This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0" s="190" t="str">
        <f>IF(PORTEFEUILLE_AURELIE_T[[#This Row],[BONI COMPTABLE]]&lt;&gt;0,1,"")</f>
        <v/>
      </c>
      <c r="AY50" s="190" t="str">
        <f>IF(PORTEFEUILLE_AURELIE_T[[#This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SUM(PORTEFEUILLE_AURELIE_T[[#This Row],[PCR COMPTABLE €]:[MONTANT
RESPONSABLE RELATION CLIENT €]])-PORTEFEUILLE_AURELIE_T[[#This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1" s="188" t="str">
        <f>IF(PORTEFEUILLE_AURELIE_T[[#This Row],[BONI AAC]]&lt;&gt;0,1,"")</f>
        <v/>
      </c>
      <c r="AU51" s="188" t="str">
        <f>IF(PORTEFEUILLE_AURELIE_T[[#This Row],[MALI AAC]]&lt;&gt;0,1,"")</f>
        <v/>
      </c>
      <c r="AV51" s="225">
        <f>IF(AP51&lt;&gt;"",IF((AP51*Paramètres!$H$4)-PORTEFEUILLE_AURELIE_T[[#This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€]]-(DELPHINE!AP50*Paramètres!$H$4),0),0)</f>
        <v>0</v>
      </c>
      <c r="AW51" s="225">
        <f>IF(AP51&lt;&gt;"",IF(((AP51*Paramètres!$H$4)-PORTEFEUILLE_AURELIE_T[[#This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1" s="190" t="str">
        <f>IF(PORTEFEUILLE_AURELIE_T[[#This Row],[BONI COMPTABLE]]&lt;&gt;0,1,"")</f>
        <v/>
      </c>
      <c r="AY51" s="190" t="str">
        <f>IF(PORTEFEUILLE_AURELIE_T[[#This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SUM(PORTEFEUILLE_AURELIE_T[[#This Row],[PCR COMPTABLE €]:[MONTANT
RESPONSABLE RELATION CLIENT €]])-PORTEFEUILLE_AURELIE_T[[#This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2" s="188" t="str">
        <f>IF(PORTEFEUILLE_AURELIE_T[[#This Row],[BONI AAC]]&lt;&gt;0,1,"")</f>
        <v/>
      </c>
      <c r="AU52" s="188" t="str">
        <f>IF(PORTEFEUILLE_AURELIE_T[[#This Row],[MALI AAC]]&lt;&gt;0,1,"")</f>
        <v/>
      </c>
      <c r="AV52" s="225">
        <f>IF(AP52&lt;&gt;"",IF((AP52*Paramètres!$H$4)-PORTEFEUILLE_AURELIE_T[[#This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€]]-(DELPHINE!AP51*Paramètres!$H$4),0),0)</f>
        <v>0</v>
      </c>
      <c r="AW52" s="225">
        <f>IF(AP52&lt;&gt;"",IF(((AP52*Paramètres!$H$4)-PORTEFEUILLE_AURELIE_T[[#This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2" s="190" t="str">
        <f>IF(PORTEFEUILLE_AURELIE_T[[#This Row],[BONI COMPTABLE]]&lt;&gt;0,1,"")</f>
        <v/>
      </c>
      <c r="AY52" s="190" t="str">
        <f>IF(PORTEFEUILLE_AURELIE_T[[#This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SUM(PORTEFEUILLE_AURELIE_T[[#This Row],[PCR COMPTABLE €]:[MONTANT
RESPONSABLE RELATION CLIENT €]])-PORTEFEUILLE_AURELIE_T[[#This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3" s="188" t="str">
        <f>IF(PORTEFEUILLE_AURELIE_T[[#This Row],[BONI AAC]]&lt;&gt;0,1,"")</f>
        <v/>
      </c>
      <c r="AU53" s="188" t="str">
        <f>IF(PORTEFEUILLE_AURELIE_T[[#This Row],[MALI AAC]]&lt;&gt;0,1,"")</f>
        <v/>
      </c>
      <c r="AV53" s="225">
        <f>IF(AP53&lt;&gt;"",IF((AP53*Paramètres!$H$4)-PORTEFEUILLE_AURELIE_T[[#This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€]]-(DELPHINE!AP52*Paramètres!$H$4),0),0)</f>
        <v>0</v>
      </c>
      <c r="AW53" s="225">
        <f>IF(AP53&lt;&gt;"",IF(((AP53*Paramètres!$H$4)-PORTEFEUILLE_AURELIE_T[[#This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3" s="190" t="str">
        <f>IF(PORTEFEUILLE_AURELIE_T[[#This Row],[BONI COMPTABLE]]&lt;&gt;0,1,"")</f>
        <v/>
      </c>
      <c r="AY53" s="190" t="str">
        <f>IF(PORTEFEUILLE_AURELIE_T[[#This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SUM(PORTEFEUILLE_AURELIE_T[[#This Row],[PCR COMPTABLE €]:[MONTANT
RESPONSABLE RELATION CLIENT €]])-PORTEFEUILLE_AURELIE_T[[#This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4" s="188" t="str">
        <f>IF(PORTEFEUILLE_AURELIE_T[[#This Row],[BONI AAC]]&lt;&gt;0,1,"")</f>
        <v/>
      </c>
      <c r="AU54" s="188" t="str">
        <f>IF(PORTEFEUILLE_AURELIE_T[[#This Row],[MALI AAC]]&lt;&gt;0,1,"")</f>
        <v/>
      </c>
      <c r="AV54" s="225">
        <f>IF(AP54&lt;&gt;"",IF((AP54*Paramètres!$H$4)-PORTEFEUILLE_AURELIE_T[[#This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€]]-(DELPHINE!AP53*Paramètres!$H$4),0),0)</f>
        <v>0</v>
      </c>
      <c r="AW54" s="225">
        <f>IF(AP54&lt;&gt;"",IF(((AP54*Paramètres!$H$4)-PORTEFEUILLE_AURELIE_T[[#This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4" s="190" t="str">
        <f>IF(PORTEFEUILLE_AURELIE_T[[#This Row],[BONI COMPTABLE]]&lt;&gt;0,1,"")</f>
        <v/>
      </c>
      <c r="AY54" s="190" t="str">
        <f>IF(PORTEFEUILLE_AURELIE_T[[#This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SUM(PORTEFEUILLE_AURELIE_T[[#This Row],[PCR COMPTABLE €]:[MONTANT
RESPONSABLE RELATION CLIENT €]])-PORTEFEUILLE_AURELIE_T[[#This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5" s="188" t="str">
        <f>IF(PORTEFEUILLE_AURELIE_T[[#This Row],[BONI AAC]]&lt;&gt;0,1,"")</f>
        <v/>
      </c>
      <c r="AU55" s="188" t="str">
        <f>IF(PORTEFEUILLE_AURELIE_T[[#This Row],[MALI AAC]]&lt;&gt;0,1,"")</f>
        <v/>
      </c>
      <c r="AV55" s="225">
        <f>IF(AP55&lt;&gt;"",IF((AP55*Paramètres!$H$4)-PORTEFEUILLE_AURELIE_T[[#This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€]]-(DELPHINE!AP54*Paramètres!$H$4),0),0)</f>
        <v>0</v>
      </c>
      <c r="AW55" s="225">
        <f>IF(AP55&lt;&gt;"",IF(((AP55*Paramètres!$H$4)-PORTEFEUILLE_AURELIE_T[[#This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5" s="190" t="str">
        <f>IF(PORTEFEUILLE_AURELIE_T[[#This Row],[BONI COMPTABLE]]&lt;&gt;0,1,"")</f>
        <v/>
      </c>
      <c r="AY55" s="190" t="str">
        <f>IF(PORTEFEUILLE_AURELIE_T[[#This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SUM(PORTEFEUILLE_AURELIE_T[[#This Row],[PCR COMPTABLE €]:[MONTANT
RESPONSABLE RELATION CLIENT €]])-PORTEFEUILLE_AURELIE_T[[#This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6" s="188" t="str">
        <f>IF(PORTEFEUILLE_AURELIE_T[[#This Row],[BONI AAC]]&lt;&gt;0,1,"")</f>
        <v/>
      </c>
      <c r="AU56" s="188" t="str">
        <f>IF(PORTEFEUILLE_AURELIE_T[[#This Row],[MALI AAC]]&lt;&gt;0,1,"")</f>
        <v/>
      </c>
      <c r="AV56" s="225">
        <f>IF(AP56&lt;&gt;"",IF((AP56*Paramètres!$H$4)-PORTEFEUILLE_AURELIE_T[[#This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€]]-(DELPHINE!AP55*Paramètres!$H$4),0),0)</f>
        <v>0</v>
      </c>
      <c r="AW56" s="225">
        <f>IF(AP56&lt;&gt;"",IF(((AP56*Paramètres!$H$4)-PORTEFEUILLE_AURELIE_T[[#This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6" s="190" t="str">
        <f>IF(PORTEFEUILLE_AURELIE_T[[#This Row],[BONI COMPTABLE]]&lt;&gt;0,1,"")</f>
        <v/>
      </c>
      <c r="AY56" s="190" t="str">
        <f>IF(PORTEFEUILLE_AURELIE_T[[#This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SUM(PORTEFEUILLE_AURELIE_T[[#This Row],[PCR COMPTABLE €]:[MONTANT
RESPONSABLE RELATION CLIENT €]])-PORTEFEUILLE_AURELIE_T[[#This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7" s="188" t="str">
        <f>IF(PORTEFEUILLE_AURELIE_T[[#This Row],[BONI AAC]]&lt;&gt;0,1,"")</f>
        <v/>
      </c>
      <c r="AU57" s="188" t="str">
        <f>IF(PORTEFEUILLE_AURELIE_T[[#This Row],[MALI AAC]]&lt;&gt;0,1,"")</f>
        <v/>
      </c>
      <c r="AV57" s="225">
        <f>IF(AP57&lt;&gt;"",IF((AP57*Paramètres!$H$4)-PORTEFEUILLE_AURELIE_T[[#This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€]]-(DELPHINE!AP56*Paramètres!$H$4),0),0)</f>
        <v>0</v>
      </c>
      <c r="AW57" s="225">
        <f>IF(AP57&lt;&gt;"",IF(((AP57*Paramètres!$H$4)-PORTEFEUILLE_AURELIE_T[[#This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7" s="190" t="str">
        <f>IF(PORTEFEUILLE_AURELIE_T[[#This Row],[BONI COMPTABLE]]&lt;&gt;0,1,"")</f>
        <v/>
      </c>
      <c r="AY57" s="190" t="str">
        <f>IF(PORTEFEUILLE_AURELIE_T[[#This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SUM(PORTEFEUILLE_AURELIE_T[[#This Row],[PCR COMPTABLE €]:[MONTANT
RESPONSABLE RELATION CLIENT €]])-PORTEFEUILLE_AURELIE_T[[#This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8" s="188" t="str">
        <f>IF(PORTEFEUILLE_AURELIE_T[[#This Row],[BONI AAC]]&lt;&gt;0,1,"")</f>
        <v/>
      </c>
      <c r="AU58" s="188" t="str">
        <f>IF(PORTEFEUILLE_AURELIE_T[[#This Row],[MALI AAC]]&lt;&gt;0,1,"")</f>
        <v/>
      </c>
      <c r="AV58" s="225">
        <f>IF(AP58&lt;&gt;"",IF((AP58*Paramètres!$H$4)-PORTEFEUILLE_AURELIE_T[[#This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€]]-(DELPHINE!AP57*Paramètres!$H$4),0),0)</f>
        <v>0</v>
      </c>
      <c r="AW58" s="225">
        <f>IF(AP58&lt;&gt;"",IF(((AP58*Paramètres!$H$4)-PORTEFEUILLE_AURELIE_T[[#This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8" s="190" t="str">
        <f>IF(PORTEFEUILLE_AURELIE_T[[#This Row],[BONI COMPTABLE]]&lt;&gt;0,1,"")</f>
        <v/>
      </c>
      <c r="AY58" s="190" t="str">
        <f>IF(PORTEFEUILLE_AURELIE_T[[#This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SUM(PORTEFEUILLE_AURELIE_T[[#This Row],[PCR COMPTABLE €]:[MONTANT
RESPONSABLE RELATION CLIENT €]])-PORTEFEUILLE_AURELIE_T[[#This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9" s="188" t="str">
        <f>IF(PORTEFEUILLE_AURELIE_T[[#This Row],[BONI AAC]]&lt;&gt;0,1,"")</f>
        <v/>
      </c>
      <c r="AU59" s="188" t="str">
        <f>IF(PORTEFEUILLE_AURELIE_T[[#This Row],[MALI AAC]]&lt;&gt;0,1,"")</f>
        <v/>
      </c>
      <c r="AV59" s="225">
        <f>IF(AP59&lt;&gt;"",IF((AP59*Paramètres!$H$4)-PORTEFEUILLE_AURELIE_T[[#This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€]]-(DELPHINE!AP58*Paramètres!$H$4),0),0)</f>
        <v>0</v>
      </c>
      <c r="AW59" s="225">
        <f>IF(AP59&lt;&gt;"",IF(((AP59*Paramètres!$H$4)-PORTEFEUILLE_AURELIE_T[[#This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9" s="190" t="str">
        <f>IF(PORTEFEUILLE_AURELIE_T[[#This Row],[BONI COMPTABLE]]&lt;&gt;0,1,"")</f>
        <v/>
      </c>
      <c r="AY59" s="190" t="str">
        <f>IF(PORTEFEUILLE_AURELIE_T[[#This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SUM(PORTEFEUILLE_AURELIE_T[[#This Row],[PCR COMPTABLE €]:[MONTANT
RESPONSABLE RELATION CLIENT €]])-PORTEFEUILLE_AURELIE_T[[#This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6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60" s="188" t="str">
        <f>IF(PORTEFEUILLE_AURELIE_T[[#This Row],[BONI AAC]]&lt;&gt;0,1,"")</f>
        <v/>
      </c>
      <c r="AU60" s="188" t="str">
        <f>IF(PORTEFEUILLE_AURELIE_T[[#This Row],[MALI AAC]]&lt;&gt;0,1,"")</f>
        <v/>
      </c>
      <c r="AV60" s="225">
        <f>IF(AP60&lt;&gt;"",IF((AP60*Paramètres!$H$4)-PORTEFEUILLE_AURELIE_T[[#This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€]]-(DELPHINE!AP59*Paramètres!$H$4),0),0)</f>
        <v>0</v>
      </c>
      <c r="AW60" s="225">
        <f>IF(AP60&lt;&gt;"",IF(((AP60*Paramètres!$H$4)-PORTEFEUILLE_AURELIE_T[[#This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60" s="190" t="str">
        <f>IF(PORTEFEUILLE_AURELIE_T[[#This Row],[BONI COMPTABLE]]&lt;&gt;0,1,"")</f>
        <v/>
      </c>
      <c r="AY60" s="190" t="str">
        <f>IF(PORTEFEUILLE_AURELIE_T[[#This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47" priority="6">
      <formula>AND(P3&lt;&gt;"",P3&lt;&gt;"OUI")</formula>
    </cfRule>
  </conditionalFormatting>
  <conditionalFormatting sqref="AN3:AO60 S3:AH60">
    <cfRule type="expression" dxfId="46" priority="5" stopIfTrue="1">
      <formula>$AH3&lt;&gt;0</formula>
    </cfRule>
  </conditionalFormatting>
  <conditionalFormatting sqref="A6:E60 C3:E5 A3:A5">
    <cfRule type="expression" dxfId="45" priority="7" stopIfTrue="1">
      <formula>AND($I3&lt;&gt;"",AND($J3="",AND($BA3="",$BB3="")))</formula>
    </cfRule>
    <cfRule type="expression" dxfId="44" priority="8" stopIfTrue="1">
      <formula>AND($J3&lt;&gt;"",AND($BA3="",$BB3=""))</formula>
    </cfRule>
    <cfRule type="expression" dxfId="43" priority="9" stopIfTrue="1">
      <formula>AND($BA3&lt;&gt;"",$BB3="")</formula>
    </cfRule>
    <cfRule type="expression" dxfId="42" priority="10" stopIfTrue="1">
      <formula>$BB3="X"</formula>
    </cfRule>
  </conditionalFormatting>
  <conditionalFormatting sqref="B3:B5">
    <cfRule type="expression" dxfId="41" priority="1" stopIfTrue="1">
      <formula>AND($I3&lt;&gt;"",AND($J3="",AND($BA3="",$BB3="")))</formula>
    </cfRule>
    <cfRule type="expression" dxfId="40" priority="2" stopIfTrue="1">
      <formula>AND($J3&lt;&gt;"",AND($BA3="",$BB3=""))</formula>
    </cfRule>
    <cfRule type="expression" dxfId="39" priority="3" stopIfTrue="1">
      <formula>AND($BA3&lt;&gt;"",$BB3="")</formula>
    </cfRule>
    <cfRule type="expression" dxfId="38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N183"/>
  <sheetViews>
    <sheetView zoomScale="85" zoomScaleNormal="85" workbookViewId="0">
      <pane xSplit="5" ySplit="2" topLeftCell="AH3" activePane="bottomRight" state="frozen"/>
      <selection pane="topRight" activeCell="F1" sqref="F1"/>
      <selection pane="bottomLeft" activeCell="A3" sqref="A3"/>
      <selection pane="bottomRight" activeCell="AM6" sqref="AM6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141</v>
      </c>
      <c r="B3" s="170">
        <v>862009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SUM(PORTEFEUILLE_ERIC[[#This Row],[PCR COMPTABLE €]:[MONTANT
RESPONSABLE RELATION CLIENT €]])-PORTEFEUILLE_ERIC[[#This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88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400</v>
      </c>
      <c r="AT3" s="188" t="str">
        <f>IF(PORTEFEUILLE_ERIC[[#This Row],[BONI AAC]]&lt;&gt;0,1,"")</f>
        <v/>
      </c>
      <c r="AU3" s="188">
        <f>IF(PORTEFEUILLE_ERIC[[#This Row],[MALI AAC]]&lt;&gt;0,1,"")</f>
        <v>1</v>
      </c>
      <c r="AV3" s="225">
        <f>IF(AP3&lt;&gt;"",IF((AP3*Paramètres!$H$4)-PORTEFEUILLE_ERIC[[#This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€]]-(DELPHINE!AP3*Paramètres!$H$4),0),0)</f>
        <v>0</v>
      </c>
      <c r="AW3" s="225">
        <f>IF(AP3&lt;&gt;"",IF(((AP3*Paramètres!$H$4)-PORTEFEUILLE_ERIC[[#This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" s="190" t="str">
        <f>IF(PORTEFEUILLE_ERIC[[#This Row],[BONI COMPTABLE]]&lt;&gt;0,1,"")</f>
        <v/>
      </c>
      <c r="AY3" s="190" t="str">
        <f>IF(PORTEFEUILLE_ERIC[[#This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141</v>
      </c>
      <c r="B4" s="170">
        <v>860112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SUM(PORTEFEUILLE_ERIC[[#This Row],[PCR COMPTABLE €]:[MONTANT
RESPONSABLE RELATION CLIENT €]])-PORTEFEUILLE_ERIC[[#This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88"/>
      <c r="AN4" s="188" t="s">
        <v>199</v>
      </c>
      <c r="AO4" s="188"/>
      <c r="AP4" s="188">
        <v>30</v>
      </c>
      <c r="AQ4" s="188">
        <v>20</v>
      </c>
      <c r="AR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1000</v>
      </c>
      <c r="AT4" s="188" t="str">
        <f>IF(PORTEFEUILLE_ERIC[[#This Row],[BONI AAC]]&lt;&gt;0,1,"")</f>
        <v/>
      </c>
      <c r="AU4" s="188">
        <f>IF(PORTEFEUILLE_ERIC[[#This Row],[MALI AAC]]&lt;&gt;0,1,"")</f>
        <v>1</v>
      </c>
      <c r="AV4" s="225">
        <f>IF(AP4&lt;&gt;"",IF((AP4*Paramètres!$H$4)-PORTEFEUILLE_ERIC[[#This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€]]-(DELPHINE!AP4*Paramètres!$H$4),0),0)</f>
        <v>0</v>
      </c>
      <c r="AW4" s="225">
        <f>IF(AP4&lt;&gt;"",IF(((AP4*Paramètres!$H$4)-PORTEFEUILLE_ERIC[[#This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3000</v>
      </c>
      <c r="AX4" s="190" t="str">
        <f>IF(PORTEFEUILLE_ERIC[[#This Row],[BONI COMPTABLE]]&lt;&gt;0,1,"")</f>
        <v/>
      </c>
      <c r="AY4" s="190">
        <f>IF(PORTEFEUILLE_ERIC[[#This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141</v>
      </c>
      <c r="B5" s="170">
        <v>860083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SUM(PORTEFEUILLE_ERIC[[#This Row],[PCR COMPTABLE €]:[MONTANT
RESPONSABLE RELATION CLIENT €]])-PORTEFEUILLE_ERIC[[#This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88"/>
      <c r="AN5" s="188"/>
      <c r="AO5" s="188"/>
      <c r="AP5" s="188">
        <v>60</v>
      </c>
      <c r="AQ5" s="188">
        <v>60</v>
      </c>
      <c r="AR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2200</v>
      </c>
      <c r="AT5" s="188" t="str">
        <f>IF(PORTEFEUILLE_ERIC[[#This Row],[BONI AAC]]&lt;&gt;0,1,"")</f>
        <v/>
      </c>
      <c r="AU5" s="188">
        <f>IF(PORTEFEUILLE_ERIC[[#This Row],[MALI AAC]]&lt;&gt;0,1,"")</f>
        <v>1</v>
      </c>
      <c r="AV5" s="225">
        <f>IF(AP5&lt;&gt;"",IF((AP5*Paramètres!$H$4)-PORTEFEUILLE_ERIC[[#This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€]]-(DELPHINE!AP5*Paramètres!$H$4),0),0)</f>
        <v>0</v>
      </c>
      <c r="AW5" s="225">
        <f>IF(AP5&lt;&gt;"",IF(((AP5*Paramètres!$H$4)-PORTEFEUILLE_ERIC[[#This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4150</v>
      </c>
      <c r="AX5" s="190" t="str">
        <f>IF(PORTEFEUILLE_ERIC[[#This Row],[BONI COMPTABLE]]&lt;&gt;0,1,"")</f>
        <v/>
      </c>
      <c r="AY5" s="190">
        <f>IF(PORTEFEUILLE_ERIC[[#This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SUM(PORTEFEUILLE_ERIC[[#This Row],[PCR COMPTABLE €]:[MONTANT
RESPONSABLE RELATION CLIENT €]])-PORTEFEUILLE_ERIC[[#This Row],[MONTANT TOTAL LETTRE DE MISION €]]</f>
        <v>0</v>
      </c>
      <c r="AI6" s="191"/>
      <c r="AJ6" s="188"/>
      <c r="AK6" s="188"/>
      <c r="AL6" s="188"/>
      <c r="AM6" s="188"/>
      <c r="AN6" s="188"/>
      <c r="AO6" s="188"/>
      <c r="AP6" s="188"/>
      <c r="AQ6" s="188"/>
      <c r="AR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6" s="188" t="str">
        <f>IF(PORTEFEUILLE_ERIC[[#This Row],[BONI AAC]]&lt;&gt;0,1,"")</f>
        <v/>
      </c>
      <c r="AU6" s="188" t="str">
        <f>IF(PORTEFEUILLE_ERIC[[#This Row],[MALI AAC]]&lt;&gt;0,1,"")</f>
        <v/>
      </c>
      <c r="AV6" s="225">
        <f>IF(AP6&lt;&gt;"",IF((AP6*Paramètres!$H$4)-PORTEFEUILLE_ERIC[[#This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6" s="225">
        <f>IF(AP6&lt;&gt;"",IF(((AP6*Paramètres!$H$4)-PORTEFEUILLE_ERIC[[#This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6" s="190" t="str">
        <f>IF(PORTEFEUILLE_ERIC[[#This Row],[BONI COMPTABLE]]&lt;&gt;0,1,"")</f>
        <v/>
      </c>
      <c r="AY6" s="190" t="str">
        <f>IF(PORTEFEUILLE_ERIC[[#This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SUM(PORTEFEUILLE_ERIC[[#This Row],[PCR COMPTABLE €]:[MONTANT
RESPONSABLE RELATION CLIENT €]])-PORTEFEUILLE_ERIC[[#This Row],[MONTANT TOTAL LETTRE DE MISION €]]</f>
        <v>0</v>
      </c>
      <c r="AI7" s="191"/>
      <c r="AJ7" s="188"/>
      <c r="AK7" s="188"/>
      <c r="AL7" s="188"/>
      <c r="AM7" s="188"/>
      <c r="AN7" s="188"/>
      <c r="AO7" s="188"/>
      <c r="AP7" s="188"/>
      <c r="AQ7" s="188"/>
      <c r="AR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7" s="188" t="str">
        <f>IF(PORTEFEUILLE_ERIC[[#This Row],[BONI AAC]]&lt;&gt;0,1,"")</f>
        <v/>
      </c>
      <c r="AU7" s="188" t="str">
        <f>IF(PORTEFEUILLE_ERIC[[#This Row],[MALI AAC]]&lt;&gt;0,1,"")</f>
        <v/>
      </c>
      <c r="AV7" s="225">
        <f>IF(AP7&lt;&gt;"",IF((AP7*Paramètres!$H$4)-PORTEFEUILLE_ERIC[[#This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€]]-(DELPHINE!AP6*Paramètres!$H$4),0),0)</f>
        <v>0</v>
      </c>
      <c r="AW7" s="225">
        <f>IF(AP7&lt;&gt;"",IF(((AP7*Paramètres!$H$4)-PORTEFEUILLE_ERIC[[#This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7" s="190" t="str">
        <f>IF(PORTEFEUILLE_ERIC[[#This Row],[BONI COMPTABLE]]&lt;&gt;0,1,"")</f>
        <v/>
      </c>
      <c r="AY7" s="190" t="str">
        <f>IF(PORTEFEUILLE_ERIC[[#This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SUM(PORTEFEUILLE_ERIC[[#This Row],[PCR COMPTABLE €]:[MONTANT
RESPONSABLE RELATION CLIENT €]])-PORTEFEUILLE_ERIC[[#This Row],[MONTANT TOTAL LETTRE DE MISION €]]</f>
        <v>0</v>
      </c>
      <c r="AI8" s="191"/>
      <c r="AJ8" s="188"/>
      <c r="AK8" s="188"/>
      <c r="AL8" s="188"/>
      <c r="AM8" s="188"/>
      <c r="AN8" s="188"/>
      <c r="AO8" s="188"/>
      <c r="AP8" s="188"/>
      <c r="AQ8" s="188"/>
      <c r="AR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8" s="188" t="str">
        <f>IF(PORTEFEUILLE_ERIC[[#This Row],[BONI AAC]]&lt;&gt;0,1,"")</f>
        <v/>
      </c>
      <c r="AU8" s="188" t="str">
        <f>IF(PORTEFEUILLE_ERIC[[#This Row],[MALI AAC]]&lt;&gt;0,1,"")</f>
        <v/>
      </c>
      <c r="AV8" s="225">
        <f>IF(AP8&lt;&gt;"",IF((AP8*Paramètres!$H$4)-PORTEFEUILLE_ERIC[[#This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€]]-(DELPHINE!AP7*Paramètres!$H$4),0),0)</f>
        <v>0</v>
      </c>
      <c r="AW8" s="225">
        <f>IF(AP8&lt;&gt;"",IF(((AP8*Paramètres!$H$4)-PORTEFEUILLE_ERIC[[#This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8" s="190" t="str">
        <f>IF(PORTEFEUILLE_ERIC[[#This Row],[BONI COMPTABLE]]&lt;&gt;0,1,"")</f>
        <v/>
      </c>
      <c r="AY8" s="190" t="str">
        <f>IF(PORTEFEUILLE_ERIC[[#This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SUM(PORTEFEUILLE_ERIC[[#This Row],[PCR COMPTABLE €]:[MONTANT
RESPONSABLE RELATION CLIENT €]])-PORTEFEUILLE_ERIC[[#This Row],[MONTANT TOTAL LETTRE DE MISION €]]</f>
        <v>0</v>
      </c>
      <c r="AI9" s="191"/>
      <c r="AJ9" s="188"/>
      <c r="AK9" s="188"/>
      <c r="AL9" s="188"/>
      <c r="AM9" s="188"/>
      <c r="AN9" s="196"/>
      <c r="AO9" s="196"/>
      <c r="AP9" s="196"/>
      <c r="AQ9" s="196"/>
      <c r="AR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9" s="188" t="str">
        <f>IF(PORTEFEUILLE_ERIC[[#This Row],[BONI AAC]]&lt;&gt;0,1,"")</f>
        <v/>
      </c>
      <c r="AU9" s="188" t="str">
        <f>IF(PORTEFEUILLE_ERIC[[#This Row],[MALI AAC]]&lt;&gt;0,1,"")</f>
        <v/>
      </c>
      <c r="AV9" s="225">
        <f>IF(AP9&lt;&gt;"",IF((AP9*Paramètres!$H$4)-PORTEFEUILLE_ERIC[[#This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€]]-(DELPHINE!AP8*Paramètres!$H$4),0),0)</f>
        <v>0</v>
      </c>
      <c r="AW9" s="225">
        <f>IF(AP9&lt;&gt;"",IF(((AP9*Paramètres!$H$4)-PORTEFEUILLE_ERIC[[#This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9" s="190" t="str">
        <f>IF(PORTEFEUILLE_ERIC[[#This Row],[BONI COMPTABLE]]&lt;&gt;0,1,"")</f>
        <v/>
      </c>
      <c r="AY9" s="190" t="str">
        <f>IF(PORTEFEUILLE_ERIC[[#This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SUM(PORTEFEUILLE_ERIC[[#This Row],[PCR COMPTABLE €]:[MONTANT
RESPONSABLE RELATION CLIENT €]])-PORTEFEUILLE_ERIC[[#This Row],[MONTANT TOTAL LETTRE DE MISION €]]</f>
        <v>0</v>
      </c>
      <c r="AI10" s="191"/>
      <c r="AJ10" s="188"/>
      <c r="AK10" s="188"/>
      <c r="AL10" s="188"/>
      <c r="AM10" s="188"/>
      <c r="AN10" s="188"/>
      <c r="AO10" s="188"/>
      <c r="AP10" s="188"/>
      <c r="AQ10" s="188"/>
      <c r="AR1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0" s="188" t="str">
        <f>IF(PORTEFEUILLE_ERIC[[#This Row],[BONI AAC]]&lt;&gt;0,1,"")</f>
        <v/>
      </c>
      <c r="AU10" s="188" t="str">
        <f>IF(PORTEFEUILLE_ERIC[[#This Row],[MALI AAC]]&lt;&gt;0,1,"")</f>
        <v/>
      </c>
      <c r="AV10" s="225">
        <f>IF(AP10&lt;&gt;"",IF((AP10*Paramètres!$H$4)-PORTEFEUILLE_ERIC[[#This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€]]-(DELPHINE!AP9*Paramètres!$H$4),0),0)</f>
        <v>0</v>
      </c>
      <c r="AW10" s="225">
        <f>IF(AP10&lt;&gt;"",IF(((AP10*Paramètres!$H$4)-PORTEFEUILLE_ERIC[[#This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0" s="190" t="str">
        <f>IF(PORTEFEUILLE_ERIC[[#This Row],[BONI COMPTABLE]]&lt;&gt;0,1,"")</f>
        <v/>
      </c>
      <c r="AY10" s="190" t="str">
        <f>IF(PORTEFEUILLE_ERIC[[#This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SUM(PORTEFEUILLE_ERIC[[#This Row],[PCR COMPTABLE €]:[MONTANT
RESPONSABLE RELATION CLIENT €]])-PORTEFEUILLE_ERIC[[#This Row],[MONTANT TOTAL LETTRE DE MISION €]]</f>
        <v>0</v>
      </c>
      <c r="AI11" s="191"/>
      <c r="AJ11" s="188"/>
      <c r="AK11" s="188"/>
      <c r="AL11" s="188"/>
      <c r="AM11" s="188"/>
      <c r="AN11" s="188"/>
      <c r="AO11" s="188"/>
      <c r="AP11" s="188"/>
      <c r="AQ11" s="188"/>
      <c r="AR1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1" s="188" t="str">
        <f>IF(PORTEFEUILLE_ERIC[[#This Row],[BONI AAC]]&lt;&gt;0,1,"")</f>
        <v/>
      </c>
      <c r="AU11" s="188" t="str">
        <f>IF(PORTEFEUILLE_ERIC[[#This Row],[MALI AAC]]&lt;&gt;0,1,"")</f>
        <v/>
      </c>
      <c r="AV11" s="225">
        <f>IF(AP11&lt;&gt;"",IF((AP11*Paramètres!$H$4)-PORTEFEUILLE_ERIC[[#This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€]]-(DELPHINE!AP10*Paramètres!$H$4),0),0)</f>
        <v>0</v>
      </c>
      <c r="AW11" s="225">
        <f>IF(AP11&lt;&gt;"",IF(((AP11*Paramètres!$H$4)-PORTEFEUILLE_ERIC[[#This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1" s="190" t="str">
        <f>IF(PORTEFEUILLE_ERIC[[#This Row],[BONI COMPTABLE]]&lt;&gt;0,1,"")</f>
        <v/>
      </c>
      <c r="AY11" s="190" t="str">
        <f>IF(PORTEFEUILLE_ERIC[[#This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SUM(PORTEFEUILLE_ERIC[[#This Row],[PCR COMPTABLE €]:[MONTANT
RESPONSABLE RELATION CLIENT €]])-PORTEFEUILLE_ERIC[[#This Row],[MONTANT TOTAL LETTRE DE MISION €]]</f>
        <v>0</v>
      </c>
      <c r="AI12" s="191"/>
      <c r="AJ12" s="188"/>
      <c r="AK12" s="188"/>
      <c r="AL12" s="188"/>
      <c r="AM12" s="188"/>
      <c r="AN12" s="188"/>
      <c r="AO12" s="188"/>
      <c r="AP12" s="188"/>
      <c r="AQ12" s="188"/>
      <c r="AR1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2" s="188" t="str">
        <f>IF(PORTEFEUILLE_ERIC[[#This Row],[BONI AAC]]&lt;&gt;0,1,"")</f>
        <v/>
      </c>
      <c r="AU12" s="188" t="str">
        <f>IF(PORTEFEUILLE_ERIC[[#This Row],[MALI AAC]]&lt;&gt;0,1,"")</f>
        <v/>
      </c>
      <c r="AV12" s="225">
        <f>IF(AP12&lt;&gt;"",IF((AP12*Paramètres!$H$4)-PORTEFEUILLE_ERIC[[#This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€]]-(DELPHINE!AP11*Paramètres!$H$4),0),0)</f>
        <v>0</v>
      </c>
      <c r="AW12" s="225">
        <f>IF(AP12&lt;&gt;"",IF(((AP12*Paramètres!$H$4)-PORTEFEUILLE_ERIC[[#This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2" s="190" t="str">
        <f>IF(PORTEFEUILLE_ERIC[[#This Row],[BONI COMPTABLE]]&lt;&gt;0,1,"")</f>
        <v/>
      </c>
      <c r="AY12" s="190" t="str">
        <f>IF(PORTEFEUILLE_ERIC[[#This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SUM(PORTEFEUILLE_ERIC[[#This Row],[PCR COMPTABLE €]:[MONTANT
RESPONSABLE RELATION CLIENT €]])-PORTEFEUILLE_ERIC[[#This Row],[MONTANT TOTAL LETTRE DE MISION €]]</f>
        <v>0</v>
      </c>
      <c r="AI13" s="191"/>
      <c r="AJ13" s="188"/>
      <c r="AK13" s="188"/>
      <c r="AL13" s="188"/>
      <c r="AM13" s="188"/>
      <c r="AN13" s="188"/>
      <c r="AO13" s="188"/>
      <c r="AP13" s="188"/>
      <c r="AQ13" s="188"/>
      <c r="AR1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3" s="188" t="str">
        <f>IF(PORTEFEUILLE_ERIC[[#This Row],[BONI AAC]]&lt;&gt;0,1,"")</f>
        <v/>
      </c>
      <c r="AU13" s="188" t="str">
        <f>IF(PORTEFEUILLE_ERIC[[#This Row],[MALI AAC]]&lt;&gt;0,1,"")</f>
        <v/>
      </c>
      <c r="AV13" s="225">
        <f>IF(AP13&lt;&gt;"",IF((AP13*Paramètres!$H$4)-PORTEFEUILLE_ERIC[[#This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€]]-(DELPHINE!AP12*Paramètres!$H$4),0),0)</f>
        <v>0</v>
      </c>
      <c r="AW13" s="225">
        <f>IF(AP13&lt;&gt;"",IF(((AP13*Paramètres!$H$4)-PORTEFEUILLE_ERIC[[#This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3" s="190" t="str">
        <f>IF(PORTEFEUILLE_ERIC[[#This Row],[BONI COMPTABLE]]&lt;&gt;0,1,"")</f>
        <v/>
      </c>
      <c r="AY13" s="190" t="str">
        <f>IF(PORTEFEUILLE_ERIC[[#This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SUM(PORTEFEUILLE_ERIC[[#This Row],[PCR COMPTABLE €]:[MONTANT
RESPONSABLE RELATION CLIENT €]])-PORTEFEUILLE_ERIC[[#This Row],[MONTANT TOTAL LETTRE DE MISION €]]</f>
        <v>0</v>
      </c>
      <c r="AI14" s="191"/>
      <c r="AJ14" s="188"/>
      <c r="AK14" s="188"/>
      <c r="AL14" s="188"/>
      <c r="AM14" s="188"/>
      <c r="AN14" s="188"/>
      <c r="AO14" s="188"/>
      <c r="AP14" s="188"/>
      <c r="AQ14" s="188"/>
      <c r="AR1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4" s="188" t="str">
        <f>IF(PORTEFEUILLE_ERIC[[#This Row],[BONI AAC]]&lt;&gt;0,1,"")</f>
        <v/>
      </c>
      <c r="AU14" s="188" t="str">
        <f>IF(PORTEFEUILLE_ERIC[[#This Row],[MALI AAC]]&lt;&gt;0,1,"")</f>
        <v/>
      </c>
      <c r="AV14" s="225">
        <f>IF(AP14&lt;&gt;"",IF((AP14*Paramètres!$H$4)-PORTEFEUILLE_ERIC[[#This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€]]-(DELPHINE!AP13*Paramètres!$H$4),0),0)</f>
        <v>0</v>
      </c>
      <c r="AW14" s="225">
        <f>IF(AP14&lt;&gt;"",IF(((AP14*Paramètres!$H$4)-PORTEFEUILLE_ERIC[[#This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4" s="190" t="str">
        <f>IF(PORTEFEUILLE_ERIC[[#This Row],[BONI COMPTABLE]]&lt;&gt;0,1,"")</f>
        <v/>
      </c>
      <c r="AY14" s="190" t="str">
        <f>IF(PORTEFEUILLE_ERIC[[#This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SUM(PORTEFEUILLE_ERIC[[#This Row],[PCR COMPTABLE €]:[MONTANT
RESPONSABLE RELATION CLIENT €]])-PORTEFEUILLE_ERIC[[#This Row],[MONTANT TOTAL LETTRE DE MISION €]]</f>
        <v>0</v>
      </c>
      <c r="AI15" s="191"/>
      <c r="AJ15" s="188"/>
      <c r="AK15" s="188"/>
      <c r="AL15" s="188"/>
      <c r="AM15" s="188"/>
      <c r="AN15" s="188"/>
      <c r="AO15" s="188"/>
      <c r="AP15" s="188"/>
      <c r="AQ15" s="188"/>
      <c r="AR1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5" s="188" t="str">
        <f>IF(PORTEFEUILLE_ERIC[[#This Row],[BONI AAC]]&lt;&gt;0,1,"")</f>
        <v/>
      </c>
      <c r="AU15" s="188" t="str">
        <f>IF(PORTEFEUILLE_ERIC[[#This Row],[MALI AAC]]&lt;&gt;0,1,"")</f>
        <v/>
      </c>
      <c r="AV15" s="225">
        <f>IF(AP15&lt;&gt;"",IF((AP15*Paramètres!$H$4)-PORTEFEUILLE_ERIC[[#This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€]]-(DELPHINE!AP14*Paramètres!$H$4),0),0)</f>
        <v>0</v>
      </c>
      <c r="AW15" s="225">
        <f>IF(AP15&lt;&gt;"",IF(((AP15*Paramètres!$H$4)-PORTEFEUILLE_ERIC[[#This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5" s="190" t="str">
        <f>IF(PORTEFEUILLE_ERIC[[#This Row],[BONI COMPTABLE]]&lt;&gt;0,1,"")</f>
        <v/>
      </c>
      <c r="AY15" s="190" t="str">
        <f>IF(PORTEFEUILLE_ERIC[[#This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SUM(PORTEFEUILLE_ERIC[[#This Row],[PCR COMPTABLE €]:[MONTANT
RESPONSABLE RELATION CLIENT €]])-PORTEFEUILLE_ERIC[[#This Row],[MONTANT TOTAL LETTRE DE MISION €]]</f>
        <v>0</v>
      </c>
      <c r="AI16" s="191"/>
      <c r="AJ16" s="188"/>
      <c r="AK16" s="188"/>
      <c r="AL16" s="188"/>
      <c r="AM16" s="188"/>
      <c r="AN16" s="188"/>
      <c r="AO16" s="188"/>
      <c r="AP16" s="188"/>
      <c r="AQ16" s="188"/>
      <c r="AR1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6" s="188" t="str">
        <f>IF(PORTEFEUILLE_ERIC[[#This Row],[BONI AAC]]&lt;&gt;0,1,"")</f>
        <v/>
      </c>
      <c r="AU16" s="188" t="str">
        <f>IF(PORTEFEUILLE_ERIC[[#This Row],[MALI AAC]]&lt;&gt;0,1,"")</f>
        <v/>
      </c>
      <c r="AV16" s="225">
        <f>IF(AP16&lt;&gt;"",IF((AP16*Paramètres!$H$4)-PORTEFEUILLE_ERIC[[#This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€]]-(DELPHINE!AP15*Paramètres!$H$4),0),0)</f>
        <v>0</v>
      </c>
      <c r="AW16" s="225">
        <f>IF(AP16&lt;&gt;"",IF(((AP16*Paramètres!$H$4)-PORTEFEUILLE_ERIC[[#This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6" s="190" t="str">
        <f>IF(PORTEFEUILLE_ERIC[[#This Row],[BONI COMPTABLE]]&lt;&gt;0,1,"")</f>
        <v/>
      </c>
      <c r="AY16" s="190" t="str">
        <f>IF(PORTEFEUILLE_ERIC[[#This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SUM(PORTEFEUILLE_ERIC[[#This Row],[PCR COMPTABLE €]:[MONTANT
RESPONSABLE RELATION CLIENT €]])-PORTEFEUILLE_ERIC[[#This Row],[MONTANT TOTAL LETTRE DE MISION €]]</f>
        <v>0</v>
      </c>
      <c r="AI17" s="191"/>
      <c r="AJ17" s="188"/>
      <c r="AK17" s="188"/>
      <c r="AL17" s="188"/>
      <c r="AM17" s="188"/>
      <c r="AN17" s="188"/>
      <c r="AO17" s="188"/>
      <c r="AP17" s="188"/>
      <c r="AQ17" s="188"/>
      <c r="AR1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7" s="188" t="str">
        <f>IF(PORTEFEUILLE_ERIC[[#This Row],[BONI AAC]]&lt;&gt;0,1,"")</f>
        <v/>
      </c>
      <c r="AU17" s="188" t="str">
        <f>IF(PORTEFEUILLE_ERIC[[#This Row],[MALI AAC]]&lt;&gt;0,1,"")</f>
        <v/>
      </c>
      <c r="AV17" s="225">
        <f>IF(AP17&lt;&gt;"",IF((AP17*Paramètres!$H$4)-PORTEFEUILLE_ERIC[[#This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€]]-(DELPHINE!AP16*Paramètres!$H$4),0),0)</f>
        <v>0</v>
      </c>
      <c r="AW17" s="225">
        <f>IF(AP17&lt;&gt;"",IF(((AP17*Paramètres!$H$4)-PORTEFEUILLE_ERIC[[#This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7" s="190" t="str">
        <f>IF(PORTEFEUILLE_ERIC[[#This Row],[BONI COMPTABLE]]&lt;&gt;0,1,"")</f>
        <v/>
      </c>
      <c r="AY17" s="190" t="str">
        <f>IF(PORTEFEUILLE_ERIC[[#This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SUM(PORTEFEUILLE_ERIC[[#This Row],[PCR COMPTABLE €]:[MONTANT
RESPONSABLE RELATION CLIENT €]])-PORTEFEUILLE_ERIC[[#This Row],[MONTANT TOTAL LETTRE DE MISION €]]</f>
        <v>0</v>
      </c>
      <c r="AI18" s="191"/>
      <c r="AJ18" s="188"/>
      <c r="AK18" s="188"/>
      <c r="AL18" s="188"/>
      <c r="AM18" s="188"/>
      <c r="AN18" s="188"/>
      <c r="AO18" s="188"/>
      <c r="AP18" s="188"/>
      <c r="AQ18" s="188"/>
      <c r="AR1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8" s="188" t="str">
        <f>IF(PORTEFEUILLE_ERIC[[#This Row],[BONI AAC]]&lt;&gt;0,1,"")</f>
        <v/>
      </c>
      <c r="AU18" s="188" t="str">
        <f>IF(PORTEFEUILLE_ERIC[[#This Row],[MALI AAC]]&lt;&gt;0,1,"")</f>
        <v/>
      </c>
      <c r="AV18" s="225">
        <f>IF(AP18&lt;&gt;"",IF((AP18*Paramètres!$H$4)-PORTEFEUILLE_ERIC[[#This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€]]-(DELPHINE!AP17*Paramètres!$H$4),0),0)</f>
        <v>0</v>
      </c>
      <c r="AW18" s="225">
        <f>IF(AP18&lt;&gt;"",IF(((AP18*Paramètres!$H$4)-PORTEFEUILLE_ERIC[[#This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8" s="190" t="str">
        <f>IF(PORTEFEUILLE_ERIC[[#This Row],[BONI COMPTABLE]]&lt;&gt;0,1,"")</f>
        <v/>
      </c>
      <c r="AY18" s="190" t="str">
        <f>IF(PORTEFEUILLE_ERIC[[#This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SUM(PORTEFEUILLE_ERIC[[#This Row],[PCR COMPTABLE €]:[MONTANT
RESPONSABLE RELATION CLIENT €]])-PORTEFEUILLE_ERIC[[#This Row],[MONTANT TOTAL LETTRE DE MISION €]]</f>
        <v>0</v>
      </c>
      <c r="AI19" s="191"/>
      <c r="AJ19" s="188"/>
      <c r="AK19" s="188"/>
      <c r="AL19" s="188"/>
      <c r="AM19" s="188"/>
      <c r="AN19" s="188"/>
      <c r="AO19" s="188"/>
      <c r="AP19" s="188"/>
      <c r="AQ19" s="188"/>
      <c r="AR1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9" s="188" t="str">
        <f>IF(PORTEFEUILLE_ERIC[[#This Row],[BONI AAC]]&lt;&gt;0,1,"")</f>
        <v/>
      </c>
      <c r="AU19" s="188" t="str">
        <f>IF(PORTEFEUILLE_ERIC[[#This Row],[MALI AAC]]&lt;&gt;0,1,"")</f>
        <v/>
      </c>
      <c r="AV19" s="225">
        <f>IF(AP19&lt;&gt;"",IF((AP19*Paramètres!$H$4)-PORTEFEUILLE_ERIC[[#This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€]]-(DELPHINE!AP18*Paramètres!$H$4),0),0)</f>
        <v>0</v>
      </c>
      <c r="AW19" s="225">
        <f>IF(AP19&lt;&gt;"",IF(((AP19*Paramètres!$H$4)-PORTEFEUILLE_ERIC[[#This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9" s="190" t="str">
        <f>IF(PORTEFEUILLE_ERIC[[#This Row],[BONI COMPTABLE]]&lt;&gt;0,1,"")</f>
        <v/>
      </c>
      <c r="AY19" s="190" t="str">
        <f>IF(PORTEFEUILLE_ERIC[[#This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SUM(PORTEFEUILLE_ERIC[[#This Row],[PCR COMPTABLE €]:[MONTANT
RESPONSABLE RELATION CLIENT €]])-PORTEFEUILLE_ERIC[[#This Row],[MONTANT TOTAL LETTRE DE MISION €]]</f>
        <v>0</v>
      </c>
      <c r="AI20" s="191"/>
      <c r="AJ20" s="188"/>
      <c r="AK20" s="188"/>
      <c r="AL20" s="188"/>
      <c r="AM20" s="188"/>
      <c r="AN20" s="196"/>
      <c r="AO20" s="196"/>
      <c r="AP20" s="196"/>
      <c r="AQ20" s="196"/>
      <c r="AR2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0" s="188" t="str">
        <f>IF(PORTEFEUILLE_ERIC[[#This Row],[BONI AAC]]&lt;&gt;0,1,"")</f>
        <v/>
      </c>
      <c r="AU20" s="188" t="str">
        <f>IF(PORTEFEUILLE_ERIC[[#This Row],[MALI AAC]]&lt;&gt;0,1,"")</f>
        <v/>
      </c>
      <c r="AV20" s="225">
        <f>IF(AP20&lt;&gt;"",IF((AP20*Paramètres!$H$4)-PORTEFEUILLE_ERIC[[#This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€]]-(DELPHINE!AP19*Paramètres!$H$4),0),0)</f>
        <v>0</v>
      </c>
      <c r="AW20" s="225">
        <f>IF(AP20&lt;&gt;"",IF(((AP20*Paramètres!$H$4)-PORTEFEUILLE_ERIC[[#This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0" s="190" t="str">
        <f>IF(PORTEFEUILLE_ERIC[[#This Row],[BONI COMPTABLE]]&lt;&gt;0,1,"")</f>
        <v/>
      </c>
      <c r="AY20" s="190" t="str">
        <f>IF(PORTEFEUILLE_ERIC[[#This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SUM(PORTEFEUILLE_ERIC[[#This Row],[PCR COMPTABLE €]:[MONTANT
RESPONSABLE RELATION CLIENT €]])-PORTEFEUILLE_ERIC[[#This Row],[MONTANT TOTAL LETTRE DE MISION €]]</f>
        <v>0</v>
      </c>
      <c r="AI21" s="191"/>
      <c r="AJ21" s="188"/>
      <c r="AK21" s="188"/>
      <c r="AL21" s="188"/>
      <c r="AM21" s="188"/>
      <c r="AN21" s="188"/>
      <c r="AO21" s="188"/>
      <c r="AP21" s="188"/>
      <c r="AQ21" s="188"/>
      <c r="AR2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1" s="188" t="str">
        <f>IF(PORTEFEUILLE_ERIC[[#This Row],[BONI AAC]]&lt;&gt;0,1,"")</f>
        <v/>
      </c>
      <c r="AU21" s="188" t="str">
        <f>IF(PORTEFEUILLE_ERIC[[#This Row],[MALI AAC]]&lt;&gt;0,1,"")</f>
        <v/>
      </c>
      <c r="AV21" s="225">
        <f>IF(AP21&lt;&gt;"",IF((AP21*Paramètres!$H$4)-PORTEFEUILLE_ERIC[[#This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€]]-(DELPHINE!AP20*Paramètres!$H$4),0),0)</f>
        <v>0</v>
      </c>
      <c r="AW21" s="225">
        <f>IF(AP21&lt;&gt;"",IF(((AP21*Paramètres!$H$4)-PORTEFEUILLE_ERIC[[#This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1" s="190" t="str">
        <f>IF(PORTEFEUILLE_ERIC[[#This Row],[BONI COMPTABLE]]&lt;&gt;0,1,"")</f>
        <v/>
      </c>
      <c r="AY21" s="190" t="str">
        <f>IF(PORTEFEUILLE_ERIC[[#This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SUM(PORTEFEUILLE_ERIC[[#This Row],[PCR COMPTABLE €]:[MONTANT
RESPONSABLE RELATION CLIENT €]])-PORTEFEUILLE_ERIC[[#This Row],[MONTANT TOTAL LETTRE DE MISION €]]</f>
        <v>0</v>
      </c>
      <c r="AI22" s="191"/>
      <c r="AJ22" s="188"/>
      <c r="AK22" s="188"/>
      <c r="AL22" s="188"/>
      <c r="AM22" s="188"/>
      <c r="AN22" s="197"/>
      <c r="AO22" s="197"/>
      <c r="AP22" s="197"/>
      <c r="AQ22" s="197"/>
      <c r="AR2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2" s="188" t="str">
        <f>IF(PORTEFEUILLE_ERIC[[#This Row],[BONI AAC]]&lt;&gt;0,1,"")</f>
        <v/>
      </c>
      <c r="AU22" s="188" t="str">
        <f>IF(PORTEFEUILLE_ERIC[[#This Row],[MALI AAC]]&lt;&gt;0,1,"")</f>
        <v/>
      </c>
      <c r="AV22" s="225">
        <f>IF(AP22&lt;&gt;"",IF((AP22*Paramètres!$H$4)-PORTEFEUILLE_ERIC[[#This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€]]-(DELPHINE!AP21*Paramètres!$H$4),0),0)</f>
        <v>0</v>
      </c>
      <c r="AW22" s="225">
        <f>IF(AP22&lt;&gt;"",IF(((AP22*Paramètres!$H$4)-PORTEFEUILLE_ERIC[[#This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2" s="190" t="str">
        <f>IF(PORTEFEUILLE_ERIC[[#This Row],[BONI COMPTABLE]]&lt;&gt;0,1,"")</f>
        <v/>
      </c>
      <c r="AY22" s="190" t="str">
        <f>IF(PORTEFEUILLE_ERIC[[#This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SUM(PORTEFEUILLE_ERIC[[#This Row],[PCR COMPTABLE €]:[MONTANT
RESPONSABLE RELATION CLIENT €]])-PORTEFEUILLE_ERIC[[#This Row],[MONTANT TOTAL LETTRE DE MISION €]]</f>
        <v>0</v>
      </c>
      <c r="AI23" s="191"/>
      <c r="AJ23" s="188"/>
      <c r="AK23" s="188"/>
      <c r="AL23" s="188"/>
      <c r="AM23" s="188"/>
      <c r="AN23" s="188"/>
      <c r="AO23" s="188"/>
      <c r="AP23" s="188"/>
      <c r="AQ23" s="188"/>
      <c r="AR2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3" s="188" t="str">
        <f>IF(PORTEFEUILLE_ERIC[[#This Row],[BONI AAC]]&lt;&gt;0,1,"")</f>
        <v/>
      </c>
      <c r="AU23" s="188" t="str">
        <f>IF(PORTEFEUILLE_ERIC[[#This Row],[MALI AAC]]&lt;&gt;0,1,"")</f>
        <v/>
      </c>
      <c r="AV23" s="225">
        <f>IF(AP23&lt;&gt;"",IF((AP23*Paramètres!$H$4)-PORTEFEUILLE_ERIC[[#This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€]]-(DELPHINE!AP22*Paramètres!$H$4),0),0)</f>
        <v>0</v>
      </c>
      <c r="AW23" s="225">
        <f>IF(AP23&lt;&gt;"",IF(((AP23*Paramètres!$H$4)-PORTEFEUILLE_ERIC[[#This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3" s="190" t="str">
        <f>IF(PORTEFEUILLE_ERIC[[#This Row],[BONI COMPTABLE]]&lt;&gt;0,1,"")</f>
        <v/>
      </c>
      <c r="AY23" s="190" t="str">
        <f>IF(PORTEFEUILLE_ERIC[[#This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SUM(PORTEFEUILLE_ERIC[[#This Row],[PCR COMPTABLE €]:[MONTANT
RESPONSABLE RELATION CLIENT €]])-PORTEFEUILLE_ERIC[[#This Row],[MONTANT TOTAL LETTRE DE MISION €]]</f>
        <v>0</v>
      </c>
      <c r="AI24" s="191"/>
      <c r="AJ24" s="188"/>
      <c r="AK24" s="188"/>
      <c r="AL24" s="188"/>
      <c r="AM24" s="188"/>
      <c r="AN24" s="196"/>
      <c r="AO24" s="196"/>
      <c r="AP24" s="196"/>
      <c r="AQ24" s="196"/>
      <c r="AR2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4" s="188" t="str">
        <f>IF(PORTEFEUILLE_ERIC[[#This Row],[BONI AAC]]&lt;&gt;0,1,"")</f>
        <v/>
      </c>
      <c r="AU24" s="188" t="str">
        <f>IF(PORTEFEUILLE_ERIC[[#This Row],[MALI AAC]]&lt;&gt;0,1,"")</f>
        <v/>
      </c>
      <c r="AV24" s="225">
        <f>IF(AP24&lt;&gt;"",IF((AP24*Paramètres!$H$4)-PORTEFEUILLE_ERIC[[#This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€]]-(DELPHINE!AP23*Paramètres!$H$4),0),0)</f>
        <v>0</v>
      </c>
      <c r="AW24" s="225">
        <f>IF(AP24&lt;&gt;"",IF(((AP24*Paramètres!$H$4)-PORTEFEUILLE_ERIC[[#This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4" s="190" t="str">
        <f>IF(PORTEFEUILLE_ERIC[[#This Row],[BONI COMPTABLE]]&lt;&gt;0,1,"")</f>
        <v/>
      </c>
      <c r="AY24" s="190" t="str">
        <f>IF(PORTEFEUILLE_ERIC[[#This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SUM(PORTEFEUILLE_ERIC[[#This Row],[PCR COMPTABLE €]:[MONTANT
RESPONSABLE RELATION CLIENT €]])-PORTEFEUILLE_ERIC[[#This Row],[MONTANT TOTAL LETTRE DE MISION €]]</f>
        <v>0</v>
      </c>
      <c r="AI25" s="191"/>
      <c r="AJ25" s="188"/>
      <c r="AK25" s="188"/>
      <c r="AL25" s="188"/>
      <c r="AM25" s="188"/>
      <c r="AN25" s="196"/>
      <c r="AO25" s="196"/>
      <c r="AP25" s="196"/>
      <c r="AQ25" s="196"/>
      <c r="AR2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5" s="188" t="str">
        <f>IF(PORTEFEUILLE_ERIC[[#This Row],[BONI AAC]]&lt;&gt;0,1,"")</f>
        <v/>
      </c>
      <c r="AU25" s="188" t="str">
        <f>IF(PORTEFEUILLE_ERIC[[#This Row],[MALI AAC]]&lt;&gt;0,1,"")</f>
        <v/>
      </c>
      <c r="AV25" s="225">
        <f>IF(AP25&lt;&gt;"",IF((AP25*Paramètres!$H$4)-PORTEFEUILLE_ERIC[[#This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€]]-(DELPHINE!AP24*Paramètres!$H$4),0),0)</f>
        <v>0</v>
      </c>
      <c r="AW25" s="225">
        <f>IF(AP25&lt;&gt;"",IF(((AP25*Paramètres!$H$4)-PORTEFEUILLE_ERIC[[#This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5" s="190" t="str">
        <f>IF(PORTEFEUILLE_ERIC[[#This Row],[BONI COMPTABLE]]&lt;&gt;0,1,"")</f>
        <v/>
      </c>
      <c r="AY25" s="190" t="str">
        <f>IF(PORTEFEUILLE_ERIC[[#This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SUM(PORTEFEUILLE_ERIC[[#This Row],[PCR COMPTABLE €]:[MONTANT
RESPONSABLE RELATION CLIENT €]])-PORTEFEUILLE_ERIC[[#This Row],[MONTANT TOTAL LETTRE DE MISION €]]</f>
        <v>0</v>
      </c>
      <c r="AI26" s="191"/>
      <c r="AJ26" s="188"/>
      <c r="AK26" s="188"/>
      <c r="AL26" s="188"/>
      <c r="AM26" s="188"/>
      <c r="AN26" s="196"/>
      <c r="AO26" s="196"/>
      <c r="AP26" s="196"/>
      <c r="AQ26" s="196"/>
      <c r="AR2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6" s="188" t="str">
        <f>IF(PORTEFEUILLE_ERIC[[#This Row],[BONI AAC]]&lt;&gt;0,1,"")</f>
        <v/>
      </c>
      <c r="AU26" s="188" t="str">
        <f>IF(PORTEFEUILLE_ERIC[[#This Row],[MALI AAC]]&lt;&gt;0,1,"")</f>
        <v/>
      </c>
      <c r="AV26" s="225">
        <f>IF(AP26&lt;&gt;"",IF((AP26*Paramètres!$H$4)-PORTEFEUILLE_ERIC[[#This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€]]-(DELPHINE!AP25*Paramètres!$H$4),0),0)</f>
        <v>0</v>
      </c>
      <c r="AW26" s="225">
        <f>IF(AP26&lt;&gt;"",IF(((AP26*Paramètres!$H$4)-PORTEFEUILLE_ERIC[[#This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6" s="190" t="str">
        <f>IF(PORTEFEUILLE_ERIC[[#This Row],[BONI COMPTABLE]]&lt;&gt;0,1,"")</f>
        <v/>
      </c>
      <c r="AY26" s="190" t="str">
        <f>IF(PORTEFEUILLE_ERIC[[#This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SUM(PORTEFEUILLE_ERIC[[#This Row],[PCR COMPTABLE €]:[MONTANT
RESPONSABLE RELATION CLIENT €]])-PORTEFEUILLE_ERIC[[#This Row],[MONTANT TOTAL LETTRE DE MISION €]]</f>
        <v>0</v>
      </c>
      <c r="AI27" s="191"/>
      <c r="AJ27" s="188"/>
      <c r="AK27" s="188"/>
      <c r="AL27" s="188"/>
      <c r="AM27" s="188"/>
      <c r="AN27" s="196"/>
      <c r="AO27" s="196"/>
      <c r="AP27" s="196"/>
      <c r="AQ27" s="196"/>
      <c r="AR2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7" s="188" t="str">
        <f>IF(PORTEFEUILLE_ERIC[[#This Row],[BONI AAC]]&lt;&gt;0,1,"")</f>
        <v/>
      </c>
      <c r="AU27" s="188" t="str">
        <f>IF(PORTEFEUILLE_ERIC[[#This Row],[MALI AAC]]&lt;&gt;0,1,"")</f>
        <v/>
      </c>
      <c r="AV27" s="225">
        <f>IF(AP27&lt;&gt;"",IF((AP27*Paramètres!$H$4)-PORTEFEUILLE_ERIC[[#This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€]]-(DELPHINE!AP26*Paramètres!$H$4),0),0)</f>
        <v>0</v>
      </c>
      <c r="AW27" s="225">
        <f>IF(AP27&lt;&gt;"",IF(((AP27*Paramètres!$H$4)-PORTEFEUILLE_ERIC[[#This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7" s="190" t="str">
        <f>IF(PORTEFEUILLE_ERIC[[#This Row],[BONI COMPTABLE]]&lt;&gt;0,1,"")</f>
        <v/>
      </c>
      <c r="AY27" s="190" t="str">
        <f>IF(PORTEFEUILLE_ERIC[[#This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SUM(PORTEFEUILLE_ERIC[[#This Row],[PCR COMPTABLE €]:[MONTANT
RESPONSABLE RELATION CLIENT €]])-PORTEFEUILLE_ERIC[[#This Row],[MONTANT TOTAL LETTRE DE MISION €]]</f>
        <v>0</v>
      </c>
      <c r="AI28" s="191"/>
      <c r="AJ28" s="188"/>
      <c r="AK28" s="188"/>
      <c r="AL28" s="188"/>
      <c r="AM28" s="188"/>
      <c r="AN28" s="188"/>
      <c r="AO28" s="188"/>
      <c r="AP28" s="188"/>
      <c r="AQ28" s="188"/>
      <c r="AR2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8" s="188" t="str">
        <f>IF(PORTEFEUILLE_ERIC[[#This Row],[BONI AAC]]&lt;&gt;0,1,"")</f>
        <v/>
      </c>
      <c r="AU28" s="188" t="str">
        <f>IF(PORTEFEUILLE_ERIC[[#This Row],[MALI AAC]]&lt;&gt;0,1,"")</f>
        <v/>
      </c>
      <c r="AV28" s="225">
        <f>IF(AP28&lt;&gt;"",IF((AP28*Paramètres!$H$4)-PORTEFEUILLE_ERIC[[#This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€]]-(DELPHINE!AP27*Paramètres!$H$4),0),0)</f>
        <v>0</v>
      </c>
      <c r="AW28" s="225">
        <f>IF(AP28&lt;&gt;"",IF(((AP28*Paramètres!$H$4)-PORTEFEUILLE_ERIC[[#This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8" s="190" t="str">
        <f>IF(PORTEFEUILLE_ERIC[[#This Row],[BONI COMPTABLE]]&lt;&gt;0,1,"")</f>
        <v/>
      </c>
      <c r="AY28" s="190" t="str">
        <f>IF(PORTEFEUILLE_ERIC[[#This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SUM(PORTEFEUILLE_ERIC[[#This Row],[PCR COMPTABLE €]:[MONTANT
RESPONSABLE RELATION CLIENT €]])-PORTEFEUILLE_ERIC[[#This Row],[MONTANT TOTAL LETTRE DE MISION €]]</f>
        <v>0</v>
      </c>
      <c r="AI29" s="191"/>
      <c r="AJ29" s="188"/>
      <c r="AK29" s="188"/>
      <c r="AL29" s="188"/>
      <c r="AM29" s="188"/>
      <c r="AN29" s="188"/>
      <c r="AO29" s="188"/>
      <c r="AP29" s="188"/>
      <c r="AQ29" s="188"/>
      <c r="AR2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9" s="188" t="str">
        <f>IF(PORTEFEUILLE_ERIC[[#This Row],[BONI AAC]]&lt;&gt;0,1,"")</f>
        <v/>
      </c>
      <c r="AU29" s="188" t="str">
        <f>IF(PORTEFEUILLE_ERIC[[#This Row],[MALI AAC]]&lt;&gt;0,1,"")</f>
        <v/>
      </c>
      <c r="AV29" s="225">
        <f>IF(AP29&lt;&gt;"",IF((AP29*Paramètres!$H$4)-PORTEFEUILLE_ERIC[[#This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€]]-(DELPHINE!AP28*Paramètres!$H$4),0),0)</f>
        <v>0</v>
      </c>
      <c r="AW29" s="225">
        <f>IF(AP29&lt;&gt;"",IF(((AP29*Paramètres!$H$4)-PORTEFEUILLE_ERIC[[#This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9" s="190" t="str">
        <f>IF(PORTEFEUILLE_ERIC[[#This Row],[BONI COMPTABLE]]&lt;&gt;0,1,"")</f>
        <v/>
      </c>
      <c r="AY29" s="190" t="str">
        <f>IF(PORTEFEUILLE_ERIC[[#This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SUM(PORTEFEUILLE_ERIC[[#This Row],[PCR COMPTABLE €]:[MONTANT
RESPONSABLE RELATION CLIENT €]])-PORTEFEUILLE_ERIC[[#This Row],[MONTANT TOTAL LETTRE DE MISION €]]</f>
        <v>0</v>
      </c>
      <c r="AI30" s="191"/>
      <c r="AJ30" s="188"/>
      <c r="AK30" s="188"/>
      <c r="AL30" s="188"/>
      <c r="AM30" s="188"/>
      <c r="AN30" s="188"/>
      <c r="AO30" s="188"/>
      <c r="AP30" s="188"/>
      <c r="AQ30" s="188"/>
      <c r="AR3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0" s="188" t="str">
        <f>IF(PORTEFEUILLE_ERIC[[#This Row],[BONI AAC]]&lt;&gt;0,1,"")</f>
        <v/>
      </c>
      <c r="AU30" s="188" t="str">
        <f>IF(PORTEFEUILLE_ERIC[[#This Row],[MALI AAC]]&lt;&gt;0,1,"")</f>
        <v/>
      </c>
      <c r="AV30" s="225">
        <f>IF(AP30&lt;&gt;"",IF((AP30*Paramètres!$H$4)-PORTEFEUILLE_ERIC[[#This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€]]-(DELPHINE!AP29*Paramètres!$H$4),0),0)</f>
        <v>0</v>
      </c>
      <c r="AW30" s="225">
        <f>IF(AP30&lt;&gt;"",IF(((AP30*Paramètres!$H$4)-PORTEFEUILLE_ERIC[[#This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0" s="190" t="str">
        <f>IF(PORTEFEUILLE_ERIC[[#This Row],[BONI COMPTABLE]]&lt;&gt;0,1,"")</f>
        <v/>
      </c>
      <c r="AY30" s="190" t="str">
        <f>IF(PORTEFEUILLE_ERIC[[#This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SUM(PORTEFEUILLE_ERIC[[#This Row],[PCR COMPTABLE €]:[MONTANT
RESPONSABLE RELATION CLIENT €]])-PORTEFEUILLE_ERIC[[#This Row],[MONTANT TOTAL LETTRE DE MISION €]]</f>
        <v>0</v>
      </c>
      <c r="AI31" s="191"/>
      <c r="AJ31" s="188"/>
      <c r="AK31" s="188"/>
      <c r="AL31" s="188"/>
      <c r="AM31" s="188"/>
      <c r="AN31" s="188"/>
      <c r="AO31" s="188"/>
      <c r="AP31" s="188"/>
      <c r="AQ31" s="188"/>
      <c r="AR3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1" s="188" t="str">
        <f>IF(PORTEFEUILLE_ERIC[[#This Row],[BONI AAC]]&lt;&gt;0,1,"")</f>
        <v/>
      </c>
      <c r="AU31" s="188" t="str">
        <f>IF(PORTEFEUILLE_ERIC[[#This Row],[MALI AAC]]&lt;&gt;0,1,"")</f>
        <v/>
      </c>
      <c r="AV31" s="225">
        <f>IF(AP31&lt;&gt;"",IF((AP31*Paramètres!$H$4)-PORTEFEUILLE_ERIC[[#This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€]]-(DELPHINE!AP30*Paramètres!$H$4),0),0)</f>
        <v>0</v>
      </c>
      <c r="AW31" s="225">
        <f>IF(AP31&lt;&gt;"",IF(((AP31*Paramètres!$H$4)-PORTEFEUILLE_ERIC[[#This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1" s="190" t="str">
        <f>IF(PORTEFEUILLE_ERIC[[#This Row],[BONI COMPTABLE]]&lt;&gt;0,1,"")</f>
        <v/>
      </c>
      <c r="AY31" s="190" t="str">
        <f>IF(PORTEFEUILLE_ERIC[[#This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SUM(PORTEFEUILLE_ERIC[[#This Row],[PCR COMPTABLE €]:[MONTANT
RESPONSABLE RELATION CLIENT €]])-PORTEFEUILLE_ERIC[[#This Row],[MONTANT TOTAL LETTRE DE MISION €]]</f>
        <v>0</v>
      </c>
      <c r="AI32" s="191"/>
      <c r="AJ32" s="188"/>
      <c r="AK32" s="188"/>
      <c r="AL32" s="188"/>
      <c r="AM32" s="188"/>
      <c r="AN32" s="188"/>
      <c r="AO32" s="188"/>
      <c r="AP32" s="188"/>
      <c r="AQ32" s="188"/>
      <c r="AR3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2" s="188" t="str">
        <f>IF(PORTEFEUILLE_ERIC[[#This Row],[BONI AAC]]&lt;&gt;0,1,"")</f>
        <v/>
      </c>
      <c r="AU32" s="188" t="str">
        <f>IF(PORTEFEUILLE_ERIC[[#This Row],[MALI AAC]]&lt;&gt;0,1,"")</f>
        <v/>
      </c>
      <c r="AV32" s="225">
        <f>IF(AP32&lt;&gt;"",IF((AP32*Paramètres!$H$4)-PORTEFEUILLE_ERIC[[#This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€]]-(DELPHINE!AP31*Paramètres!$H$4),0),0)</f>
        <v>0</v>
      </c>
      <c r="AW32" s="225">
        <f>IF(AP32&lt;&gt;"",IF(((AP32*Paramètres!$H$4)-PORTEFEUILLE_ERIC[[#This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2" s="190" t="str">
        <f>IF(PORTEFEUILLE_ERIC[[#This Row],[BONI COMPTABLE]]&lt;&gt;0,1,"")</f>
        <v/>
      </c>
      <c r="AY32" s="190" t="str">
        <f>IF(PORTEFEUILLE_ERIC[[#This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SUM(PORTEFEUILLE_ERIC[[#This Row],[PCR COMPTABLE €]:[MONTANT
RESPONSABLE RELATION CLIENT €]])-PORTEFEUILLE_ERIC[[#This Row],[MONTANT TOTAL LETTRE DE MISION €]]</f>
        <v>0</v>
      </c>
      <c r="AI33" s="191"/>
      <c r="AJ33" s="188"/>
      <c r="AK33" s="188"/>
      <c r="AL33" s="188"/>
      <c r="AM33" s="188"/>
      <c r="AN33" s="196"/>
      <c r="AO33" s="196"/>
      <c r="AP33" s="196"/>
      <c r="AQ33" s="196"/>
      <c r="AR3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3" s="188" t="str">
        <f>IF(PORTEFEUILLE_ERIC[[#This Row],[BONI AAC]]&lt;&gt;0,1,"")</f>
        <v/>
      </c>
      <c r="AU33" s="188" t="str">
        <f>IF(PORTEFEUILLE_ERIC[[#This Row],[MALI AAC]]&lt;&gt;0,1,"")</f>
        <v/>
      </c>
      <c r="AV33" s="225">
        <f>IF(AP33&lt;&gt;"",IF((AP33*Paramètres!$H$4)-PORTEFEUILLE_ERIC[[#This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€]]-(DELPHINE!AP32*Paramètres!$H$4),0),0)</f>
        <v>0</v>
      </c>
      <c r="AW33" s="225">
        <f>IF(AP33&lt;&gt;"",IF(((AP33*Paramètres!$H$4)-PORTEFEUILLE_ERIC[[#This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3" s="190" t="str">
        <f>IF(PORTEFEUILLE_ERIC[[#This Row],[BONI COMPTABLE]]&lt;&gt;0,1,"")</f>
        <v/>
      </c>
      <c r="AY33" s="190" t="str">
        <f>IF(PORTEFEUILLE_ERIC[[#This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SUM(PORTEFEUILLE_ERIC[[#This Row],[PCR COMPTABLE €]:[MONTANT
RESPONSABLE RELATION CLIENT €]])-PORTEFEUILLE_ERIC[[#This Row],[MONTANT TOTAL LETTRE DE MISION €]]</f>
        <v>0</v>
      </c>
      <c r="AI34" s="191"/>
      <c r="AJ34" s="188"/>
      <c r="AK34" s="188"/>
      <c r="AL34" s="188"/>
      <c r="AM34" s="188"/>
      <c r="AN34" s="196"/>
      <c r="AO34" s="196"/>
      <c r="AP34" s="196"/>
      <c r="AQ34" s="196"/>
      <c r="AR3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4" s="188" t="str">
        <f>IF(PORTEFEUILLE_ERIC[[#This Row],[BONI AAC]]&lt;&gt;0,1,"")</f>
        <v/>
      </c>
      <c r="AU34" s="188" t="str">
        <f>IF(PORTEFEUILLE_ERIC[[#This Row],[MALI AAC]]&lt;&gt;0,1,"")</f>
        <v/>
      </c>
      <c r="AV34" s="225">
        <f>IF(AP34&lt;&gt;"",IF((AP34*Paramètres!$H$4)-PORTEFEUILLE_ERIC[[#This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€]]-(DELPHINE!AP33*Paramètres!$H$4),0),0)</f>
        <v>0</v>
      </c>
      <c r="AW34" s="225">
        <f>IF(AP34&lt;&gt;"",IF(((AP34*Paramètres!$H$4)-PORTEFEUILLE_ERIC[[#This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4" s="190" t="str">
        <f>IF(PORTEFEUILLE_ERIC[[#This Row],[BONI COMPTABLE]]&lt;&gt;0,1,"")</f>
        <v/>
      </c>
      <c r="AY34" s="190" t="str">
        <f>IF(PORTEFEUILLE_ERIC[[#This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SUM(PORTEFEUILLE_ERIC[[#This Row],[PCR COMPTABLE €]:[MONTANT
RESPONSABLE RELATION CLIENT €]])-PORTEFEUILLE_ERIC[[#This Row],[MONTANT TOTAL LETTRE DE MISION €]]</f>
        <v>0</v>
      </c>
      <c r="AI35" s="191"/>
      <c r="AJ35" s="188"/>
      <c r="AK35" s="188"/>
      <c r="AL35" s="188"/>
      <c r="AM35" s="188"/>
      <c r="AN35" s="188"/>
      <c r="AO35" s="188"/>
      <c r="AP35" s="188"/>
      <c r="AQ35" s="188"/>
      <c r="AR3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5" s="188" t="str">
        <f>IF(PORTEFEUILLE_ERIC[[#This Row],[BONI AAC]]&lt;&gt;0,1,"")</f>
        <v/>
      </c>
      <c r="AU35" s="188" t="str">
        <f>IF(PORTEFEUILLE_ERIC[[#This Row],[MALI AAC]]&lt;&gt;0,1,"")</f>
        <v/>
      </c>
      <c r="AV35" s="225">
        <f>IF(AP35&lt;&gt;"",IF((AP35*Paramètres!$H$4)-PORTEFEUILLE_ERIC[[#This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€]]-(DELPHINE!AP34*Paramètres!$H$4),0),0)</f>
        <v>0</v>
      </c>
      <c r="AW35" s="225">
        <f>IF(AP35&lt;&gt;"",IF(((AP35*Paramètres!$H$4)-PORTEFEUILLE_ERIC[[#This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5" s="190" t="str">
        <f>IF(PORTEFEUILLE_ERIC[[#This Row],[BONI COMPTABLE]]&lt;&gt;0,1,"")</f>
        <v/>
      </c>
      <c r="AY35" s="190" t="str">
        <f>IF(PORTEFEUILLE_ERIC[[#This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SUM(PORTEFEUILLE_ERIC[[#This Row],[PCR COMPTABLE €]:[MONTANT
RESPONSABLE RELATION CLIENT €]])-PORTEFEUILLE_ERIC[[#This Row],[MONTANT TOTAL LETTRE DE MISION €]]</f>
        <v>0</v>
      </c>
      <c r="AI36" s="191"/>
      <c r="AJ36" s="188"/>
      <c r="AK36" s="188"/>
      <c r="AL36" s="188"/>
      <c r="AM36" s="188"/>
      <c r="AN36" s="188"/>
      <c r="AO36" s="188"/>
      <c r="AP36" s="188"/>
      <c r="AQ36" s="188"/>
      <c r="AR3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6" s="188" t="str">
        <f>IF(PORTEFEUILLE_ERIC[[#This Row],[BONI AAC]]&lt;&gt;0,1,"")</f>
        <v/>
      </c>
      <c r="AU36" s="188" t="str">
        <f>IF(PORTEFEUILLE_ERIC[[#This Row],[MALI AAC]]&lt;&gt;0,1,"")</f>
        <v/>
      </c>
      <c r="AV36" s="225">
        <f>IF(AP36&lt;&gt;"",IF((AP36*Paramètres!$H$4)-PORTEFEUILLE_ERIC[[#This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€]]-(DELPHINE!AP35*Paramètres!$H$4),0),0)</f>
        <v>0</v>
      </c>
      <c r="AW36" s="225">
        <f>IF(AP36&lt;&gt;"",IF(((AP36*Paramètres!$H$4)-PORTEFEUILLE_ERIC[[#This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6" s="190" t="str">
        <f>IF(PORTEFEUILLE_ERIC[[#This Row],[BONI COMPTABLE]]&lt;&gt;0,1,"")</f>
        <v/>
      </c>
      <c r="AY36" s="190" t="str">
        <f>IF(PORTEFEUILLE_ERIC[[#This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SUM(PORTEFEUILLE_ERIC[[#This Row],[PCR COMPTABLE €]:[MONTANT
RESPONSABLE RELATION CLIENT €]])-PORTEFEUILLE_ERIC[[#This Row],[MONTANT TOTAL LETTRE DE MISION €]]</f>
        <v>0</v>
      </c>
      <c r="AI37" s="191"/>
      <c r="AJ37" s="188"/>
      <c r="AK37" s="188"/>
      <c r="AL37" s="188"/>
      <c r="AM37" s="188"/>
      <c r="AN37" s="188"/>
      <c r="AO37" s="188"/>
      <c r="AP37" s="188"/>
      <c r="AQ37" s="188"/>
      <c r="AR3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7" s="188" t="str">
        <f>IF(PORTEFEUILLE_ERIC[[#This Row],[BONI AAC]]&lt;&gt;0,1,"")</f>
        <v/>
      </c>
      <c r="AU37" s="188" t="str">
        <f>IF(PORTEFEUILLE_ERIC[[#This Row],[MALI AAC]]&lt;&gt;0,1,"")</f>
        <v/>
      </c>
      <c r="AV37" s="225">
        <f>IF(AP37&lt;&gt;"",IF((AP37*Paramètres!$H$4)-PORTEFEUILLE_ERIC[[#This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€]]-(DELPHINE!AP36*Paramètres!$H$4),0),0)</f>
        <v>0</v>
      </c>
      <c r="AW37" s="225">
        <f>IF(AP37&lt;&gt;"",IF(((AP37*Paramètres!$H$4)-PORTEFEUILLE_ERIC[[#This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7" s="190" t="str">
        <f>IF(PORTEFEUILLE_ERIC[[#This Row],[BONI COMPTABLE]]&lt;&gt;0,1,"")</f>
        <v/>
      </c>
      <c r="AY37" s="190" t="str">
        <f>IF(PORTEFEUILLE_ERIC[[#This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SUM(PORTEFEUILLE_ERIC[[#This Row],[PCR COMPTABLE €]:[MONTANT
RESPONSABLE RELATION CLIENT €]])-PORTEFEUILLE_ERIC[[#This Row],[MONTANT TOTAL LETTRE DE MISION €]]</f>
        <v>0</v>
      </c>
      <c r="AI38" s="191"/>
      <c r="AJ38" s="188"/>
      <c r="AK38" s="188"/>
      <c r="AL38" s="188"/>
      <c r="AM38" s="188"/>
      <c r="AN38" s="188"/>
      <c r="AO38" s="188"/>
      <c r="AP38" s="188"/>
      <c r="AQ38" s="188"/>
      <c r="AR3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8" s="188" t="str">
        <f>IF(PORTEFEUILLE_ERIC[[#This Row],[BONI AAC]]&lt;&gt;0,1,"")</f>
        <v/>
      </c>
      <c r="AU38" s="188" t="str">
        <f>IF(PORTEFEUILLE_ERIC[[#This Row],[MALI AAC]]&lt;&gt;0,1,"")</f>
        <v/>
      </c>
      <c r="AV38" s="225">
        <f>IF(AP38&lt;&gt;"",IF((AP38*Paramètres!$H$4)-PORTEFEUILLE_ERIC[[#This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€]]-(DELPHINE!AP37*Paramètres!$H$4),0),0)</f>
        <v>0</v>
      </c>
      <c r="AW38" s="225">
        <f>IF(AP38&lt;&gt;"",IF(((AP38*Paramètres!$H$4)-PORTEFEUILLE_ERIC[[#This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8" s="190" t="str">
        <f>IF(PORTEFEUILLE_ERIC[[#This Row],[BONI COMPTABLE]]&lt;&gt;0,1,"")</f>
        <v/>
      </c>
      <c r="AY38" s="190" t="str">
        <f>IF(PORTEFEUILLE_ERIC[[#This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SUM(PORTEFEUILLE_ERIC[[#This Row],[PCR COMPTABLE €]:[MONTANT
RESPONSABLE RELATION CLIENT €]])-PORTEFEUILLE_ERIC[[#This Row],[MONTANT TOTAL LETTRE DE MISION €]]</f>
        <v>0</v>
      </c>
      <c r="AI39" s="191"/>
      <c r="AJ39" s="188"/>
      <c r="AK39" s="188"/>
      <c r="AL39" s="188"/>
      <c r="AM39" s="188"/>
      <c r="AN39" s="188"/>
      <c r="AO39" s="188"/>
      <c r="AP39" s="188"/>
      <c r="AQ39" s="188"/>
      <c r="AR3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9" s="188" t="str">
        <f>IF(PORTEFEUILLE_ERIC[[#This Row],[BONI AAC]]&lt;&gt;0,1,"")</f>
        <v/>
      </c>
      <c r="AU39" s="188" t="str">
        <f>IF(PORTEFEUILLE_ERIC[[#This Row],[MALI AAC]]&lt;&gt;0,1,"")</f>
        <v/>
      </c>
      <c r="AV39" s="225">
        <f>IF(AP39&lt;&gt;"",IF((AP39*Paramètres!$H$4)-PORTEFEUILLE_ERIC[[#This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€]]-(DELPHINE!AP38*Paramètres!$H$4),0),0)</f>
        <v>0</v>
      </c>
      <c r="AW39" s="225">
        <f>IF(AP39&lt;&gt;"",IF(((AP39*Paramètres!$H$4)-PORTEFEUILLE_ERIC[[#This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9" s="190" t="str">
        <f>IF(PORTEFEUILLE_ERIC[[#This Row],[BONI COMPTABLE]]&lt;&gt;0,1,"")</f>
        <v/>
      </c>
      <c r="AY39" s="190" t="str">
        <f>IF(PORTEFEUILLE_ERIC[[#This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SUM(PORTEFEUILLE_ERIC[[#This Row],[PCR COMPTABLE €]:[MONTANT
RESPONSABLE RELATION CLIENT €]])-PORTEFEUILLE_ERIC[[#This Row],[MONTANT TOTAL LETTRE DE MISION €]]</f>
        <v>0</v>
      </c>
      <c r="AI40" s="191"/>
      <c r="AJ40" s="188"/>
      <c r="AK40" s="188"/>
      <c r="AL40" s="188"/>
      <c r="AM40" s="188"/>
      <c r="AN40" s="188"/>
      <c r="AO40" s="188"/>
      <c r="AP40" s="188"/>
      <c r="AQ40" s="188"/>
      <c r="AR4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0" s="188" t="str">
        <f>IF(PORTEFEUILLE_ERIC[[#This Row],[BONI AAC]]&lt;&gt;0,1,"")</f>
        <v/>
      </c>
      <c r="AU40" s="188" t="str">
        <f>IF(PORTEFEUILLE_ERIC[[#This Row],[MALI AAC]]&lt;&gt;0,1,"")</f>
        <v/>
      </c>
      <c r="AV40" s="225">
        <f>IF(AP40&lt;&gt;"",IF((AP40*Paramètres!$H$4)-PORTEFEUILLE_ERIC[[#This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€]]-(DELPHINE!AP39*Paramètres!$H$4),0),0)</f>
        <v>0</v>
      </c>
      <c r="AW40" s="225">
        <f>IF(AP40&lt;&gt;"",IF(((AP40*Paramètres!$H$4)-PORTEFEUILLE_ERIC[[#This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0" s="190" t="str">
        <f>IF(PORTEFEUILLE_ERIC[[#This Row],[BONI COMPTABLE]]&lt;&gt;0,1,"")</f>
        <v/>
      </c>
      <c r="AY40" s="190" t="str">
        <f>IF(PORTEFEUILLE_ERIC[[#This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SUM(PORTEFEUILLE_ERIC[[#This Row],[PCR COMPTABLE €]:[MONTANT
RESPONSABLE RELATION CLIENT €]])-PORTEFEUILLE_ERIC[[#This Row],[MONTANT TOTAL LETTRE DE MISION €]]</f>
        <v>0</v>
      </c>
      <c r="AI41" s="191"/>
      <c r="AJ41" s="188"/>
      <c r="AK41" s="188"/>
      <c r="AL41" s="188"/>
      <c r="AM41" s="188"/>
      <c r="AN41" s="196"/>
      <c r="AO41" s="196"/>
      <c r="AP41" s="196"/>
      <c r="AQ41" s="196"/>
      <c r="AR4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1" s="188" t="str">
        <f>IF(PORTEFEUILLE_ERIC[[#This Row],[BONI AAC]]&lt;&gt;0,1,"")</f>
        <v/>
      </c>
      <c r="AU41" s="188" t="str">
        <f>IF(PORTEFEUILLE_ERIC[[#This Row],[MALI AAC]]&lt;&gt;0,1,"")</f>
        <v/>
      </c>
      <c r="AV41" s="225">
        <f>IF(AP41&lt;&gt;"",IF((AP41*Paramètres!$H$4)-PORTEFEUILLE_ERIC[[#This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€]]-(DELPHINE!AP40*Paramètres!$H$4),0),0)</f>
        <v>0</v>
      </c>
      <c r="AW41" s="225">
        <f>IF(AP41&lt;&gt;"",IF(((AP41*Paramètres!$H$4)-PORTEFEUILLE_ERIC[[#This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1" s="190" t="str">
        <f>IF(PORTEFEUILLE_ERIC[[#This Row],[BONI COMPTABLE]]&lt;&gt;0,1,"")</f>
        <v/>
      </c>
      <c r="AY41" s="190" t="str">
        <f>IF(PORTEFEUILLE_ERIC[[#This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SUM(PORTEFEUILLE_ERIC[[#This Row],[PCR COMPTABLE €]:[MONTANT
RESPONSABLE RELATION CLIENT €]])-PORTEFEUILLE_ERIC[[#This Row],[MONTANT TOTAL LETTRE DE MISION €]]</f>
        <v>0</v>
      </c>
      <c r="AI42" s="191"/>
      <c r="AJ42" s="188"/>
      <c r="AK42" s="188"/>
      <c r="AL42" s="188"/>
      <c r="AM42" s="188"/>
      <c r="AN42" s="196"/>
      <c r="AO42" s="196"/>
      <c r="AP42" s="196"/>
      <c r="AQ42" s="196"/>
      <c r="AR4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2" s="188" t="str">
        <f>IF(PORTEFEUILLE_ERIC[[#This Row],[BONI AAC]]&lt;&gt;0,1,"")</f>
        <v/>
      </c>
      <c r="AU42" s="188" t="str">
        <f>IF(PORTEFEUILLE_ERIC[[#This Row],[MALI AAC]]&lt;&gt;0,1,"")</f>
        <v/>
      </c>
      <c r="AV42" s="225">
        <f>IF(AP42&lt;&gt;"",IF((AP42*Paramètres!$H$4)-PORTEFEUILLE_ERIC[[#This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€]]-(DELPHINE!AP41*Paramètres!$H$4),0),0)</f>
        <v>0</v>
      </c>
      <c r="AW42" s="225">
        <f>IF(AP42&lt;&gt;"",IF(((AP42*Paramètres!$H$4)-PORTEFEUILLE_ERIC[[#This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2" s="190" t="str">
        <f>IF(PORTEFEUILLE_ERIC[[#This Row],[BONI COMPTABLE]]&lt;&gt;0,1,"")</f>
        <v/>
      </c>
      <c r="AY42" s="190" t="str">
        <f>IF(PORTEFEUILLE_ERIC[[#This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SUM(PORTEFEUILLE_ERIC[[#This Row],[PCR COMPTABLE €]:[MONTANT
RESPONSABLE RELATION CLIENT €]])-PORTEFEUILLE_ERIC[[#This Row],[MONTANT TOTAL LETTRE DE MISION €]]</f>
        <v>0</v>
      </c>
      <c r="AI43" s="191"/>
      <c r="AJ43" s="188"/>
      <c r="AK43" s="188"/>
      <c r="AL43" s="188"/>
      <c r="AM43" s="188"/>
      <c r="AN43" s="188"/>
      <c r="AO43" s="188"/>
      <c r="AP43" s="188"/>
      <c r="AQ43" s="188"/>
      <c r="AR4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3" s="188" t="str">
        <f>IF(PORTEFEUILLE_ERIC[[#This Row],[BONI AAC]]&lt;&gt;0,1,"")</f>
        <v/>
      </c>
      <c r="AU43" s="188" t="str">
        <f>IF(PORTEFEUILLE_ERIC[[#This Row],[MALI AAC]]&lt;&gt;0,1,"")</f>
        <v/>
      </c>
      <c r="AV43" s="225">
        <f>IF(AP43&lt;&gt;"",IF((AP43*Paramètres!$H$4)-PORTEFEUILLE_ERIC[[#This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€]]-(DELPHINE!AP42*Paramètres!$H$4),0),0)</f>
        <v>0</v>
      </c>
      <c r="AW43" s="225">
        <f>IF(AP43&lt;&gt;"",IF(((AP43*Paramètres!$H$4)-PORTEFEUILLE_ERIC[[#This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3" s="190" t="str">
        <f>IF(PORTEFEUILLE_ERIC[[#This Row],[BONI COMPTABLE]]&lt;&gt;0,1,"")</f>
        <v/>
      </c>
      <c r="AY43" s="190" t="str">
        <f>IF(PORTEFEUILLE_ERIC[[#This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SUM(PORTEFEUILLE_ERIC[[#This Row],[PCR COMPTABLE €]:[MONTANT
RESPONSABLE RELATION CLIENT €]])-PORTEFEUILLE_ERIC[[#This Row],[MONTANT TOTAL LETTRE DE MISION €]]</f>
        <v>0</v>
      </c>
      <c r="AI44" s="191"/>
      <c r="AJ44" s="188"/>
      <c r="AK44" s="188"/>
      <c r="AL44" s="188"/>
      <c r="AM44" s="188"/>
      <c r="AN44" s="188"/>
      <c r="AO44" s="188"/>
      <c r="AP44" s="188"/>
      <c r="AQ44" s="188"/>
      <c r="AR4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4" s="188" t="str">
        <f>IF(PORTEFEUILLE_ERIC[[#This Row],[BONI AAC]]&lt;&gt;0,1,"")</f>
        <v/>
      </c>
      <c r="AU44" s="188" t="str">
        <f>IF(PORTEFEUILLE_ERIC[[#This Row],[MALI AAC]]&lt;&gt;0,1,"")</f>
        <v/>
      </c>
      <c r="AV44" s="225">
        <f>IF(AP44&lt;&gt;"",IF((AP44*Paramètres!$H$4)-PORTEFEUILLE_ERIC[[#This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€]]-(DELPHINE!AP43*Paramètres!$H$4),0),0)</f>
        <v>0</v>
      </c>
      <c r="AW44" s="225">
        <f>IF(AP44&lt;&gt;"",IF(((AP44*Paramètres!$H$4)-PORTEFEUILLE_ERIC[[#This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4" s="190" t="str">
        <f>IF(PORTEFEUILLE_ERIC[[#This Row],[BONI COMPTABLE]]&lt;&gt;0,1,"")</f>
        <v/>
      </c>
      <c r="AY44" s="190" t="str">
        <f>IF(PORTEFEUILLE_ERIC[[#This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SUM(PORTEFEUILLE_ERIC[[#This Row],[PCR COMPTABLE €]:[MONTANT
RESPONSABLE RELATION CLIENT €]])-PORTEFEUILLE_ERIC[[#This Row],[MONTANT TOTAL LETTRE DE MISION €]]</f>
        <v>0</v>
      </c>
      <c r="AI45" s="191"/>
      <c r="AJ45" s="188"/>
      <c r="AK45" s="188"/>
      <c r="AL45" s="188"/>
      <c r="AM45" s="188"/>
      <c r="AN45" s="188"/>
      <c r="AO45" s="188"/>
      <c r="AP45" s="188"/>
      <c r="AQ45" s="188"/>
      <c r="AR4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5" s="188" t="str">
        <f>IF(PORTEFEUILLE_ERIC[[#This Row],[BONI AAC]]&lt;&gt;0,1,"")</f>
        <v/>
      </c>
      <c r="AU45" s="188" t="str">
        <f>IF(PORTEFEUILLE_ERIC[[#This Row],[MALI AAC]]&lt;&gt;0,1,"")</f>
        <v/>
      </c>
      <c r="AV45" s="225">
        <f>IF(AP45&lt;&gt;"",IF((AP45*Paramètres!$H$4)-PORTEFEUILLE_ERIC[[#This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€]]-(DELPHINE!AP44*Paramètres!$H$4),0),0)</f>
        <v>0</v>
      </c>
      <c r="AW45" s="225">
        <f>IF(AP45&lt;&gt;"",IF(((AP45*Paramètres!$H$4)-PORTEFEUILLE_ERIC[[#This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5" s="190" t="str">
        <f>IF(PORTEFEUILLE_ERIC[[#This Row],[BONI COMPTABLE]]&lt;&gt;0,1,"")</f>
        <v/>
      </c>
      <c r="AY45" s="190" t="str">
        <f>IF(PORTEFEUILLE_ERIC[[#This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SUM(PORTEFEUILLE_ERIC[[#This Row],[PCR COMPTABLE €]:[MONTANT
RESPONSABLE RELATION CLIENT €]])-PORTEFEUILLE_ERIC[[#This Row],[MONTANT TOTAL LETTRE DE MISION €]]</f>
        <v>0</v>
      </c>
      <c r="AI46" s="191"/>
      <c r="AJ46" s="188"/>
      <c r="AK46" s="188"/>
      <c r="AL46" s="188"/>
      <c r="AM46" s="188"/>
      <c r="AN46" s="196"/>
      <c r="AO46" s="196"/>
      <c r="AP46" s="196"/>
      <c r="AQ46" s="196"/>
      <c r="AR4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6" s="188" t="str">
        <f>IF(PORTEFEUILLE_ERIC[[#This Row],[BONI AAC]]&lt;&gt;0,1,"")</f>
        <v/>
      </c>
      <c r="AU46" s="188" t="str">
        <f>IF(PORTEFEUILLE_ERIC[[#This Row],[MALI AAC]]&lt;&gt;0,1,"")</f>
        <v/>
      </c>
      <c r="AV46" s="225">
        <f>IF(AP46&lt;&gt;"",IF((AP46*Paramètres!$H$4)-PORTEFEUILLE_ERIC[[#This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€]]-(DELPHINE!AP45*Paramètres!$H$4),0),0)</f>
        <v>0</v>
      </c>
      <c r="AW46" s="225">
        <f>IF(AP46&lt;&gt;"",IF(((AP46*Paramètres!$H$4)-PORTEFEUILLE_ERIC[[#This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6" s="190" t="str">
        <f>IF(PORTEFEUILLE_ERIC[[#This Row],[BONI COMPTABLE]]&lt;&gt;0,1,"")</f>
        <v/>
      </c>
      <c r="AY46" s="190" t="str">
        <f>IF(PORTEFEUILLE_ERIC[[#This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SUM(PORTEFEUILLE_ERIC[[#This Row],[PCR COMPTABLE €]:[MONTANT
RESPONSABLE RELATION CLIENT €]])-PORTEFEUILLE_ERIC[[#This Row],[MONTANT TOTAL LETTRE DE MISION €]]</f>
        <v>0</v>
      </c>
      <c r="AI47" s="191"/>
      <c r="AJ47" s="188"/>
      <c r="AK47" s="188"/>
      <c r="AL47" s="188"/>
      <c r="AM47" s="188"/>
      <c r="AN47" s="188"/>
      <c r="AO47" s="188"/>
      <c r="AP47" s="188"/>
      <c r="AQ47" s="188"/>
      <c r="AR4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7" s="188" t="str">
        <f>IF(PORTEFEUILLE_ERIC[[#This Row],[BONI AAC]]&lt;&gt;0,1,"")</f>
        <v/>
      </c>
      <c r="AU47" s="188" t="str">
        <f>IF(PORTEFEUILLE_ERIC[[#This Row],[MALI AAC]]&lt;&gt;0,1,"")</f>
        <v/>
      </c>
      <c r="AV47" s="225">
        <f>IF(AP47&lt;&gt;"",IF((AP47*Paramètres!$H$4)-PORTEFEUILLE_ERIC[[#This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€]]-(DELPHINE!AP46*Paramètres!$H$4),0),0)</f>
        <v>0</v>
      </c>
      <c r="AW47" s="225">
        <f>IF(AP47&lt;&gt;"",IF(((AP47*Paramètres!$H$4)-PORTEFEUILLE_ERIC[[#This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7" s="190" t="str">
        <f>IF(PORTEFEUILLE_ERIC[[#This Row],[BONI COMPTABLE]]&lt;&gt;0,1,"")</f>
        <v/>
      </c>
      <c r="AY47" s="190" t="str">
        <f>IF(PORTEFEUILLE_ERIC[[#This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SUM(PORTEFEUILLE_ERIC[[#This Row],[PCR COMPTABLE €]:[MONTANT
RESPONSABLE RELATION CLIENT €]])-PORTEFEUILLE_ERIC[[#This Row],[MONTANT TOTAL LETTRE DE MISION €]]</f>
        <v>0</v>
      </c>
      <c r="AI48" s="191"/>
      <c r="AJ48" s="188"/>
      <c r="AK48" s="188"/>
      <c r="AL48" s="188"/>
      <c r="AM48" s="188"/>
      <c r="AN48" s="196"/>
      <c r="AO48" s="196"/>
      <c r="AP48" s="196"/>
      <c r="AQ48" s="196"/>
      <c r="AR4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8" s="188" t="str">
        <f>IF(PORTEFEUILLE_ERIC[[#This Row],[BONI AAC]]&lt;&gt;0,1,"")</f>
        <v/>
      </c>
      <c r="AU48" s="188" t="str">
        <f>IF(PORTEFEUILLE_ERIC[[#This Row],[MALI AAC]]&lt;&gt;0,1,"")</f>
        <v/>
      </c>
      <c r="AV48" s="225">
        <f>IF(AP48&lt;&gt;"",IF((AP48*Paramètres!$H$4)-PORTEFEUILLE_ERIC[[#This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€]]-(DELPHINE!AP47*Paramètres!$H$4),0),0)</f>
        <v>0</v>
      </c>
      <c r="AW48" s="225">
        <f>IF(AP48&lt;&gt;"",IF(((AP48*Paramètres!$H$4)-PORTEFEUILLE_ERIC[[#This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8" s="190" t="str">
        <f>IF(PORTEFEUILLE_ERIC[[#This Row],[BONI COMPTABLE]]&lt;&gt;0,1,"")</f>
        <v/>
      </c>
      <c r="AY48" s="190" t="str">
        <f>IF(PORTEFEUILLE_ERIC[[#This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SUM(PORTEFEUILLE_ERIC[[#This Row],[PCR COMPTABLE €]:[MONTANT
RESPONSABLE RELATION CLIENT €]])-PORTEFEUILLE_ERIC[[#This Row],[MONTANT TOTAL LETTRE DE MISION €]]</f>
        <v>0</v>
      </c>
      <c r="AI49" s="191"/>
      <c r="AJ49" s="188"/>
      <c r="AK49" s="188"/>
      <c r="AL49" s="188"/>
      <c r="AM49" s="188"/>
      <c r="AN49" s="188"/>
      <c r="AO49" s="188"/>
      <c r="AP49" s="188"/>
      <c r="AQ49" s="188"/>
      <c r="AR4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9" s="188" t="str">
        <f>IF(PORTEFEUILLE_ERIC[[#This Row],[BONI AAC]]&lt;&gt;0,1,"")</f>
        <v/>
      </c>
      <c r="AU49" s="188" t="str">
        <f>IF(PORTEFEUILLE_ERIC[[#This Row],[MALI AAC]]&lt;&gt;0,1,"")</f>
        <v/>
      </c>
      <c r="AV49" s="225">
        <f>IF(AP49&lt;&gt;"",IF((AP49*Paramètres!$H$4)-PORTEFEUILLE_ERIC[[#This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€]]-(DELPHINE!AP48*Paramètres!$H$4),0),0)</f>
        <v>0</v>
      </c>
      <c r="AW49" s="225">
        <f>IF(AP49&lt;&gt;"",IF(((AP49*Paramètres!$H$4)-PORTEFEUILLE_ERIC[[#This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9" s="190" t="str">
        <f>IF(PORTEFEUILLE_ERIC[[#This Row],[BONI COMPTABLE]]&lt;&gt;0,1,"")</f>
        <v/>
      </c>
      <c r="AY49" s="190" t="str">
        <f>IF(PORTEFEUILLE_ERIC[[#This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SUM(PORTEFEUILLE_ERIC[[#This Row],[PCR COMPTABLE €]:[MONTANT
RESPONSABLE RELATION CLIENT €]])-PORTEFEUILLE_ERIC[[#This Row],[MONTANT TOTAL LETTRE DE MISION €]]</f>
        <v>0</v>
      </c>
      <c r="AI50" s="191"/>
      <c r="AJ50" s="188"/>
      <c r="AK50" s="188"/>
      <c r="AL50" s="188"/>
      <c r="AM50" s="188"/>
      <c r="AN50" s="196"/>
      <c r="AO50" s="196"/>
      <c r="AP50" s="196"/>
      <c r="AQ50" s="196"/>
      <c r="AR5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0" s="188" t="str">
        <f>IF(PORTEFEUILLE_ERIC[[#This Row],[BONI AAC]]&lt;&gt;0,1,"")</f>
        <v/>
      </c>
      <c r="AU50" s="188" t="str">
        <f>IF(PORTEFEUILLE_ERIC[[#This Row],[MALI AAC]]&lt;&gt;0,1,"")</f>
        <v/>
      </c>
      <c r="AV50" s="225">
        <f>IF(AP50&lt;&gt;"",IF((AP50*Paramètres!$H$4)-PORTEFEUILLE_ERIC[[#This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€]]-(DELPHINE!AP49*Paramètres!$H$4),0),0)</f>
        <v>0</v>
      </c>
      <c r="AW50" s="225">
        <f>IF(AP50&lt;&gt;"",IF(((AP50*Paramètres!$H$4)-PORTEFEUILLE_ERIC[[#This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0" s="190" t="str">
        <f>IF(PORTEFEUILLE_ERIC[[#This Row],[BONI COMPTABLE]]&lt;&gt;0,1,"")</f>
        <v/>
      </c>
      <c r="AY50" s="190" t="str">
        <f>IF(PORTEFEUILLE_ERIC[[#This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SUM(PORTEFEUILLE_ERIC[[#This Row],[PCR COMPTABLE €]:[MONTANT
RESPONSABLE RELATION CLIENT €]])-PORTEFEUILLE_ERIC[[#This Row],[MONTANT TOTAL LETTRE DE MISION €]]</f>
        <v>0</v>
      </c>
      <c r="AI51" s="191"/>
      <c r="AJ51" s="188"/>
      <c r="AK51" s="188"/>
      <c r="AL51" s="188"/>
      <c r="AM51" s="188"/>
      <c r="AN51" s="196"/>
      <c r="AO51" s="196"/>
      <c r="AP51" s="196"/>
      <c r="AQ51" s="196"/>
      <c r="AR5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1" s="188" t="str">
        <f>IF(PORTEFEUILLE_ERIC[[#This Row],[BONI AAC]]&lt;&gt;0,1,"")</f>
        <v/>
      </c>
      <c r="AU51" s="188" t="str">
        <f>IF(PORTEFEUILLE_ERIC[[#This Row],[MALI AAC]]&lt;&gt;0,1,"")</f>
        <v/>
      </c>
      <c r="AV51" s="225">
        <f>IF(AP51&lt;&gt;"",IF((AP51*Paramètres!$H$4)-PORTEFEUILLE_ERIC[[#This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€]]-(DELPHINE!AP50*Paramètres!$H$4),0),0)</f>
        <v>0</v>
      </c>
      <c r="AW51" s="225">
        <f>IF(AP51&lt;&gt;"",IF(((AP51*Paramètres!$H$4)-PORTEFEUILLE_ERIC[[#This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1" s="190" t="str">
        <f>IF(PORTEFEUILLE_ERIC[[#This Row],[BONI COMPTABLE]]&lt;&gt;0,1,"")</f>
        <v/>
      </c>
      <c r="AY51" s="190" t="str">
        <f>IF(PORTEFEUILLE_ERIC[[#This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SUM(PORTEFEUILLE_ERIC[[#This Row],[PCR COMPTABLE €]:[MONTANT
RESPONSABLE RELATION CLIENT €]])-PORTEFEUILLE_ERIC[[#This Row],[MONTANT TOTAL LETTRE DE MISION €]]</f>
        <v>0</v>
      </c>
      <c r="AI52" s="191"/>
      <c r="AJ52" s="188"/>
      <c r="AK52" s="188"/>
      <c r="AL52" s="188"/>
      <c r="AM52" s="188"/>
      <c r="AN52" s="196"/>
      <c r="AO52" s="196"/>
      <c r="AP52" s="196"/>
      <c r="AQ52" s="196"/>
      <c r="AR5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2" s="188" t="str">
        <f>IF(PORTEFEUILLE_ERIC[[#This Row],[BONI AAC]]&lt;&gt;0,1,"")</f>
        <v/>
      </c>
      <c r="AU52" s="188" t="str">
        <f>IF(PORTEFEUILLE_ERIC[[#This Row],[MALI AAC]]&lt;&gt;0,1,"")</f>
        <v/>
      </c>
      <c r="AV52" s="225">
        <f>IF(AP52&lt;&gt;"",IF((AP52*Paramètres!$H$4)-PORTEFEUILLE_ERIC[[#This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€]]-(DELPHINE!AP51*Paramètres!$H$4),0),0)</f>
        <v>0</v>
      </c>
      <c r="AW52" s="225">
        <f>IF(AP52&lt;&gt;"",IF(((AP52*Paramètres!$H$4)-PORTEFEUILLE_ERIC[[#This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2" s="190" t="str">
        <f>IF(PORTEFEUILLE_ERIC[[#This Row],[BONI COMPTABLE]]&lt;&gt;0,1,"")</f>
        <v/>
      </c>
      <c r="AY52" s="190" t="str">
        <f>IF(PORTEFEUILLE_ERIC[[#This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SUM(PORTEFEUILLE_ERIC[[#This Row],[PCR COMPTABLE €]:[MONTANT
RESPONSABLE RELATION CLIENT €]])-PORTEFEUILLE_ERIC[[#This Row],[MONTANT TOTAL LETTRE DE MISION €]]</f>
        <v>0</v>
      </c>
      <c r="AI53" s="191"/>
      <c r="AJ53" s="188"/>
      <c r="AK53" s="201"/>
      <c r="AL53" s="201"/>
      <c r="AM53" s="201"/>
      <c r="AN53" s="202"/>
      <c r="AO53" s="202"/>
      <c r="AP53" s="202"/>
      <c r="AQ53" s="202"/>
      <c r="AR5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3" s="188" t="str">
        <f>IF(PORTEFEUILLE_ERIC[[#This Row],[BONI AAC]]&lt;&gt;0,1,"")</f>
        <v/>
      </c>
      <c r="AU53" s="188" t="str">
        <f>IF(PORTEFEUILLE_ERIC[[#This Row],[MALI AAC]]&lt;&gt;0,1,"")</f>
        <v/>
      </c>
      <c r="AV53" s="225">
        <f>IF(AP53&lt;&gt;"",IF((AP53*Paramètres!$H$4)-PORTEFEUILLE_ERIC[[#This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€]]-(DELPHINE!AP52*Paramètres!$H$4),0),0)</f>
        <v>0</v>
      </c>
      <c r="AW53" s="225">
        <f>IF(AP53&lt;&gt;"",IF(((AP53*Paramètres!$H$4)-PORTEFEUILLE_ERIC[[#This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3" s="190" t="str">
        <f>IF(PORTEFEUILLE_ERIC[[#This Row],[BONI COMPTABLE]]&lt;&gt;0,1,"")</f>
        <v/>
      </c>
      <c r="AY53" s="190" t="str">
        <f>IF(PORTEFEUILLE_ERIC[[#This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SUM(PORTEFEUILLE_ERIC[[#This Row],[PCR COMPTABLE €]:[MONTANT
RESPONSABLE RELATION CLIENT €]])-PORTEFEUILLE_ERIC[[#This Row],[MONTANT TOTAL LETTRE DE MISION €]]</f>
        <v>0</v>
      </c>
      <c r="AI54" s="191"/>
      <c r="AJ54" s="188"/>
      <c r="AK54" s="188"/>
      <c r="AL54" s="188"/>
      <c r="AM54" s="188"/>
      <c r="AN54" s="194"/>
      <c r="AO54" s="194"/>
      <c r="AP54" s="194"/>
      <c r="AQ54" s="194"/>
      <c r="AR5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4" s="188" t="str">
        <f>IF(PORTEFEUILLE_ERIC[[#This Row],[BONI AAC]]&lt;&gt;0,1,"")</f>
        <v/>
      </c>
      <c r="AU54" s="188" t="str">
        <f>IF(PORTEFEUILLE_ERIC[[#This Row],[MALI AAC]]&lt;&gt;0,1,"")</f>
        <v/>
      </c>
      <c r="AV54" s="225">
        <f>IF(AP54&lt;&gt;"",IF((AP54*Paramètres!$H$4)-PORTEFEUILLE_ERIC[[#This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€]]-(DELPHINE!AP53*Paramètres!$H$4),0),0)</f>
        <v>0</v>
      </c>
      <c r="AW54" s="225">
        <f>IF(AP54&lt;&gt;"",IF(((AP54*Paramètres!$H$4)-PORTEFEUILLE_ERIC[[#This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4" s="190" t="str">
        <f>IF(PORTEFEUILLE_ERIC[[#This Row],[BONI COMPTABLE]]&lt;&gt;0,1,"")</f>
        <v/>
      </c>
      <c r="AY54" s="190" t="str">
        <f>IF(PORTEFEUILLE_ERIC[[#This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SUM(PORTEFEUILLE_ERIC[[#This Row],[PCR COMPTABLE €]:[MONTANT
RESPONSABLE RELATION CLIENT €]])-PORTEFEUILLE_ERIC[[#This Row],[MONTANT TOTAL LETTRE DE MISION €]]</f>
        <v>0</v>
      </c>
      <c r="AI55" s="191"/>
      <c r="AJ55" s="188"/>
      <c r="AK55" s="188"/>
      <c r="AL55" s="188"/>
      <c r="AM55" s="188"/>
      <c r="AN55" s="194"/>
      <c r="AO55" s="194"/>
      <c r="AP55" s="194"/>
      <c r="AQ55" s="194"/>
      <c r="AR5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5" s="188" t="str">
        <f>IF(PORTEFEUILLE_ERIC[[#This Row],[BONI AAC]]&lt;&gt;0,1,"")</f>
        <v/>
      </c>
      <c r="AU55" s="188" t="str">
        <f>IF(PORTEFEUILLE_ERIC[[#This Row],[MALI AAC]]&lt;&gt;0,1,"")</f>
        <v/>
      </c>
      <c r="AV55" s="225">
        <f>IF(AP55&lt;&gt;"",IF((AP55*Paramètres!$H$4)-PORTEFEUILLE_ERIC[[#This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€]]-(DELPHINE!AP54*Paramètres!$H$4),0),0)</f>
        <v>0</v>
      </c>
      <c r="AW55" s="225">
        <f>IF(AP55&lt;&gt;"",IF(((AP55*Paramètres!$H$4)-PORTEFEUILLE_ERIC[[#This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5" s="190" t="str">
        <f>IF(PORTEFEUILLE_ERIC[[#This Row],[BONI COMPTABLE]]&lt;&gt;0,1,"")</f>
        <v/>
      </c>
      <c r="AY55" s="190" t="str">
        <f>IF(PORTEFEUILLE_ERIC[[#This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SUM(PORTEFEUILLE_ERIC[[#This Row],[PCR COMPTABLE €]:[MONTANT
RESPONSABLE RELATION CLIENT €]])-PORTEFEUILLE_ERIC[[#This Row],[MONTANT TOTAL LETTRE DE MISION €]]</f>
        <v>0</v>
      </c>
      <c r="AI56" s="191"/>
      <c r="AJ56" s="188"/>
      <c r="AK56" s="188"/>
      <c r="AL56" s="188"/>
      <c r="AM56" s="188"/>
      <c r="AN56" s="194"/>
      <c r="AO56" s="194"/>
      <c r="AP56" s="194"/>
      <c r="AQ56" s="194"/>
      <c r="AR5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6" s="188" t="str">
        <f>IF(PORTEFEUILLE_ERIC[[#This Row],[BONI AAC]]&lt;&gt;0,1,"")</f>
        <v/>
      </c>
      <c r="AU56" s="188" t="str">
        <f>IF(PORTEFEUILLE_ERIC[[#This Row],[MALI AAC]]&lt;&gt;0,1,"")</f>
        <v/>
      </c>
      <c r="AV56" s="225">
        <f>IF(AP56&lt;&gt;"",IF((AP56*Paramètres!$H$4)-PORTEFEUILLE_ERIC[[#This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€]]-(DELPHINE!AP55*Paramètres!$H$4),0),0)</f>
        <v>0</v>
      </c>
      <c r="AW56" s="225">
        <f>IF(AP56&lt;&gt;"",IF(((AP56*Paramètres!$H$4)-PORTEFEUILLE_ERIC[[#This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6" s="190" t="str">
        <f>IF(PORTEFEUILLE_ERIC[[#This Row],[BONI COMPTABLE]]&lt;&gt;0,1,"")</f>
        <v/>
      </c>
      <c r="AY56" s="190" t="str">
        <f>IF(PORTEFEUILLE_ERIC[[#This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SUM(PORTEFEUILLE_ERIC[[#This Row],[PCR COMPTABLE €]:[MONTANT
RESPONSABLE RELATION CLIENT €]])-PORTEFEUILLE_ERIC[[#This Row],[MONTANT TOTAL LETTRE DE MISION €]]</f>
        <v>0</v>
      </c>
      <c r="AI57" s="191"/>
      <c r="AJ57" s="188"/>
      <c r="AK57" s="188"/>
      <c r="AL57" s="188"/>
      <c r="AM57" s="188"/>
      <c r="AN57" s="194"/>
      <c r="AO57" s="194"/>
      <c r="AP57" s="194"/>
      <c r="AQ57" s="194"/>
      <c r="AR5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7" s="188" t="str">
        <f>IF(PORTEFEUILLE_ERIC[[#This Row],[BONI AAC]]&lt;&gt;0,1,"")</f>
        <v/>
      </c>
      <c r="AU57" s="188" t="str">
        <f>IF(PORTEFEUILLE_ERIC[[#This Row],[MALI AAC]]&lt;&gt;0,1,"")</f>
        <v/>
      </c>
      <c r="AV57" s="225">
        <f>IF(AP57&lt;&gt;"",IF((AP57*Paramètres!$H$4)-PORTEFEUILLE_ERIC[[#This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€]]-(DELPHINE!AP56*Paramètres!$H$4),0),0)</f>
        <v>0</v>
      </c>
      <c r="AW57" s="225">
        <f>IF(AP57&lt;&gt;"",IF(((AP57*Paramètres!$H$4)-PORTEFEUILLE_ERIC[[#This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7" s="190" t="str">
        <f>IF(PORTEFEUILLE_ERIC[[#This Row],[BONI COMPTABLE]]&lt;&gt;0,1,"")</f>
        <v/>
      </c>
      <c r="AY57" s="190" t="str">
        <f>IF(PORTEFEUILLE_ERIC[[#This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SUM(PORTEFEUILLE_ERIC[[#This Row],[PCR COMPTABLE €]:[MONTANT
RESPONSABLE RELATION CLIENT €]])-PORTEFEUILLE_ERIC[[#This Row],[MONTANT TOTAL LETTRE DE MISION €]]</f>
        <v>0</v>
      </c>
      <c r="AI58" s="191"/>
      <c r="AJ58" s="188"/>
      <c r="AK58" s="188"/>
      <c r="AL58" s="188"/>
      <c r="AM58" s="188"/>
      <c r="AN58" s="194"/>
      <c r="AO58" s="194"/>
      <c r="AP58" s="194"/>
      <c r="AQ58" s="194"/>
      <c r="AR5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8" s="188" t="str">
        <f>IF(PORTEFEUILLE_ERIC[[#This Row],[BONI AAC]]&lt;&gt;0,1,"")</f>
        <v/>
      </c>
      <c r="AU58" s="188" t="str">
        <f>IF(PORTEFEUILLE_ERIC[[#This Row],[MALI AAC]]&lt;&gt;0,1,"")</f>
        <v/>
      </c>
      <c r="AV58" s="225">
        <f>IF(AP58&lt;&gt;"",IF((AP58*Paramètres!$H$4)-PORTEFEUILLE_ERIC[[#This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€]]-(DELPHINE!AP57*Paramètres!$H$4),0),0)</f>
        <v>0</v>
      </c>
      <c r="AW58" s="225">
        <f>IF(AP58&lt;&gt;"",IF(((AP58*Paramètres!$H$4)-PORTEFEUILLE_ERIC[[#This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8" s="190" t="str">
        <f>IF(PORTEFEUILLE_ERIC[[#This Row],[BONI COMPTABLE]]&lt;&gt;0,1,"")</f>
        <v/>
      </c>
      <c r="AY58" s="190" t="str">
        <f>IF(PORTEFEUILLE_ERIC[[#This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SUM(PORTEFEUILLE_ERIC[[#This Row],[PCR COMPTABLE €]:[MONTANT
RESPONSABLE RELATION CLIENT €]])-PORTEFEUILLE_ERIC[[#This Row],[MONTANT TOTAL LETTRE DE MISION €]]</f>
        <v>0</v>
      </c>
      <c r="AI59" s="191"/>
      <c r="AJ59" s="188"/>
      <c r="AK59" s="188"/>
      <c r="AL59" s="188"/>
      <c r="AM59" s="188"/>
      <c r="AN59" s="194"/>
      <c r="AO59" s="194"/>
      <c r="AP59" s="194"/>
      <c r="AQ59" s="194"/>
      <c r="AR5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9" s="188" t="str">
        <f>IF(PORTEFEUILLE_ERIC[[#This Row],[BONI AAC]]&lt;&gt;0,1,"")</f>
        <v/>
      </c>
      <c r="AU59" s="188" t="str">
        <f>IF(PORTEFEUILLE_ERIC[[#This Row],[MALI AAC]]&lt;&gt;0,1,"")</f>
        <v/>
      </c>
      <c r="AV59" s="225">
        <f>IF(AP59&lt;&gt;"",IF((AP59*Paramètres!$H$4)-PORTEFEUILLE_ERIC[[#This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€]]-(DELPHINE!AP58*Paramètres!$H$4),0),0)</f>
        <v>0</v>
      </c>
      <c r="AW59" s="225">
        <f>IF(AP59&lt;&gt;"",IF(((AP59*Paramètres!$H$4)-PORTEFEUILLE_ERIC[[#This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9" s="190" t="str">
        <f>IF(PORTEFEUILLE_ERIC[[#This Row],[BONI COMPTABLE]]&lt;&gt;0,1,"")</f>
        <v/>
      </c>
      <c r="AY59" s="190" t="str">
        <f>IF(PORTEFEUILLE_ERIC[[#This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SUM(PORTEFEUILLE_ERIC[[#This Row],[PCR COMPTABLE €]:[MONTANT
RESPONSABLE RELATION CLIENT €]])-PORTEFEUILLE_ERIC[[#This Row],[MONTANT TOTAL LETTRE DE MISION €]]</f>
        <v>0</v>
      </c>
      <c r="AI60" s="191"/>
      <c r="AJ60" s="188"/>
      <c r="AK60" s="201"/>
      <c r="AL60" s="201"/>
      <c r="AM60" s="201"/>
      <c r="AN60" s="205"/>
      <c r="AO60" s="205"/>
      <c r="AP60" s="205"/>
      <c r="AQ60" s="205"/>
      <c r="AR6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6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60" s="188" t="str">
        <f>IF(PORTEFEUILLE_ERIC[[#This Row],[BONI AAC]]&lt;&gt;0,1,"")</f>
        <v/>
      </c>
      <c r="AU60" s="188" t="str">
        <f>IF(PORTEFEUILLE_ERIC[[#This Row],[MALI AAC]]&lt;&gt;0,1,"")</f>
        <v/>
      </c>
      <c r="AV60" s="225">
        <f>IF(AP60&lt;&gt;"",IF((AP60*Paramètres!$H$4)-PORTEFEUILLE_ERIC[[#This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€]]-(DELPHINE!AP59*Paramètres!$H$4),0),0)</f>
        <v>0</v>
      </c>
      <c r="AW60" s="225">
        <f>IF(AP60&lt;&gt;"",IF(((AP60*Paramètres!$H$4)-PORTEFEUILLE_ERIC[[#This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60" s="190" t="str">
        <f>IF(PORTEFEUILLE_ERIC[[#This Row],[BONI COMPTABLE]]&lt;&gt;0,1,"")</f>
        <v/>
      </c>
      <c r="AY60" s="190" t="str">
        <f>IF(PORTEFEUILLE_ERIC[[#This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37" priority="6">
      <formula>AND(P3&lt;&gt;"",P3&lt;&gt;"OUI")</formula>
    </cfRule>
  </conditionalFormatting>
  <conditionalFormatting sqref="AN3:AO60 S3:AH60">
    <cfRule type="expression" dxfId="36" priority="5" stopIfTrue="1">
      <formula>$AH3&lt;&gt;0</formula>
    </cfRule>
  </conditionalFormatting>
  <conditionalFormatting sqref="A6:E60 C3:E5 A3:A5">
    <cfRule type="expression" dxfId="35" priority="7" stopIfTrue="1">
      <formula>AND($I3&lt;&gt;"",AND($J3="",AND($BA3="",$BB3="")))</formula>
    </cfRule>
    <cfRule type="expression" dxfId="34" priority="8" stopIfTrue="1">
      <formula>AND($J3&lt;&gt;"",AND($BA3="",$BB3=""))</formula>
    </cfRule>
    <cfRule type="expression" dxfId="33" priority="9" stopIfTrue="1">
      <formula>AND($BA3&lt;&gt;"",$BB3="")</formula>
    </cfRule>
    <cfRule type="expression" dxfId="32" priority="10" stopIfTrue="1">
      <formula>$BB3="X"</formula>
    </cfRule>
  </conditionalFormatting>
  <conditionalFormatting sqref="B3:B5">
    <cfRule type="expression" dxfId="31" priority="1" stopIfTrue="1">
      <formula>AND($I3&lt;&gt;"",AND($J3="",AND($BA3="",$BB3="")))</formula>
    </cfRule>
    <cfRule type="expression" dxfId="30" priority="2" stopIfTrue="1">
      <formula>AND($J3&lt;&gt;"",AND($BA3="",$BB3=""))</formula>
    </cfRule>
    <cfRule type="expression" dxfId="29" priority="3" stopIfTrue="1">
      <formula>AND($BA3&lt;&gt;"",$BB3="")</formula>
    </cfRule>
    <cfRule type="expression" dxfId="28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N183"/>
  <sheetViews>
    <sheetView zoomScale="85" zoomScaleNormal="85" workbookViewId="0">
      <pane xSplit="5" ySplit="2" topLeftCell="AH35" activePane="bottomRight" state="frozen"/>
      <selection pane="topRight" activeCell="F1" sqref="F1"/>
      <selection pane="bottomLeft" activeCell="A3" sqref="A3"/>
      <selection pane="bottomRight" activeCell="AN49" sqref="AN49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226</v>
      </c>
      <c r="B3" s="170">
        <v>860078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SUM(PORTEFEUILLE_MARIE_PIERRE[[#This Row],[PCR COMPTABLE €]:[MONTANT
RESPONSABLE RELATION CLIENT €]])-PORTEFEUILLE_MARIE_PIERRE[[#This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400</v>
      </c>
      <c r="AT3" s="188" t="str">
        <f>IF(PORTEFEUILLE_MARIE_PIERRE[[#This Row],[BONI AAC]]&lt;&gt;0,1,"")</f>
        <v/>
      </c>
      <c r="AU3" s="188">
        <f>IF(PORTEFEUILLE_MARIE_PIERRE[[#This Row],[MALI AAC]]&lt;&gt;0,1,"")</f>
        <v>1</v>
      </c>
      <c r="AV3" s="225">
        <f>IF(AP3&lt;&gt;"",IF((AP3*Paramètres!$H$4)-PORTEFEUILLE_MARIE_PIERRE[[#This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€]]-(DELPHINE!AP3*Paramètres!$H$4),0),0)</f>
        <v>0</v>
      </c>
      <c r="AW3" s="225">
        <f>IF(AP3&lt;&gt;"",IF(((AP3*Paramètres!$H$4)-PORTEFEUILLE_MARIE_PIERRE[[#This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" s="190" t="str">
        <f>IF(PORTEFEUILLE_MARIE_PIERRE[[#This Row],[BONI COMPTABLE]]&lt;&gt;0,1,"")</f>
        <v/>
      </c>
      <c r="AY3" s="190" t="str">
        <f>IF(PORTEFEUILLE_MARIE_PIERRE[[#This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226</v>
      </c>
      <c r="B4" s="170">
        <v>860079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SUM(PORTEFEUILLE_MARIE_PIERRE[[#This Row],[PCR COMPTABLE €]:[MONTANT
RESPONSABLE RELATION CLIENT €]])-PORTEFEUILLE_MARIE_PIERRE[[#This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1000</v>
      </c>
      <c r="AT4" s="188" t="str">
        <f>IF(PORTEFEUILLE_MARIE_PIERRE[[#This Row],[BONI AAC]]&lt;&gt;0,1,"")</f>
        <v/>
      </c>
      <c r="AU4" s="188">
        <f>IF(PORTEFEUILLE_MARIE_PIERRE[[#This Row],[MALI AAC]]&lt;&gt;0,1,"")</f>
        <v>1</v>
      </c>
      <c r="AV4" s="225">
        <f>IF(AP4&lt;&gt;"",IF((AP4*Paramètres!$H$4)-PORTEFEUILLE_MARIE_PIERRE[[#This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€]]-(DELPHINE!AP4*Paramètres!$H$4),0),0)</f>
        <v>0</v>
      </c>
      <c r="AW4" s="225">
        <f>IF(AP4&lt;&gt;"",IF(((AP4*Paramètres!$H$4)-PORTEFEUILLE_MARIE_PIERRE[[#This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3000</v>
      </c>
      <c r="AX4" s="190" t="str">
        <f>IF(PORTEFEUILLE_MARIE_PIERRE[[#This Row],[BONI COMPTABLE]]&lt;&gt;0,1,"")</f>
        <v/>
      </c>
      <c r="AY4" s="190">
        <f>IF(PORTEFEUILLE_MARIE_PIERRE[[#This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226</v>
      </c>
      <c r="B5" s="170">
        <v>860080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SUM(PORTEFEUILLE_MARIE_PIERRE[[#This Row],[PCR COMPTABLE €]:[MONTANT
RESPONSABLE RELATION CLIENT €]])-PORTEFEUILLE_MARIE_PIERRE[[#This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2200</v>
      </c>
      <c r="AT5" s="188" t="str">
        <f>IF(PORTEFEUILLE_MARIE_PIERRE[[#This Row],[BONI AAC]]&lt;&gt;0,1,"")</f>
        <v/>
      </c>
      <c r="AU5" s="188">
        <f>IF(PORTEFEUILLE_MARIE_PIERRE[[#This Row],[MALI AAC]]&lt;&gt;0,1,"")</f>
        <v>1</v>
      </c>
      <c r="AV5" s="225">
        <f>IF(AP5&lt;&gt;"",IF((AP5*Paramètres!$H$4)-PORTEFEUILLE_MARIE_PIERRE[[#This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€]]-(DELPHINE!AP5*Paramètres!$H$4),0),0)</f>
        <v>0</v>
      </c>
      <c r="AW5" s="225">
        <f>IF(AP5&lt;&gt;"",IF(((AP5*Paramètres!$H$4)-PORTEFEUILLE_MARIE_PIERRE[[#This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4150</v>
      </c>
      <c r="AX5" s="190" t="str">
        <f>IF(PORTEFEUILLE_MARIE_PIERRE[[#This Row],[BONI COMPTABLE]]&lt;&gt;0,1,"")</f>
        <v/>
      </c>
      <c r="AY5" s="190">
        <f>IF(PORTEFEUILLE_MARIE_PIERRE[[#This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SUM(PORTEFEUILLE_MARIE_PIERRE[[#This Row],[PCR COMPTABLE €]:[MONTANT
RESPONSABLE RELATION CLIENT €]])-PORTEFEUILLE_MARIE_PIERRE[[#This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6" s="188" t="str">
        <f>IF(PORTEFEUILLE_MARIE_PIERRE[[#This Row],[BONI AAC]]&lt;&gt;0,1,"")</f>
        <v/>
      </c>
      <c r="AU6" s="188" t="str">
        <f>IF(PORTEFEUILLE_MARIE_PIERRE[[#This Row],[MALI AAC]]&lt;&gt;0,1,"")</f>
        <v/>
      </c>
      <c r="AV6" s="225">
        <f>IF(AP6&lt;&gt;"",IF((AP6*Paramètres!$H$4)-PORTEFEUILLE_MARIE_PIERRE[[#This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6" s="225">
        <f>IF(AP6&lt;&gt;"",IF(((AP6*Paramètres!$H$4)-PORTEFEUILLE_MARIE_PIERRE[[#This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6" s="190" t="str">
        <f>IF(PORTEFEUILLE_MARIE_PIERRE[[#This Row],[BONI COMPTABLE]]&lt;&gt;0,1,"")</f>
        <v/>
      </c>
      <c r="AY6" s="190" t="str">
        <f>IF(PORTEFEUILLE_MARIE_PIERRE[[#This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SUM(PORTEFEUILLE_MARIE_PIERRE[[#This Row],[PCR COMPTABLE €]:[MONTANT
RESPONSABLE RELATION CLIENT €]])-PORTEFEUILLE_MARIE_PIERRE[[#This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7" s="188" t="str">
        <f>IF(PORTEFEUILLE_MARIE_PIERRE[[#This Row],[BONI AAC]]&lt;&gt;0,1,"")</f>
        <v/>
      </c>
      <c r="AU7" s="188" t="str">
        <f>IF(PORTEFEUILLE_MARIE_PIERRE[[#This Row],[MALI AAC]]&lt;&gt;0,1,"")</f>
        <v/>
      </c>
      <c r="AV7" s="225">
        <f>IF(AP7&lt;&gt;"",IF((AP7*Paramètres!$H$4)-PORTEFEUILLE_MARIE_PIERRE[[#This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€]]-(DELPHINE!AP6*Paramètres!$H$4),0),0)</f>
        <v>0</v>
      </c>
      <c r="AW7" s="225">
        <f>IF(AP7&lt;&gt;"",IF(((AP7*Paramètres!$H$4)-PORTEFEUILLE_MARIE_PIERRE[[#This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7" s="190" t="str">
        <f>IF(PORTEFEUILLE_MARIE_PIERRE[[#This Row],[BONI COMPTABLE]]&lt;&gt;0,1,"")</f>
        <v/>
      </c>
      <c r="AY7" s="190" t="str">
        <f>IF(PORTEFEUILLE_MARIE_PIERRE[[#This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SUM(PORTEFEUILLE_MARIE_PIERRE[[#This Row],[PCR COMPTABLE €]:[MONTANT
RESPONSABLE RELATION CLIENT €]])-PORTEFEUILLE_MARIE_PIERRE[[#This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8" s="188" t="str">
        <f>IF(PORTEFEUILLE_MARIE_PIERRE[[#This Row],[BONI AAC]]&lt;&gt;0,1,"")</f>
        <v/>
      </c>
      <c r="AU8" s="188" t="str">
        <f>IF(PORTEFEUILLE_MARIE_PIERRE[[#This Row],[MALI AAC]]&lt;&gt;0,1,"")</f>
        <v/>
      </c>
      <c r="AV8" s="225">
        <f>IF(AP8&lt;&gt;"",IF((AP8*Paramètres!$H$4)-PORTEFEUILLE_MARIE_PIERRE[[#This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€]]-(DELPHINE!AP7*Paramètres!$H$4),0),0)</f>
        <v>0</v>
      </c>
      <c r="AW8" s="225">
        <f>IF(AP8&lt;&gt;"",IF(((AP8*Paramètres!$H$4)-PORTEFEUILLE_MARIE_PIERRE[[#This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8" s="190" t="str">
        <f>IF(PORTEFEUILLE_MARIE_PIERRE[[#This Row],[BONI COMPTABLE]]&lt;&gt;0,1,"")</f>
        <v/>
      </c>
      <c r="AY8" s="190" t="str">
        <f>IF(PORTEFEUILLE_MARIE_PIERRE[[#This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SUM(PORTEFEUILLE_MARIE_PIERRE[[#This Row],[PCR COMPTABLE €]:[MONTANT
RESPONSABLE RELATION CLIENT €]])-PORTEFEUILLE_MARIE_PIERRE[[#This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9" s="188" t="str">
        <f>IF(PORTEFEUILLE_MARIE_PIERRE[[#This Row],[BONI AAC]]&lt;&gt;0,1,"")</f>
        <v/>
      </c>
      <c r="AU9" s="188" t="str">
        <f>IF(PORTEFEUILLE_MARIE_PIERRE[[#This Row],[MALI AAC]]&lt;&gt;0,1,"")</f>
        <v/>
      </c>
      <c r="AV9" s="225">
        <f>IF(AP9&lt;&gt;"",IF((AP9*Paramètres!$H$4)-PORTEFEUILLE_MARIE_PIERRE[[#This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€]]-(DELPHINE!AP8*Paramètres!$H$4),0),0)</f>
        <v>0</v>
      </c>
      <c r="AW9" s="225">
        <f>IF(AP9&lt;&gt;"",IF(((AP9*Paramètres!$H$4)-PORTEFEUILLE_MARIE_PIERRE[[#This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9" s="190" t="str">
        <f>IF(PORTEFEUILLE_MARIE_PIERRE[[#This Row],[BONI COMPTABLE]]&lt;&gt;0,1,"")</f>
        <v/>
      </c>
      <c r="AY9" s="190" t="str">
        <f>IF(PORTEFEUILLE_MARIE_PIERRE[[#This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SUM(PORTEFEUILLE_MARIE_PIERRE[[#This Row],[PCR COMPTABLE €]:[MONTANT
RESPONSABLE RELATION CLIENT €]])-PORTEFEUILLE_MARIE_PIERRE[[#This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0" s="188" t="str">
        <f>IF(PORTEFEUILLE_MARIE_PIERRE[[#This Row],[BONI AAC]]&lt;&gt;0,1,"")</f>
        <v/>
      </c>
      <c r="AU10" s="188" t="str">
        <f>IF(PORTEFEUILLE_MARIE_PIERRE[[#This Row],[MALI AAC]]&lt;&gt;0,1,"")</f>
        <v/>
      </c>
      <c r="AV10" s="225">
        <f>IF(AP10&lt;&gt;"",IF((AP10*Paramètres!$H$4)-PORTEFEUILLE_MARIE_PIERRE[[#This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€]]-(DELPHINE!AP9*Paramètres!$H$4),0),0)</f>
        <v>0</v>
      </c>
      <c r="AW10" s="225">
        <f>IF(AP10&lt;&gt;"",IF(((AP10*Paramètres!$H$4)-PORTEFEUILLE_MARIE_PIERRE[[#This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0" s="190" t="str">
        <f>IF(PORTEFEUILLE_MARIE_PIERRE[[#This Row],[BONI COMPTABLE]]&lt;&gt;0,1,"")</f>
        <v/>
      </c>
      <c r="AY10" s="190" t="str">
        <f>IF(PORTEFEUILLE_MARIE_PIERRE[[#This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SUM(PORTEFEUILLE_MARIE_PIERRE[[#This Row],[PCR COMPTABLE €]:[MONTANT
RESPONSABLE RELATION CLIENT €]])-PORTEFEUILLE_MARIE_PIERRE[[#This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1" s="188" t="str">
        <f>IF(PORTEFEUILLE_MARIE_PIERRE[[#This Row],[BONI AAC]]&lt;&gt;0,1,"")</f>
        <v/>
      </c>
      <c r="AU11" s="188" t="str">
        <f>IF(PORTEFEUILLE_MARIE_PIERRE[[#This Row],[MALI AAC]]&lt;&gt;0,1,"")</f>
        <v/>
      </c>
      <c r="AV11" s="225">
        <f>IF(AP11&lt;&gt;"",IF((AP11*Paramètres!$H$4)-PORTEFEUILLE_MARIE_PIERRE[[#This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€]]-(DELPHINE!AP10*Paramètres!$H$4),0),0)</f>
        <v>0</v>
      </c>
      <c r="AW11" s="225">
        <f>IF(AP11&lt;&gt;"",IF(((AP11*Paramètres!$H$4)-PORTEFEUILLE_MARIE_PIERRE[[#This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1" s="190" t="str">
        <f>IF(PORTEFEUILLE_MARIE_PIERRE[[#This Row],[BONI COMPTABLE]]&lt;&gt;0,1,"")</f>
        <v/>
      </c>
      <c r="AY11" s="190" t="str">
        <f>IF(PORTEFEUILLE_MARIE_PIERRE[[#This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SUM(PORTEFEUILLE_MARIE_PIERRE[[#This Row],[PCR COMPTABLE €]:[MONTANT
RESPONSABLE RELATION CLIENT €]])-PORTEFEUILLE_MARIE_PIERRE[[#This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2" s="188" t="str">
        <f>IF(PORTEFEUILLE_MARIE_PIERRE[[#This Row],[BONI AAC]]&lt;&gt;0,1,"")</f>
        <v/>
      </c>
      <c r="AU12" s="188" t="str">
        <f>IF(PORTEFEUILLE_MARIE_PIERRE[[#This Row],[MALI AAC]]&lt;&gt;0,1,"")</f>
        <v/>
      </c>
      <c r="AV12" s="225">
        <f>IF(AP12&lt;&gt;"",IF((AP12*Paramètres!$H$4)-PORTEFEUILLE_MARIE_PIERRE[[#This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€]]-(DELPHINE!AP11*Paramètres!$H$4),0),0)</f>
        <v>0</v>
      </c>
      <c r="AW12" s="225">
        <f>IF(AP12&lt;&gt;"",IF(((AP12*Paramètres!$H$4)-PORTEFEUILLE_MARIE_PIERRE[[#This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2" s="190" t="str">
        <f>IF(PORTEFEUILLE_MARIE_PIERRE[[#This Row],[BONI COMPTABLE]]&lt;&gt;0,1,"")</f>
        <v/>
      </c>
      <c r="AY12" s="190" t="str">
        <f>IF(PORTEFEUILLE_MARIE_PIERRE[[#This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SUM(PORTEFEUILLE_MARIE_PIERRE[[#This Row],[PCR COMPTABLE €]:[MONTANT
RESPONSABLE RELATION CLIENT €]])-PORTEFEUILLE_MARIE_PIERRE[[#This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3" s="188" t="str">
        <f>IF(PORTEFEUILLE_MARIE_PIERRE[[#This Row],[BONI AAC]]&lt;&gt;0,1,"")</f>
        <v/>
      </c>
      <c r="AU13" s="188" t="str">
        <f>IF(PORTEFEUILLE_MARIE_PIERRE[[#This Row],[MALI AAC]]&lt;&gt;0,1,"")</f>
        <v/>
      </c>
      <c r="AV13" s="225">
        <f>IF(AP13&lt;&gt;"",IF((AP13*Paramètres!$H$4)-PORTEFEUILLE_MARIE_PIERRE[[#This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€]]-(DELPHINE!AP12*Paramètres!$H$4),0),0)</f>
        <v>0</v>
      </c>
      <c r="AW13" s="225">
        <f>IF(AP13&lt;&gt;"",IF(((AP13*Paramètres!$H$4)-PORTEFEUILLE_MARIE_PIERRE[[#This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3" s="190" t="str">
        <f>IF(PORTEFEUILLE_MARIE_PIERRE[[#This Row],[BONI COMPTABLE]]&lt;&gt;0,1,"")</f>
        <v/>
      </c>
      <c r="AY13" s="190" t="str">
        <f>IF(PORTEFEUILLE_MARIE_PIERRE[[#This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SUM(PORTEFEUILLE_MARIE_PIERRE[[#This Row],[PCR COMPTABLE €]:[MONTANT
RESPONSABLE RELATION CLIENT €]])-PORTEFEUILLE_MARIE_PIERRE[[#This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4" s="188" t="str">
        <f>IF(PORTEFEUILLE_MARIE_PIERRE[[#This Row],[BONI AAC]]&lt;&gt;0,1,"")</f>
        <v/>
      </c>
      <c r="AU14" s="188" t="str">
        <f>IF(PORTEFEUILLE_MARIE_PIERRE[[#This Row],[MALI AAC]]&lt;&gt;0,1,"")</f>
        <v/>
      </c>
      <c r="AV14" s="225">
        <f>IF(AP14&lt;&gt;"",IF((AP14*Paramètres!$H$4)-PORTEFEUILLE_MARIE_PIERRE[[#This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€]]-(DELPHINE!AP13*Paramètres!$H$4),0),0)</f>
        <v>0</v>
      </c>
      <c r="AW14" s="225">
        <f>IF(AP14&lt;&gt;"",IF(((AP14*Paramètres!$H$4)-PORTEFEUILLE_MARIE_PIERRE[[#This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4" s="190" t="str">
        <f>IF(PORTEFEUILLE_MARIE_PIERRE[[#This Row],[BONI COMPTABLE]]&lt;&gt;0,1,"")</f>
        <v/>
      </c>
      <c r="AY14" s="190" t="str">
        <f>IF(PORTEFEUILLE_MARIE_PIERRE[[#This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SUM(PORTEFEUILLE_MARIE_PIERRE[[#This Row],[PCR COMPTABLE €]:[MONTANT
RESPONSABLE RELATION CLIENT €]])-PORTEFEUILLE_MARIE_PIERRE[[#This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5" s="188" t="str">
        <f>IF(PORTEFEUILLE_MARIE_PIERRE[[#This Row],[BONI AAC]]&lt;&gt;0,1,"")</f>
        <v/>
      </c>
      <c r="AU15" s="188" t="str">
        <f>IF(PORTEFEUILLE_MARIE_PIERRE[[#This Row],[MALI AAC]]&lt;&gt;0,1,"")</f>
        <v/>
      </c>
      <c r="AV15" s="225">
        <f>IF(AP15&lt;&gt;"",IF((AP15*Paramètres!$H$4)-PORTEFEUILLE_MARIE_PIERRE[[#This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€]]-(DELPHINE!AP14*Paramètres!$H$4),0),0)</f>
        <v>0</v>
      </c>
      <c r="AW15" s="225">
        <f>IF(AP15&lt;&gt;"",IF(((AP15*Paramètres!$H$4)-PORTEFEUILLE_MARIE_PIERRE[[#This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5" s="190" t="str">
        <f>IF(PORTEFEUILLE_MARIE_PIERRE[[#This Row],[BONI COMPTABLE]]&lt;&gt;0,1,"")</f>
        <v/>
      </c>
      <c r="AY15" s="190" t="str">
        <f>IF(PORTEFEUILLE_MARIE_PIERRE[[#This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SUM(PORTEFEUILLE_MARIE_PIERRE[[#This Row],[PCR COMPTABLE €]:[MONTANT
RESPONSABLE RELATION CLIENT €]])-PORTEFEUILLE_MARIE_PIERRE[[#This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6" s="188" t="str">
        <f>IF(PORTEFEUILLE_MARIE_PIERRE[[#This Row],[BONI AAC]]&lt;&gt;0,1,"")</f>
        <v/>
      </c>
      <c r="AU16" s="188" t="str">
        <f>IF(PORTEFEUILLE_MARIE_PIERRE[[#This Row],[MALI AAC]]&lt;&gt;0,1,"")</f>
        <v/>
      </c>
      <c r="AV16" s="225">
        <f>IF(AP16&lt;&gt;"",IF((AP16*Paramètres!$H$4)-PORTEFEUILLE_MARIE_PIERRE[[#This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€]]-(DELPHINE!AP15*Paramètres!$H$4),0),0)</f>
        <v>0</v>
      </c>
      <c r="AW16" s="225">
        <f>IF(AP16&lt;&gt;"",IF(((AP16*Paramètres!$H$4)-PORTEFEUILLE_MARIE_PIERRE[[#This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6" s="190" t="str">
        <f>IF(PORTEFEUILLE_MARIE_PIERRE[[#This Row],[BONI COMPTABLE]]&lt;&gt;0,1,"")</f>
        <v/>
      </c>
      <c r="AY16" s="190" t="str">
        <f>IF(PORTEFEUILLE_MARIE_PIERRE[[#This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SUM(PORTEFEUILLE_MARIE_PIERRE[[#This Row],[PCR COMPTABLE €]:[MONTANT
RESPONSABLE RELATION CLIENT €]])-PORTEFEUILLE_MARIE_PIERRE[[#This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7" s="188" t="str">
        <f>IF(PORTEFEUILLE_MARIE_PIERRE[[#This Row],[BONI AAC]]&lt;&gt;0,1,"")</f>
        <v/>
      </c>
      <c r="AU17" s="188" t="str">
        <f>IF(PORTEFEUILLE_MARIE_PIERRE[[#This Row],[MALI AAC]]&lt;&gt;0,1,"")</f>
        <v/>
      </c>
      <c r="AV17" s="225">
        <f>IF(AP17&lt;&gt;"",IF((AP17*Paramètres!$H$4)-PORTEFEUILLE_MARIE_PIERRE[[#This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€]]-(DELPHINE!AP16*Paramètres!$H$4),0),0)</f>
        <v>0</v>
      </c>
      <c r="AW17" s="225">
        <f>IF(AP17&lt;&gt;"",IF(((AP17*Paramètres!$H$4)-PORTEFEUILLE_MARIE_PIERRE[[#This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7" s="190" t="str">
        <f>IF(PORTEFEUILLE_MARIE_PIERRE[[#This Row],[BONI COMPTABLE]]&lt;&gt;0,1,"")</f>
        <v/>
      </c>
      <c r="AY17" s="190" t="str">
        <f>IF(PORTEFEUILLE_MARIE_PIERRE[[#This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SUM(PORTEFEUILLE_MARIE_PIERRE[[#This Row],[PCR COMPTABLE €]:[MONTANT
RESPONSABLE RELATION CLIENT €]])-PORTEFEUILLE_MARIE_PIERRE[[#This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8" s="188" t="str">
        <f>IF(PORTEFEUILLE_MARIE_PIERRE[[#This Row],[BONI AAC]]&lt;&gt;0,1,"")</f>
        <v/>
      </c>
      <c r="AU18" s="188" t="str">
        <f>IF(PORTEFEUILLE_MARIE_PIERRE[[#This Row],[MALI AAC]]&lt;&gt;0,1,"")</f>
        <v/>
      </c>
      <c r="AV18" s="225">
        <f>IF(AP18&lt;&gt;"",IF((AP18*Paramètres!$H$4)-PORTEFEUILLE_MARIE_PIERRE[[#This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€]]-(DELPHINE!AP17*Paramètres!$H$4),0),0)</f>
        <v>0</v>
      </c>
      <c r="AW18" s="225">
        <f>IF(AP18&lt;&gt;"",IF(((AP18*Paramètres!$H$4)-PORTEFEUILLE_MARIE_PIERRE[[#This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8" s="190" t="str">
        <f>IF(PORTEFEUILLE_MARIE_PIERRE[[#This Row],[BONI COMPTABLE]]&lt;&gt;0,1,"")</f>
        <v/>
      </c>
      <c r="AY18" s="190" t="str">
        <f>IF(PORTEFEUILLE_MARIE_PIERRE[[#This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SUM(PORTEFEUILLE_MARIE_PIERRE[[#This Row],[PCR COMPTABLE €]:[MONTANT
RESPONSABLE RELATION CLIENT €]])-PORTEFEUILLE_MARIE_PIERRE[[#This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9" s="188" t="str">
        <f>IF(PORTEFEUILLE_MARIE_PIERRE[[#This Row],[BONI AAC]]&lt;&gt;0,1,"")</f>
        <v/>
      </c>
      <c r="AU19" s="188" t="str">
        <f>IF(PORTEFEUILLE_MARIE_PIERRE[[#This Row],[MALI AAC]]&lt;&gt;0,1,"")</f>
        <v/>
      </c>
      <c r="AV19" s="225">
        <f>IF(AP19&lt;&gt;"",IF((AP19*Paramètres!$H$4)-PORTEFEUILLE_MARIE_PIERRE[[#This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€]]-(DELPHINE!AP18*Paramètres!$H$4),0),0)</f>
        <v>0</v>
      </c>
      <c r="AW19" s="225">
        <f>IF(AP19&lt;&gt;"",IF(((AP19*Paramètres!$H$4)-PORTEFEUILLE_MARIE_PIERRE[[#This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9" s="190" t="str">
        <f>IF(PORTEFEUILLE_MARIE_PIERRE[[#This Row],[BONI COMPTABLE]]&lt;&gt;0,1,"")</f>
        <v/>
      </c>
      <c r="AY19" s="190" t="str">
        <f>IF(PORTEFEUILLE_MARIE_PIERRE[[#This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SUM(PORTEFEUILLE_MARIE_PIERRE[[#This Row],[PCR COMPTABLE €]:[MONTANT
RESPONSABLE RELATION CLIENT €]])-PORTEFEUILLE_MARIE_PIERRE[[#This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0" s="188" t="str">
        <f>IF(PORTEFEUILLE_MARIE_PIERRE[[#This Row],[BONI AAC]]&lt;&gt;0,1,"")</f>
        <v/>
      </c>
      <c r="AU20" s="188" t="str">
        <f>IF(PORTEFEUILLE_MARIE_PIERRE[[#This Row],[MALI AAC]]&lt;&gt;0,1,"")</f>
        <v/>
      </c>
      <c r="AV20" s="225">
        <f>IF(AP20&lt;&gt;"",IF((AP20*Paramètres!$H$4)-PORTEFEUILLE_MARIE_PIERRE[[#This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€]]-(DELPHINE!AP19*Paramètres!$H$4),0),0)</f>
        <v>0</v>
      </c>
      <c r="AW20" s="225">
        <f>IF(AP20&lt;&gt;"",IF(((AP20*Paramètres!$H$4)-PORTEFEUILLE_MARIE_PIERRE[[#This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0" s="190" t="str">
        <f>IF(PORTEFEUILLE_MARIE_PIERRE[[#This Row],[BONI COMPTABLE]]&lt;&gt;0,1,"")</f>
        <v/>
      </c>
      <c r="AY20" s="190" t="str">
        <f>IF(PORTEFEUILLE_MARIE_PIERRE[[#This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SUM(PORTEFEUILLE_MARIE_PIERRE[[#This Row],[PCR COMPTABLE €]:[MONTANT
RESPONSABLE RELATION CLIENT €]])-PORTEFEUILLE_MARIE_PIERRE[[#This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1" s="188" t="str">
        <f>IF(PORTEFEUILLE_MARIE_PIERRE[[#This Row],[BONI AAC]]&lt;&gt;0,1,"")</f>
        <v/>
      </c>
      <c r="AU21" s="188" t="str">
        <f>IF(PORTEFEUILLE_MARIE_PIERRE[[#This Row],[MALI AAC]]&lt;&gt;0,1,"")</f>
        <v/>
      </c>
      <c r="AV21" s="225">
        <f>IF(AP21&lt;&gt;"",IF((AP21*Paramètres!$H$4)-PORTEFEUILLE_MARIE_PIERRE[[#This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€]]-(DELPHINE!AP20*Paramètres!$H$4),0),0)</f>
        <v>0</v>
      </c>
      <c r="AW21" s="225">
        <f>IF(AP21&lt;&gt;"",IF(((AP21*Paramètres!$H$4)-PORTEFEUILLE_MARIE_PIERRE[[#This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1" s="190" t="str">
        <f>IF(PORTEFEUILLE_MARIE_PIERRE[[#This Row],[BONI COMPTABLE]]&lt;&gt;0,1,"")</f>
        <v/>
      </c>
      <c r="AY21" s="190" t="str">
        <f>IF(PORTEFEUILLE_MARIE_PIERRE[[#This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SUM(PORTEFEUILLE_MARIE_PIERRE[[#This Row],[PCR COMPTABLE €]:[MONTANT
RESPONSABLE RELATION CLIENT €]])-PORTEFEUILLE_MARIE_PIERRE[[#This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2" s="188" t="str">
        <f>IF(PORTEFEUILLE_MARIE_PIERRE[[#This Row],[BONI AAC]]&lt;&gt;0,1,"")</f>
        <v/>
      </c>
      <c r="AU22" s="188" t="str">
        <f>IF(PORTEFEUILLE_MARIE_PIERRE[[#This Row],[MALI AAC]]&lt;&gt;0,1,"")</f>
        <v/>
      </c>
      <c r="AV22" s="225">
        <f>IF(AP22&lt;&gt;"",IF((AP22*Paramètres!$H$4)-PORTEFEUILLE_MARIE_PIERRE[[#This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€]]-(DELPHINE!AP21*Paramètres!$H$4),0),0)</f>
        <v>0</v>
      </c>
      <c r="AW22" s="225">
        <f>IF(AP22&lt;&gt;"",IF(((AP22*Paramètres!$H$4)-PORTEFEUILLE_MARIE_PIERRE[[#This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2" s="190" t="str">
        <f>IF(PORTEFEUILLE_MARIE_PIERRE[[#This Row],[BONI COMPTABLE]]&lt;&gt;0,1,"")</f>
        <v/>
      </c>
      <c r="AY22" s="190" t="str">
        <f>IF(PORTEFEUILLE_MARIE_PIERRE[[#This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SUM(PORTEFEUILLE_MARIE_PIERRE[[#This Row],[PCR COMPTABLE €]:[MONTANT
RESPONSABLE RELATION CLIENT €]])-PORTEFEUILLE_MARIE_PIERRE[[#This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3" s="188" t="str">
        <f>IF(PORTEFEUILLE_MARIE_PIERRE[[#This Row],[BONI AAC]]&lt;&gt;0,1,"")</f>
        <v/>
      </c>
      <c r="AU23" s="188" t="str">
        <f>IF(PORTEFEUILLE_MARIE_PIERRE[[#This Row],[MALI AAC]]&lt;&gt;0,1,"")</f>
        <v/>
      </c>
      <c r="AV23" s="225">
        <f>IF(AP23&lt;&gt;"",IF((AP23*Paramètres!$H$4)-PORTEFEUILLE_MARIE_PIERRE[[#This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€]]-(DELPHINE!AP22*Paramètres!$H$4),0),0)</f>
        <v>0</v>
      </c>
      <c r="AW23" s="225">
        <f>IF(AP23&lt;&gt;"",IF(((AP23*Paramètres!$H$4)-PORTEFEUILLE_MARIE_PIERRE[[#This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3" s="190" t="str">
        <f>IF(PORTEFEUILLE_MARIE_PIERRE[[#This Row],[BONI COMPTABLE]]&lt;&gt;0,1,"")</f>
        <v/>
      </c>
      <c r="AY23" s="190" t="str">
        <f>IF(PORTEFEUILLE_MARIE_PIERRE[[#This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SUM(PORTEFEUILLE_MARIE_PIERRE[[#This Row],[PCR COMPTABLE €]:[MONTANT
RESPONSABLE RELATION CLIENT €]])-PORTEFEUILLE_MARIE_PIERRE[[#This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4" s="188" t="str">
        <f>IF(PORTEFEUILLE_MARIE_PIERRE[[#This Row],[BONI AAC]]&lt;&gt;0,1,"")</f>
        <v/>
      </c>
      <c r="AU24" s="188" t="str">
        <f>IF(PORTEFEUILLE_MARIE_PIERRE[[#This Row],[MALI AAC]]&lt;&gt;0,1,"")</f>
        <v/>
      </c>
      <c r="AV24" s="225">
        <f>IF(AP24&lt;&gt;"",IF((AP24*Paramètres!$H$4)-PORTEFEUILLE_MARIE_PIERRE[[#This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€]]-(DELPHINE!AP23*Paramètres!$H$4),0),0)</f>
        <v>0</v>
      </c>
      <c r="AW24" s="225">
        <f>IF(AP24&lt;&gt;"",IF(((AP24*Paramètres!$H$4)-PORTEFEUILLE_MARIE_PIERRE[[#This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4" s="190" t="str">
        <f>IF(PORTEFEUILLE_MARIE_PIERRE[[#This Row],[BONI COMPTABLE]]&lt;&gt;0,1,"")</f>
        <v/>
      </c>
      <c r="AY24" s="190" t="str">
        <f>IF(PORTEFEUILLE_MARIE_PIERRE[[#This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SUM(PORTEFEUILLE_MARIE_PIERRE[[#This Row],[PCR COMPTABLE €]:[MONTANT
RESPONSABLE RELATION CLIENT €]])-PORTEFEUILLE_MARIE_PIERRE[[#This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5" s="188" t="str">
        <f>IF(PORTEFEUILLE_MARIE_PIERRE[[#This Row],[BONI AAC]]&lt;&gt;0,1,"")</f>
        <v/>
      </c>
      <c r="AU25" s="188" t="str">
        <f>IF(PORTEFEUILLE_MARIE_PIERRE[[#This Row],[MALI AAC]]&lt;&gt;0,1,"")</f>
        <v/>
      </c>
      <c r="AV25" s="225">
        <f>IF(AP25&lt;&gt;"",IF((AP25*Paramètres!$H$4)-PORTEFEUILLE_MARIE_PIERRE[[#This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€]]-(DELPHINE!AP24*Paramètres!$H$4),0),0)</f>
        <v>0</v>
      </c>
      <c r="AW25" s="225">
        <f>IF(AP25&lt;&gt;"",IF(((AP25*Paramètres!$H$4)-PORTEFEUILLE_MARIE_PIERRE[[#This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5" s="190" t="str">
        <f>IF(PORTEFEUILLE_MARIE_PIERRE[[#This Row],[BONI COMPTABLE]]&lt;&gt;0,1,"")</f>
        <v/>
      </c>
      <c r="AY25" s="190" t="str">
        <f>IF(PORTEFEUILLE_MARIE_PIERRE[[#This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SUM(PORTEFEUILLE_MARIE_PIERRE[[#This Row],[PCR COMPTABLE €]:[MONTANT
RESPONSABLE RELATION CLIENT €]])-PORTEFEUILLE_MARIE_PIERRE[[#This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6" s="188" t="str">
        <f>IF(PORTEFEUILLE_MARIE_PIERRE[[#This Row],[BONI AAC]]&lt;&gt;0,1,"")</f>
        <v/>
      </c>
      <c r="AU26" s="188" t="str">
        <f>IF(PORTEFEUILLE_MARIE_PIERRE[[#This Row],[MALI AAC]]&lt;&gt;0,1,"")</f>
        <v/>
      </c>
      <c r="AV26" s="225">
        <f>IF(AP26&lt;&gt;"",IF((AP26*Paramètres!$H$4)-PORTEFEUILLE_MARIE_PIERRE[[#This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€]]-(DELPHINE!AP25*Paramètres!$H$4),0),0)</f>
        <v>0</v>
      </c>
      <c r="AW26" s="225">
        <f>IF(AP26&lt;&gt;"",IF(((AP26*Paramètres!$H$4)-PORTEFEUILLE_MARIE_PIERRE[[#This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6" s="190" t="str">
        <f>IF(PORTEFEUILLE_MARIE_PIERRE[[#This Row],[BONI COMPTABLE]]&lt;&gt;0,1,"")</f>
        <v/>
      </c>
      <c r="AY26" s="190" t="str">
        <f>IF(PORTEFEUILLE_MARIE_PIERRE[[#This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SUM(PORTEFEUILLE_MARIE_PIERRE[[#This Row],[PCR COMPTABLE €]:[MONTANT
RESPONSABLE RELATION CLIENT €]])-PORTEFEUILLE_MARIE_PIERRE[[#This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7" s="188" t="str">
        <f>IF(PORTEFEUILLE_MARIE_PIERRE[[#This Row],[BONI AAC]]&lt;&gt;0,1,"")</f>
        <v/>
      </c>
      <c r="AU27" s="188" t="str">
        <f>IF(PORTEFEUILLE_MARIE_PIERRE[[#This Row],[MALI AAC]]&lt;&gt;0,1,"")</f>
        <v/>
      </c>
      <c r="AV27" s="225">
        <f>IF(AP27&lt;&gt;"",IF((AP27*Paramètres!$H$4)-PORTEFEUILLE_MARIE_PIERRE[[#This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€]]-(DELPHINE!AP26*Paramètres!$H$4),0),0)</f>
        <v>0</v>
      </c>
      <c r="AW27" s="225">
        <f>IF(AP27&lt;&gt;"",IF(((AP27*Paramètres!$H$4)-PORTEFEUILLE_MARIE_PIERRE[[#This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7" s="190" t="str">
        <f>IF(PORTEFEUILLE_MARIE_PIERRE[[#This Row],[BONI COMPTABLE]]&lt;&gt;0,1,"")</f>
        <v/>
      </c>
      <c r="AY27" s="190" t="str">
        <f>IF(PORTEFEUILLE_MARIE_PIERRE[[#This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SUM(PORTEFEUILLE_MARIE_PIERRE[[#This Row],[PCR COMPTABLE €]:[MONTANT
RESPONSABLE RELATION CLIENT €]])-PORTEFEUILLE_MARIE_PIERRE[[#This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8" s="188" t="str">
        <f>IF(PORTEFEUILLE_MARIE_PIERRE[[#This Row],[BONI AAC]]&lt;&gt;0,1,"")</f>
        <v/>
      </c>
      <c r="AU28" s="188" t="str">
        <f>IF(PORTEFEUILLE_MARIE_PIERRE[[#This Row],[MALI AAC]]&lt;&gt;0,1,"")</f>
        <v/>
      </c>
      <c r="AV28" s="225">
        <f>IF(AP28&lt;&gt;"",IF((AP28*Paramètres!$H$4)-PORTEFEUILLE_MARIE_PIERRE[[#This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€]]-(DELPHINE!AP27*Paramètres!$H$4),0),0)</f>
        <v>0</v>
      </c>
      <c r="AW28" s="225">
        <f>IF(AP28&lt;&gt;"",IF(((AP28*Paramètres!$H$4)-PORTEFEUILLE_MARIE_PIERRE[[#This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8" s="190" t="str">
        <f>IF(PORTEFEUILLE_MARIE_PIERRE[[#This Row],[BONI COMPTABLE]]&lt;&gt;0,1,"")</f>
        <v/>
      </c>
      <c r="AY28" s="190" t="str">
        <f>IF(PORTEFEUILLE_MARIE_PIERRE[[#This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SUM(PORTEFEUILLE_MARIE_PIERRE[[#This Row],[PCR COMPTABLE €]:[MONTANT
RESPONSABLE RELATION CLIENT €]])-PORTEFEUILLE_MARIE_PIERRE[[#This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9" s="188" t="str">
        <f>IF(PORTEFEUILLE_MARIE_PIERRE[[#This Row],[BONI AAC]]&lt;&gt;0,1,"")</f>
        <v/>
      </c>
      <c r="AU29" s="188" t="str">
        <f>IF(PORTEFEUILLE_MARIE_PIERRE[[#This Row],[MALI AAC]]&lt;&gt;0,1,"")</f>
        <v/>
      </c>
      <c r="AV29" s="225">
        <f>IF(AP29&lt;&gt;"",IF((AP29*Paramètres!$H$4)-PORTEFEUILLE_MARIE_PIERRE[[#This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€]]-(DELPHINE!AP28*Paramètres!$H$4),0),0)</f>
        <v>0</v>
      </c>
      <c r="AW29" s="225">
        <f>IF(AP29&lt;&gt;"",IF(((AP29*Paramètres!$H$4)-PORTEFEUILLE_MARIE_PIERRE[[#This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9" s="190" t="str">
        <f>IF(PORTEFEUILLE_MARIE_PIERRE[[#This Row],[BONI COMPTABLE]]&lt;&gt;0,1,"")</f>
        <v/>
      </c>
      <c r="AY29" s="190" t="str">
        <f>IF(PORTEFEUILLE_MARIE_PIERRE[[#This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SUM(PORTEFEUILLE_MARIE_PIERRE[[#This Row],[PCR COMPTABLE €]:[MONTANT
RESPONSABLE RELATION CLIENT €]])-PORTEFEUILLE_MARIE_PIERRE[[#This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0" s="188" t="str">
        <f>IF(PORTEFEUILLE_MARIE_PIERRE[[#This Row],[BONI AAC]]&lt;&gt;0,1,"")</f>
        <v/>
      </c>
      <c r="AU30" s="188" t="str">
        <f>IF(PORTEFEUILLE_MARIE_PIERRE[[#This Row],[MALI AAC]]&lt;&gt;0,1,"")</f>
        <v/>
      </c>
      <c r="AV30" s="225">
        <f>IF(AP30&lt;&gt;"",IF((AP30*Paramètres!$H$4)-PORTEFEUILLE_MARIE_PIERRE[[#This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€]]-(DELPHINE!AP29*Paramètres!$H$4),0),0)</f>
        <v>0</v>
      </c>
      <c r="AW30" s="225">
        <f>IF(AP30&lt;&gt;"",IF(((AP30*Paramètres!$H$4)-PORTEFEUILLE_MARIE_PIERRE[[#This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0" s="190" t="str">
        <f>IF(PORTEFEUILLE_MARIE_PIERRE[[#This Row],[BONI COMPTABLE]]&lt;&gt;0,1,"")</f>
        <v/>
      </c>
      <c r="AY30" s="190" t="str">
        <f>IF(PORTEFEUILLE_MARIE_PIERRE[[#This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SUM(PORTEFEUILLE_MARIE_PIERRE[[#This Row],[PCR COMPTABLE €]:[MONTANT
RESPONSABLE RELATION CLIENT €]])-PORTEFEUILLE_MARIE_PIERRE[[#This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1" s="188" t="str">
        <f>IF(PORTEFEUILLE_MARIE_PIERRE[[#This Row],[BONI AAC]]&lt;&gt;0,1,"")</f>
        <v/>
      </c>
      <c r="AU31" s="188" t="str">
        <f>IF(PORTEFEUILLE_MARIE_PIERRE[[#This Row],[MALI AAC]]&lt;&gt;0,1,"")</f>
        <v/>
      </c>
      <c r="AV31" s="225">
        <f>IF(AP31&lt;&gt;"",IF((AP31*Paramètres!$H$4)-PORTEFEUILLE_MARIE_PIERRE[[#This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€]]-(DELPHINE!AP30*Paramètres!$H$4),0),0)</f>
        <v>0</v>
      </c>
      <c r="AW31" s="225">
        <f>IF(AP31&lt;&gt;"",IF(((AP31*Paramètres!$H$4)-PORTEFEUILLE_MARIE_PIERRE[[#This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1" s="190" t="str">
        <f>IF(PORTEFEUILLE_MARIE_PIERRE[[#This Row],[BONI COMPTABLE]]&lt;&gt;0,1,"")</f>
        <v/>
      </c>
      <c r="AY31" s="190" t="str">
        <f>IF(PORTEFEUILLE_MARIE_PIERRE[[#This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SUM(PORTEFEUILLE_MARIE_PIERRE[[#This Row],[PCR COMPTABLE €]:[MONTANT
RESPONSABLE RELATION CLIENT €]])-PORTEFEUILLE_MARIE_PIERRE[[#This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2" s="188" t="str">
        <f>IF(PORTEFEUILLE_MARIE_PIERRE[[#This Row],[BONI AAC]]&lt;&gt;0,1,"")</f>
        <v/>
      </c>
      <c r="AU32" s="188" t="str">
        <f>IF(PORTEFEUILLE_MARIE_PIERRE[[#This Row],[MALI AAC]]&lt;&gt;0,1,"")</f>
        <v/>
      </c>
      <c r="AV32" s="225">
        <f>IF(AP32&lt;&gt;"",IF((AP32*Paramètres!$H$4)-PORTEFEUILLE_MARIE_PIERRE[[#This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€]]-(DELPHINE!AP31*Paramètres!$H$4),0),0)</f>
        <v>0</v>
      </c>
      <c r="AW32" s="225">
        <f>IF(AP32&lt;&gt;"",IF(((AP32*Paramètres!$H$4)-PORTEFEUILLE_MARIE_PIERRE[[#This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2" s="190" t="str">
        <f>IF(PORTEFEUILLE_MARIE_PIERRE[[#This Row],[BONI COMPTABLE]]&lt;&gt;0,1,"")</f>
        <v/>
      </c>
      <c r="AY32" s="190" t="str">
        <f>IF(PORTEFEUILLE_MARIE_PIERRE[[#This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SUM(PORTEFEUILLE_MARIE_PIERRE[[#This Row],[PCR COMPTABLE €]:[MONTANT
RESPONSABLE RELATION CLIENT €]])-PORTEFEUILLE_MARIE_PIERRE[[#This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3" s="188" t="str">
        <f>IF(PORTEFEUILLE_MARIE_PIERRE[[#This Row],[BONI AAC]]&lt;&gt;0,1,"")</f>
        <v/>
      </c>
      <c r="AU33" s="188" t="str">
        <f>IF(PORTEFEUILLE_MARIE_PIERRE[[#This Row],[MALI AAC]]&lt;&gt;0,1,"")</f>
        <v/>
      </c>
      <c r="AV33" s="225">
        <f>IF(AP33&lt;&gt;"",IF((AP33*Paramètres!$H$4)-PORTEFEUILLE_MARIE_PIERRE[[#This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€]]-(DELPHINE!AP32*Paramètres!$H$4),0),0)</f>
        <v>0</v>
      </c>
      <c r="AW33" s="225">
        <f>IF(AP33&lt;&gt;"",IF(((AP33*Paramètres!$H$4)-PORTEFEUILLE_MARIE_PIERRE[[#This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3" s="190" t="str">
        <f>IF(PORTEFEUILLE_MARIE_PIERRE[[#This Row],[BONI COMPTABLE]]&lt;&gt;0,1,"")</f>
        <v/>
      </c>
      <c r="AY33" s="190" t="str">
        <f>IF(PORTEFEUILLE_MARIE_PIERRE[[#This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SUM(PORTEFEUILLE_MARIE_PIERRE[[#This Row],[PCR COMPTABLE €]:[MONTANT
RESPONSABLE RELATION CLIENT €]])-PORTEFEUILLE_MARIE_PIERRE[[#This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4" s="188" t="str">
        <f>IF(PORTEFEUILLE_MARIE_PIERRE[[#This Row],[BONI AAC]]&lt;&gt;0,1,"")</f>
        <v/>
      </c>
      <c r="AU34" s="188" t="str">
        <f>IF(PORTEFEUILLE_MARIE_PIERRE[[#This Row],[MALI AAC]]&lt;&gt;0,1,"")</f>
        <v/>
      </c>
      <c r="AV34" s="225">
        <f>IF(AP34&lt;&gt;"",IF((AP34*Paramètres!$H$4)-PORTEFEUILLE_MARIE_PIERRE[[#This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€]]-(DELPHINE!AP33*Paramètres!$H$4),0),0)</f>
        <v>0</v>
      </c>
      <c r="AW34" s="225">
        <f>IF(AP34&lt;&gt;"",IF(((AP34*Paramètres!$H$4)-PORTEFEUILLE_MARIE_PIERRE[[#This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4" s="190" t="str">
        <f>IF(PORTEFEUILLE_MARIE_PIERRE[[#This Row],[BONI COMPTABLE]]&lt;&gt;0,1,"")</f>
        <v/>
      </c>
      <c r="AY34" s="190" t="str">
        <f>IF(PORTEFEUILLE_MARIE_PIERRE[[#This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SUM(PORTEFEUILLE_MARIE_PIERRE[[#This Row],[PCR COMPTABLE €]:[MONTANT
RESPONSABLE RELATION CLIENT €]])-PORTEFEUILLE_MARIE_PIERRE[[#This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5" s="188" t="str">
        <f>IF(PORTEFEUILLE_MARIE_PIERRE[[#This Row],[BONI AAC]]&lt;&gt;0,1,"")</f>
        <v/>
      </c>
      <c r="AU35" s="188" t="str">
        <f>IF(PORTEFEUILLE_MARIE_PIERRE[[#This Row],[MALI AAC]]&lt;&gt;0,1,"")</f>
        <v/>
      </c>
      <c r="AV35" s="225">
        <f>IF(AP35&lt;&gt;"",IF((AP35*Paramètres!$H$4)-PORTEFEUILLE_MARIE_PIERRE[[#This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€]]-(DELPHINE!AP34*Paramètres!$H$4),0),0)</f>
        <v>0</v>
      </c>
      <c r="AW35" s="225">
        <f>IF(AP35&lt;&gt;"",IF(((AP35*Paramètres!$H$4)-PORTEFEUILLE_MARIE_PIERRE[[#This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5" s="190" t="str">
        <f>IF(PORTEFEUILLE_MARIE_PIERRE[[#This Row],[BONI COMPTABLE]]&lt;&gt;0,1,"")</f>
        <v/>
      </c>
      <c r="AY35" s="190" t="str">
        <f>IF(PORTEFEUILLE_MARIE_PIERRE[[#This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SUM(PORTEFEUILLE_MARIE_PIERRE[[#This Row],[PCR COMPTABLE €]:[MONTANT
RESPONSABLE RELATION CLIENT €]])-PORTEFEUILLE_MARIE_PIERRE[[#This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6" s="188" t="str">
        <f>IF(PORTEFEUILLE_MARIE_PIERRE[[#This Row],[BONI AAC]]&lt;&gt;0,1,"")</f>
        <v/>
      </c>
      <c r="AU36" s="188" t="str">
        <f>IF(PORTEFEUILLE_MARIE_PIERRE[[#This Row],[MALI AAC]]&lt;&gt;0,1,"")</f>
        <v/>
      </c>
      <c r="AV36" s="225">
        <f>IF(AP36&lt;&gt;"",IF((AP36*Paramètres!$H$4)-PORTEFEUILLE_MARIE_PIERRE[[#This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€]]-(DELPHINE!AP35*Paramètres!$H$4),0),0)</f>
        <v>0</v>
      </c>
      <c r="AW36" s="225">
        <f>IF(AP36&lt;&gt;"",IF(((AP36*Paramètres!$H$4)-PORTEFEUILLE_MARIE_PIERRE[[#This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6" s="190" t="str">
        <f>IF(PORTEFEUILLE_MARIE_PIERRE[[#This Row],[BONI COMPTABLE]]&lt;&gt;0,1,"")</f>
        <v/>
      </c>
      <c r="AY36" s="190" t="str">
        <f>IF(PORTEFEUILLE_MARIE_PIERRE[[#This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SUM(PORTEFEUILLE_MARIE_PIERRE[[#This Row],[PCR COMPTABLE €]:[MONTANT
RESPONSABLE RELATION CLIENT €]])-PORTEFEUILLE_MARIE_PIERRE[[#This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7" s="188" t="str">
        <f>IF(PORTEFEUILLE_MARIE_PIERRE[[#This Row],[BONI AAC]]&lt;&gt;0,1,"")</f>
        <v/>
      </c>
      <c r="AU37" s="188" t="str">
        <f>IF(PORTEFEUILLE_MARIE_PIERRE[[#This Row],[MALI AAC]]&lt;&gt;0,1,"")</f>
        <v/>
      </c>
      <c r="AV37" s="225">
        <f>IF(AP37&lt;&gt;"",IF((AP37*Paramètres!$H$4)-PORTEFEUILLE_MARIE_PIERRE[[#This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€]]-(DELPHINE!AP36*Paramètres!$H$4),0),0)</f>
        <v>0</v>
      </c>
      <c r="AW37" s="225">
        <f>IF(AP37&lt;&gt;"",IF(((AP37*Paramètres!$H$4)-PORTEFEUILLE_MARIE_PIERRE[[#This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7" s="190" t="str">
        <f>IF(PORTEFEUILLE_MARIE_PIERRE[[#This Row],[BONI COMPTABLE]]&lt;&gt;0,1,"")</f>
        <v/>
      </c>
      <c r="AY37" s="190" t="str">
        <f>IF(PORTEFEUILLE_MARIE_PIERRE[[#This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SUM(PORTEFEUILLE_MARIE_PIERRE[[#This Row],[PCR COMPTABLE €]:[MONTANT
RESPONSABLE RELATION CLIENT €]])-PORTEFEUILLE_MARIE_PIERRE[[#This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8" s="188" t="str">
        <f>IF(PORTEFEUILLE_MARIE_PIERRE[[#This Row],[BONI AAC]]&lt;&gt;0,1,"")</f>
        <v/>
      </c>
      <c r="AU38" s="188" t="str">
        <f>IF(PORTEFEUILLE_MARIE_PIERRE[[#This Row],[MALI AAC]]&lt;&gt;0,1,"")</f>
        <v/>
      </c>
      <c r="AV38" s="225">
        <f>IF(AP38&lt;&gt;"",IF((AP38*Paramètres!$H$4)-PORTEFEUILLE_MARIE_PIERRE[[#This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€]]-(DELPHINE!AP37*Paramètres!$H$4),0),0)</f>
        <v>0</v>
      </c>
      <c r="AW38" s="225">
        <f>IF(AP38&lt;&gt;"",IF(((AP38*Paramètres!$H$4)-PORTEFEUILLE_MARIE_PIERRE[[#This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8" s="190" t="str">
        <f>IF(PORTEFEUILLE_MARIE_PIERRE[[#This Row],[BONI COMPTABLE]]&lt;&gt;0,1,"")</f>
        <v/>
      </c>
      <c r="AY38" s="190" t="str">
        <f>IF(PORTEFEUILLE_MARIE_PIERRE[[#This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SUM(PORTEFEUILLE_MARIE_PIERRE[[#This Row],[PCR COMPTABLE €]:[MONTANT
RESPONSABLE RELATION CLIENT €]])-PORTEFEUILLE_MARIE_PIERRE[[#This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9" s="188" t="str">
        <f>IF(PORTEFEUILLE_MARIE_PIERRE[[#This Row],[BONI AAC]]&lt;&gt;0,1,"")</f>
        <v/>
      </c>
      <c r="AU39" s="188" t="str">
        <f>IF(PORTEFEUILLE_MARIE_PIERRE[[#This Row],[MALI AAC]]&lt;&gt;0,1,"")</f>
        <v/>
      </c>
      <c r="AV39" s="225">
        <f>IF(AP39&lt;&gt;"",IF((AP39*Paramètres!$H$4)-PORTEFEUILLE_MARIE_PIERRE[[#This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€]]-(DELPHINE!AP38*Paramètres!$H$4),0),0)</f>
        <v>0</v>
      </c>
      <c r="AW39" s="225">
        <f>IF(AP39&lt;&gt;"",IF(((AP39*Paramètres!$H$4)-PORTEFEUILLE_MARIE_PIERRE[[#This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9" s="190" t="str">
        <f>IF(PORTEFEUILLE_MARIE_PIERRE[[#This Row],[BONI COMPTABLE]]&lt;&gt;0,1,"")</f>
        <v/>
      </c>
      <c r="AY39" s="190" t="str">
        <f>IF(PORTEFEUILLE_MARIE_PIERRE[[#This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SUM(PORTEFEUILLE_MARIE_PIERRE[[#This Row],[PCR COMPTABLE €]:[MONTANT
RESPONSABLE RELATION CLIENT €]])-PORTEFEUILLE_MARIE_PIERRE[[#This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0" s="188" t="str">
        <f>IF(PORTEFEUILLE_MARIE_PIERRE[[#This Row],[BONI AAC]]&lt;&gt;0,1,"")</f>
        <v/>
      </c>
      <c r="AU40" s="188" t="str">
        <f>IF(PORTEFEUILLE_MARIE_PIERRE[[#This Row],[MALI AAC]]&lt;&gt;0,1,"")</f>
        <v/>
      </c>
      <c r="AV40" s="225">
        <f>IF(AP40&lt;&gt;"",IF((AP40*Paramètres!$H$4)-PORTEFEUILLE_MARIE_PIERRE[[#This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€]]-(DELPHINE!AP39*Paramètres!$H$4),0),0)</f>
        <v>0</v>
      </c>
      <c r="AW40" s="225">
        <f>IF(AP40&lt;&gt;"",IF(((AP40*Paramètres!$H$4)-PORTEFEUILLE_MARIE_PIERRE[[#This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0" s="190" t="str">
        <f>IF(PORTEFEUILLE_MARIE_PIERRE[[#This Row],[BONI COMPTABLE]]&lt;&gt;0,1,"")</f>
        <v/>
      </c>
      <c r="AY40" s="190" t="str">
        <f>IF(PORTEFEUILLE_MARIE_PIERRE[[#This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SUM(PORTEFEUILLE_MARIE_PIERRE[[#This Row],[PCR COMPTABLE €]:[MONTANT
RESPONSABLE RELATION CLIENT €]])-PORTEFEUILLE_MARIE_PIERRE[[#This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1" s="188" t="str">
        <f>IF(PORTEFEUILLE_MARIE_PIERRE[[#This Row],[BONI AAC]]&lt;&gt;0,1,"")</f>
        <v/>
      </c>
      <c r="AU41" s="188" t="str">
        <f>IF(PORTEFEUILLE_MARIE_PIERRE[[#This Row],[MALI AAC]]&lt;&gt;0,1,"")</f>
        <v/>
      </c>
      <c r="AV41" s="225">
        <f>IF(AP41&lt;&gt;"",IF((AP41*Paramètres!$H$4)-PORTEFEUILLE_MARIE_PIERRE[[#This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€]]-(DELPHINE!AP40*Paramètres!$H$4),0),0)</f>
        <v>0</v>
      </c>
      <c r="AW41" s="225">
        <f>IF(AP41&lt;&gt;"",IF(((AP41*Paramètres!$H$4)-PORTEFEUILLE_MARIE_PIERRE[[#This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1" s="190" t="str">
        <f>IF(PORTEFEUILLE_MARIE_PIERRE[[#This Row],[BONI COMPTABLE]]&lt;&gt;0,1,"")</f>
        <v/>
      </c>
      <c r="AY41" s="190" t="str">
        <f>IF(PORTEFEUILLE_MARIE_PIERRE[[#This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SUM(PORTEFEUILLE_MARIE_PIERRE[[#This Row],[PCR COMPTABLE €]:[MONTANT
RESPONSABLE RELATION CLIENT €]])-PORTEFEUILLE_MARIE_PIERRE[[#This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2" s="188" t="str">
        <f>IF(PORTEFEUILLE_MARIE_PIERRE[[#This Row],[BONI AAC]]&lt;&gt;0,1,"")</f>
        <v/>
      </c>
      <c r="AU42" s="188" t="str">
        <f>IF(PORTEFEUILLE_MARIE_PIERRE[[#This Row],[MALI AAC]]&lt;&gt;0,1,"")</f>
        <v/>
      </c>
      <c r="AV42" s="225">
        <f>IF(AP42&lt;&gt;"",IF((AP42*Paramètres!$H$4)-PORTEFEUILLE_MARIE_PIERRE[[#This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€]]-(DELPHINE!AP41*Paramètres!$H$4),0),0)</f>
        <v>0</v>
      </c>
      <c r="AW42" s="225">
        <f>IF(AP42&lt;&gt;"",IF(((AP42*Paramètres!$H$4)-PORTEFEUILLE_MARIE_PIERRE[[#This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2" s="190" t="str">
        <f>IF(PORTEFEUILLE_MARIE_PIERRE[[#This Row],[BONI COMPTABLE]]&lt;&gt;0,1,"")</f>
        <v/>
      </c>
      <c r="AY42" s="190" t="str">
        <f>IF(PORTEFEUILLE_MARIE_PIERRE[[#This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SUM(PORTEFEUILLE_MARIE_PIERRE[[#This Row],[PCR COMPTABLE €]:[MONTANT
RESPONSABLE RELATION CLIENT €]])-PORTEFEUILLE_MARIE_PIERRE[[#This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3" s="188" t="str">
        <f>IF(PORTEFEUILLE_MARIE_PIERRE[[#This Row],[BONI AAC]]&lt;&gt;0,1,"")</f>
        <v/>
      </c>
      <c r="AU43" s="188" t="str">
        <f>IF(PORTEFEUILLE_MARIE_PIERRE[[#This Row],[MALI AAC]]&lt;&gt;0,1,"")</f>
        <v/>
      </c>
      <c r="AV43" s="225">
        <f>IF(AP43&lt;&gt;"",IF((AP43*Paramètres!$H$4)-PORTEFEUILLE_MARIE_PIERRE[[#This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€]]-(DELPHINE!AP42*Paramètres!$H$4),0),0)</f>
        <v>0</v>
      </c>
      <c r="AW43" s="225">
        <f>IF(AP43&lt;&gt;"",IF(((AP43*Paramètres!$H$4)-PORTEFEUILLE_MARIE_PIERRE[[#This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3" s="190" t="str">
        <f>IF(PORTEFEUILLE_MARIE_PIERRE[[#This Row],[BONI COMPTABLE]]&lt;&gt;0,1,"")</f>
        <v/>
      </c>
      <c r="AY43" s="190" t="str">
        <f>IF(PORTEFEUILLE_MARIE_PIERRE[[#This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SUM(PORTEFEUILLE_MARIE_PIERRE[[#This Row],[PCR COMPTABLE €]:[MONTANT
RESPONSABLE RELATION CLIENT €]])-PORTEFEUILLE_MARIE_PIERRE[[#This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4" s="188" t="str">
        <f>IF(PORTEFEUILLE_MARIE_PIERRE[[#This Row],[BONI AAC]]&lt;&gt;0,1,"")</f>
        <v/>
      </c>
      <c r="AU44" s="188" t="str">
        <f>IF(PORTEFEUILLE_MARIE_PIERRE[[#This Row],[MALI AAC]]&lt;&gt;0,1,"")</f>
        <v/>
      </c>
      <c r="AV44" s="225">
        <f>IF(AP44&lt;&gt;"",IF((AP44*Paramètres!$H$4)-PORTEFEUILLE_MARIE_PIERRE[[#This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€]]-(DELPHINE!AP43*Paramètres!$H$4),0),0)</f>
        <v>0</v>
      </c>
      <c r="AW44" s="225">
        <f>IF(AP44&lt;&gt;"",IF(((AP44*Paramètres!$H$4)-PORTEFEUILLE_MARIE_PIERRE[[#This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4" s="190" t="str">
        <f>IF(PORTEFEUILLE_MARIE_PIERRE[[#This Row],[BONI COMPTABLE]]&lt;&gt;0,1,"")</f>
        <v/>
      </c>
      <c r="AY44" s="190" t="str">
        <f>IF(PORTEFEUILLE_MARIE_PIERRE[[#This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SUM(PORTEFEUILLE_MARIE_PIERRE[[#This Row],[PCR COMPTABLE €]:[MONTANT
RESPONSABLE RELATION CLIENT €]])-PORTEFEUILLE_MARIE_PIERRE[[#This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5" s="188" t="str">
        <f>IF(PORTEFEUILLE_MARIE_PIERRE[[#This Row],[BONI AAC]]&lt;&gt;0,1,"")</f>
        <v/>
      </c>
      <c r="AU45" s="188" t="str">
        <f>IF(PORTEFEUILLE_MARIE_PIERRE[[#This Row],[MALI AAC]]&lt;&gt;0,1,"")</f>
        <v/>
      </c>
      <c r="AV45" s="225">
        <f>IF(AP45&lt;&gt;"",IF((AP45*Paramètres!$H$4)-PORTEFEUILLE_MARIE_PIERRE[[#This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€]]-(DELPHINE!AP44*Paramètres!$H$4),0),0)</f>
        <v>0</v>
      </c>
      <c r="AW45" s="225">
        <f>IF(AP45&lt;&gt;"",IF(((AP45*Paramètres!$H$4)-PORTEFEUILLE_MARIE_PIERRE[[#This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5" s="190" t="str">
        <f>IF(PORTEFEUILLE_MARIE_PIERRE[[#This Row],[BONI COMPTABLE]]&lt;&gt;0,1,"")</f>
        <v/>
      </c>
      <c r="AY45" s="190" t="str">
        <f>IF(PORTEFEUILLE_MARIE_PIERRE[[#This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SUM(PORTEFEUILLE_MARIE_PIERRE[[#This Row],[PCR COMPTABLE €]:[MONTANT
RESPONSABLE RELATION CLIENT €]])-PORTEFEUILLE_MARIE_PIERRE[[#This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6" s="188" t="str">
        <f>IF(PORTEFEUILLE_MARIE_PIERRE[[#This Row],[BONI AAC]]&lt;&gt;0,1,"")</f>
        <v/>
      </c>
      <c r="AU46" s="188" t="str">
        <f>IF(PORTEFEUILLE_MARIE_PIERRE[[#This Row],[MALI AAC]]&lt;&gt;0,1,"")</f>
        <v/>
      </c>
      <c r="AV46" s="225">
        <f>IF(AP46&lt;&gt;"",IF((AP46*Paramètres!$H$4)-PORTEFEUILLE_MARIE_PIERRE[[#This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€]]-(DELPHINE!AP45*Paramètres!$H$4),0),0)</f>
        <v>0</v>
      </c>
      <c r="AW46" s="225">
        <f>IF(AP46&lt;&gt;"",IF(((AP46*Paramètres!$H$4)-PORTEFEUILLE_MARIE_PIERRE[[#This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6" s="190" t="str">
        <f>IF(PORTEFEUILLE_MARIE_PIERRE[[#This Row],[BONI COMPTABLE]]&lt;&gt;0,1,"")</f>
        <v/>
      </c>
      <c r="AY46" s="190" t="str">
        <f>IF(PORTEFEUILLE_MARIE_PIERRE[[#This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SUM(PORTEFEUILLE_MARIE_PIERRE[[#This Row],[PCR COMPTABLE €]:[MONTANT
RESPONSABLE RELATION CLIENT €]])-PORTEFEUILLE_MARIE_PIERRE[[#This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7" s="188" t="str">
        <f>IF(PORTEFEUILLE_MARIE_PIERRE[[#This Row],[BONI AAC]]&lt;&gt;0,1,"")</f>
        <v/>
      </c>
      <c r="AU47" s="188" t="str">
        <f>IF(PORTEFEUILLE_MARIE_PIERRE[[#This Row],[MALI AAC]]&lt;&gt;0,1,"")</f>
        <v/>
      </c>
      <c r="AV47" s="225">
        <f>IF(AP47&lt;&gt;"",IF((AP47*Paramètres!$H$4)-PORTEFEUILLE_MARIE_PIERRE[[#This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€]]-(DELPHINE!AP46*Paramètres!$H$4),0),0)</f>
        <v>0</v>
      </c>
      <c r="AW47" s="225">
        <f>IF(AP47&lt;&gt;"",IF(((AP47*Paramètres!$H$4)-PORTEFEUILLE_MARIE_PIERRE[[#This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7" s="190" t="str">
        <f>IF(PORTEFEUILLE_MARIE_PIERRE[[#This Row],[BONI COMPTABLE]]&lt;&gt;0,1,"")</f>
        <v/>
      </c>
      <c r="AY47" s="190" t="str">
        <f>IF(PORTEFEUILLE_MARIE_PIERRE[[#This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SUM(PORTEFEUILLE_MARIE_PIERRE[[#This Row],[PCR COMPTABLE €]:[MONTANT
RESPONSABLE RELATION CLIENT €]])-PORTEFEUILLE_MARIE_PIERRE[[#This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8" s="188" t="str">
        <f>IF(PORTEFEUILLE_MARIE_PIERRE[[#This Row],[BONI AAC]]&lt;&gt;0,1,"")</f>
        <v/>
      </c>
      <c r="AU48" s="188" t="str">
        <f>IF(PORTEFEUILLE_MARIE_PIERRE[[#This Row],[MALI AAC]]&lt;&gt;0,1,"")</f>
        <v/>
      </c>
      <c r="AV48" s="225">
        <f>IF(AP48&lt;&gt;"",IF((AP48*Paramètres!$H$4)-PORTEFEUILLE_MARIE_PIERRE[[#This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€]]-(DELPHINE!AP47*Paramètres!$H$4),0),0)</f>
        <v>0</v>
      </c>
      <c r="AW48" s="225">
        <f>IF(AP48&lt;&gt;"",IF(((AP48*Paramètres!$H$4)-PORTEFEUILLE_MARIE_PIERRE[[#This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8" s="190" t="str">
        <f>IF(PORTEFEUILLE_MARIE_PIERRE[[#This Row],[BONI COMPTABLE]]&lt;&gt;0,1,"")</f>
        <v/>
      </c>
      <c r="AY48" s="190" t="str">
        <f>IF(PORTEFEUILLE_MARIE_PIERRE[[#This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SUM(PORTEFEUILLE_MARIE_PIERRE[[#This Row],[PCR COMPTABLE €]:[MONTANT
RESPONSABLE RELATION CLIENT €]])-PORTEFEUILLE_MARIE_PIERRE[[#This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9" s="188" t="str">
        <f>IF(PORTEFEUILLE_MARIE_PIERRE[[#This Row],[BONI AAC]]&lt;&gt;0,1,"")</f>
        <v/>
      </c>
      <c r="AU49" s="188" t="str">
        <f>IF(PORTEFEUILLE_MARIE_PIERRE[[#This Row],[MALI AAC]]&lt;&gt;0,1,"")</f>
        <v/>
      </c>
      <c r="AV49" s="225">
        <f>IF(AP49&lt;&gt;"",IF((AP49*Paramètres!$H$4)-PORTEFEUILLE_MARIE_PIERRE[[#This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€]]-(DELPHINE!AP48*Paramètres!$H$4),0),0)</f>
        <v>0</v>
      </c>
      <c r="AW49" s="225">
        <f>IF(AP49&lt;&gt;"",IF(((AP49*Paramètres!$H$4)-PORTEFEUILLE_MARIE_PIERRE[[#This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9" s="190" t="str">
        <f>IF(PORTEFEUILLE_MARIE_PIERRE[[#This Row],[BONI COMPTABLE]]&lt;&gt;0,1,"")</f>
        <v/>
      </c>
      <c r="AY49" s="190" t="str">
        <f>IF(PORTEFEUILLE_MARIE_PIERRE[[#This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SUM(PORTEFEUILLE_MARIE_PIERRE[[#This Row],[PCR COMPTABLE €]:[MONTANT
RESPONSABLE RELATION CLIENT €]])-PORTEFEUILLE_MARIE_PIERRE[[#This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0" s="188" t="str">
        <f>IF(PORTEFEUILLE_MARIE_PIERRE[[#This Row],[BONI AAC]]&lt;&gt;0,1,"")</f>
        <v/>
      </c>
      <c r="AU50" s="188" t="str">
        <f>IF(PORTEFEUILLE_MARIE_PIERRE[[#This Row],[MALI AAC]]&lt;&gt;0,1,"")</f>
        <v/>
      </c>
      <c r="AV50" s="225">
        <f>IF(AP50&lt;&gt;"",IF((AP50*Paramètres!$H$4)-PORTEFEUILLE_MARIE_PIERRE[[#This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€]]-(DELPHINE!AP49*Paramètres!$H$4),0),0)</f>
        <v>0</v>
      </c>
      <c r="AW50" s="225">
        <f>IF(AP50&lt;&gt;"",IF(((AP50*Paramètres!$H$4)-PORTEFEUILLE_MARIE_PIERRE[[#This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0" s="190" t="str">
        <f>IF(PORTEFEUILLE_MARIE_PIERRE[[#This Row],[BONI COMPTABLE]]&lt;&gt;0,1,"")</f>
        <v/>
      </c>
      <c r="AY50" s="190" t="str">
        <f>IF(PORTEFEUILLE_MARIE_PIERRE[[#This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SUM(PORTEFEUILLE_MARIE_PIERRE[[#This Row],[PCR COMPTABLE €]:[MONTANT
RESPONSABLE RELATION CLIENT €]])-PORTEFEUILLE_MARIE_PIERRE[[#This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1" s="188" t="str">
        <f>IF(PORTEFEUILLE_MARIE_PIERRE[[#This Row],[BONI AAC]]&lt;&gt;0,1,"")</f>
        <v/>
      </c>
      <c r="AU51" s="188" t="str">
        <f>IF(PORTEFEUILLE_MARIE_PIERRE[[#This Row],[MALI AAC]]&lt;&gt;0,1,"")</f>
        <v/>
      </c>
      <c r="AV51" s="225">
        <f>IF(AP51&lt;&gt;"",IF((AP51*Paramètres!$H$4)-PORTEFEUILLE_MARIE_PIERRE[[#This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€]]-(DELPHINE!AP50*Paramètres!$H$4),0),0)</f>
        <v>0</v>
      </c>
      <c r="AW51" s="225">
        <f>IF(AP51&lt;&gt;"",IF(((AP51*Paramètres!$H$4)-PORTEFEUILLE_MARIE_PIERRE[[#This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1" s="190" t="str">
        <f>IF(PORTEFEUILLE_MARIE_PIERRE[[#This Row],[BONI COMPTABLE]]&lt;&gt;0,1,"")</f>
        <v/>
      </c>
      <c r="AY51" s="190" t="str">
        <f>IF(PORTEFEUILLE_MARIE_PIERRE[[#This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SUM(PORTEFEUILLE_MARIE_PIERRE[[#This Row],[PCR COMPTABLE €]:[MONTANT
RESPONSABLE RELATION CLIENT €]])-PORTEFEUILLE_MARIE_PIERRE[[#This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2" s="188" t="str">
        <f>IF(PORTEFEUILLE_MARIE_PIERRE[[#This Row],[BONI AAC]]&lt;&gt;0,1,"")</f>
        <v/>
      </c>
      <c r="AU52" s="188" t="str">
        <f>IF(PORTEFEUILLE_MARIE_PIERRE[[#This Row],[MALI AAC]]&lt;&gt;0,1,"")</f>
        <v/>
      </c>
      <c r="AV52" s="225">
        <f>IF(AP52&lt;&gt;"",IF((AP52*Paramètres!$H$4)-PORTEFEUILLE_MARIE_PIERRE[[#This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€]]-(DELPHINE!AP51*Paramètres!$H$4),0),0)</f>
        <v>0</v>
      </c>
      <c r="AW52" s="225">
        <f>IF(AP52&lt;&gt;"",IF(((AP52*Paramètres!$H$4)-PORTEFEUILLE_MARIE_PIERRE[[#This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2" s="190" t="str">
        <f>IF(PORTEFEUILLE_MARIE_PIERRE[[#This Row],[BONI COMPTABLE]]&lt;&gt;0,1,"")</f>
        <v/>
      </c>
      <c r="AY52" s="190" t="str">
        <f>IF(PORTEFEUILLE_MARIE_PIERRE[[#This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SUM(PORTEFEUILLE_MARIE_PIERRE[[#This Row],[PCR COMPTABLE €]:[MONTANT
RESPONSABLE RELATION CLIENT €]])-PORTEFEUILLE_MARIE_PIERRE[[#This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3" s="188" t="str">
        <f>IF(PORTEFEUILLE_MARIE_PIERRE[[#This Row],[BONI AAC]]&lt;&gt;0,1,"")</f>
        <v/>
      </c>
      <c r="AU53" s="188" t="str">
        <f>IF(PORTEFEUILLE_MARIE_PIERRE[[#This Row],[MALI AAC]]&lt;&gt;0,1,"")</f>
        <v/>
      </c>
      <c r="AV53" s="225">
        <f>IF(AP53&lt;&gt;"",IF((AP53*Paramètres!$H$4)-PORTEFEUILLE_MARIE_PIERRE[[#This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€]]-(DELPHINE!AP52*Paramètres!$H$4),0),0)</f>
        <v>0</v>
      </c>
      <c r="AW53" s="225">
        <f>IF(AP53&lt;&gt;"",IF(((AP53*Paramètres!$H$4)-PORTEFEUILLE_MARIE_PIERRE[[#This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3" s="190" t="str">
        <f>IF(PORTEFEUILLE_MARIE_PIERRE[[#This Row],[BONI COMPTABLE]]&lt;&gt;0,1,"")</f>
        <v/>
      </c>
      <c r="AY53" s="190" t="str">
        <f>IF(PORTEFEUILLE_MARIE_PIERRE[[#This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SUM(PORTEFEUILLE_MARIE_PIERRE[[#This Row],[PCR COMPTABLE €]:[MONTANT
RESPONSABLE RELATION CLIENT €]])-PORTEFEUILLE_MARIE_PIERRE[[#This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4" s="188" t="str">
        <f>IF(PORTEFEUILLE_MARIE_PIERRE[[#This Row],[BONI AAC]]&lt;&gt;0,1,"")</f>
        <v/>
      </c>
      <c r="AU54" s="188" t="str">
        <f>IF(PORTEFEUILLE_MARIE_PIERRE[[#This Row],[MALI AAC]]&lt;&gt;0,1,"")</f>
        <v/>
      </c>
      <c r="AV54" s="225">
        <f>IF(AP54&lt;&gt;"",IF((AP54*Paramètres!$H$4)-PORTEFEUILLE_MARIE_PIERRE[[#This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€]]-(DELPHINE!AP53*Paramètres!$H$4),0),0)</f>
        <v>0</v>
      </c>
      <c r="AW54" s="225">
        <f>IF(AP54&lt;&gt;"",IF(((AP54*Paramètres!$H$4)-PORTEFEUILLE_MARIE_PIERRE[[#This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4" s="190" t="str">
        <f>IF(PORTEFEUILLE_MARIE_PIERRE[[#This Row],[BONI COMPTABLE]]&lt;&gt;0,1,"")</f>
        <v/>
      </c>
      <c r="AY54" s="190" t="str">
        <f>IF(PORTEFEUILLE_MARIE_PIERRE[[#This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SUM(PORTEFEUILLE_MARIE_PIERRE[[#This Row],[PCR COMPTABLE €]:[MONTANT
RESPONSABLE RELATION CLIENT €]])-PORTEFEUILLE_MARIE_PIERRE[[#This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5" s="188" t="str">
        <f>IF(PORTEFEUILLE_MARIE_PIERRE[[#This Row],[BONI AAC]]&lt;&gt;0,1,"")</f>
        <v/>
      </c>
      <c r="AU55" s="188" t="str">
        <f>IF(PORTEFEUILLE_MARIE_PIERRE[[#This Row],[MALI AAC]]&lt;&gt;0,1,"")</f>
        <v/>
      </c>
      <c r="AV55" s="225">
        <f>IF(AP55&lt;&gt;"",IF((AP55*Paramètres!$H$4)-PORTEFEUILLE_MARIE_PIERRE[[#This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€]]-(DELPHINE!AP54*Paramètres!$H$4),0),0)</f>
        <v>0</v>
      </c>
      <c r="AW55" s="225">
        <f>IF(AP55&lt;&gt;"",IF(((AP55*Paramètres!$H$4)-PORTEFEUILLE_MARIE_PIERRE[[#This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5" s="190" t="str">
        <f>IF(PORTEFEUILLE_MARIE_PIERRE[[#This Row],[BONI COMPTABLE]]&lt;&gt;0,1,"")</f>
        <v/>
      </c>
      <c r="AY55" s="190" t="str">
        <f>IF(PORTEFEUILLE_MARIE_PIERRE[[#This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SUM(PORTEFEUILLE_MARIE_PIERRE[[#This Row],[PCR COMPTABLE €]:[MONTANT
RESPONSABLE RELATION CLIENT €]])-PORTEFEUILLE_MARIE_PIERRE[[#This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6" s="188" t="str">
        <f>IF(PORTEFEUILLE_MARIE_PIERRE[[#This Row],[BONI AAC]]&lt;&gt;0,1,"")</f>
        <v/>
      </c>
      <c r="AU56" s="188" t="str">
        <f>IF(PORTEFEUILLE_MARIE_PIERRE[[#This Row],[MALI AAC]]&lt;&gt;0,1,"")</f>
        <v/>
      </c>
      <c r="AV56" s="225">
        <f>IF(AP56&lt;&gt;"",IF((AP56*Paramètres!$H$4)-PORTEFEUILLE_MARIE_PIERRE[[#This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€]]-(DELPHINE!AP55*Paramètres!$H$4),0),0)</f>
        <v>0</v>
      </c>
      <c r="AW56" s="225">
        <f>IF(AP56&lt;&gt;"",IF(((AP56*Paramètres!$H$4)-PORTEFEUILLE_MARIE_PIERRE[[#This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6" s="190" t="str">
        <f>IF(PORTEFEUILLE_MARIE_PIERRE[[#This Row],[BONI COMPTABLE]]&lt;&gt;0,1,"")</f>
        <v/>
      </c>
      <c r="AY56" s="190" t="str">
        <f>IF(PORTEFEUILLE_MARIE_PIERRE[[#This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SUM(PORTEFEUILLE_MARIE_PIERRE[[#This Row],[PCR COMPTABLE €]:[MONTANT
RESPONSABLE RELATION CLIENT €]])-PORTEFEUILLE_MARIE_PIERRE[[#This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7" s="188" t="str">
        <f>IF(PORTEFEUILLE_MARIE_PIERRE[[#This Row],[BONI AAC]]&lt;&gt;0,1,"")</f>
        <v/>
      </c>
      <c r="AU57" s="188" t="str">
        <f>IF(PORTEFEUILLE_MARIE_PIERRE[[#This Row],[MALI AAC]]&lt;&gt;0,1,"")</f>
        <v/>
      </c>
      <c r="AV57" s="225">
        <f>IF(AP57&lt;&gt;"",IF((AP57*Paramètres!$H$4)-PORTEFEUILLE_MARIE_PIERRE[[#This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€]]-(DELPHINE!AP56*Paramètres!$H$4),0),0)</f>
        <v>0</v>
      </c>
      <c r="AW57" s="225">
        <f>IF(AP57&lt;&gt;"",IF(((AP57*Paramètres!$H$4)-PORTEFEUILLE_MARIE_PIERRE[[#This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7" s="190" t="str">
        <f>IF(PORTEFEUILLE_MARIE_PIERRE[[#This Row],[BONI COMPTABLE]]&lt;&gt;0,1,"")</f>
        <v/>
      </c>
      <c r="AY57" s="190" t="str">
        <f>IF(PORTEFEUILLE_MARIE_PIERRE[[#This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SUM(PORTEFEUILLE_MARIE_PIERRE[[#This Row],[PCR COMPTABLE €]:[MONTANT
RESPONSABLE RELATION CLIENT €]])-PORTEFEUILLE_MARIE_PIERRE[[#This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8" s="188" t="str">
        <f>IF(PORTEFEUILLE_MARIE_PIERRE[[#This Row],[BONI AAC]]&lt;&gt;0,1,"")</f>
        <v/>
      </c>
      <c r="AU58" s="188" t="str">
        <f>IF(PORTEFEUILLE_MARIE_PIERRE[[#This Row],[MALI AAC]]&lt;&gt;0,1,"")</f>
        <v/>
      </c>
      <c r="AV58" s="225">
        <f>IF(AP58&lt;&gt;"",IF((AP58*Paramètres!$H$4)-PORTEFEUILLE_MARIE_PIERRE[[#This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€]]-(DELPHINE!AP57*Paramètres!$H$4),0),0)</f>
        <v>0</v>
      </c>
      <c r="AW58" s="225">
        <f>IF(AP58&lt;&gt;"",IF(((AP58*Paramètres!$H$4)-PORTEFEUILLE_MARIE_PIERRE[[#This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8" s="190" t="str">
        <f>IF(PORTEFEUILLE_MARIE_PIERRE[[#This Row],[BONI COMPTABLE]]&lt;&gt;0,1,"")</f>
        <v/>
      </c>
      <c r="AY58" s="190" t="str">
        <f>IF(PORTEFEUILLE_MARIE_PIERRE[[#This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SUM(PORTEFEUILLE_MARIE_PIERRE[[#This Row],[PCR COMPTABLE €]:[MONTANT
RESPONSABLE RELATION CLIENT €]])-PORTEFEUILLE_MARIE_PIERRE[[#This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9" s="188" t="str">
        <f>IF(PORTEFEUILLE_MARIE_PIERRE[[#This Row],[BONI AAC]]&lt;&gt;0,1,"")</f>
        <v/>
      </c>
      <c r="AU59" s="188" t="str">
        <f>IF(PORTEFEUILLE_MARIE_PIERRE[[#This Row],[MALI AAC]]&lt;&gt;0,1,"")</f>
        <v/>
      </c>
      <c r="AV59" s="225">
        <f>IF(AP59&lt;&gt;"",IF((AP59*Paramètres!$H$4)-PORTEFEUILLE_MARIE_PIERRE[[#This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€]]-(DELPHINE!AP58*Paramètres!$H$4),0),0)</f>
        <v>0</v>
      </c>
      <c r="AW59" s="225">
        <f>IF(AP59&lt;&gt;"",IF(((AP59*Paramètres!$H$4)-PORTEFEUILLE_MARIE_PIERRE[[#This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9" s="190" t="str">
        <f>IF(PORTEFEUILLE_MARIE_PIERRE[[#This Row],[BONI COMPTABLE]]&lt;&gt;0,1,"")</f>
        <v/>
      </c>
      <c r="AY59" s="190" t="str">
        <f>IF(PORTEFEUILLE_MARIE_PIERRE[[#This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SUM(PORTEFEUILLE_MARIE_PIERRE[[#This Row],[PCR COMPTABLE €]:[MONTANT
RESPONSABLE RELATION CLIENT €]])-PORTEFEUILLE_MARIE_PIERRE[[#This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6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60" s="188" t="str">
        <f>IF(PORTEFEUILLE_MARIE_PIERRE[[#This Row],[BONI AAC]]&lt;&gt;0,1,"")</f>
        <v/>
      </c>
      <c r="AU60" s="188" t="str">
        <f>IF(PORTEFEUILLE_MARIE_PIERRE[[#This Row],[MALI AAC]]&lt;&gt;0,1,"")</f>
        <v/>
      </c>
      <c r="AV60" s="225">
        <f>IF(AP60&lt;&gt;"",IF((AP60*Paramètres!$H$4)-PORTEFEUILLE_MARIE_PIERRE[[#This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€]]-(DELPHINE!AP59*Paramètres!$H$4),0),0)</f>
        <v>0</v>
      </c>
      <c r="AW60" s="225">
        <f>IF(AP60&lt;&gt;"",IF(((AP60*Paramètres!$H$4)-PORTEFEUILLE_MARIE_PIERRE[[#This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60" s="190" t="str">
        <f>IF(PORTEFEUILLE_MARIE_PIERRE[[#This Row],[BONI COMPTABLE]]&lt;&gt;0,1,"")</f>
        <v/>
      </c>
      <c r="AY60" s="190" t="str">
        <f>IF(PORTEFEUILLE_MARIE_PIERRE[[#This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27" priority="6">
      <formula>AND(P3&lt;&gt;"",P3&lt;&gt;"OUI")</formula>
    </cfRule>
  </conditionalFormatting>
  <conditionalFormatting sqref="AN3:AO60 S3:AH60">
    <cfRule type="expression" dxfId="26" priority="5" stopIfTrue="1">
      <formula>$AH3&lt;&gt;0</formula>
    </cfRule>
  </conditionalFormatting>
  <conditionalFormatting sqref="A6:E60 C3:E5 A3:A5">
    <cfRule type="expression" dxfId="25" priority="7" stopIfTrue="1">
      <formula>AND($I3&lt;&gt;"",AND($J3="",AND($BA3="",$BB3="")))</formula>
    </cfRule>
    <cfRule type="expression" dxfId="24" priority="8" stopIfTrue="1">
      <formula>AND($J3&lt;&gt;"",AND($BA3="",$BB3=""))</formula>
    </cfRule>
    <cfRule type="expression" dxfId="23" priority="9" stopIfTrue="1">
      <formula>AND($BA3&lt;&gt;"",$BB3="")</formula>
    </cfRule>
    <cfRule type="expression" dxfId="22" priority="10" stopIfTrue="1">
      <formula>$BB3="X"</formula>
    </cfRule>
  </conditionalFormatting>
  <conditionalFormatting sqref="B3:B5">
    <cfRule type="expression" dxfId="21" priority="1" stopIfTrue="1">
      <formula>AND($I3&lt;&gt;"",AND($J3="",AND($BA3="",$BB3="")))</formula>
    </cfRule>
    <cfRule type="expression" dxfId="20" priority="2" stopIfTrue="1">
      <formula>AND($J3&lt;&gt;"",AND($BA3="",$BB3=""))</formula>
    </cfRule>
    <cfRule type="expression" dxfId="19" priority="3" stopIfTrue="1">
      <formula>AND($BA3&lt;&gt;"",$BB3="")</formula>
    </cfRule>
    <cfRule type="expression" dxfId="18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AL18" sqref="AL18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142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SUM(PORTEFEUILLE_GUILLAUME[[#This Row],[PCR COMPTABLE €]:[MONTANT
RESPONSABLE RELATION CLIENT €]])-PORTEFEUILLE_GUILLAUME[[#This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400</v>
      </c>
      <c r="AT3" s="188" t="str">
        <f>IF(PORTEFEUILLE_GUILLAUME[[#This Row],[BONI AAC]]&lt;&gt;0,1,"")</f>
        <v/>
      </c>
      <c r="AU3" s="188">
        <f>IF(PORTEFEUILLE_GUILLAUME[[#This Row],[MALI AAC]]&lt;&gt;0,1,"")</f>
        <v>1</v>
      </c>
      <c r="AV3" s="225">
        <f>IF(AP3&lt;&gt;"",IF((AP3*Paramètres!$H$4)-PORTEFEUILLE_GUILLAUME[[#This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€]]-(DELPHINE!AP3*Paramètres!$H$4),0),0)</f>
        <v>0</v>
      </c>
      <c r="AW3" s="225">
        <f>IF(AP3&lt;&gt;"",IF(((AP3*Paramètres!$H$4)-PORTEFEUILLE_GUILLAUME[[#This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" s="190" t="str">
        <f>IF(PORTEFEUILLE_GUILLAUME[[#This Row],[BONI COMPTABLE]]&lt;&gt;0,1,"")</f>
        <v/>
      </c>
      <c r="AY3" s="190" t="str">
        <f>IF(PORTEFEUILLE_GUILLAUME[[#This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142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SUM(PORTEFEUILLE_GUILLAUME[[#This Row],[PCR COMPTABLE €]:[MONTANT
RESPONSABLE RELATION CLIENT €]])-PORTEFEUILLE_GUILLAUME[[#This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1000</v>
      </c>
      <c r="AT4" s="188" t="str">
        <f>IF(PORTEFEUILLE_GUILLAUME[[#This Row],[BONI AAC]]&lt;&gt;0,1,"")</f>
        <v/>
      </c>
      <c r="AU4" s="188">
        <f>IF(PORTEFEUILLE_GUILLAUME[[#This Row],[MALI AAC]]&lt;&gt;0,1,"")</f>
        <v>1</v>
      </c>
      <c r="AV4" s="225">
        <f>IF(AP4&lt;&gt;"",IF((AP4*Paramètres!$H$4)-PORTEFEUILLE_GUILLAUME[[#This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€]]-(DELPHINE!AP4*Paramètres!$H$4),0),0)</f>
        <v>0</v>
      </c>
      <c r="AW4" s="225">
        <f>IF(AP4&lt;&gt;"",IF(((AP4*Paramètres!$H$4)-PORTEFEUILLE_GUILLAUME[[#This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3000</v>
      </c>
      <c r="AX4" s="190" t="str">
        <f>IF(PORTEFEUILLE_GUILLAUME[[#This Row],[BONI COMPTABLE]]&lt;&gt;0,1,"")</f>
        <v/>
      </c>
      <c r="AY4" s="190">
        <f>IF(PORTEFEUILLE_GUILLAUME[[#This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142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SUM(PORTEFEUILLE_GUILLAUME[[#This Row],[PCR COMPTABLE €]:[MONTANT
RESPONSABLE RELATION CLIENT €]])-PORTEFEUILLE_GUILLAUME[[#This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2200</v>
      </c>
      <c r="AT5" s="188" t="str">
        <f>IF(PORTEFEUILLE_GUILLAUME[[#This Row],[BONI AAC]]&lt;&gt;0,1,"")</f>
        <v/>
      </c>
      <c r="AU5" s="188">
        <f>IF(PORTEFEUILLE_GUILLAUME[[#This Row],[MALI AAC]]&lt;&gt;0,1,"")</f>
        <v>1</v>
      </c>
      <c r="AV5" s="225">
        <f>IF(AP5&lt;&gt;"",IF((AP5*Paramètres!$H$4)-PORTEFEUILLE_GUILLAUME[[#This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€]]-(DELPHINE!AP5*Paramètres!$H$4),0),0)</f>
        <v>0</v>
      </c>
      <c r="AW5" s="225">
        <f>IF(AP5&lt;&gt;"",IF(((AP5*Paramètres!$H$4)-PORTEFEUILLE_GUILLAUME[[#This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4150</v>
      </c>
      <c r="AX5" s="190" t="str">
        <f>IF(PORTEFEUILLE_GUILLAUME[[#This Row],[BONI COMPTABLE]]&lt;&gt;0,1,"")</f>
        <v/>
      </c>
      <c r="AY5" s="190">
        <f>IF(PORTEFEUILLE_GUILLAUME[[#This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SUM(PORTEFEUILLE_GUILLAUME[[#This Row],[PCR COMPTABLE €]:[MONTANT
RESPONSABLE RELATION CLIENT €]])-PORTEFEUILLE_GUILLAUME[[#This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6" s="188" t="str">
        <f>IF(PORTEFEUILLE_GUILLAUME[[#This Row],[BONI AAC]]&lt;&gt;0,1,"")</f>
        <v/>
      </c>
      <c r="AU6" s="188" t="str">
        <f>IF(PORTEFEUILLE_GUILLAUME[[#This Row],[MALI AAC]]&lt;&gt;0,1,"")</f>
        <v/>
      </c>
      <c r="AV6" s="225">
        <f>IF(AP6&lt;&gt;"",IF((AP6*Paramètres!$H$4)-PORTEFEUILLE_GUILLAUME[[#This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6" s="225">
        <f>IF(AP6&lt;&gt;"",IF(((AP6*Paramètres!$H$4)-PORTEFEUILLE_GUILLAUME[[#This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6" s="190" t="str">
        <f>IF(PORTEFEUILLE_GUILLAUME[[#This Row],[BONI COMPTABLE]]&lt;&gt;0,1,"")</f>
        <v/>
      </c>
      <c r="AY6" s="190" t="str">
        <f>IF(PORTEFEUILLE_GUILLAUME[[#This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SUM(PORTEFEUILLE_GUILLAUME[[#This Row],[PCR COMPTABLE €]:[MONTANT
RESPONSABLE RELATION CLIENT €]])-PORTEFEUILLE_GUILLAUME[[#This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7" s="188" t="str">
        <f>IF(PORTEFEUILLE_GUILLAUME[[#This Row],[BONI AAC]]&lt;&gt;0,1,"")</f>
        <v/>
      </c>
      <c r="AU7" s="188" t="str">
        <f>IF(PORTEFEUILLE_GUILLAUME[[#This Row],[MALI AAC]]&lt;&gt;0,1,"")</f>
        <v/>
      </c>
      <c r="AV7" s="225">
        <f>IF(AP7&lt;&gt;"",IF((AP7*Paramètres!$H$4)-PORTEFEUILLE_GUILLAUME[[#This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€]]-(DELPHINE!AP6*Paramètres!$H$4),0),0)</f>
        <v>0</v>
      </c>
      <c r="AW7" s="225">
        <f>IF(AP7&lt;&gt;"",IF(((AP7*Paramètres!$H$4)-PORTEFEUILLE_GUILLAUME[[#This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7" s="190" t="str">
        <f>IF(PORTEFEUILLE_GUILLAUME[[#This Row],[BONI COMPTABLE]]&lt;&gt;0,1,"")</f>
        <v/>
      </c>
      <c r="AY7" s="190" t="str">
        <f>IF(PORTEFEUILLE_GUILLAUME[[#This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SUM(PORTEFEUILLE_GUILLAUME[[#This Row],[PCR COMPTABLE €]:[MONTANT
RESPONSABLE RELATION CLIENT €]])-PORTEFEUILLE_GUILLAUME[[#This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8" s="188" t="str">
        <f>IF(PORTEFEUILLE_GUILLAUME[[#This Row],[BONI AAC]]&lt;&gt;0,1,"")</f>
        <v/>
      </c>
      <c r="AU8" s="188" t="str">
        <f>IF(PORTEFEUILLE_GUILLAUME[[#This Row],[MALI AAC]]&lt;&gt;0,1,"")</f>
        <v/>
      </c>
      <c r="AV8" s="225">
        <f>IF(AP8&lt;&gt;"",IF((AP8*Paramètres!$H$4)-PORTEFEUILLE_GUILLAUME[[#This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€]]-(DELPHINE!AP7*Paramètres!$H$4),0),0)</f>
        <v>0</v>
      </c>
      <c r="AW8" s="225">
        <f>IF(AP8&lt;&gt;"",IF(((AP8*Paramètres!$H$4)-PORTEFEUILLE_GUILLAUME[[#This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8" s="190" t="str">
        <f>IF(PORTEFEUILLE_GUILLAUME[[#This Row],[BONI COMPTABLE]]&lt;&gt;0,1,"")</f>
        <v/>
      </c>
      <c r="AY8" s="190" t="str">
        <f>IF(PORTEFEUILLE_GUILLAUME[[#This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SUM(PORTEFEUILLE_GUILLAUME[[#This Row],[PCR COMPTABLE €]:[MONTANT
RESPONSABLE RELATION CLIENT €]])-PORTEFEUILLE_GUILLAUME[[#This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9" s="188" t="str">
        <f>IF(PORTEFEUILLE_GUILLAUME[[#This Row],[BONI AAC]]&lt;&gt;0,1,"")</f>
        <v/>
      </c>
      <c r="AU9" s="188" t="str">
        <f>IF(PORTEFEUILLE_GUILLAUME[[#This Row],[MALI AAC]]&lt;&gt;0,1,"")</f>
        <v/>
      </c>
      <c r="AV9" s="225">
        <f>IF(AP9&lt;&gt;"",IF((AP9*Paramètres!$H$4)-PORTEFEUILLE_GUILLAUME[[#This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€]]-(DELPHINE!AP8*Paramètres!$H$4),0),0)</f>
        <v>0</v>
      </c>
      <c r="AW9" s="225">
        <f>IF(AP9&lt;&gt;"",IF(((AP9*Paramètres!$H$4)-PORTEFEUILLE_GUILLAUME[[#This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9" s="190" t="str">
        <f>IF(PORTEFEUILLE_GUILLAUME[[#This Row],[BONI COMPTABLE]]&lt;&gt;0,1,"")</f>
        <v/>
      </c>
      <c r="AY9" s="190" t="str">
        <f>IF(PORTEFEUILLE_GUILLAUME[[#This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SUM(PORTEFEUILLE_GUILLAUME[[#This Row],[PCR COMPTABLE €]:[MONTANT
RESPONSABLE RELATION CLIENT €]])-PORTEFEUILLE_GUILLAUME[[#This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0" s="188" t="str">
        <f>IF(PORTEFEUILLE_GUILLAUME[[#This Row],[BONI AAC]]&lt;&gt;0,1,"")</f>
        <v/>
      </c>
      <c r="AU10" s="188" t="str">
        <f>IF(PORTEFEUILLE_GUILLAUME[[#This Row],[MALI AAC]]&lt;&gt;0,1,"")</f>
        <v/>
      </c>
      <c r="AV10" s="225">
        <f>IF(AP10&lt;&gt;"",IF((AP10*Paramètres!$H$4)-PORTEFEUILLE_GUILLAUME[[#This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€]]-(DELPHINE!AP9*Paramètres!$H$4),0),0)</f>
        <v>0</v>
      </c>
      <c r="AW10" s="225">
        <f>IF(AP10&lt;&gt;"",IF(((AP10*Paramètres!$H$4)-PORTEFEUILLE_GUILLAUME[[#This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0" s="190" t="str">
        <f>IF(PORTEFEUILLE_GUILLAUME[[#This Row],[BONI COMPTABLE]]&lt;&gt;0,1,"")</f>
        <v/>
      </c>
      <c r="AY10" s="190" t="str">
        <f>IF(PORTEFEUILLE_GUILLAUME[[#This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SUM(PORTEFEUILLE_GUILLAUME[[#This Row],[PCR COMPTABLE €]:[MONTANT
RESPONSABLE RELATION CLIENT €]])-PORTEFEUILLE_GUILLAUME[[#This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1" s="188" t="str">
        <f>IF(PORTEFEUILLE_GUILLAUME[[#This Row],[BONI AAC]]&lt;&gt;0,1,"")</f>
        <v/>
      </c>
      <c r="AU11" s="188" t="str">
        <f>IF(PORTEFEUILLE_GUILLAUME[[#This Row],[MALI AAC]]&lt;&gt;0,1,"")</f>
        <v/>
      </c>
      <c r="AV11" s="225">
        <f>IF(AP11&lt;&gt;"",IF((AP11*Paramètres!$H$4)-PORTEFEUILLE_GUILLAUME[[#This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€]]-(DELPHINE!AP10*Paramètres!$H$4),0),0)</f>
        <v>0</v>
      </c>
      <c r="AW11" s="225">
        <f>IF(AP11&lt;&gt;"",IF(((AP11*Paramètres!$H$4)-PORTEFEUILLE_GUILLAUME[[#This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1" s="190" t="str">
        <f>IF(PORTEFEUILLE_GUILLAUME[[#This Row],[BONI COMPTABLE]]&lt;&gt;0,1,"")</f>
        <v/>
      </c>
      <c r="AY11" s="190" t="str">
        <f>IF(PORTEFEUILLE_GUILLAUME[[#This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SUM(PORTEFEUILLE_GUILLAUME[[#This Row],[PCR COMPTABLE €]:[MONTANT
RESPONSABLE RELATION CLIENT €]])-PORTEFEUILLE_GUILLAUME[[#This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2" s="188" t="str">
        <f>IF(PORTEFEUILLE_GUILLAUME[[#This Row],[BONI AAC]]&lt;&gt;0,1,"")</f>
        <v/>
      </c>
      <c r="AU12" s="188" t="str">
        <f>IF(PORTEFEUILLE_GUILLAUME[[#This Row],[MALI AAC]]&lt;&gt;0,1,"")</f>
        <v/>
      </c>
      <c r="AV12" s="225">
        <f>IF(AP12&lt;&gt;"",IF((AP12*Paramètres!$H$4)-PORTEFEUILLE_GUILLAUME[[#This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€]]-(DELPHINE!AP11*Paramètres!$H$4),0),0)</f>
        <v>0</v>
      </c>
      <c r="AW12" s="225">
        <f>IF(AP12&lt;&gt;"",IF(((AP12*Paramètres!$H$4)-PORTEFEUILLE_GUILLAUME[[#This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2" s="190" t="str">
        <f>IF(PORTEFEUILLE_GUILLAUME[[#This Row],[BONI COMPTABLE]]&lt;&gt;0,1,"")</f>
        <v/>
      </c>
      <c r="AY12" s="190" t="str">
        <f>IF(PORTEFEUILLE_GUILLAUME[[#This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SUM(PORTEFEUILLE_GUILLAUME[[#This Row],[PCR COMPTABLE €]:[MONTANT
RESPONSABLE RELATION CLIENT €]])-PORTEFEUILLE_GUILLAUME[[#This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3" s="188" t="str">
        <f>IF(PORTEFEUILLE_GUILLAUME[[#This Row],[BONI AAC]]&lt;&gt;0,1,"")</f>
        <v/>
      </c>
      <c r="AU13" s="188" t="str">
        <f>IF(PORTEFEUILLE_GUILLAUME[[#This Row],[MALI AAC]]&lt;&gt;0,1,"")</f>
        <v/>
      </c>
      <c r="AV13" s="225">
        <f>IF(AP13&lt;&gt;"",IF((AP13*Paramètres!$H$4)-PORTEFEUILLE_GUILLAUME[[#This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€]]-(DELPHINE!AP12*Paramètres!$H$4),0),0)</f>
        <v>0</v>
      </c>
      <c r="AW13" s="225">
        <f>IF(AP13&lt;&gt;"",IF(((AP13*Paramètres!$H$4)-PORTEFEUILLE_GUILLAUME[[#This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3" s="190" t="str">
        <f>IF(PORTEFEUILLE_GUILLAUME[[#This Row],[BONI COMPTABLE]]&lt;&gt;0,1,"")</f>
        <v/>
      </c>
      <c r="AY13" s="190" t="str">
        <f>IF(PORTEFEUILLE_GUILLAUME[[#This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SUM(PORTEFEUILLE_GUILLAUME[[#This Row],[PCR COMPTABLE €]:[MONTANT
RESPONSABLE RELATION CLIENT €]])-PORTEFEUILLE_GUILLAUME[[#This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4" s="188" t="str">
        <f>IF(PORTEFEUILLE_GUILLAUME[[#This Row],[BONI AAC]]&lt;&gt;0,1,"")</f>
        <v/>
      </c>
      <c r="AU14" s="188" t="str">
        <f>IF(PORTEFEUILLE_GUILLAUME[[#This Row],[MALI AAC]]&lt;&gt;0,1,"")</f>
        <v/>
      </c>
      <c r="AV14" s="225">
        <f>IF(AP14&lt;&gt;"",IF((AP14*Paramètres!$H$4)-PORTEFEUILLE_GUILLAUME[[#This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€]]-(DELPHINE!AP13*Paramètres!$H$4),0),0)</f>
        <v>0</v>
      </c>
      <c r="AW14" s="225">
        <f>IF(AP14&lt;&gt;"",IF(((AP14*Paramètres!$H$4)-PORTEFEUILLE_GUILLAUME[[#This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4" s="190" t="str">
        <f>IF(PORTEFEUILLE_GUILLAUME[[#This Row],[BONI COMPTABLE]]&lt;&gt;0,1,"")</f>
        <v/>
      </c>
      <c r="AY14" s="190" t="str">
        <f>IF(PORTEFEUILLE_GUILLAUME[[#This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SUM(PORTEFEUILLE_GUILLAUME[[#This Row],[PCR COMPTABLE €]:[MONTANT
RESPONSABLE RELATION CLIENT €]])-PORTEFEUILLE_GUILLAUME[[#This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5" s="188" t="str">
        <f>IF(PORTEFEUILLE_GUILLAUME[[#This Row],[BONI AAC]]&lt;&gt;0,1,"")</f>
        <v/>
      </c>
      <c r="AU15" s="188" t="str">
        <f>IF(PORTEFEUILLE_GUILLAUME[[#This Row],[MALI AAC]]&lt;&gt;0,1,"")</f>
        <v/>
      </c>
      <c r="AV15" s="225">
        <f>IF(AP15&lt;&gt;"",IF((AP15*Paramètres!$H$4)-PORTEFEUILLE_GUILLAUME[[#This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€]]-(DELPHINE!AP14*Paramètres!$H$4),0),0)</f>
        <v>0</v>
      </c>
      <c r="AW15" s="225">
        <f>IF(AP15&lt;&gt;"",IF(((AP15*Paramètres!$H$4)-PORTEFEUILLE_GUILLAUME[[#This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5" s="190" t="str">
        <f>IF(PORTEFEUILLE_GUILLAUME[[#This Row],[BONI COMPTABLE]]&lt;&gt;0,1,"")</f>
        <v/>
      </c>
      <c r="AY15" s="190" t="str">
        <f>IF(PORTEFEUILLE_GUILLAUME[[#This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SUM(PORTEFEUILLE_GUILLAUME[[#This Row],[PCR COMPTABLE €]:[MONTANT
RESPONSABLE RELATION CLIENT €]])-PORTEFEUILLE_GUILLAUME[[#This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6" s="188" t="str">
        <f>IF(PORTEFEUILLE_GUILLAUME[[#This Row],[BONI AAC]]&lt;&gt;0,1,"")</f>
        <v/>
      </c>
      <c r="AU16" s="188" t="str">
        <f>IF(PORTEFEUILLE_GUILLAUME[[#This Row],[MALI AAC]]&lt;&gt;0,1,"")</f>
        <v/>
      </c>
      <c r="AV16" s="225">
        <f>IF(AP16&lt;&gt;"",IF((AP16*Paramètres!$H$4)-PORTEFEUILLE_GUILLAUME[[#This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€]]-(DELPHINE!AP15*Paramètres!$H$4),0),0)</f>
        <v>0</v>
      </c>
      <c r="AW16" s="225">
        <f>IF(AP16&lt;&gt;"",IF(((AP16*Paramètres!$H$4)-PORTEFEUILLE_GUILLAUME[[#This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6" s="190" t="str">
        <f>IF(PORTEFEUILLE_GUILLAUME[[#This Row],[BONI COMPTABLE]]&lt;&gt;0,1,"")</f>
        <v/>
      </c>
      <c r="AY16" s="190" t="str">
        <f>IF(PORTEFEUILLE_GUILLAUME[[#This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SUM(PORTEFEUILLE_GUILLAUME[[#This Row],[PCR COMPTABLE €]:[MONTANT
RESPONSABLE RELATION CLIENT €]])-PORTEFEUILLE_GUILLAUME[[#This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7" s="188" t="str">
        <f>IF(PORTEFEUILLE_GUILLAUME[[#This Row],[BONI AAC]]&lt;&gt;0,1,"")</f>
        <v/>
      </c>
      <c r="AU17" s="188" t="str">
        <f>IF(PORTEFEUILLE_GUILLAUME[[#This Row],[MALI AAC]]&lt;&gt;0,1,"")</f>
        <v/>
      </c>
      <c r="AV17" s="225">
        <f>IF(AP17&lt;&gt;"",IF((AP17*Paramètres!$H$4)-PORTEFEUILLE_GUILLAUME[[#This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€]]-(DELPHINE!AP16*Paramètres!$H$4),0),0)</f>
        <v>0</v>
      </c>
      <c r="AW17" s="225">
        <f>IF(AP17&lt;&gt;"",IF(((AP17*Paramètres!$H$4)-PORTEFEUILLE_GUILLAUME[[#This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7" s="190" t="str">
        <f>IF(PORTEFEUILLE_GUILLAUME[[#This Row],[BONI COMPTABLE]]&lt;&gt;0,1,"")</f>
        <v/>
      </c>
      <c r="AY17" s="190" t="str">
        <f>IF(PORTEFEUILLE_GUILLAUME[[#This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SUM(PORTEFEUILLE_GUILLAUME[[#This Row],[PCR COMPTABLE €]:[MONTANT
RESPONSABLE RELATION CLIENT €]])-PORTEFEUILLE_GUILLAUME[[#This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8" s="188" t="str">
        <f>IF(PORTEFEUILLE_GUILLAUME[[#This Row],[BONI AAC]]&lt;&gt;0,1,"")</f>
        <v/>
      </c>
      <c r="AU18" s="188" t="str">
        <f>IF(PORTEFEUILLE_GUILLAUME[[#This Row],[MALI AAC]]&lt;&gt;0,1,"")</f>
        <v/>
      </c>
      <c r="AV18" s="225">
        <f>IF(AP18&lt;&gt;"",IF((AP18*Paramètres!$H$4)-PORTEFEUILLE_GUILLAUME[[#This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€]]-(DELPHINE!AP17*Paramètres!$H$4),0),0)</f>
        <v>0</v>
      </c>
      <c r="AW18" s="225">
        <f>IF(AP18&lt;&gt;"",IF(((AP18*Paramètres!$H$4)-PORTEFEUILLE_GUILLAUME[[#This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8" s="190" t="str">
        <f>IF(PORTEFEUILLE_GUILLAUME[[#This Row],[BONI COMPTABLE]]&lt;&gt;0,1,"")</f>
        <v/>
      </c>
      <c r="AY18" s="190" t="str">
        <f>IF(PORTEFEUILLE_GUILLAUME[[#This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SUM(PORTEFEUILLE_GUILLAUME[[#This Row],[PCR COMPTABLE €]:[MONTANT
RESPONSABLE RELATION CLIENT €]])-PORTEFEUILLE_GUILLAUME[[#This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9" s="188" t="str">
        <f>IF(PORTEFEUILLE_GUILLAUME[[#This Row],[BONI AAC]]&lt;&gt;0,1,"")</f>
        <v/>
      </c>
      <c r="AU19" s="188" t="str">
        <f>IF(PORTEFEUILLE_GUILLAUME[[#This Row],[MALI AAC]]&lt;&gt;0,1,"")</f>
        <v/>
      </c>
      <c r="AV19" s="225">
        <f>IF(AP19&lt;&gt;"",IF((AP19*Paramètres!$H$4)-PORTEFEUILLE_GUILLAUME[[#This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€]]-(DELPHINE!AP18*Paramètres!$H$4),0),0)</f>
        <v>0</v>
      </c>
      <c r="AW19" s="225">
        <f>IF(AP19&lt;&gt;"",IF(((AP19*Paramètres!$H$4)-PORTEFEUILLE_GUILLAUME[[#This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9" s="190" t="str">
        <f>IF(PORTEFEUILLE_GUILLAUME[[#This Row],[BONI COMPTABLE]]&lt;&gt;0,1,"")</f>
        <v/>
      </c>
      <c r="AY19" s="190" t="str">
        <f>IF(PORTEFEUILLE_GUILLAUME[[#This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SUM(PORTEFEUILLE_GUILLAUME[[#This Row],[PCR COMPTABLE €]:[MONTANT
RESPONSABLE RELATION CLIENT €]])-PORTEFEUILLE_GUILLAUME[[#This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0" s="188" t="str">
        <f>IF(PORTEFEUILLE_GUILLAUME[[#This Row],[BONI AAC]]&lt;&gt;0,1,"")</f>
        <v/>
      </c>
      <c r="AU20" s="188" t="str">
        <f>IF(PORTEFEUILLE_GUILLAUME[[#This Row],[MALI AAC]]&lt;&gt;0,1,"")</f>
        <v/>
      </c>
      <c r="AV20" s="225">
        <f>IF(AP20&lt;&gt;"",IF((AP20*Paramètres!$H$4)-PORTEFEUILLE_GUILLAUME[[#This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€]]-(DELPHINE!AP19*Paramètres!$H$4),0),0)</f>
        <v>0</v>
      </c>
      <c r="AW20" s="225">
        <f>IF(AP20&lt;&gt;"",IF(((AP20*Paramètres!$H$4)-PORTEFEUILLE_GUILLAUME[[#This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0" s="190" t="str">
        <f>IF(PORTEFEUILLE_GUILLAUME[[#This Row],[BONI COMPTABLE]]&lt;&gt;0,1,"")</f>
        <v/>
      </c>
      <c r="AY20" s="190" t="str">
        <f>IF(PORTEFEUILLE_GUILLAUME[[#This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SUM(PORTEFEUILLE_GUILLAUME[[#This Row],[PCR COMPTABLE €]:[MONTANT
RESPONSABLE RELATION CLIENT €]])-PORTEFEUILLE_GUILLAUME[[#This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1" s="188" t="str">
        <f>IF(PORTEFEUILLE_GUILLAUME[[#This Row],[BONI AAC]]&lt;&gt;0,1,"")</f>
        <v/>
      </c>
      <c r="AU21" s="188" t="str">
        <f>IF(PORTEFEUILLE_GUILLAUME[[#This Row],[MALI AAC]]&lt;&gt;0,1,"")</f>
        <v/>
      </c>
      <c r="AV21" s="225">
        <f>IF(AP21&lt;&gt;"",IF((AP21*Paramètres!$H$4)-PORTEFEUILLE_GUILLAUME[[#This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€]]-(DELPHINE!AP20*Paramètres!$H$4),0),0)</f>
        <v>0</v>
      </c>
      <c r="AW21" s="225">
        <f>IF(AP21&lt;&gt;"",IF(((AP21*Paramètres!$H$4)-PORTEFEUILLE_GUILLAUME[[#This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1" s="190" t="str">
        <f>IF(PORTEFEUILLE_GUILLAUME[[#This Row],[BONI COMPTABLE]]&lt;&gt;0,1,"")</f>
        <v/>
      </c>
      <c r="AY21" s="190" t="str">
        <f>IF(PORTEFEUILLE_GUILLAUME[[#This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SUM(PORTEFEUILLE_GUILLAUME[[#This Row],[PCR COMPTABLE €]:[MONTANT
RESPONSABLE RELATION CLIENT €]])-PORTEFEUILLE_GUILLAUME[[#This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2" s="188" t="str">
        <f>IF(PORTEFEUILLE_GUILLAUME[[#This Row],[BONI AAC]]&lt;&gt;0,1,"")</f>
        <v/>
      </c>
      <c r="AU22" s="188" t="str">
        <f>IF(PORTEFEUILLE_GUILLAUME[[#This Row],[MALI AAC]]&lt;&gt;0,1,"")</f>
        <v/>
      </c>
      <c r="AV22" s="225">
        <f>IF(AP22&lt;&gt;"",IF((AP22*Paramètres!$H$4)-PORTEFEUILLE_GUILLAUME[[#This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€]]-(DELPHINE!AP21*Paramètres!$H$4),0),0)</f>
        <v>0</v>
      </c>
      <c r="AW22" s="225">
        <f>IF(AP22&lt;&gt;"",IF(((AP22*Paramètres!$H$4)-PORTEFEUILLE_GUILLAUME[[#This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2" s="190" t="str">
        <f>IF(PORTEFEUILLE_GUILLAUME[[#This Row],[BONI COMPTABLE]]&lt;&gt;0,1,"")</f>
        <v/>
      </c>
      <c r="AY22" s="190" t="str">
        <f>IF(PORTEFEUILLE_GUILLAUME[[#This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SUM(PORTEFEUILLE_GUILLAUME[[#This Row],[PCR COMPTABLE €]:[MONTANT
RESPONSABLE RELATION CLIENT €]])-PORTEFEUILLE_GUILLAUME[[#This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3" s="188" t="str">
        <f>IF(PORTEFEUILLE_GUILLAUME[[#This Row],[BONI AAC]]&lt;&gt;0,1,"")</f>
        <v/>
      </c>
      <c r="AU23" s="188" t="str">
        <f>IF(PORTEFEUILLE_GUILLAUME[[#This Row],[MALI AAC]]&lt;&gt;0,1,"")</f>
        <v/>
      </c>
      <c r="AV23" s="225">
        <f>IF(AP23&lt;&gt;"",IF((AP23*Paramètres!$H$4)-PORTEFEUILLE_GUILLAUME[[#This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€]]-(DELPHINE!AP22*Paramètres!$H$4),0),0)</f>
        <v>0</v>
      </c>
      <c r="AW23" s="225">
        <f>IF(AP23&lt;&gt;"",IF(((AP23*Paramètres!$H$4)-PORTEFEUILLE_GUILLAUME[[#This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3" s="190" t="str">
        <f>IF(PORTEFEUILLE_GUILLAUME[[#This Row],[BONI COMPTABLE]]&lt;&gt;0,1,"")</f>
        <v/>
      </c>
      <c r="AY23" s="190" t="str">
        <f>IF(PORTEFEUILLE_GUILLAUME[[#This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SUM(PORTEFEUILLE_GUILLAUME[[#This Row],[PCR COMPTABLE €]:[MONTANT
RESPONSABLE RELATION CLIENT €]])-PORTEFEUILLE_GUILLAUME[[#This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4" s="188" t="str">
        <f>IF(PORTEFEUILLE_GUILLAUME[[#This Row],[BONI AAC]]&lt;&gt;0,1,"")</f>
        <v/>
      </c>
      <c r="AU24" s="188" t="str">
        <f>IF(PORTEFEUILLE_GUILLAUME[[#This Row],[MALI AAC]]&lt;&gt;0,1,"")</f>
        <v/>
      </c>
      <c r="AV24" s="225">
        <f>IF(AP24&lt;&gt;"",IF((AP24*Paramètres!$H$4)-PORTEFEUILLE_GUILLAUME[[#This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€]]-(DELPHINE!AP23*Paramètres!$H$4),0),0)</f>
        <v>0</v>
      </c>
      <c r="AW24" s="225">
        <f>IF(AP24&lt;&gt;"",IF(((AP24*Paramètres!$H$4)-PORTEFEUILLE_GUILLAUME[[#This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4" s="190" t="str">
        <f>IF(PORTEFEUILLE_GUILLAUME[[#This Row],[BONI COMPTABLE]]&lt;&gt;0,1,"")</f>
        <v/>
      </c>
      <c r="AY24" s="190" t="str">
        <f>IF(PORTEFEUILLE_GUILLAUME[[#This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SUM(PORTEFEUILLE_GUILLAUME[[#This Row],[PCR COMPTABLE €]:[MONTANT
RESPONSABLE RELATION CLIENT €]])-PORTEFEUILLE_GUILLAUME[[#This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5" s="188" t="str">
        <f>IF(PORTEFEUILLE_GUILLAUME[[#This Row],[BONI AAC]]&lt;&gt;0,1,"")</f>
        <v/>
      </c>
      <c r="AU25" s="188" t="str">
        <f>IF(PORTEFEUILLE_GUILLAUME[[#This Row],[MALI AAC]]&lt;&gt;0,1,"")</f>
        <v/>
      </c>
      <c r="AV25" s="225">
        <f>IF(AP25&lt;&gt;"",IF((AP25*Paramètres!$H$4)-PORTEFEUILLE_GUILLAUME[[#This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€]]-(DELPHINE!AP24*Paramètres!$H$4),0),0)</f>
        <v>0</v>
      </c>
      <c r="AW25" s="225">
        <f>IF(AP25&lt;&gt;"",IF(((AP25*Paramètres!$H$4)-PORTEFEUILLE_GUILLAUME[[#This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5" s="190" t="str">
        <f>IF(PORTEFEUILLE_GUILLAUME[[#This Row],[BONI COMPTABLE]]&lt;&gt;0,1,"")</f>
        <v/>
      </c>
      <c r="AY25" s="190" t="str">
        <f>IF(PORTEFEUILLE_GUILLAUME[[#This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SUM(PORTEFEUILLE_GUILLAUME[[#This Row],[PCR COMPTABLE €]:[MONTANT
RESPONSABLE RELATION CLIENT €]])-PORTEFEUILLE_GUILLAUME[[#This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6" s="188" t="str">
        <f>IF(PORTEFEUILLE_GUILLAUME[[#This Row],[BONI AAC]]&lt;&gt;0,1,"")</f>
        <v/>
      </c>
      <c r="AU26" s="188" t="str">
        <f>IF(PORTEFEUILLE_GUILLAUME[[#This Row],[MALI AAC]]&lt;&gt;0,1,"")</f>
        <v/>
      </c>
      <c r="AV26" s="225">
        <f>IF(AP26&lt;&gt;"",IF((AP26*Paramètres!$H$4)-PORTEFEUILLE_GUILLAUME[[#This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€]]-(DELPHINE!AP25*Paramètres!$H$4),0),0)</f>
        <v>0</v>
      </c>
      <c r="AW26" s="225">
        <f>IF(AP26&lt;&gt;"",IF(((AP26*Paramètres!$H$4)-PORTEFEUILLE_GUILLAUME[[#This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6" s="190" t="str">
        <f>IF(PORTEFEUILLE_GUILLAUME[[#This Row],[BONI COMPTABLE]]&lt;&gt;0,1,"")</f>
        <v/>
      </c>
      <c r="AY26" s="190" t="str">
        <f>IF(PORTEFEUILLE_GUILLAUME[[#This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SUM(PORTEFEUILLE_GUILLAUME[[#This Row],[PCR COMPTABLE €]:[MONTANT
RESPONSABLE RELATION CLIENT €]])-PORTEFEUILLE_GUILLAUME[[#This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7" s="188" t="str">
        <f>IF(PORTEFEUILLE_GUILLAUME[[#This Row],[BONI AAC]]&lt;&gt;0,1,"")</f>
        <v/>
      </c>
      <c r="AU27" s="188" t="str">
        <f>IF(PORTEFEUILLE_GUILLAUME[[#This Row],[MALI AAC]]&lt;&gt;0,1,"")</f>
        <v/>
      </c>
      <c r="AV27" s="225">
        <f>IF(AP27&lt;&gt;"",IF((AP27*Paramètres!$H$4)-PORTEFEUILLE_GUILLAUME[[#This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€]]-(DELPHINE!AP26*Paramètres!$H$4),0),0)</f>
        <v>0</v>
      </c>
      <c r="AW27" s="225">
        <f>IF(AP27&lt;&gt;"",IF(((AP27*Paramètres!$H$4)-PORTEFEUILLE_GUILLAUME[[#This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7" s="190" t="str">
        <f>IF(PORTEFEUILLE_GUILLAUME[[#This Row],[BONI COMPTABLE]]&lt;&gt;0,1,"")</f>
        <v/>
      </c>
      <c r="AY27" s="190" t="str">
        <f>IF(PORTEFEUILLE_GUILLAUME[[#This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SUM(PORTEFEUILLE_GUILLAUME[[#This Row],[PCR COMPTABLE €]:[MONTANT
RESPONSABLE RELATION CLIENT €]])-PORTEFEUILLE_GUILLAUME[[#This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8" s="188" t="str">
        <f>IF(PORTEFEUILLE_GUILLAUME[[#This Row],[BONI AAC]]&lt;&gt;0,1,"")</f>
        <v/>
      </c>
      <c r="AU28" s="188" t="str">
        <f>IF(PORTEFEUILLE_GUILLAUME[[#This Row],[MALI AAC]]&lt;&gt;0,1,"")</f>
        <v/>
      </c>
      <c r="AV28" s="225">
        <f>IF(AP28&lt;&gt;"",IF((AP28*Paramètres!$H$4)-PORTEFEUILLE_GUILLAUME[[#This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€]]-(DELPHINE!AP27*Paramètres!$H$4),0),0)</f>
        <v>0</v>
      </c>
      <c r="AW28" s="225">
        <f>IF(AP28&lt;&gt;"",IF(((AP28*Paramètres!$H$4)-PORTEFEUILLE_GUILLAUME[[#This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8" s="190" t="str">
        <f>IF(PORTEFEUILLE_GUILLAUME[[#This Row],[BONI COMPTABLE]]&lt;&gt;0,1,"")</f>
        <v/>
      </c>
      <c r="AY28" s="190" t="str">
        <f>IF(PORTEFEUILLE_GUILLAUME[[#This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SUM(PORTEFEUILLE_GUILLAUME[[#This Row],[PCR COMPTABLE €]:[MONTANT
RESPONSABLE RELATION CLIENT €]])-PORTEFEUILLE_GUILLAUME[[#This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9" s="188" t="str">
        <f>IF(PORTEFEUILLE_GUILLAUME[[#This Row],[BONI AAC]]&lt;&gt;0,1,"")</f>
        <v/>
      </c>
      <c r="AU29" s="188" t="str">
        <f>IF(PORTEFEUILLE_GUILLAUME[[#This Row],[MALI AAC]]&lt;&gt;0,1,"")</f>
        <v/>
      </c>
      <c r="AV29" s="225">
        <f>IF(AP29&lt;&gt;"",IF((AP29*Paramètres!$H$4)-PORTEFEUILLE_GUILLAUME[[#This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€]]-(DELPHINE!AP28*Paramètres!$H$4),0),0)</f>
        <v>0</v>
      </c>
      <c r="AW29" s="225">
        <f>IF(AP29&lt;&gt;"",IF(((AP29*Paramètres!$H$4)-PORTEFEUILLE_GUILLAUME[[#This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9" s="190" t="str">
        <f>IF(PORTEFEUILLE_GUILLAUME[[#This Row],[BONI COMPTABLE]]&lt;&gt;0,1,"")</f>
        <v/>
      </c>
      <c r="AY29" s="190" t="str">
        <f>IF(PORTEFEUILLE_GUILLAUME[[#This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SUM(PORTEFEUILLE_GUILLAUME[[#This Row],[PCR COMPTABLE €]:[MONTANT
RESPONSABLE RELATION CLIENT €]])-PORTEFEUILLE_GUILLAUME[[#This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0" s="188" t="str">
        <f>IF(PORTEFEUILLE_GUILLAUME[[#This Row],[BONI AAC]]&lt;&gt;0,1,"")</f>
        <v/>
      </c>
      <c r="AU30" s="188" t="str">
        <f>IF(PORTEFEUILLE_GUILLAUME[[#This Row],[MALI AAC]]&lt;&gt;0,1,"")</f>
        <v/>
      </c>
      <c r="AV30" s="225">
        <f>IF(AP30&lt;&gt;"",IF((AP30*Paramètres!$H$4)-PORTEFEUILLE_GUILLAUME[[#This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€]]-(DELPHINE!AP29*Paramètres!$H$4),0),0)</f>
        <v>0</v>
      </c>
      <c r="AW30" s="225">
        <f>IF(AP30&lt;&gt;"",IF(((AP30*Paramètres!$H$4)-PORTEFEUILLE_GUILLAUME[[#This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0" s="190" t="str">
        <f>IF(PORTEFEUILLE_GUILLAUME[[#This Row],[BONI COMPTABLE]]&lt;&gt;0,1,"")</f>
        <v/>
      </c>
      <c r="AY30" s="190" t="str">
        <f>IF(PORTEFEUILLE_GUILLAUME[[#This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SUM(PORTEFEUILLE_GUILLAUME[[#This Row],[PCR COMPTABLE €]:[MONTANT
RESPONSABLE RELATION CLIENT €]])-PORTEFEUILLE_GUILLAUME[[#This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1" s="188" t="str">
        <f>IF(PORTEFEUILLE_GUILLAUME[[#This Row],[BONI AAC]]&lt;&gt;0,1,"")</f>
        <v/>
      </c>
      <c r="AU31" s="188" t="str">
        <f>IF(PORTEFEUILLE_GUILLAUME[[#This Row],[MALI AAC]]&lt;&gt;0,1,"")</f>
        <v/>
      </c>
      <c r="AV31" s="225">
        <f>IF(AP31&lt;&gt;"",IF((AP31*Paramètres!$H$4)-PORTEFEUILLE_GUILLAUME[[#This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€]]-(DELPHINE!AP30*Paramètres!$H$4),0),0)</f>
        <v>0</v>
      </c>
      <c r="AW31" s="225">
        <f>IF(AP31&lt;&gt;"",IF(((AP31*Paramètres!$H$4)-PORTEFEUILLE_GUILLAUME[[#This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1" s="190" t="str">
        <f>IF(PORTEFEUILLE_GUILLAUME[[#This Row],[BONI COMPTABLE]]&lt;&gt;0,1,"")</f>
        <v/>
      </c>
      <c r="AY31" s="190" t="str">
        <f>IF(PORTEFEUILLE_GUILLAUME[[#This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SUM(PORTEFEUILLE_GUILLAUME[[#This Row],[PCR COMPTABLE €]:[MONTANT
RESPONSABLE RELATION CLIENT €]])-PORTEFEUILLE_GUILLAUME[[#This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2" s="188" t="str">
        <f>IF(PORTEFEUILLE_GUILLAUME[[#This Row],[BONI AAC]]&lt;&gt;0,1,"")</f>
        <v/>
      </c>
      <c r="AU32" s="188" t="str">
        <f>IF(PORTEFEUILLE_GUILLAUME[[#This Row],[MALI AAC]]&lt;&gt;0,1,"")</f>
        <v/>
      </c>
      <c r="AV32" s="225">
        <f>IF(AP32&lt;&gt;"",IF((AP32*Paramètres!$H$4)-PORTEFEUILLE_GUILLAUME[[#This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€]]-(DELPHINE!AP31*Paramètres!$H$4),0),0)</f>
        <v>0</v>
      </c>
      <c r="AW32" s="225">
        <f>IF(AP32&lt;&gt;"",IF(((AP32*Paramètres!$H$4)-PORTEFEUILLE_GUILLAUME[[#This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2" s="190" t="str">
        <f>IF(PORTEFEUILLE_GUILLAUME[[#This Row],[BONI COMPTABLE]]&lt;&gt;0,1,"")</f>
        <v/>
      </c>
      <c r="AY32" s="190" t="str">
        <f>IF(PORTEFEUILLE_GUILLAUME[[#This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SUM(PORTEFEUILLE_GUILLAUME[[#This Row],[PCR COMPTABLE €]:[MONTANT
RESPONSABLE RELATION CLIENT €]])-PORTEFEUILLE_GUILLAUME[[#This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3" s="188" t="str">
        <f>IF(PORTEFEUILLE_GUILLAUME[[#This Row],[BONI AAC]]&lt;&gt;0,1,"")</f>
        <v/>
      </c>
      <c r="AU33" s="188" t="str">
        <f>IF(PORTEFEUILLE_GUILLAUME[[#This Row],[MALI AAC]]&lt;&gt;0,1,"")</f>
        <v/>
      </c>
      <c r="AV33" s="225">
        <f>IF(AP33&lt;&gt;"",IF((AP33*Paramètres!$H$4)-PORTEFEUILLE_GUILLAUME[[#This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€]]-(DELPHINE!AP32*Paramètres!$H$4),0),0)</f>
        <v>0</v>
      </c>
      <c r="AW33" s="225">
        <f>IF(AP33&lt;&gt;"",IF(((AP33*Paramètres!$H$4)-PORTEFEUILLE_GUILLAUME[[#This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3" s="190" t="str">
        <f>IF(PORTEFEUILLE_GUILLAUME[[#This Row],[BONI COMPTABLE]]&lt;&gt;0,1,"")</f>
        <v/>
      </c>
      <c r="AY33" s="190" t="str">
        <f>IF(PORTEFEUILLE_GUILLAUME[[#This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SUM(PORTEFEUILLE_GUILLAUME[[#This Row],[PCR COMPTABLE €]:[MONTANT
RESPONSABLE RELATION CLIENT €]])-PORTEFEUILLE_GUILLAUME[[#This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4" s="188" t="str">
        <f>IF(PORTEFEUILLE_GUILLAUME[[#This Row],[BONI AAC]]&lt;&gt;0,1,"")</f>
        <v/>
      </c>
      <c r="AU34" s="188" t="str">
        <f>IF(PORTEFEUILLE_GUILLAUME[[#This Row],[MALI AAC]]&lt;&gt;0,1,"")</f>
        <v/>
      </c>
      <c r="AV34" s="225">
        <f>IF(AP34&lt;&gt;"",IF((AP34*Paramètres!$H$4)-PORTEFEUILLE_GUILLAUME[[#This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€]]-(DELPHINE!AP33*Paramètres!$H$4),0),0)</f>
        <v>0</v>
      </c>
      <c r="AW34" s="225">
        <f>IF(AP34&lt;&gt;"",IF(((AP34*Paramètres!$H$4)-PORTEFEUILLE_GUILLAUME[[#This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4" s="190" t="str">
        <f>IF(PORTEFEUILLE_GUILLAUME[[#This Row],[BONI COMPTABLE]]&lt;&gt;0,1,"")</f>
        <v/>
      </c>
      <c r="AY34" s="190" t="str">
        <f>IF(PORTEFEUILLE_GUILLAUME[[#This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SUM(PORTEFEUILLE_GUILLAUME[[#This Row],[PCR COMPTABLE €]:[MONTANT
RESPONSABLE RELATION CLIENT €]])-PORTEFEUILLE_GUILLAUME[[#This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5" s="188" t="str">
        <f>IF(PORTEFEUILLE_GUILLAUME[[#This Row],[BONI AAC]]&lt;&gt;0,1,"")</f>
        <v/>
      </c>
      <c r="AU35" s="188" t="str">
        <f>IF(PORTEFEUILLE_GUILLAUME[[#This Row],[MALI AAC]]&lt;&gt;0,1,"")</f>
        <v/>
      </c>
      <c r="AV35" s="225">
        <f>IF(AP35&lt;&gt;"",IF((AP35*Paramètres!$H$4)-PORTEFEUILLE_GUILLAUME[[#This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€]]-(DELPHINE!AP34*Paramètres!$H$4),0),0)</f>
        <v>0</v>
      </c>
      <c r="AW35" s="225">
        <f>IF(AP35&lt;&gt;"",IF(((AP35*Paramètres!$H$4)-PORTEFEUILLE_GUILLAUME[[#This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5" s="190" t="str">
        <f>IF(PORTEFEUILLE_GUILLAUME[[#This Row],[BONI COMPTABLE]]&lt;&gt;0,1,"")</f>
        <v/>
      </c>
      <c r="AY35" s="190" t="str">
        <f>IF(PORTEFEUILLE_GUILLAUME[[#This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SUM(PORTEFEUILLE_GUILLAUME[[#This Row],[PCR COMPTABLE €]:[MONTANT
RESPONSABLE RELATION CLIENT €]])-PORTEFEUILLE_GUILLAUME[[#This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6" s="188" t="str">
        <f>IF(PORTEFEUILLE_GUILLAUME[[#This Row],[BONI AAC]]&lt;&gt;0,1,"")</f>
        <v/>
      </c>
      <c r="AU36" s="188" t="str">
        <f>IF(PORTEFEUILLE_GUILLAUME[[#This Row],[MALI AAC]]&lt;&gt;0,1,"")</f>
        <v/>
      </c>
      <c r="AV36" s="225">
        <f>IF(AP36&lt;&gt;"",IF((AP36*Paramètres!$H$4)-PORTEFEUILLE_GUILLAUME[[#This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€]]-(DELPHINE!AP35*Paramètres!$H$4),0),0)</f>
        <v>0</v>
      </c>
      <c r="AW36" s="225">
        <f>IF(AP36&lt;&gt;"",IF(((AP36*Paramètres!$H$4)-PORTEFEUILLE_GUILLAUME[[#This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6" s="190" t="str">
        <f>IF(PORTEFEUILLE_GUILLAUME[[#This Row],[BONI COMPTABLE]]&lt;&gt;0,1,"")</f>
        <v/>
      </c>
      <c r="AY36" s="190" t="str">
        <f>IF(PORTEFEUILLE_GUILLAUME[[#This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SUM(PORTEFEUILLE_GUILLAUME[[#This Row],[PCR COMPTABLE €]:[MONTANT
RESPONSABLE RELATION CLIENT €]])-PORTEFEUILLE_GUILLAUME[[#This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7" s="188" t="str">
        <f>IF(PORTEFEUILLE_GUILLAUME[[#This Row],[BONI AAC]]&lt;&gt;0,1,"")</f>
        <v/>
      </c>
      <c r="AU37" s="188" t="str">
        <f>IF(PORTEFEUILLE_GUILLAUME[[#This Row],[MALI AAC]]&lt;&gt;0,1,"")</f>
        <v/>
      </c>
      <c r="AV37" s="225">
        <f>IF(AP37&lt;&gt;"",IF((AP37*Paramètres!$H$4)-PORTEFEUILLE_GUILLAUME[[#This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€]]-(DELPHINE!AP36*Paramètres!$H$4),0),0)</f>
        <v>0</v>
      </c>
      <c r="AW37" s="225">
        <f>IF(AP37&lt;&gt;"",IF(((AP37*Paramètres!$H$4)-PORTEFEUILLE_GUILLAUME[[#This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7" s="190" t="str">
        <f>IF(PORTEFEUILLE_GUILLAUME[[#This Row],[BONI COMPTABLE]]&lt;&gt;0,1,"")</f>
        <v/>
      </c>
      <c r="AY37" s="190" t="str">
        <f>IF(PORTEFEUILLE_GUILLAUME[[#This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SUM(PORTEFEUILLE_GUILLAUME[[#This Row],[PCR COMPTABLE €]:[MONTANT
RESPONSABLE RELATION CLIENT €]])-PORTEFEUILLE_GUILLAUME[[#This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8" s="188" t="str">
        <f>IF(PORTEFEUILLE_GUILLAUME[[#This Row],[BONI AAC]]&lt;&gt;0,1,"")</f>
        <v/>
      </c>
      <c r="AU38" s="188" t="str">
        <f>IF(PORTEFEUILLE_GUILLAUME[[#This Row],[MALI AAC]]&lt;&gt;0,1,"")</f>
        <v/>
      </c>
      <c r="AV38" s="225">
        <f>IF(AP38&lt;&gt;"",IF((AP38*Paramètres!$H$4)-PORTEFEUILLE_GUILLAUME[[#This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€]]-(DELPHINE!AP37*Paramètres!$H$4),0),0)</f>
        <v>0</v>
      </c>
      <c r="AW38" s="225">
        <f>IF(AP38&lt;&gt;"",IF(((AP38*Paramètres!$H$4)-PORTEFEUILLE_GUILLAUME[[#This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8" s="190" t="str">
        <f>IF(PORTEFEUILLE_GUILLAUME[[#This Row],[BONI COMPTABLE]]&lt;&gt;0,1,"")</f>
        <v/>
      </c>
      <c r="AY38" s="190" t="str">
        <f>IF(PORTEFEUILLE_GUILLAUME[[#This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SUM(PORTEFEUILLE_GUILLAUME[[#This Row],[PCR COMPTABLE €]:[MONTANT
RESPONSABLE RELATION CLIENT €]])-PORTEFEUILLE_GUILLAUME[[#This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9" s="188" t="str">
        <f>IF(PORTEFEUILLE_GUILLAUME[[#This Row],[BONI AAC]]&lt;&gt;0,1,"")</f>
        <v/>
      </c>
      <c r="AU39" s="188" t="str">
        <f>IF(PORTEFEUILLE_GUILLAUME[[#This Row],[MALI AAC]]&lt;&gt;0,1,"")</f>
        <v/>
      </c>
      <c r="AV39" s="225">
        <f>IF(AP39&lt;&gt;"",IF((AP39*Paramètres!$H$4)-PORTEFEUILLE_GUILLAUME[[#This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€]]-(DELPHINE!AP38*Paramètres!$H$4),0),0)</f>
        <v>0</v>
      </c>
      <c r="AW39" s="225">
        <f>IF(AP39&lt;&gt;"",IF(((AP39*Paramètres!$H$4)-PORTEFEUILLE_GUILLAUME[[#This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9" s="190" t="str">
        <f>IF(PORTEFEUILLE_GUILLAUME[[#This Row],[BONI COMPTABLE]]&lt;&gt;0,1,"")</f>
        <v/>
      </c>
      <c r="AY39" s="190" t="str">
        <f>IF(PORTEFEUILLE_GUILLAUME[[#This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SUM(PORTEFEUILLE_GUILLAUME[[#This Row],[PCR COMPTABLE €]:[MONTANT
RESPONSABLE RELATION CLIENT €]])-PORTEFEUILLE_GUILLAUME[[#This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0" s="188" t="str">
        <f>IF(PORTEFEUILLE_GUILLAUME[[#This Row],[BONI AAC]]&lt;&gt;0,1,"")</f>
        <v/>
      </c>
      <c r="AU40" s="188" t="str">
        <f>IF(PORTEFEUILLE_GUILLAUME[[#This Row],[MALI AAC]]&lt;&gt;0,1,"")</f>
        <v/>
      </c>
      <c r="AV40" s="225">
        <f>IF(AP40&lt;&gt;"",IF((AP40*Paramètres!$H$4)-PORTEFEUILLE_GUILLAUME[[#This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€]]-(DELPHINE!AP39*Paramètres!$H$4),0),0)</f>
        <v>0</v>
      </c>
      <c r="AW40" s="225">
        <f>IF(AP40&lt;&gt;"",IF(((AP40*Paramètres!$H$4)-PORTEFEUILLE_GUILLAUME[[#This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0" s="190" t="str">
        <f>IF(PORTEFEUILLE_GUILLAUME[[#This Row],[BONI COMPTABLE]]&lt;&gt;0,1,"")</f>
        <v/>
      </c>
      <c r="AY40" s="190" t="str">
        <f>IF(PORTEFEUILLE_GUILLAUME[[#This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SUM(PORTEFEUILLE_GUILLAUME[[#This Row],[PCR COMPTABLE €]:[MONTANT
RESPONSABLE RELATION CLIENT €]])-PORTEFEUILLE_GUILLAUME[[#This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1" s="188" t="str">
        <f>IF(PORTEFEUILLE_GUILLAUME[[#This Row],[BONI AAC]]&lt;&gt;0,1,"")</f>
        <v/>
      </c>
      <c r="AU41" s="188" t="str">
        <f>IF(PORTEFEUILLE_GUILLAUME[[#This Row],[MALI AAC]]&lt;&gt;0,1,"")</f>
        <v/>
      </c>
      <c r="AV41" s="225">
        <f>IF(AP41&lt;&gt;"",IF((AP41*Paramètres!$H$4)-PORTEFEUILLE_GUILLAUME[[#This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€]]-(DELPHINE!AP40*Paramètres!$H$4),0),0)</f>
        <v>0</v>
      </c>
      <c r="AW41" s="225">
        <f>IF(AP41&lt;&gt;"",IF(((AP41*Paramètres!$H$4)-PORTEFEUILLE_GUILLAUME[[#This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1" s="190" t="str">
        <f>IF(PORTEFEUILLE_GUILLAUME[[#This Row],[BONI COMPTABLE]]&lt;&gt;0,1,"")</f>
        <v/>
      </c>
      <c r="AY41" s="190" t="str">
        <f>IF(PORTEFEUILLE_GUILLAUME[[#This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SUM(PORTEFEUILLE_GUILLAUME[[#This Row],[PCR COMPTABLE €]:[MONTANT
RESPONSABLE RELATION CLIENT €]])-PORTEFEUILLE_GUILLAUME[[#This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2" s="188" t="str">
        <f>IF(PORTEFEUILLE_GUILLAUME[[#This Row],[BONI AAC]]&lt;&gt;0,1,"")</f>
        <v/>
      </c>
      <c r="AU42" s="188" t="str">
        <f>IF(PORTEFEUILLE_GUILLAUME[[#This Row],[MALI AAC]]&lt;&gt;0,1,"")</f>
        <v/>
      </c>
      <c r="AV42" s="225">
        <f>IF(AP42&lt;&gt;"",IF((AP42*Paramètres!$H$4)-PORTEFEUILLE_GUILLAUME[[#This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€]]-(DELPHINE!AP41*Paramètres!$H$4),0),0)</f>
        <v>0</v>
      </c>
      <c r="AW42" s="225">
        <f>IF(AP42&lt;&gt;"",IF(((AP42*Paramètres!$H$4)-PORTEFEUILLE_GUILLAUME[[#This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2" s="190" t="str">
        <f>IF(PORTEFEUILLE_GUILLAUME[[#This Row],[BONI COMPTABLE]]&lt;&gt;0,1,"")</f>
        <v/>
      </c>
      <c r="AY42" s="190" t="str">
        <f>IF(PORTEFEUILLE_GUILLAUME[[#This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SUM(PORTEFEUILLE_GUILLAUME[[#This Row],[PCR COMPTABLE €]:[MONTANT
RESPONSABLE RELATION CLIENT €]])-PORTEFEUILLE_GUILLAUME[[#This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3" s="188" t="str">
        <f>IF(PORTEFEUILLE_GUILLAUME[[#This Row],[BONI AAC]]&lt;&gt;0,1,"")</f>
        <v/>
      </c>
      <c r="AU43" s="188" t="str">
        <f>IF(PORTEFEUILLE_GUILLAUME[[#This Row],[MALI AAC]]&lt;&gt;0,1,"")</f>
        <v/>
      </c>
      <c r="AV43" s="225">
        <f>IF(AP43&lt;&gt;"",IF((AP43*Paramètres!$H$4)-PORTEFEUILLE_GUILLAUME[[#This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€]]-(DELPHINE!AP42*Paramètres!$H$4),0),0)</f>
        <v>0</v>
      </c>
      <c r="AW43" s="225">
        <f>IF(AP43&lt;&gt;"",IF(((AP43*Paramètres!$H$4)-PORTEFEUILLE_GUILLAUME[[#This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3" s="190" t="str">
        <f>IF(PORTEFEUILLE_GUILLAUME[[#This Row],[BONI COMPTABLE]]&lt;&gt;0,1,"")</f>
        <v/>
      </c>
      <c r="AY43" s="190" t="str">
        <f>IF(PORTEFEUILLE_GUILLAUME[[#This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SUM(PORTEFEUILLE_GUILLAUME[[#This Row],[PCR COMPTABLE €]:[MONTANT
RESPONSABLE RELATION CLIENT €]])-PORTEFEUILLE_GUILLAUME[[#This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4" s="188" t="str">
        <f>IF(PORTEFEUILLE_GUILLAUME[[#This Row],[BONI AAC]]&lt;&gt;0,1,"")</f>
        <v/>
      </c>
      <c r="AU44" s="188" t="str">
        <f>IF(PORTEFEUILLE_GUILLAUME[[#This Row],[MALI AAC]]&lt;&gt;0,1,"")</f>
        <v/>
      </c>
      <c r="AV44" s="225">
        <f>IF(AP44&lt;&gt;"",IF((AP44*Paramètres!$H$4)-PORTEFEUILLE_GUILLAUME[[#This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€]]-(DELPHINE!AP43*Paramètres!$H$4),0),0)</f>
        <v>0</v>
      </c>
      <c r="AW44" s="225">
        <f>IF(AP44&lt;&gt;"",IF(((AP44*Paramètres!$H$4)-PORTEFEUILLE_GUILLAUME[[#This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4" s="190" t="str">
        <f>IF(PORTEFEUILLE_GUILLAUME[[#This Row],[BONI COMPTABLE]]&lt;&gt;0,1,"")</f>
        <v/>
      </c>
      <c r="AY44" s="190" t="str">
        <f>IF(PORTEFEUILLE_GUILLAUME[[#This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SUM(PORTEFEUILLE_GUILLAUME[[#This Row],[PCR COMPTABLE €]:[MONTANT
RESPONSABLE RELATION CLIENT €]])-PORTEFEUILLE_GUILLAUME[[#This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5" s="188" t="str">
        <f>IF(PORTEFEUILLE_GUILLAUME[[#This Row],[BONI AAC]]&lt;&gt;0,1,"")</f>
        <v/>
      </c>
      <c r="AU45" s="188" t="str">
        <f>IF(PORTEFEUILLE_GUILLAUME[[#This Row],[MALI AAC]]&lt;&gt;0,1,"")</f>
        <v/>
      </c>
      <c r="AV45" s="225">
        <f>IF(AP45&lt;&gt;"",IF((AP45*Paramètres!$H$4)-PORTEFEUILLE_GUILLAUME[[#This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€]]-(DELPHINE!AP44*Paramètres!$H$4),0),0)</f>
        <v>0</v>
      </c>
      <c r="AW45" s="225">
        <f>IF(AP45&lt;&gt;"",IF(((AP45*Paramètres!$H$4)-PORTEFEUILLE_GUILLAUME[[#This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5" s="190" t="str">
        <f>IF(PORTEFEUILLE_GUILLAUME[[#This Row],[BONI COMPTABLE]]&lt;&gt;0,1,"")</f>
        <v/>
      </c>
      <c r="AY45" s="190" t="str">
        <f>IF(PORTEFEUILLE_GUILLAUME[[#This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SUM(PORTEFEUILLE_GUILLAUME[[#This Row],[PCR COMPTABLE €]:[MONTANT
RESPONSABLE RELATION CLIENT €]])-PORTEFEUILLE_GUILLAUME[[#This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6" s="188" t="str">
        <f>IF(PORTEFEUILLE_GUILLAUME[[#This Row],[BONI AAC]]&lt;&gt;0,1,"")</f>
        <v/>
      </c>
      <c r="AU46" s="188" t="str">
        <f>IF(PORTEFEUILLE_GUILLAUME[[#This Row],[MALI AAC]]&lt;&gt;0,1,"")</f>
        <v/>
      </c>
      <c r="AV46" s="225">
        <f>IF(AP46&lt;&gt;"",IF((AP46*Paramètres!$H$4)-PORTEFEUILLE_GUILLAUME[[#This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€]]-(DELPHINE!AP45*Paramètres!$H$4),0),0)</f>
        <v>0</v>
      </c>
      <c r="AW46" s="225">
        <f>IF(AP46&lt;&gt;"",IF(((AP46*Paramètres!$H$4)-PORTEFEUILLE_GUILLAUME[[#This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6" s="190" t="str">
        <f>IF(PORTEFEUILLE_GUILLAUME[[#This Row],[BONI COMPTABLE]]&lt;&gt;0,1,"")</f>
        <v/>
      </c>
      <c r="AY46" s="190" t="str">
        <f>IF(PORTEFEUILLE_GUILLAUME[[#This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SUM(PORTEFEUILLE_GUILLAUME[[#This Row],[PCR COMPTABLE €]:[MONTANT
RESPONSABLE RELATION CLIENT €]])-PORTEFEUILLE_GUILLAUME[[#This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7" s="188" t="str">
        <f>IF(PORTEFEUILLE_GUILLAUME[[#This Row],[BONI AAC]]&lt;&gt;0,1,"")</f>
        <v/>
      </c>
      <c r="AU47" s="188" t="str">
        <f>IF(PORTEFEUILLE_GUILLAUME[[#This Row],[MALI AAC]]&lt;&gt;0,1,"")</f>
        <v/>
      </c>
      <c r="AV47" s="225">
        <f>IF(AP47&lt;&gt;"",IF((AP47*Paramètres!$H$4)-PORTEFEUILLE_GUILLAUME[[#This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€]]-(DELPHINE!AP46*Paramètres!$H$4),0),0)</f>
        <v>0</v>
      </c>
      <c r="AW47" s="225">
        <f>IF(AP47&lt;&gt;"",IF(((AP47*Paramètres!$H$4)-PORTEFEUILLE_GUILLAUME[[#This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7" s="190" t="str">
        <f>IF(PORTEFEUILLE_GUILLAUME[[#This Row],[BONI COMPTABLE]]&lt;&gt;0,1,"")</f>
        <v/>
      </c>
      <c r="AY47" s="190" t="str">
        <f>IF(PORTEFEUILLE_GUILLAUME[[#This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SUM(PORTEFEUILLE_GUILLAUME[[#This Row],[PCR COMPTABLE €]:[MONTANT
RESPONSABLE RELATION CLIENT €]])-PORTEFEUILLE_GUILLAUME[[#This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8" s="188" t="str">
        <f>IF(PORTEFEUILLE_GUILLAUME[[#This Row],[BONI AAC]]&lt;&gt;0,1,"")</f>
        <v/>
      </c>
      <c r="AU48" s="188" t="str">
        <f>IF(PORTEFEUILLE_GUILLAUME[[#This Row],[MALI AAC]]&lt;&gt;0,1,"")</f>
        <v/>
      </c>
      <c r="AV48" s="225">
        <f>IF(AP48&lt;&gt;"",IF((AP48*Paramètres!$H$4)-PORTEFEUILLE_GUILLAUME[[#This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€]]-(DELPHINE!AP47*Paramètres!$H$4),0),0)</f>
        <v>0</v>
      </c>
      <c r="AW48" s="225">
        <f>IF(AP48&lt;&gt;"",IF(((AP48*Paramètres!$H$4)-PORTEFEUILLE_GUILLAUME[[#This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8" s="190" t="str">
        <f>IF(PORTEFEUILLE_GUILLAUME[[#This Row],[BONI COMPTABLE]]&lt;&gt;0,1,"")</f>
        <v/>
      </c>
      <c r="AY48" s="190" t="str">
        <f>IF(PORTEFEUILLE_GUILLAUME[[#This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SUM(PORTEFEUILLE_GUILLAUME[[#This Row],[PCR COMPTABLE €]:[MONTANT
RESPONSABLE RELATION CLIENT €]])-PORTEFEUILLE_GUILLAUME[[#This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9" s="188" t="str">
        <f>IF(PORTEFEUILLE_GUILLAUME[[#This Row],[BONI AAC]]&lt;&gt;0,1,"")</f>
        <v/>
      </c>
      <c r="AU49" s="188" t="str">
        <f>IF(PORTEFEUILLE_GUILLAUME[[#This Row],[MALI AAC]]&lt;&gt;0,1,"")</f>
        <v/>
      </c>
      <c r="AV49" s="225">
        <f>IF(AP49&lt;&gt;"",IF((AP49*Paramètres!$H$4)-PORTEFEUILLE_GUILLAUME[[#This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€]]-(DELPHINE!AP48*Paramètres!$H$4),0),0)</f>
        <v>0</v>
      </c>
      <c r="AW49" s="225">
        <f>IF(AP49&lt;&gt;"",IF(((AP49*Paramètres!$H$4)-PORTEFEUILLE_GUILLAUME[[#This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9" s="190" t="str">
        <f>IF(PORTEFEUILLE_GUILLAUME[[#This Row],[BONI COMPTABLE]]&lt;&gt;0,1,"")</f>
        <v/>
      </c>
      <c r="AY49" s="190" t="str">
        <f>IF(PORTEFEUILLE_GUILLAUME[[#This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SUM(PORTEFEUILLE_GUILLAUME[[#This Row],[PCR COMPTABLE €]:[MONTANT
RESPONSABLE RELATION CLIENT €]])-PORTEFEUILLE_GUILLAUME[[#This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0" s="188" t="str">
        <f>IF(PORTEFEUILLE_GUILLAUME[[#This Row],[BONI AAC]]&lt;&gt;0,1,"")</f>
        <v/>
      </c>
      <c r="AU50" s="188" t="str">
        <f>IF(PORTEFEUILLE_GUILLAUME[[#This Row],[MALI AAC]]&lt;&gt;0,1,"")</f>
        <v/>
      </c>
      <c r="AV50" s="225">
        <f>IF(AP50&lt;&gt;"",IF((AP50*Paramètres!$H$4)-PORTEFEUILLE_GUILLAUME[[#This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€]]-(DELPHINE!AP49*Paramètres!$H$4),0),0)</f>
        <v>0</v>
      </c>
      <c r="AW50" s="225">
        <f>IF(AP50&lt;&gt;"",IF(((AP50*Paramètres!$H$4)-PORTEFEUILLE_GUILLAUME[[#This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0" s="190" t="str">
        <f>IF(PORTEFEUILLE_GUILLAUME[[#This Row],[BONI COMPTABLE]]&lt;&gt;0,1,"")</f>
        <v/>
      </c>
      <c r="AY50" s="190" t="str">
        <f>IF(PORTEFEUILLE_GUILLAUME[[#This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SUM(PORTEFEUILLE_GUILLAUME[[#This Row],[PCR COMPTABLE €]:[MONTANT
RESPONSABLE RELATION CLIENT €]])-PORTEFEUILLE_GUILLAUME[[#This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1" s="188" t="str">
        <f>IF(PORTEFEUILLE_GUILLAUME[[#This Row],[BONI AAC]]&lt;&gt;0,1,"")</f>
        <v/>
      </c>
      <c r="AU51" s="188" t="str">
        <f>IF(PORTEFEUILLE_GUILLAUME[[#This Row],[MALI AAC]]&lt;&gt;0,1,"")</f>
        <v/>
      </c>
      <c r="AV51" s="225">
        <f>IF(AP51&lt;&gt;"",IF((AP51*Paramètres!$H$4)-PORTEFEUILLE_GUILLAUME[[#This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€]]-(DELPHINE!AP50*Paramètres!$H$4),0),0)</f>
        <v>0</v>
      </c>
      <c r="AW51" s="225">
        <f>IF(AP51&lt;&gt;"",IF(((AP51*Paramètres!$H$4)-PORTEFEUILLE_GUILLAUME[[#This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1" s="190" t="str">
        <f>IF(PORTEFEUILLE_GUILLAUME[[#This Row],[BONI COMPTABLE]]&lt;&gt;0,1,"")</f>
        <v/>
      </c>
      <c r="AY51" s="190" t="str">
        <f>IF(PORTEFEUILLE_GUILLAUME[[#This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SUM(PORTEFEUILLE_GUILLAUME[[#This Row],[PCR COMPTABLE €]:[MONTANT
RESPONSABLE RELATION CLIENT €]])-PORTEFEUILLE_GUILLAUME[[#This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2" s="188" t="str">
        <f>IF(PORTEFEUILLE_GUILLAUME[[#This Row],[BONI AAC]]&lt;&gt;0,1,"")</f>
        <v/>
      </c>
      <c r="AU52" s="188" t="str">
        <f>IF(PORTEFEUILLE_GUILLAUME[[#This Row],[MALI AAC]]&lt;&gt;0,1,"")</f>
        <v/>
      </c>
      <c r="AV52" s="225">
        <f>IF(AP52&lt;&gt;"",IF((AP52*Paramètres!$H$4)-PORTEFEUILLE_GUILLAUME[[#This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€]]-(DELPHINE!AP51*Paramètres!$H$4),0),0)</f>
        <v>0</v>
      </c>
      <c r="AW52" s="225">
        <f>IF(AP52&lt;&gt;"",IF(((AP52*Paramètres!$H$4)-PORTEFEUILLE_GUILLAUME[[#This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2" s="190" t="str">
        <f>IF(PORTEFEUILLE_GUILLAUME[[#This Row],[BONI COMPTABLE]]&lt;&gt;0,1,"")</f>
        <v/>
      </c>
      <c r="AY52" s="190" t="str">
        <f>IF(PORTEFEUILLE_GUILLAUME[[#This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SUM(PORTEFEUILLE_GUILLAUME[[#This Row],[PCR COMPTABLE €]:[MONTANT
RESPONSABLE RELATION CLIENT €]])-PORTEFEUILLE_GUILLAUME[[#This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3" s="188" t="str">
        <f>IF(PORTEFEUILLE_GUILLAUME[[#This Row],[BONI AAC]]&lt;&gt;0,1,"")</f>
        <v/>
      </c>
      <c r="AU53" s="188" t="str">
        <f>IF(PORTEFEUILLE_GUILLAUME[[#This Row],[MALI AAC]]&lt;&gt;0,1,"")</f>
        <v/>
      </c>
      <c r="AV53" s="225">
        <f>IF(AP53&lt;&gt;"",IF((AP53*Paramètres!$H$4)-PORTEFEUILLE_GUILLAUME[[#This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€]]-(DELPHINE!AP52*Paramètres!$H$4),0),0)</f>
        <v>0</v>
      </c>
      <c r="AW53" s="225">
        <f>IF(AP53&lt;&gt;"",IF(((AP53*Paramètres!$H$4)-PORTEFEUILLE_GUILLAUME[[#This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3" s="190" t="str">
        <f>IF(PORTEFEUILLE_GUILLAUME[[#This Row],[BONI COMPTABLE]]&lt;&gt;0,1,"")</f>
        <v/>
      </c>
      <c r="AY53" s="190" t="str">
        <f>IF(PORTEFEUILLE_GUILLAUME[[#This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SUM(PORTEFEUILLE_GUILLAUME[[#This Row],[PCR COMPTABLE €]:[MONTANT
RESPONSABLE RELATION CLIENT €]])-PORTEFEUILLE_GUILLAUME[[#This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4" s="188" t="str">
        <f>IF(PORTEFEUILLE_GUILLAUME[[#This Row],[BONI AAC]]&lt;&gt;0,1,"")</f>
        <v/>
      </c>
      <c r="AU54" s="188" t="str">
        <f>IF(PORTEFEUILLE_GUILLAUME[[#This Row],[MALI AAC]]&lt;&gt;0,1,"")</f>
        <v/>
      </c>
      <c r="AV54" s="225">
        <f>IF(AP54&lt;&gt;"",IF((AP54*Paramètres!$H$4)-PORTEFEUILLE_GUILLAUME[[#This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€]]-(DELPHINE!AP53*Paramètres!$H$4),0),0)</f>
        <v>0</v>
      </c>
      <c r="AW54" s="225">
        <f>IF(AP54&lt;&gt;"",IF(((AP54*Paramètres!$H$4)-PORTEFEUILLE_GUILLAUME[[#This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4" s="190" t="str">
        <f>IF(PORTEFEUILLE_GUILLAUME[[#This Row],[BONI COMPTABLE]]&lt;&gt;0,1,"")</f>
        <v/>
      </c>
      <c r="AY54" s="190" t="str">
        <f>IF(PORTEFEUILLE_GUILLAUME[[#This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SUM(PORTEFEUILLE_GUILLAUME[[#This Row],[PCR COMPTABLE €]:[MONTANT
RESPONSABLE RELATION CLIENT €]])-PORTEFEUILLE_GUILLAUME[[#This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5" s="188" t="str">
        <f>IF(PORTEFEUILLE_GUILLAUME[[#This Row],[BONI AAC]]&lt;&gt;0,1,"")</f>
        <v/>
      </c>
      <c r="AU55" s="188" t="str">
        <f>IF(PORTEFEUILLE_GUILLAUME[[#This Row],[MALI AAC]]&lt;&gt;0,1,"")</f>
        <v/>
      </c>
      <c r="AV55" s="225">
        <f>IF(AP55&lt;&gt;"",IF((AP55*Paramètres!$H$4)-PORTEFEUILLE_GUILLAUME[[#This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€]]-(DELPHINE!AP54*Paramètres!$H$4),0),0)</f>
        <v>0</v>
      </c>
      <c r="AW55" s="225">
        <f>IF(AP55&lt;&gt;"",IF(((AP55*Paramètres!$H$4)-PORTEFEUILLE_GUILLAUME[[#This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5" s="190" t="str">
        <f>IF(PORTEFEUILLE_GUILLAUME[[#This Row],[BONI COMPTABLE]]&lt;&gt;0,1,"")</f>
        <v/>
      </c>
      <c r="AY55" s="190" t="str">
        <f>IF(PORTEFEUILLE_GUILLAUME[[#This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SUM(PORTEFEUILLE_GUILLAUME[[#This Row],[PCR COMPTABLE €]:[MONTANT
RESPONSABLE RELATION CLIENT €]])-PORTEFEUILLE_GUILLAUME[[#This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6" s="188" t="str">
        <f>IF(PORTEFEUILLE_GUILLAUME[[#This Row],[BONI AAC]]&lt;&gt;0,1,"")</f>
        <v/>
      </c>
      <c r="AU56" s="188" t="str">
        <f>IF(PORTEFEUILLE_GUILLAUME[[#This Row],[MALI AAC]]&lt;&gt;0,1,"")</f>
        <v/>
      </c>
      <c r="AV56" s="225">
        <f>IF(AP56&lt;&gt;"",IF((AP56*Paramètres!$H$4)-PORTEFEUILLE_GUILLAUME[[#This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€]]-(DELPHINE!AP55*Paramètres!$H$4),0),0)</f>
        <v>0</v>
      </c>
      <c r="AW56" s="225">
        <f>IF(AP56&lt;&gt;"",IF(((AP56*Paramètres!$H$4)-PORTEFEUILLE_GUILLAUME[[#This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6" s="190" t="str">
        <f>IF(PORTEFEUILLE_GUILLAUME[[#This Row],[BONI COMPTABLE]]&lt;&gt;0,1,"")</f>
        <v/>
      </c>
      <c r="AY56" s="190" t="str">
        <f>IF(PORTEFEUILLE_GUILLAUME[[#This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SUM(PORTEFEUILLE_GUILLAUME[[#This Row],[PCR COMPTABLE €]:[MONTANT
RESPONSABLE RELATION CLIENT €]])-PORTEFEUILLE_GUILLAUME[[#This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7" s="188" t="str">
        <f>IF(PORTEFEUILLE_GUILLAUME[[#This Row],[BONI AAC]]&lt;&gt;0,1,"")</f>
        <v/>
      </c>
      <c r="AU57" s="188" t="str">
        <f>IF(PORTEFEUILLE_GUILLAUME[[#This Row],[MALI AAC]]&lt;&gt;0,1,"")</f>
        <v/>
      </c>
      <c r="AV57" s="225">
        <f>IF(AP57&lt;&gt;"",IF((AP57*Paramètres!$H$4)-PORTEFEUILLE_GUILLAUME[[#This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€]]-(DELPHINE!AP56*Paramètres!$H$4),0),0)</f>
        <v>0</v>
      </c>
      <c r="AW57" s="225">
        <f>IF(AP57&lt;&gt;"",IF(((AP57*Paramètres!$H$4)-PORTEFEUILLE_GUILLAUME[[#This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7" s="190" t="str">
        <f>IF(PORTEFEUILLE_GUILLAUME[[#This Row],[BONI COMPTABLE]]&lt;&gt;0,1,"")</f>
        <v/>
      </c>
      <c r="AY57" s="190" t="str">
        <f>IF(PORTEFEUILLE_GUILLAUME[[#This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SUM(PORTEFEUILLE_GUILLAUME[[#This Row],[PCR COMPTABLE €]:[MONTANT
RESPONSABLE RELATION CLIENT €]])-PORTEFEUILLE_GUILLAUME[[#This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8" s="188" t="str">
        <f>IF(PORTEFEUILLE_GUILLAUME[[#This Row],[BONI AAC]]&lt;&gt;0,1,"")</f>
        <v/>
      </c>
      <c r="AU58" s="188" t="str">
        <f>IF(PORTEFEUILLE_GUILLAUME[[#This Row],[MALI AAC]]&lt;&gt;0,1,"")</f>
        <v/>
      </c>
      <c r="AV58" s="225">
        <f>IF(AP58&lt;&gt;"",IF((AP58*Paramètres!$H$4)-PORTEFEUILLE_GUILLAUME[[#This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€]]-(DELPHINE!AP57*Paramètres!$H$4),0),0)</f>
        <v>0</v>
      </c>
      <c r="AW58" s="225">
        <f>IF(AP58&lt;&gt;"",IF(((AP58*Paramètres!$H$4)-PORTEFEUILLE_GUILLAUME[[#This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8" s="190" t="str">
        <f>IF(PORTEFEUILLE_GUILLAUME[[#This Row],[BONI COMPTABLE]]&lt;&gt;0,1,"")</f>
        <v/>
      </c>
      <c r="AY58" s="190" t="str">
        <f>IF(PORTEFEUILLE_GUILLAUME[[#This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SUM(PORTEFEUILLE_GUILLAUME[[#This Row],[PCR COMPTABLE €]:[MONTANT
RESPONSABLE RELATION CLIENT €]])-PORTEFEUILLE_GUILLAUME[[#This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9" s="188" t="str">
        <f>IF(PORTEFEUILLE_GUILLAUME[[#This Row],[BONI AAC]]&lt;&gt;0,1,"")</f>
        <v/>
      </c>
      <c r="AU59" s="188" t="str">
        <f>IF(PORTEFEUILLE_GUILLAUME[[#This Row],[MALI AAC]]&lt;&gt;0,1,"")</f>
        <v/>
      </c>
      <c r="AV59" s="225">
        <f>IF(AP59&lt;&gt;"",IF((AP59*Paramètres!$H$4)-PORTEFEUILLE_GUILLAUME[[#This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€]]-(DELPHINE!AP58*Paramètres!$H$4),0),0)</f>
        <v>0</v>
      </c>
      <c r="AW59" s="225">
        <f>IF(AP59&lt;&gt;"",IF(((AP59*Paramètres!$H$4)-PORTEFEUILLE_GUILLAUME[[#This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9" s="190" t="str">
        <f>IF(PORTEFEUILLE_GUILLAUME[[#This Row],[BONI COMPTABLE]]&lt;&gt;0,1,"")</f>
        <v/>
      </c>
      <c r="AY59" s="190" t="str">
        <f>IF(PORTEFEUILLE_GUILLAUME[[#This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SUM(PORTEFEUILLE_GUILLAUME[[#This Row],[PCR COMPTABLE €]:[MONTANT
RESPONSABLE RELATION CLIENT €]])-PORTEFEUILLE_GUILLAUME[[#This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6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60" s="188" t="str">
        <f>IF(PORTEFEUILLE_GUILLAUME[[#This Row],[BONI AAC]]&lt;&gt;0,1,"")</f>
        <v/>
      </c>
      <c r="AU60" s="188" t="str">
        <f>IF(PORTEFEUILLE_GUILLAUME[[#This Row],[MALI AAC]]&lt;&gt;0,1,"")</f>
        <v/>
      </c>
      <c r="AV60" s="225">
        <f>IF(AP60&lt;&gt;"",IF((AP60*Paramètres!$H$4)-PORTEFEUILLE_GUILLAUME[[#This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€]]-(DELPHINE!AP59*Paramètres!$H$4),0),0)</f>
        <v>0</v>
      </c>
      <c r="AW60" s="225">
        <f>IF(AP60&lt;&gt;"",IF(((AP60*Paramètres!$H$4)-PORTEFEUILLE_GUILLAUME[[#This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60" s="190" t="str">
        <f>IF(PORTEFEUILLE_GUILLAUME[[#This Row],[BONI COMPTABLE]]&lt;&gt;0,1,"")</f>
        <v/>
      </c>
      <c r="AY60" s="190" t="str">
        <f>IF(PORTEFEUILLE_GUILLAUME[[#This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17" priority="2">
      <formula>AND(P3&lt;&gt;"",P3&lt;&gt;"OUI")</formula>
    </cfRule>
  </conditionalFormatting>
  <conditionalFormatting sqref="AN3:AO60 S3:AH60">
    <cfRule type="expression" dxfId="16" priority="1" stopIfTrue="1">
      <formula>$AH3&lt;&gt;0</formula>
    </cfRule>
  </conditionalFormatting>
  <conditionalFormatting sqref="A3:E60">
    <cfRule type="expression" dxfId="15" priority="3" stopIfTrue="1">
      <formula>AND($I3&lt;&gt;"",AND($J3="",AND($BA3="",$BB3="")))</formula>
    </cfRule>
    <cfRule type="expression" dxfId="14" priority="4" stopIfTrue="1">
      <formula>AND($J3&lt;&gt;"",AND($BA3="",$BB3=""))</formula>
    </cfRule>
    <cfRule type="expression" dxfId="13" priority="5" stopIfTrue="1">
      <formula>AND($BA3&lt;&gt;"",$BB3="")</formula>
    </cfRule>
    <cfRule type="expression" dxfId="12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AM11" sqref="AM11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140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SUM(PORTEFEUILLE_SEBASTIEN[[#This Row],[PCR COMPTABLE €]:[MONTANT
RESPONSABLE RELATION CLIENT €]])-PORTEFEUILLE_SEBASTIEN[[#This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400</v>
      </c>
      <c r="AT3" s="188" t="str">
        <f>IF(PORTEFEUILLE_SEBASTIEN[[#This Row],[BONI AAC]]&lt;&gt;0,1,"")</f>
        <v/>
      </c>
      <c r="AU3" s="188">
        <f>IF(PORTEFEUILLE_SEBASTIEN[[#This Row],[MALI AAC]]&lt;&gt;0,1,"")</f>
        <v>1</v>
      </c>
      <c r="AV3" s="225">
        <f>IF(AP3&lt;&gt;"",IF((AP3*Paramètres!$H$4)-PORTEFEUILLE_SEBASTIEN[[#This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€]]-(DELPHINE!AP3*Paramètres!$H$4),0),0)</f>
        <v>0</v>
      </c>
      <c r="AW3" s="225">
        <f>IF(AP3&lt;&gt;"",IF(((AP3*Paramètres!$H$4)-PORTEFEUILLE_SEBASTIEN[[#This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" s="190" t="str">
        <f>IF(PORTEFEUILLE_SEBASTIEN[[#This Row],[BONI COMPTABLE]]&lt;&gt;0,1,"")</f>
        <v/>
      </c>
      <c r="AY3" s="190" t="str">
        <f>IF(PORTEFEUILLE_SEBASTIEN[[#This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140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SUM(PORTEFEUILLE_SEBASTIEN[[#This Row],[PCR COMPTABLE €]:[MONTANT
RESPONSABLE RELATION CLIENT €]])-PORTEFEUILLE_SEBASTIEN[[#This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1000</v>
      </c>
      <c r="AT4" s="188" t="str">
        <f>IF(PORTEFEUILLE_SEBASTIEN[[#This Row],[BONI AAC]]&lt;&gt;0,1,"")</f>
        <v/>
      </c>
      <c r="AU4" s="188">
        <f>IF(PORTEFEUILLE_SEBASTIEN[[#This Row],[MALI AAC]]&lt;&gt;0,1,"")</f>
        <v>1</v>
      </c>
      <c r="AV4" s="225">
        <f>IF(AP4&lt;&gt;"",IF((AP4*Paramètres!$H$4)-PORTEFEUILLE_SEBASTIEN[[#This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€]]-(DELPHINE!AP4*Paramètres!$H$4),0),0)</f>
        <v>0</v>
      </c>
      <c r="AW4" s="225">
        <f>IF(AP4&lt;&gt;"",IF(((AP4*Paramètres!$H$4)-PORTEFEUILLE_SEBASTIEN[[#This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3000</v>
      </c>
      <c r="AX4" s="190" t="str">
        <f>IF(PORTEFEUILLE_SEBASTIEN[[#This Row],[BONI COMPTABLE]]&lt;&gt;0,1,"")</f>
        <v/>
      </c>
      <c r="AY4" s="190">
        <f>IF(PORTEFEUILLE_SEBASTIEN[[#This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140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SUM(PORTEFEUILLE_SEBASTIEN[[#This Row],[PCR COMPTABLE €]:[MONTANT
RESPONSABLE RELATION CLIENT €]])-PORTEFEUILLE_SEBASTIEN[[#This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2200</v>
      </c>
      <c r="AT5" s="188" t="str">
        <f>IF(PORTEFEUILLE_SEBASTIEN[[#This Row],[BONI AAC]]&lt;&gt;0,1,"")</f>
        <v/>
      </c>
      <c r="AU5" s="188">
        <f>IF(PORTEFEUILLE_SEBASTIEN[[#This Row],[MALI AAC]]&lt;&gt;0,1,"")</f>
        <v>1</v>
      </c>
      <c r="AV5" s="225">
        <f>IF(AP5&lt;&gt;"",IF((AP5*Paramètres!$H$4)-PORTEFEUILLE_SEBASTIEN[[#This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€]]-(DELPHINE!AP5*Paramètres!$H$4),0),0)</f>
        <v>0</v>
      </c>
      <c r="AW5" s="225">
        <f>IF(AP5&lt;&gt;"",IF(((AP5*Paramètres!$H$4)-PORTEFEUILLE_SEBASTIEN[[#This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4150</v>
      </c>
      <c r="AX5" s="190" t="str">
        <f>IF(PORTEFEUILLE_SEBASTIEN[[#This Row],[BONI COMPTABLE]]&lt;&gt;0,1,"")</f>
        <v/>
      </c>
      <c r="AY5" s="190">
        <f>IF(PORTEFEUILLE_SEBASTIEN[[#This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SUM(PORTEFEUILLE_SEBASTIEN[[#This Row],[PCR COMPTABLE €]:[MONTANT
RESPONSABLE RELATION CLIENT €]])-PORTEFEUILLE_SEBASTIEN[[#This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6" s="188" t="str">
        <f>IF(PORTEFEUILLE_SEBASTIEN[[#This Row],[BONI AAC]]&lt;&gt;0,1,"")</f>
        <v/>
      </c>
      <c r="AU6" s="188" t="str">
        <f>IF(PORTEFEUILLE_SEBASTIEN[[#This Row],[MALI AAC]]&lt;&gt;0,1,"")</f>
        <v/>
      </c>
      <c r="AV6" s="225">
        <f>IF(AP6&lt;&gt;"",IF((AP6*Paramètres!$H$4)-PORTEFEUILLE_SEBASTIEN[[#This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6" s="225">
        <f>IF(AP6&lt;&gt;"",IF(((AP6*Paramètres!$H$4)-PORTEFEUILLE_SEBASTIEN[[#This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6" s="190" t="str">
        <f>IF(PORTEFEUILLE_SEBASTIEN[[#This Row],[BONI COMPTABLE]]&lt;&gt;0,1,"")</f>
        <v/>
      </c>
      <c r="AY6" s="190" t="str">
        <f>IF(PORTEFEUILLE_SEBASTIEN[[#This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SUM(PORTEFEUILLE_SEBASTIEN[[#This Row],[PCR COMPTABLE €]:[MONTANT
RESPONSABLE RELATION CLIENT €]])-PORTEFEUILLE_SEBASTIEN[[#This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7" s="188" t="str">
        <f>IF(PORTEFEUILLE_SEBASTIEN[[#This Row],[BONI AAC]]&lt;&gt;0,1,"")</f>
        <v/>
      </c>
      <c r="AU7" s="188" t="str">
        <f>IF(PORTEFEUILLE_SEBASTIEN[[#This Row],[MALI AAC]]&lt;&gt;0,1,"")</f>
        <v/>
      </c>
      <c r="AV7" s="225">
        <f>IF(AP7&lt;&gt;"",IF((AP7*Paramètres!$H$4)-PORTEFEUILLE_SEBASTIEN[[#This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€]]-(DELPHINE!AP6*Paramètres!$H$4),0),0)</f>
        <v>0</v>
      </c>
      <c r="AW7" s="225">
        <f>IF(AP7&lt;&gt;"",IF(((AP7*Paramètres!$H$4)-PORTEFEUILLE_SEBASTIEN[[#This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7" s="190" t="str">
        <f>IF(PORTEFEUILLE_SEBASTIEN[[#This Row],[BONI COMPTABLE]]&lt;&gt;0,1,"")</f>
        <v/>
      </c>
      <c r="AY7" s="190" t="str">
        <f>IF(PORTEFEUILLE_SEBASTIEN[[#This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SUM(PORTEFEUILLE_SEBASTIEN[[#This Row],[PCR COMPTABLE €]:[MONTANT
RESPONSABLE RELATION CLIENT €]])-PORTEFEUILLE_SEBASTIEN[[#This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8" s="188" t="str">
        <f>IF(PORTEFEUILLE_SEBASTIEN[[#This Row],[BONI AAC]]&lt;&gt;0,1,"")</f>
        <v/>
      </c>
      <c r="AU8" s="188" t="str">
        <f>IF(PORTEFEUILLE_SEBASTIEN[[#This Row],[MALI AAC]]&lt;&gt;0,1,"")</f>
        <v/>
      </c>
      <c r="AV8" s="225">
        <f>IF(AP8&lt;&gt;"",IF((AP8*Paramètres!$H$4)-PORTEFEUILLE_SEBASTIEN[[#This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€]]-(DELPHINE!AP7*Paramètres!$H$4),0),0)</f>
        <v>0</v>
      </c>
      <c r="AW8" s="225">
        <f>IF(AP8&lt;&gt;"",IF(((AP8*Paramètres!$H$4)-PORTEFEUILLE_SEBASTIEN[[#This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8" s="190" t="str">
        <f>IF(PORTEFEUILLE_SEBASTIEN[[#This Row],[BONI COMPTABLE]]&lt;&gt;0,1,"")</f>
        <v/>
      </c>
      <c r="AY8" s="190" t="str">
        <f>IF(PORTEFEUILLE_SEBASTIEN[[#This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SUM(PORTEFEUILLE_SEBASTIEN[[#This Row],[PCR COMPTABLE €]:[MONTANT
RESPONSABLE RELATION CLIENT €]])-PORTEFEUILLE_SEBASTIEN[[#This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9" s="188" t="str">
        <f>IF(PORTEFEUILLE_SEBASTIEN[[#This Row],[BONI AAC]]&lt;&gt;0,1,"")</f>
        <v/>
      </c>
      <c r="AU9" s="188" t="str">
        <f>IF(PORTEFEUILLE_SEBASTIEN[[#This Row],[MALI AAC]]&lt;&gt;0,1,"")</f>
        <v/>
      </c>
      <c r="AV9" s="225">
        <f>IF(AP9&lt;&gt;"",IF((AP9*Paramètres!$H$4)-PORTEFEUILLE_SEBASTIEN[[#This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€]]-(DELPHINE!AP8*Paramètres!$H$4),0),0)</f>
        <v>0</v>
      </c>
      <c r="AW9" s="225">
        <f>IF(AP9&lt;&gt;"",IF(((AP9*Paramètres!$H$4)-PORTEFEUILLE_SEBASTIEN[[#This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9" s="190" t="str">
        <f>IF(PORTEFEUILLE_SEBASTIEN[[#This Row],[BONI COMPTABLE]]&lt;&gt;0,1,"")</f>
        <v/>
      </c>
      <c r="AY9" s="190" t="str">
        <f>IF(PORTEFEUILLE_SEBASTIEN[[#This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SUM(PORTEFEUILLE_SEBASTIEN[[#This Row],[PCR COMPTABLE €]:[MONTANT
RESPONSABLE RELATION CLIENT €]])-PORTEFEUILLE_SEBASTIEN[[#This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0" s="188" t="str">
        <f>IF(PORTEFEUILLE_SEBASTIEN[[#This Row],[BONI AAC]]&lt;&gt;0,1,"")</f>
        <v/>
      </c>
      <c r="AU10" s="188" t="str">
        <f>IF(PORTEFEUILLE_SEBASTIEN[[#This Row],[MALI AAC]]&lt;&gt;0,1,"")</f>
        <v/>
      </c>
      <c r="AV10" s="225">
        <f>IF(AP10&lt;&gt;"",IF((AP10*Paramètres!$H$4)-PORTEFEUILLE_SEBASTIEN[[#This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€]]-(DELPHINE!AP9*Paramètres!$H$4),0),0)</f>
        <v>0</v>
      </c>
      <c r="AW10" s="225">
        <f>IF(AP10&lt;&gt;"",IF(((AP10*Paramètres!$H$4)-PORTEFEUILLE_SEBASTIEN[[#This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0" s="190" t="str">
        <f>IF(PORTEFEUILLE_SEBASTIEN[[#This Row],[BONI COMPTABLE]]&lt;&gt;0,1,"")</f>
        <v/>
      </c>
      <c r="AY10" s="190" t="str">
        <f>IF(PORTEFEUILLE_SEBASTIEN[[#This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SUM(PORTEFEUILLE_SEBASTIEN[[#This Row],[PCR COMPTABLE €]:[MONTANT
RESPONSABLE RELATION CLIENT €]])-PORTEFEUILLE_SEBASTIEN[[#This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1" s="188" t="str">
        <f>IF(PORTEFEUILLE_SEBASTIEN[[#This Row],[BONI AAC]]&lt;&gt;0,1,"")</f>
        <v/>
      </c>
      <c r="AU11" s="188" t="str">
        <f>IF(PORTEFEUILLE_SEBASTIEN[[#This Row],[MALI AAC]]&lt;&gt;0,1,"")</f>
        <v/>
      </c>
      <c r="AV11" s="225">
        <f>IF(AP11&lt;&gt;"",IF((AP11*Paramètres!$H$4)-PORTEFEUILLE_SEBASTIEN[[#This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€]]-(DELPHINE!AP10*Paramètres!$H$4),0),0)</f>
        <v>0</v>
      </c>
      <c r="AW11" s="225">
        <f>IF(AP11&lt;&gt;"",IF(((AP11*Paramètres!$H$4)-PORTEFEUILLE_SEBASTIEN[[#This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1" s="190" t="str">
        <f>IF(PORTEFEUILLE_SEBASTIEN[[#This Row],[BONI COMPTABLE]]&lt;&gt;0,1,"")</f>
        <v/>
      </c>
      <c r="AY11" s="190" t="str">
        <f>IF(PORTEFEUILLE_SEBASTIEN[[#This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SUM(PORTEFEUILLE_SEBASTIEN[[#This Row],[PCR COMPTABLE €]:[MONTANT
RESPONSABLE RELATION CLIENT €]])-PORTEFEUILLE_SEBASTIEN[[#This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2" s="188" t="str">
        <f>IF(PORTEFEUILLE_SEBASTIEN[[#This Row],[BONI AAC]]&lt;&gt;0,1,"")</f>
        <v/>
      </c>
      <c r="AU12" s="188" t="str">
        <f>IF(PORTEFEUILLE_SEBASTIEN[[#This Row],[MALI AAC]]&lt;&gt;0,1,"")</f>
        <v/>
      </c>
      <c r="AV12" s="225">
        <f>IF(AP12&lt;&gt;"",IF((AP12*Paramètres!$H$4)-PORTEFEUILLE_SEBASTIEN[[#This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€]]-(DELPHINE!AP11*Paramètres!$H$4),0),0)</f>
        <v>0</v>
      </c>
      <c r="AW12" s="225">
        <f>IF(AP12&lt;&gt;"",IF(((AP12*Paramètres!$H$4)-PORTEFEUILLE_SEBASTIEN[[#This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2" s="190" t="str">
        <f>IF(PORTEFEUILLE_SEBASTIEN[[#This Row],[BONI COMPTABLE]]&lt;&gt;0,1,"")</f>
        <v/>
      </c>
      <c r="AY12" s="190" t="str">
        <f>IF(PORTEFEUILLE_SEBASTIEN[[#This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SUM(PORTEFEUILLE_SEBASTIEN[[#This Row],[PCR COMPTABLE €]:[MONTANT
RESPONSABLE RELATION CLIENT €]])-PORTEFEUILLE_SEBASTIEN[[#This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3" s="188" t="str">
        <f>IF(PORTEFEUILLE_SEBASTIEN[[#This Row],[BONI AAC]]&lt;&gt;0,1,"")</f>
        <v/>
      </c>
      <c r="AU13" s="188" t="str">
        <f>IF(PORTEFEUILLE_SEBASTIEN[[#This Row],[MALI AAC]]&lt;&gt;0,1,"")</f>
        <v/>
      </c>
      <c r="AV13" s="225">
        <f>IF(AP13&lt;&gt;"",IF((AP13*Paramètres!$H$4)-PORTEFEUILLE_SEBASTIEN[[#This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€]]-(DELPHINE!AP12*Paramètres!$H$4),0),0)</f>
        <v>0</v>
      </c>
      <c r="AW13" s="225">
        <f>IF(AP13&lt;&gt;"",IF(((AP13*Paramètres!$H$4)-PORTEFEUILLE_SEBASTIEN[[#This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3" s="190" t="str">
        <f>IF(PORTEFEUILLE_SEBASTIEN[[#This Row],[BONI COMPTABLE]]&lt;&gt;0,1,"")</f>
        <v/>
      </c>
      <c r="AY13" s="190" t="str">
        <f>IF(PORTEFEUILLE_SEBASTIEN[[#This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SUM(PORTEFEUILLE_SEBASTIEN[[#This Row],[PCR COMPTABLE €]:[MONTANT
RESPONSABLE RELATION CLIENT €]])-PORTEFEUILLE_SEBASTIEN[[#This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4" s="188" t="str">
        <f>IF(PORTEFEUILLE_SEBASTIEN[[#This Row],[BONI AAC]]&lt;&gt;0,1,"")</f>
        <v/>
      </c>
      <c r="AU14" s="188" t="str">
        <f>IF(PORTEFEUILLE_SEBASTIEN[[#This Row],[MALI AAC]]&lt;&gt;0,1,"")</f>
        <v/>
      </c>
      <c r="AV14" s="225">
        <f>IF(AP14&lt;&gt;"",IF((AP14*Paramètres!$H$4)-PORTEFEUILLE_SEBASTIEN[[#This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€]]-(DELPHINE!AP13*Paramètres!$H$4),0),0)</f>
        <v>0</v>
      </c>
      <c r="AW14" s="225">
        <f>IF(AP14&lt;&gt;"",IF(((AP14*Paramètres!$H$4)-PORTEFEUILLE_SEBASTIEN[[#This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4" s="190" t="str">
        <f>IF(PORTEFEUILLE_SEBASTIEN[[#This Row],[BONI COMPTABLE]]&lt;&gt;0,1,"")</f>
        <v/>
      </c>
      <c r="AY14" s="190" t="str">
        <f>IF(PORTEFEUILLE_SEBASTIEN[[#This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SUM(PORTEFEUILLE_SEBASTIEN[[#This Row],[PCR COMPTABLE €]:[MONTANT
RESPONSABLE RELATION CLIENT €]])-PORTEFEUILLE_SEBASTIEN[[#This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5" s="188" t="str">
        <f>IF(PORTEFEUILLE_SEBASTIEN[[#This Row],[BONI AAC]]&lt;&gt;0,1,"")</f>
        <v/>
      </c>
      <c r="AU15" s="188" t="str">
        <f>IF(PORTEFEUILLE_SEBASTIEN[[#This Row],[MALI AAC]]&lt;&gt;0,1,"")</f>
        <v/>
      </c>
      <c r="AV15" s="225">
        <f>IF(AP15&lt;&gt;"",IF((AP15*Paramètres!$H$4)-PORTEFEUILLE_SEBASTIEN[[#This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€]]-(DELPHINE!AP14*Paramètres!$H$4),0),0)</f>
        <v>0</v>
      </c>
      <c r="AW15" s="225">
        <f>IF(AP15&lt;&gt;"",IF(((AP15*Paramètres!$H$4)-PORTEFEUILLE_SEBASTIEN[[#This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5" s="190" t="str">
        <f>IF(PORTEFEUILLE_SEBASTIEN[[#This Row],[BONI COMPTABLE]]&lt;&gt;0,1,"")</f>
        <v/>
      </c>
      <c r="AY15" s="190" t="str">
        <f>IF(PORTEFEUILLE_SEBASTIEN[[#This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SUM(PORTEFEUILLE_SEBASTIEN[[#This Row],[PCR COMPTABLE €]:[MONTANT
RESPONSABLE RELATION CLIENT €]])-PORTEFEUILLE_SEBASTIEN[[#This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6" s="188" t="str">
        <f>IF(PORTEFEUILLE_SEBASTIEN[[#This Row],[BONI AAC]]&lt;&gt;0,1,"")</f>
        <v/>
      </c>
      <c r="AU16" s="188" t="str">
        <f>IF(PORTEFEUILLE_SEBASTIEN[[#This Row],[MALI AAC]]&lt;&gt;0,1,"")</f>
        <v/>
      </c>
      <c r="AV16" s="225">
        <f>IF(AP16&lt;&gt;"",IF((AP16*Paramètres!$H$4)-PORTEFEUILLE_SEBASTIEN[[#This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€]]-(DELPHINE!AP15*Paramètres!$H$4),0),0)</f>
        <v>0</v>
      </c>
      <c r="AW16" s="225">
        <f>IF(AP16&lt;&gt;"",IF(((AP16*Paramètres!$H$4)-PORTEFEUILLE_SEBASTIEN[[#This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6" s="190" t="str">
        <f>IF(PORTEFEUILLE_SEBASTIEN[[#This Row],[BONI COMPTABLE]]&lt;&gt;0,1,"")</f>
        <v/>
      </c>
      <c r="AY16" s="190" t="str">
        <f>IF(PORTEFEUILLE_SEBASTIEN[[#This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SUM(PORTEFEUILLE_SEBASTIEN[[#This Row],[PCR COMPTABLE €]:[MONTANT
RESPONSABLE RELATION CLIENT €]])-PORTEFEUILLE_SEBASTIEN[[#This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7" s="188" t="str">
        <f>IF(PORTEFEUILLE_SEBASTIEN[[#This Row],[BONI AAC]]&lt;&gt;0,1,"")</f>
        <v/>
      </c>
      <c r="AU17" s="188" t="str">
        <f>IF(PORTEFEUILLE_SEBASTIEN[[#This Row],[MALI AAC]]&lt;&gt;0,1,"")</f>
        <v/>
      </c>
      <c r="AV17" s="225">
        <f>IF(AP17&lt;&gt;"",IF((AP17*Paramètres!$H$4)-PORTEFEUILLE_SEBASTIEN[[#This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€]]-(DELPHINE!AP16*Paramètres!$H$4),0),0)</f>
        <v>0</v>
      </c>
      <c r="AW17" s="225">
        <f>IF(AP17&lt;&gt;"",IF(((AP17*Paramètres!$H$4)-PORTEFEUILLE_SEBASTIEN[[#This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7" s="190" t="str">
        <f>IF(PORTEFEUILLE_SEBASTIEN[[#This Row],[BONI COMPTABLE]]&lt;&gt;0,1,"")</f>
        <v/>
      </c>
      <c r="AY17" s="190" t="str">
        <f>IF(PORTEFEUILLE_SEBASTIEN[[#This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SUM(PORTEFEUILLE_SEBASTIEN[[#This Row],[PCR COMPTABLE €]:[MONTANT
RESPONSABLE RELATION CLIENT €]])-PORTEFEUILLE_SEBASTIEN[[#This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8" s="188" t="str">
        <f>IF(PORTEFEUILLE_SEBASTIEN[[#This Row],[BONI AAC]]&lt;&gt;0,1,"")</f>
        <v/>
      </c>
      <c r="AU18" s="188" t="str">
        <f>IF(PORTEFEUILLE_SEBASTIEN[[#This Row],[MALI AAC]]&lt;&gt;0,1,"")</f>
        <v/>
      </c>
      <c r="AV18" s="225">
        <f>IF(AP18&lt;&gt;"",IF((AP18*Paramètres!$H$4)-PORTEFEUILLE_SEBASTIEN[[#This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€]]-(DELPHINE!AP17*Paramètres!$H$4),0),0)</f>
        <v>0</v>
      </c>
      <c r="AW18" s="225">
        <f>IF(AP18&lt;&gt;"",IF(((AP18*Paramètres!$H$4)-PORTEFEUILLE_SEBASTIEN[[#This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8" s="190" t="str">
        <f>IF(PORTEFEUILLE_SEBASTIEN[[#This Row],[BONI COMPTABLE]]&lt;&gt;0,1,"")</f>
        <v/>
      </c>
      <c r="AY18" s="190" t="str">
        <f>IF(PORTEFEUILLE_SEBASTIEN[[#This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SUM(PORTEFEUILLE_SEBASTIEN[[#This Row],[PCR COMPTABLE €]:[MONTANT
RESPONSABLE RELATION CLIENT €]])-PORTEFEUILLE_SEBASTIEN[[#This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9" s="188" t="str">
        <f>IF(PORTEFEUILLE_SEBASTIEN[[#This Row],[BONI AAC]]&lt;&gt;0,1,"")</f>
        <v/>
      </c>
      <c r="AU19" s="188" t="str">
        <f>IF(PORTEFEUILLE_SEBASTIEN[[#This Row],[MALI AAC]]&lt;&gt;0,1,"")</f>
        <v/>
      </c>
      <c r="AV19" s="225">
        <f>IF(AP19&lt;&gt;"",IF((AP19*Paramètres!$H$4)-PORTEFEUILLE_SEBASTIEN[[#This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€]]-(DELPHINE!AP18*Paramètres!$H$4),0),0)</f>
        <v>0</v>
      </c>
      <c r="AW19" s="225">
        <f>IF(AP19&lt;&gt;"",IF(((AP19*Paramètres!$H$4)-PORTEFEUILLE_SEBASTIEN[[#This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9" s="190" t="str">
        <f>IF(PORTEFEUILLE_SEBASTIEN[[#This Row],[BONI COMPTABLE]]&lt;&gt;0,1,"")</f>
        <v/>
      </c>
      <c r="AY19" s="190" t="str">
        <f>IF(PORTEFEUILLE_SEBASTIEN[[#This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SUM(PORTEFEUILLE_SEBASTIEN[[#This Row],[PCR COMPTABLE €]:[MONTANT
RESPONSABLE RELATION CLIENT €]])-PORTEFEUILLE_SEBASTIEN[[#This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0" s="188" t="str">
        <f>IF(PORTEFEUILLE_SEBASTIEN[[#This Row],[BONI AAC]]&lt;&gt;0,1,"")</f>
        <v/>
      </c>
      <c r="AU20" s="188" t="str">
        <f>IF(PORTEFEUILLE_SEBASTIEN[[#This Row],[MALI AAC]]&lt;&gt;0,1,"")</f>
        <v/>
      </c>
      <c r="AV20" s="225">
        <f>IF(AP20&lt;&gt;"",IF((AP20*Paramètres!$H$4)-PORTEFEUILLE_SEBASTIEN[[#This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€]]-(DELPHINE!AP19*Paramètres!$H$4),0),0)</f>
        <v>0</v>
      </c>
      <c r="AW20" s="225">
        <f>IF(AP20&lt;&gt;"",IF(((AP20*Paramètres!$H$4)-PORTEFEUILLE_SEBASTIEN[[#This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0" s="190" t="str">
        <f>IF(PORTEFEUILLE_SEBASTIEN[[#This Row],[BONI COMPTABLE]]&lt;&gt;0,1,"")</f>
        <v/>
      </c>
      <c r="AY20" s="190" t="str">
        <f>IF(PORTEFEUILLE_SEBASTIEN[[#This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SUM(PORTEFEUILLE_SEBASTIEN[[#This Row],[PCR COMPTABLE €]:[MONTANT
RESPONSABLE RELATION CLIENT €]])-PORTEFEUILLE_SEBASTIEN[[#This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1" s="188" t="str">
        <f>IF(PORTEFEUILLE_SEBASTIEN[[#This Row],[BONI AAC]]&lt;&gt;0,1,"")</f>
        <v/>
      </c>
      <c r="AU21" s="188" t="str">
        <f>IF(PORTEFEUILLE_SEBASTIEN[[#This Row],[MALI AAC]]&lt;&gt;0,1,"")</f>
        <v/>
      </c>
      <c r="AV21" s="225">
        <f>IF(AP21&lt;&gt;"",IF((AP21*Paramètres!$H$4)-PORTEFEUILLE_SEBASTIEN[[#This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€]]-(DELPHINE!AP20*Paramètres!$H$4),0),0)</f>
        <v>0</v>
      </c>
      <c r="AW21" s="225">
        <f>IF(AP21&lt;&gt;"",IF(((AP21*Paramètres!$H$4)-PORTEFEUILLE_SEBASTIEN[[#This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1" s="190" t="str">
        <f>IF(PORTEFEUILLE_SEBASTIEN[[#This Row],[BONI COMPTABLE]]&lt;&gt;0,1,"")</f>
        <v/>
      </c>
      <c r="AY21" s="190" t="str">
        <f>IF(PORTEFEUILLE_SEBASTIEN[[#This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SUM(PORTEFEUILLE_SEBASTIEN[[#This Row],[PCR COMPTABLE €]:[MONTANT
RESPONSABLE RELATION CLIENT €]])-PORTEFEUILLE_SEBASTIEN[[#This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2" s="188" t="str">
        <f>IF(PORTEFEUILLE_SEBASTIEN[[#This Row],[BONI AAC]]&lt;&gt;0,1,"")</f>
        <v/>
      </c>
      <c r="AU22" s="188" t="str">
        <f>IF(PORTEFEUILLE_SEBASTIEN[[#This Row],[MALI AAC]]&lt;&gt;0,1,"")</f>
        <v/>
      </c>
      <c r="AV22" s="225">
        <f>IF(AP22&lt;&gt;"",IF((AP22*Paramètres!$H$4)-PORTEFEUILLE_SEBASTIEN[[#This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€]]-(DELPHINE!AP21*Paramètres!$H$4),0),0)</f>
        <v>0</v>
      </c>
      <c r="AW22" s="225">
        <f>IF(AP22&lt;&gt;"",IF(((AP22*Paramètres!$H$4)-PORTEFEUILLE_SEBASTIEN[[#This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2" s="190" t="str">
        <f>IF(PORTEFEUILLE_SEBASTIEN[[#This Row],[BONI COMPTABLE]]&lt;&gt;0,1,"")</f>
        <v/>
      </c>
      <c r="AY22" s="190" t="str">
        <f>IF(PORTEFEUILLE_SEBASTIEN[[#This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SUM(PORTEFEUILLE_SEBASTIEN[[#This Row],[PCR COMPTABLE €]:[MONTANT
RESPONSABLE RELATION CLIENT €]])-PORTEFEUILLE_SEBASTIEN[[#This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3" s="188" t="str">
        <f>IF(PORTEFEUILLE_SEBASTIEN[[#This Row],[BONI AAC]]&lt;&gt;0,1,"")</f>
        <v/>
      </c>
      <c r="AU23" s="188" t="str">
        <f>IF(PORTEFEUILLE_SEBASTIEN[[#This Row],[MALI AAC]]&lt;&gt;0,1,"")</f>
        <v/>
      </c>
      <c r="AV23" s="225">
        <f>IF(AP23&lt;&gt;"",IF((AP23*Paramètres!$H$4)-PORTEFEUILLE_SEBASTIEN[[#This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€]]-(DELPHINE!AP22*Paramètres!$H$4),0),0)</f>
        <v>0</v>
      </c>
      <c r="AW23" s="225">
        <f>IF(AP23&lt;&gt;"",IF(((AP23*Paramètres!$H$4)-PORTEFEUILLE_SEBASTIEN[[#This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3" s="190" t="str">
        <f>IF(PORTEFEUILLE_SEBASTIEN[[#This Row],[BONI COMPTABLE]]&lt;&gt;0,1,"")</f>
        <v/>
      </c>
      <c r="AY23" s="190" t="str">
        <f>IF(PORTEFEUILLE_SEBASTIEN[[#This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SUM(PORTEFEUILLE_SEBASTIEN[[#This Row],[PCR COMPTABLE €]:[MONTANT
RESPONSABLE RELATION CLIENT €]])-PORTEFEUILLE_SEBASTIEN[[#This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4" s="188" t="str">
        <f>IF(PORTEFEUILLE_SEBASTIEN[[#This Row],[BONI AAC]]&lt;&gt;0,1,"")</f>
        <v/>
      </c>
      <c r="AU24" s="188" t="str">
        <f>IF(PORTEFEUILLE_SEBASTIEN[[#This Row],[MALI AAC]]&lt;&gt;0,1,"")</f>
        <v/>
      </c>
      <c r="AV24" s="225">
        <f>IF(AP24&lt;&gt;"",IF((AP24*Paramètres!$H$4)-PORTEFEUILLE_SEBASTIEN[[#This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€]]-(DELPHINE!AP23*Paramètres!$H$4),0),0)</f>
        <v>0</v>
      </c>
      <c r="AW24" s="225">
        <f>IF(AP24&lt;&gt;"",IF(((AP24*Paramètres!$H$4)-PORTEFEUILLE_SEBASTIEN[[#This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4" s="190" t="str">
        <f>IF(PORTEFEUILLE_SEBASTIEN[[#This Row],[BONI COMPTABLE]]&lt;&gt;0,1,"")</f>
        <v/>
      </c>
      <c r="AY24" s="190" t="str">
        <f>IF(PORTEFEUILLE_SEBASTIEN[[#This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SUM(PORTEFEUILLE_SEBASTIEN[[#This Row],[PCR COMPTABLE €]:[MONTANT
RESPONSABLE RELATION CLIENT €]])-PORTEFEUILLE_SEBASTIEN[[#This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5" s="188" t="str">
        <f>IF(PORTEFEUILLE_SEBASTIEN[[#This Row],[BONI AAC]]&lt;&gt;0,1,"")</f>
        <v/>
      </c>
      <c r="AU25" s="188" t="str">
        <f>IF(PORTEFEUILLE_SEBASTIEN[[#This Row],[MALI AAC]]&lt;&gt;0,1,"")</f>
        <v/>
      </c>
      <c r="AV25" s="225">
        <f>IF(AP25&lt;&gt;"",IF((AP25*Paramètres!$H$4)-PORTEFEUILLE_SEBASTIEN[[#This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€]]-(DELPHINE!AP24*Paramètres!$H$4),0),0)</f>
        <v>0</v>
      </c>
      <c r="AW25" s="225">
        <f>IF(AP25&lt;&gt;"",IF(((AP25*Paramètres!$H$4)-PORTEFEUILLE_SEBASTIEN[[#This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5" s="190" t="str">
        <f>IF(PORTEFEUILLE_SEBASTIEN[[#This Row],[BONI COMPTABLE]]&lt;&gt;0,1,"")</f>
        <v/>
      </c>
      <c r="AY25" s="190" t="str">
        <f>IF(PORTEFEUILLE_SEBASTIEN[[#This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SUM(PORTEFEUILLE_SEBASTIEN[[#This Row],[PCR COMPTABLE €]:[MONTANT
RESPONSABLE RELATION CLIENT €]])-PORTEFEUILLE_SEBASTIEN[[#This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6" s="188" t="str">
        <f>IF(PORTEFEUILLE_SEBASTIEN[[#This Row],[BONI AAC]]&lt;&gt;0,1,"")</f>
        <v/>
      </c>
      <c r="AU26" s="188" t="str">
        <f>IF(PORTEFEUILLE_SEBASTIEN[[#This Row],[MALI AAC]]&lt;&gt;0,1,"")</f>
        <v/>
      </c>
      <c r="AV26" s="225">
        <f>IF(AP26&lt;&gt;"",IF((AP26*Paramètres!$H$4)-PORTEFEUILLE_SEBASTIEN[[#This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€]]-(DELPHINE!AP25*Paramètres!$H$4),0),0)</f>
        <v>0</v>
      </c>
      <c r="AW26" s="225">
        <f>IF(AP26&lt;&gt;"",IF(((AP26*Paramètres!$H$4)-PORTEFEUILLE_SEBASTIEN[[#This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6" s="190" t="str">
        <f>IF(PORTEFEUILLE_SEBASTIEN[[#This Row],[BONI COMPTABLE]]&lt;&gt;0,1,"")</f>
        <v/>
      </c>
      <c r="AY26" s="190" t="str">
        <f>IF(PORTEFEUILLE_SEBASTIEN[[#This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SUM(PORTEFEUILLE_SEBASTIEN[[#This Row],[PCR COMPTABLE €]:[MONTANT
RESPONSABLE RELATION CLIENT €]])-PORTEFEUILLE_SEBASTIEN[[#This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7" s="188" t="str">
        <f>IF(PORTEFEUILLE_SEBASTIEN[[#This Row],[BONI AAC]]&lt;&gt;0,1,"")</f>
        <v/>
      </c>
      <c r="AU27" s="188" t="str">
        <f>IF(PORTEFEUILLE_SEBASTIEN[[#This Row],[MALI AAC]]&lt;&gt;0,1,"")</f>
        <v/>
      </c>
      <c r="AV27" s="225">
        <f>IF(AP27&lt;&gt;"",IF((AP27*Paramètres!$H$4)-PORTEFEUILLE_SEBASTIEN[[#This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€]]-(DELPHINE!AP26*Paramètres!$H$4),0),0)</f>
        <v>0</v>
      </c>
      <c r="AW27" s="225">
        <f>IF(AP27&lt;&gt;"",IF(((AP27*Paramètres!$H$4)-PORTEFEUILLE_SEBASTIEN[[#This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7" s="190" t="str">
        <f>IF(PORTEFEUILLE_SEBASTIEN[[#This Row],[BONI COMPTABLE]]&lt;&gt;0,1,"")</f>
        <v/>
      </c>
      <c r="AY27" s="190" t="str">
        <f>IF(PORTEFEUILLE_SEBASTIEN[[#This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SUM(PORTEFEUILLE_SEBASTIEN[[#This Row],[PCR COMPTABLE €]:[MONTANT
RESPONSABLE RELATION CLIENT €]])-PORTEFEUILLE_SEBASTIEN[[#This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8" s="188" t="str">
        <f>IF(PORTEFEUILLE_SEBASTIEN[[#This Row],[BONI AAC]]&lt;&gt;0,1,"")</f>
        <v/>
      </c>
      <c r="AU28" s="188" t="str">
        <f>IF(PORTEFEUILLE_SEBASTIEN[[#This Row],[MALI AAC]]&lt;&gt;0,1,"")</f>
        <v/>
      </c>
      <c r="AV28" s="225">
        <f>IF(AP28&lt;&gt;"",IF((AP28*Paramètres!$H$4)-PORTEFEUILLE_SEBASTIEN[[#This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€]]-(DELPHINE!AP27*Paramètres!$H$4),0),0)</f>
        <v>0</v>
      </c>
      <c r="AW28" s="225">
        <f>IF(AP28&lt;&gt;"",IF(((AP28*Paramètres!$H$4)-PORTEFEUILLE_SEBASTIEN[[#This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8" s="190" t="str">
        <f>IF(PORTEFEUILLE_SEBASTIEN[[#This Row],[BONI COMPTABLE]]&lt;&gt;0,1,"")</f>
        <v/>
      </c>
      <c r="AY28" s="190" t="str">
        <f>IF(PORTEFEUILLE_SEBASTIEN[[#This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SUM(PORTEFEUILLE_SEBASTIEN[[#This Row],[PCR COMPTABLE €]:[MONTANT
RESPONSABLE RELATION CLIENT €]])-PORTEFEUILLE_SEBASTIEN[[#This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9" s="188" t="str">
        <f>IF(PORTEFEUILLE_SEBASTIEN[[#This Row],[BONI AAC]]&lt;&gt;0,1,"")</f>
        <v/>
      </c>
      <c r="AU29" s="188" t="str">
        <f>IF(PORTEFEUILLE_SEBASTIEN[[#This Row],[MALI AAC]]&lt;&gt;0,1,"")</f>
        <v/>
      </c>
      <c r="AV29" s="225">
        <f>IF(AP29&lt;&gt;"",IF((AP29*Paramètres!$H$4)-PORTEFEUILLE_SEBASTIEN[[#This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€]]-(DELPHINE!AP28*Paramètres!$H$4),0),0)</f>
        <v>0</v>
      </c>
      <c r="AW29" s="225">
        <f>IF(AP29&lt;&gt;"",IF(((AP29*Paramètres!$H$4)-PORTEFEUILLE_SEBASTIEN[[#This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9" s="190" t="str">
        <f>IF(PORTEFEUILLE_SEBASTIEN[[#This Row],[BONI COMPTABLE]]&lt;&gt;0,1,"")</f>
        <v/>
      </c>
      <c r="AY29" s="190" t="str">
        <f>IF(PORTEFEUILLE_SEBASTIEN[[#This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SUM(PORTEFEUILLE_SEBASTIEN[[#This Row],[PCR COMPTABLE €]:[MONTANT
RESPONSABLE RELATION CLIENT €]])-PORTEFEUILLE_SEBASTIEN[[#This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0" s="188" t="str">
        <f>IF(PORTEFEUILLE_SEBASTIEN[[#This Row],[BONI AAC]]&lt;&gt;0,1,"")</f>
        <v/>
      </c>
      <c r="AU30" s="188" t="str">
        <f>IF(PORTEFEUILLE_SEBASTIEN[[#This Row],[MALI AAC]]&lt;&gt;0,1,"")</f>
        <v/>
      </c>
      <c r="AV30" s="225">
        <f>IF(AP30&lt;&gt;"",IF((AP30*Paramètres!$H$4)-PORTEFEUILLE_SEBASTIEN[[#This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€]]-(DELPHINE!AP29*Paramètres!$H$4),0),0)</f>
        <v>0</v>
      </c>
      <c r="AW30" s="225">
        <f>IF(AP30&lt;&gt;"",IF(((AP30*Paramètres!$H$4)-PORTEFEUILLE_SEBASTIEN[[#This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0" s="190" t="str">
        <f>IF(PORTEFEUILLE_SEBASTIEN[[#This Row],[BONI COMPTABLE]]&lt;&gt;0,1,"")</f>
        <v/>
      </c>
      <c r="AY30" s="190" t="str">
        <f>IF(PORTEFEUILLE_SEBASTIEN[[#This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SUM(PORTEFEUILLE_SEBASTIEN[[#This Row],[PCR COMPTABLE €]:[MONTANT
RESPONSABLE RELATION CLIENT €]])-PORTEFEUILLE_SEBASTIEN[[#This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1" s="188" t="str">
        <f>IF(PORTEFEUILLE_SEBASTIEN[[#This Row],[BONI AAC]]&lt;&gt;0,1,"")</f>
        <v/>
      </c>
      <c r="AU31" s="188" t="str">
        <f>IF(PORTEFEUILLE_SEBASTIEN[[#This Row],[MALI AAC]]&lt;&gt;0,1,"")</f>
        <v/>
      </c>
      <c r="AV31" s="225">
        <f>IF(AP31&lt;&gt;"",IF((AP31*Paramètres!$H$4)-PORTEFEUILLE_SEBASTIEN[[#This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€]]-(DELPHINE!AP30*Paramètres!$H$4),0),0)</f>
        <v>0</v>
      </c>
      <c r="AW31" s="225">
        <f>IF(AP31&lt;&gt;"",IF(((AP31*Paramètres!$H$4)-PORTEFEUILLE_SEBASTIEN[[#This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1" s="190" t="str">
        <f>IF(PORTEFEUILLE_SEBASTIEN[[#This Row],[BONI COMPTABLE]]&lt;&gt;0,1,"")</f>
        <v/>
      </c>
      <c r="AY31" s="190" t="str">
        <f>IF(PORTEFEUILLE_SEBASTIEN[[#This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SUM(PORTEFEUILLE_SEBASTIEN[[#This Row],[PCR COMPTABLE €]:[MONTANT
RESPONSABLE RELATION CLIENT €]])-PORTEFEUILLE_SEBASTIEN[[#This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2" s="188" t="str">
        <f>IF(PORTEFEUILLE_SEBASTIEN[[#This Row],[BONI AAC]]&lt;&gt;0,1,"")</f>
        <v/>
      </c>
      <c r="AU32" s="188" t="str">
        <f>IF(PORTEFEUILLE_SEBASTIEN[[#This Row],[MALI AAC]]&lt;&gt;0,1,"")</f>
        <v/>
      </c>
      <c r="AV32" s="225">
        <f>IF(AP32&lt;&gt;"",IF((AP32*Paramètres!$H$4)-PORTEFEUILLE_SEBASTIEN[[#This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€]]-(DELPHINE!AP31*Paramètres!$H$4),0),0)</f>
        <v>0</v>
      </c>
      <c r="AW32" s="225">
        <f>IF(AP32&lt;&gt;"",IF(((AP32*Paramètres!$H$4)-PORTEFEUILLE_SEBASTIEN[[#This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2" s="190" t="str">
        <f>IF(PORTEFEUILLE_SEBASTIEN[[#This Row],[BONI COMPTABLE]]&lt;&gt;0,1,"")</f>
        <v/>
      </c>
      <c r="AY32" s="190" t="str">
        <f>IF(PORTEFEUILLE_SEBASTIEN[[#This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SUM(PORTEFEUILLE_SEBASTIEN[[#This Row],[PCR COMPTABLE €]:[MONTANT
RESPONSABLE RELATION CLIENT €]])-PORTEFEUILLE_SEBASTIEN[[#This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3" s="188" t="str">
        <f>IF(PORTEFEUILLE_SEBASTIEN[[#This Row],[BONI AAC]]&lt;&gt;0,1,"")</f>
        <v/>
      </c>
      <c r="AU33" s="188" t="str">
        <f>IF(PORTEFEUILLE_SEBASTIEN[[#This Row],[MALI AAC]]&lt;&gt;0,1,"")</f>
        <v/>
      </c>
      <c r="AV33" s="225">
        <f>IF(AP33&lt;&gt;"",IF((AP33*Paramètres!$H$4)-PORTEFEUILLE_SEBASTIEN[[#This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€]]-(DELPHINE!AP32*Paramètres!$H$4),0),0)</f>
        <v>0</v>
      </c>
      <c r="AW33" s="225">
        <f>IF(AP33&lt;&gt;"",IF(((AP33*Paramètres!$H$4)-PORTEFEUILLE_SEBASTIEN[[#This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3" s="190" t="str">
        <f>IF(PORTEFEUILLE_SEBASTIEN[[#This Row],[BONI COMPTABLE]]&lt;&gt;0,1,"")</f>
        <v/>
      </c>
      <c r="AY33" s="190" t="str">
        <f>IF(PORTEFEUILLE_SEBASTIEN[[#This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SUM(PORTEFEUILLE_SEBASTIEN[[#This Row],[PCR COMPTABLE €]:[MONTANT
RESPONSABLE RELATION CLIENT €]])-PORTEFEUILLE_SEBASTIEN[[#This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4" s="188" t="str">
        <f>IF(PORTEFEUILLE_SEBASTIEN[[#This Row],[BONI AAC]]&lt;&gt;0,1,"")</f>
        <v/>
      </c>
      <c r="AU34" s="188" t="str">
        <f>IF(PORTEFEUILLE_SEBASTIEN[[#This Row],[MALI AAC]]&lt;&gt;0,1,"")</f>
        <v/>
      </c>
      <c r="AV34" s="225">
        <f>IF(AP34&lt;&gt;"",IF((AP34*Paramètres!$H$4)-PORTEFEUILLE_SEBASTIEN[[#This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€]]-(DELPHINE!AP33*Paramètres!$H$4),0),0)</f>
        <v>0</v>
      </c>
      <c r="AW34" s="225">
        <f>IF(AP34&lt;&gt;"",IF(((AP34*Paramètres!$H$4)-PORTEFEUILLE_SEBASTIEN[[#This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4" s="190" t="str">
        <f>IF(PORTEFEUILLE_SEBASTIEN[[#This Row],[BONI COMPTABLE]]&lt;&gt;0,1,"")</f>
        <v/>
      </c>
      <c r="AY34" s="190" t="str">
        <f>IF(PORTEFEUILLE_SEBASTIEN[[#This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SUM(PORTEFEUILLE_SEBASTIEN[[#This Row],[PCR COMPTABLE €]:[MONTANT
RESPONSABLE RELATION CLIENT €]])-PORTEFEUILLE_SEBASTIEN[[#This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5" s="188" t="str">
        <f>IF(PORTEFEUILLE_SEBASTIEN[[#This Row],[BONI AAC]]&lt;&gt;0,1,"")</f>
        <v/>
      </c>
      <c r="AU35" s="188" t="str">
        <f>IF(PORTEFEUILLE_SEBASTIEN[[#This Row],[MALI AAC]]&lt;&gt;0,1,"")</f>
        <v/>
      </c>
      <c r="AV35" s="225">
        <f>IF(AP35&lt;&gt;"",IF((AP35*Paramètres!$H$4)-PORTEFEUILLE_SEBASTIEN[[#This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€]]-(DELPHINE!AP34*Paramètres!$H$4),0),0)</f>
        <v>0</v>
      </c>
      <c r="AW35" s="225">
        <f>IF(AP35&lt;&gt;"",IF(((AP35*Paramètres!$H$4)-PORTEFEUILLE_SEBASTIEN[[#This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5" s="190" t="str">
        <f>IF(PORTEFEUILLE_SEBASTIEN[[#This Row],[BONI COMPTABLE]]&lt;&gt;0,1,"")</f>
        <v/>
      </c>
      <c r="AY35" s="190" t="str">
        <f>IF(PORTEFEUILLE_SEBASTIEN[[#This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SUM(PORTEFEUILLE_SEBASTIEN[[#This Row],[PCR COMPTABLE €]:[MONTANT
RESPONSABLE RELATION CLIENT €]])-PORTEFEUILLE_SEBASTIEN[[#This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6" s="188" t="str">
        <f>IF(PORTEFEUILLE_SEBASTIEN[[#This Row],[BONI AAC]]&lt;&gt;0,1,"")</f>
        <v/>
      </c>
      <c r="AU36" s="188" t="str">
        <f>IF(PORTEFEUILLE_SEBASTIEN[[#This Row],[MALI AAC]]&lt;&gt;0,1,"")</f>
        <v/>
      </c>
      <c r="AV36" s="225">
        <f>IF(AP36&lt;&gt;"",IF((AP36*Paramètres!$H$4)-PORTEFEUILLE_SEBASTIEN[[#This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€]]-(DELPHINE!AP35*Paramètres!$H$4),0),0)</f>
        <v>0</v>
      </c>
      <c r="AW36" s="225">
        <f>IF(AP36&lt;&gt;"",IF(((AP36*Paramètres!$H$4)-PORTEFEUILLE_SEBASTIEN[[#This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6" s="190" t="str">
        <f>IF(PORTEFEUILLE_SEBASTIEN[[#This Row],[BONI COMPTABLE]]&lt;&gt;0,1,"")</f>
        <v/>
      </c>
      <c r="AY36" s="190" t="str">
        <f>IF(PORTEFEUILLE_SEBASTIEN[[#This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SUM(PORTEFEUILLE_SEBASTIEN[[#This Row],[PCR COMPTABLE €]:[MONTANT
RESPONSABLE RELATION CLIENT €]])-PORTEFEUILLE_SEBASTIEN[[#This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7" s="188" t="str">
        <f>IF(PORTEFEUILLE_SEBASTIEN[[#This Row],[BONI AAC]]&lt;&gt;0,1,"")</f>
        <v/>
      </c>
      <c r="AU37" s="188" t="str">
        <f>IF(PORTEFEUILLE_SEBASTIEN[[#This Row],[MALI AAC]]&lt;&gt;0,1,"")</f>
        <v/>
      </c>
      <c r="AV37" s="225">
        <f>IF(AP37&lt;&gt;"",IF((AP37*Paramètres!$H$4)-PORTEFEUILLE_SEBASTIEN[[#This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€]]-(DELPHINE!AP36*Paramètres!$H$4),0),0)</f>
        <v>0</v>
      </c>
      <c r="AW37" s="225">
        <f>IF(AP37&lt;&gt;"",IF(((AP37*Paramètres!$H$4)-PORTEFEUILLE_SEBASTIEN[[#This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7" s="190" t="str">
        <f>IF(PORTEFEUILLE_SEBASTIEN[[#This Row],[BONI COMPTABLE]]&lt;&gt;0,1,"")</f>
        <v/>
      </c>
      <c r="AY37" s="190" t="str">
        <f>IF(PORTEFEUILLE_SEBASTIEN[[#This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SUM(PORTEFEUILLE_SEBASTIEN[[#This Row],[PCR COMPTABLE €]:[MONTANT
RESPONSABLE RELATION CLIENT €]])-PORTEFEUILLE_SEBASTIEN[[#This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8" s="188" t="str">
        <f>IF(PORTEFEUILLE_SEBASTIEN[[#This Row],[BONI AAC]]&lt;&gt;0,1,"")</f>
        <v/>
      </c>
      <c r="AU38" s="188" t="str">
        <f>IF(PORTEFEUILLE_SEBASTIEN[[#This Row],[MALI AAC]]&lt;&gt;0,1,"")</f>
        <v/>
      </c>
      <c r="AV38" s="225">
        <f>IF(AP38&lt;&gt;"",IF((AP38*Paramètres!$H$4)-PORTEFEUILLE_SEBASTIEN[[#This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€]]-(DELPHINE!AP37*Paramètres!$H$4),0),0)</f>
        <v>0</v>
      </c>
      <c r="AW38" s="225">
        <f>IF(AP38&lt;&gt;"",IF(((AP38*Paramètres!$H$4)-PORTEFEUILLE_SEBASTIEN[[#This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8" s="190" t="str">
        <f>IF(PORTEFEUILLE_SEBASTIEN[[#This Row],[BONI COMPTABLE]]&lt;&gt;0,1,"")</f>
        <v/>
      </c>
      <c r="AY38" s="190" t="str">
        <f>IF(PORTEFEUILLE_SEBASTIEN[[#This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SUM(PORTEFEUILLE_SEBASTIEN[[#This Row],[PCR COMPTABLE €]:[MONTANT
RESPONSABLE RELATION CLIENT €]])-PORTEFEUILLE_SEBASTIEN[[#This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9" s="188" t="str">
        <f>IF(PORTEFEUILLE_SEBASTIEN[[#This Row],[BONI AAC]]&lt;&gt;0,1,"")</f>
        <v/>
      </c>
      <c r="AU39" s="188" t="str">
        <f>IF(PORTEFEUILLE_SEBASTIEN[[#This Row],[MALI AAC]]&lt;&gt;0,1,"")</f>
        <v/>
      </c>
      <c r="AV39" s="225">
        <f>IF(AP39&lt;&gt;"",IF((AP39*Paramètres!$H$4)-PORTEFEUILLE_SEBASTIEN[[#This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€]]-(DELPHINE!AP38*Paramètres!$H$4),0),0)</f>
        <v>0</v>
      </c>
      <c r="AW39" s="225">
        <f>IF(AP39&lt;&gt;"",IF(((AP39*Paramètres!$H$4)-PORTEFEUILLE_SEBASTIEN[[#This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9" s="190" t="str">
        <f>IF(PORTEFEUILLE_SEBASTIEN[[#This Row],[BONI COMPTABLE]]&lt;&gt;0,1,"")</f>
        <v/>
      </c>
      <c r="AY39" s="190" t="str">
        <f>IF(PORTEFEUILLE_SEBASTIEN[[#This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SUM(PORTEFEUILLE_SEBASTIEN[[#This Row],[PCR COMPTABLE €]:[MONTANT
RESPONSABLE RELATION CLIENT €]])-PORTEFEUILLE_SEBASTIEN[[#This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0" s="188" t="str">
        <f>IF(PORTEFEUILLE_SEBASTIEN[[#This Row],[BONI AAC]]&lt;&gt;0,1,"")</f>
        <v/>
      </c>
      <c r="AU40" s="188" t="str">
        <f>IF(PORTEFEUILLE_SEBASTIEN[[#This Row],[MALI AAC]]&lt;&gt;0,1,"")</f>
        <v/>
      </c>
      <c r="AV40" s="225">
        <f>IF(AP40&lt;&gt;"",IF((AP40*Paramètres!$H$4)-PORTEFEUILLE_SEBASTIEN[[#This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€]]-(DELPHINE!AP39*Paramètres!$H$4),0),0)</f>
        <v>0</v>
      </c>
      <c r="AW40" s="225">
        <f>IF(AP40&lt;&gt;"",IF(((AP40*Paramètres!$H$4)-PORTEFEUILLE_SEBASTIEN[[#This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0" s="190" t="str">
        <f>IF(PORTEFEUILLE_SEBASTIEN[[#This Row],[BONI COMPTABLE]]&lt;&gt;0,1,"")</f>
        <v/>
      </c>
      <c r="AY40" s="190" t="str">
        <f>IF(PORTEFEUILLE_SEBASTIEN[[#This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SUM(PORTEFEUILLE_SEBASTIEN[[#This Row],[PCR COMPTABLE €]:[MONTANT
RESPONSABLE RELATION CLIENT €]])-PORTEFEUILLE_SEBASTIEN[[#This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1" s="188" t="str">
        <f>IF(PORTEFEUILLE_SEBASTIEN[[#This Row],[BONI AAC]]&lt;&gt;0,1,"")</f>
        <v/>
      </c>
      <c r="AU41" s="188" t="str">
        <f>IF(PORTEFEUILLE_SEBASTIEN[[#This Row],[MALI AAC]]&lt;&gt;0,1,"")</f>
        <v/>
      </c>
      <c r="AV41" s="225">
        <f>IF(AP41&lt;&gt;"",IF((AP41*Paramètres!$H$4)-PORTEFEUILLE_SEBASTIEN[[#This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€]]-(DELPHINE!AP40*Paramètres!$H$4),0),0)</f>
        <v>0</v>
      </c>
      <c r="AW41" s="225">
        <f>IF(AP41&lt;&gt;"",IF(((AP41*Paramètres!$H$4)-PORTEFEUILLE_SEBASTIEN[[#This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1" s="190" t="str">
        <f>IF(PORTEFEUILLE_SEBASTIEN[[#This Row],[BONI COMPTABLE]]&lt;&gt;0,1,"")</f>
        <v/>
      </c>
      <c r="AY41" s="190" t="str">
        <f>IF(PORTEFEUILLE_SEBASTIEN[[#This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SUM(PORTEFEUILLE_SEBASTIEN[[#This Row],[PCR COMPTABLE €]:[MONTANT
RESPONSABLE RELATION CLIENT €]])-PORTEFEUILLE_SEBASTIEN[[#This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2" s="188" t="str">
        <f>IF(PORTEFEUILLE_SEBASTIEN[[#This Row],[BONI AAC]]&lt;&gt;0,1,"")</f>
        <v/>
      </c>
      <c r="AU42" s="188" t="str">
        <f>IF(PORTEFEUILLE_SEBASTIEN[[#This Row],[MALI AAC]]&lt;&gt;0,1,"")</f>
        <v/>
      </c>
      <c r="AV42" s="225">
        <f>IF(AP42&lt;&gt;"",IF((AP42*Paramètres!$H$4)-PORTEFEUILLE_SEBASTIEN[[#This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€]]-(DELPHINE!AP41*Paramètres!$H$4),0),0)</f>
        <v>0</v>
      </c>
      <c r="AW42" s="225">
        <f>IF(AP42&lt;&gt;"",IF(((AP42*Paramètres!$H$4)-PORTEFEUILLE_SEBASTIEN[[#This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2" s="190" t="str">
        <f>IF(PORTEFEUILLE_SEBASTIEN[[#This Row],[BONI COMPTABLE]]&lt;&gt;0,1,"")</f>
        <v/>
      </c>
      <c r="AY42" s="190" t="str">
        <f>IF(PORTEFEUILLE_SEBASTIEN[[#This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SUM(PORTEFEUILLE_SEBASTIEN[[#This Row],[PCR COMPTABLE €]:[MONTANT
RESPONSABLE RELATION CLIENT €]])-PORTEFEUILLE_SEBASTIEN[[#This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3" s="188" t="str">
        <f>IF(PORTEFEUILLE_SEBASTIEN[[#This Row],[BONI AAC]]&lt;&gt;0,1,"")</f>
        <v/>
      </c>
      <c r="AU43" s="188" t="str">
        <f>IF(PORTEFEUILLE_SEBASTIEN[[#This Row],[MALI AAC]]&lt;&gt;0,1,"")</f>
        <v/>
      </c>
      <c r="AV43" s="225">
        <f>IF(AP43&lt;&gt;"",IF((AP43*Paramètres!$H$4)-PORTEFEUILLE_SEBASTIEN[[#This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€]]-(DELPHINE!AP42*Paramètres!$H$4),0),0)</f>
        <v>0</v>
      </c>
      <c r="AW43" s="225">
        <f>IF(AP43&lt;&gt;"",IF(((AP43*Paramètres!$H$4)-PORTEFEUILLE_SEBASTIEN[[#This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3" s="190" t="str">
        <f>IF(PORTEFEUILLE_SEBASTIEN[[#This Row],[BONI COMPTABLE]]&lt;&gt;0,1,"")</f>
        <v/>
      </c>
      <c r="AY43" s="190" t="str">
        <f>IF(PORTEFEUILLE_SEBASTIEN[[#This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SUM(PORTEFEUILLE_SEBASTIEN[[#This Row],[PCR COMPTABLE €]:[MONTANT
RESPONSABLE RELATION CLIENT €]])-PORTEFEUILLE_SEBASTIEN[[#This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4" s="188" t="str">
        <f>IF(PORTEFEUILLE_SEBASTIEN[[#This Row],[BONI AAC]]&lt;&gt;0,1,"")</f>
        <v/>
      </c>
      <c r="AU44" s="188" t="str">
        <f>IF(PORTEFEUILLE_SEBASTIEN[[#This Row],[MALI AAC]]&lt;&gt;0,1,"")</f>
        <v/>
      </c>
      <c r="AV44" s="225">
        <f>IF(AP44&lt;&gt;"",IF((AP44*Paramètres!$H$4)-PORTEFEUILLE_SEBASTIEN[[#This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€]]-(DELPHINE!AP43*Paramètres!$H$4),0),0)</f>
        <v>0</v>
      </c>
      <c r="AW44" s="225">
        <f>IF(AP44&lt;&gt;"",IF(((AP44*Paramètres!$H$4)-PORTEFEUILLE_SEBASTIEN[[#This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4" s="190" t="str">
        <f>IF(PORTEFEUILLE_SEBASTIEN[[#This Row],[BONI COMPTABLE]]&lt;&gt;0,1,"")</f>
        <v/>
      </c>
      <c r="AY44" s="190" t="str">
        <f>IF(PORTEFEUILLE_SEBASTIEN[[#This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SUM(PORTEFEUILLE_SEBASTIEN[[#This Row],[PCR COMPTABLE €]:[MONTANT
RESPONSABLE RELATION CLIENT €]])-PORTEFEUILLE_SEBASTIEN[[#This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5" s="188" t="str">
        <f>IF(PORTEFEUILLE_SEBASTIEN[[#This Row],[BONI AAC]]&lt;&gt;0,1,"")</f>
        <v/>
      </c>
      <c r="AU45" s="188" t="str">
        <f>IF(PORTEFEUILLE_SEBASTIEN[[#This Row],[MALI AAC]]&lt;&gt;0,1,"")</f>
        <v/>
      </c>
      <c r="AV45" s="225">
        <f>IF(AP45&lt;&gt;"",IF((AP45*Paramètres!$H$4)-PORTEFEUILLE_SEBASTIEN[[#This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€]]-(DELPHINE!AP44*Paramètres!$H$4),0),0)</f>
        <v>0</v>
      </c>
      <c r="AW45" s="225">
        <f>IF(AP45&lt;&gt;"",IF(((AP45*Paramètres!$H$4)-PORTEFEUILLE_SEBASTIEN[[#This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5" s="190" t="str">
        <f>IF(PORTEFEUILLE_SEBASTIEN[[#This Row],[BONI COMPTABLE]]&lt;&gt;0,1,"")</f>
        <v/>
      </c>
      <c r="AY45" s="190" t="str">
        <f>IF(PORTEFEUILLE_SEBASTIEN[[#This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SUM(PORTEFEUILLE_SEBASTIEN[[#This Row],[PCR COMPTABLE €]:[MONTANT
RESPONSABLE RELATION CLIENT €]])-PORTEFEUILLE_SEBASTIEN[[#This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6" s="188" t="str">
        <f>IF(PORTEFEUILLE_SEBASTIEN[[#This Row],[BONI AAC]]&lt;&gt;0,1,"")</f>
        <v/>
      </c>
      <c r="AU46" s="188" t="str">
        <f>IF(PORTEFEUILLE_SEBASTIEN[[#This Row],[MALI AAC]]&lt;&gt;0,1,"")</f>
        <v/>
      </c>
      <c r="AV46" s="225">
        <f>IF(AP46&lt;&gt;"",IF((AP46*Paramètres!$H$4)-PORTEFEUILLE_SEBASTIEN[[#This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€]]-(DELPHINE!AP45*Paramètres!$H$4),0),0)</f>
        <v>0</v>
      </c>
      <c r="AW46" s="225">
        <f>IF(AP46&lt;&gt;"",IF(((AP46*Paramètres!$H$4)-PORTEFEUILLE_SEBASTIEN[[#This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6" s="190" t="str">
        <f>IF(PORTEFEUILLE_SEBASTIEN[[#This Row],[BONI COMPTABLE]]&lt;&gt;0,1,"")</f>
        <v/>
      </c>
      <c r="AY46" s="190" t="str">
        <f>IF(PORTEFEUILLE_SEBASTIEN[[#This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SUM(PORTEFEUILLE_SEBASTIEN[[#This Row],[PCR COMPTABLE €]:[MONTANT
RESPONSABLE RELATION CLIENT €]])-PORTEFEUILLE_SEBASTIEN[[#This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7" s="188" t="str">
        <f>IF(PORTEFEUILLE_SEBASTIEN[[#This Row],[BONI AAC]]&lt;&gt;0,1,"")</f>
        <v/>
      </c>
      <c r="AU47" s="188" t="str">
        <f>IF(PORTEFEUILLE_SEBASTIEN[[#This Row],[MALI AAC]]&lt;&gt;0,1,"")</f>
        <v/>
      </c>
      <c r="AV47" s="225">
        <f>IF(AP47&lt;&gt;"",IF((AP47*Paramètres!$H$4)-PORTEFEUILLE_SEBASTIEN[[#This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€]]-(DELPHINE!AP46*Paramètres!$H$4),0),0)</f>
        <v>0</v>
      </c>
      <c r="AW47" s="225">
        <f>IF(AP47&lt;&gt;"",IF(((AP47*Paramètres!$H$4)-PORTEFEUILLE_SEBASTIEN[[#This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7" s="190" t="str">
        <f>IF(PORTEFEUILLE_SEBASTIEN[[#This Row],[BONI COMPTABLE]]&lt;&gt;0,1,"")</f>
        <v/>
      </c>
      <c r="AY47" s="190" t="str">
        <f>IF(PORTEFEUILLE_SEBASTIEN[[#This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SUM(PORTEFEUILLE_SEBASTIEN[[#This Row],[PCR COMPTABLE €]:[MONTANT
RESPONSABLE RELATION CLIENT €]])-PORTEFEUILLE_SEBASTIEN[[#This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8" s="188" t="str">
        <f>IF(PORTEFEUILLE_SEBASTIEN[[#This Row],[BONI AAC]]&lt;&gt;0,1,"")</f>
        <v/>
      </c>
      <c r="AU48" s="188" t="str">
        <f>IF(PORTEFEUILLE_SEBASTIEN[[#This Row],[MALI AAC]]&lt;&gt;0,1,"")</f>
        <v/>
      </c>
      <c r="AV48" s="225">
        <f>IF(AP48&lt;&gt;"",IF((AP48*Paramètres!$H$4)-PORTEFEUILLE_SEBASTIEN[[#This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€]]-(DELPHINE!AP47*Paramètres!$H$4),0),0)</f>
        <v>0</v>
      </c>
      <c r="AW48" s="225">
        <f>IF(AP48&lt;&gt;"",IF(((AP48*Paramètres!$H$4)-PORTEFEUILLE_SEBASTIEN[[#This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8" s="190" t="str">
        <f>IF(PORTEFEUILLE_SEBASTIEN[[#This Row],[BONI COMPTABLE]]&lt;&gt;0,1,"")</f>
        <v/>
      </c>
      <c r="AY48" s="190" t="str">
        <f>IF(PORTEFEUILLE_SEBASTIEN[[#This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SUM(PORTEFEUILLE_SEBASTIEN[[#This Row],[PCR COMPTABLE €]:[MONTANT
RESPONSABLE RELATION CLIENT €]])-PORTEFEUILLE_SEBASTIEN[[#This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9" s="188" t="str">
        <f>IF(PORTEFEUILLE_SEBASTIEN[[#This Row],[BONI AAC]]&lt;&gt;0,1,"")</f>
        <v/>
      </c>
      <c r="AU49" s="188" t="str">
        <f>IF(PORTEFEUILLE_SEBASTIEN[[#This Row],[MALI AAC]]&lt;&gt;0,1,"")</f>
        <v/>
      </c>
      <c r="AV49" s="225">
        <f>IF(AP49&lt;&gt;"",IF((AP49*Paramètres!$H$4)-PORTEFEUILLE_SEBASTIEN[[#This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€]]-(DELPHINE!AP48*Paramètres!$H$4),0),0)</f>
        <v>0</v>
      </c>
      <c r="AW49" s="225">
        <f>IF(AP49&lt;&gt;"",IF(((AP49*Paramètres!$H$4)-PORTEFEUILLE_SEBASTIEN[[#This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9" s="190" t="str">
        <f>IF(PORTEFEUILLE_SEBASTIEN[[#This Row],[BONI COMPTABLE]]&lt;&gt;0,1,"")</f>
        <v/>
      </c>
      <c r="AY49" s="190" t="str">
        <f>IF(PORTEFEUILLE_SEBASTIEN[[#This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SUM(PORTEFEUILLE_SEBASTIEN[[#This Row],[PCR COMPTABLE €]:[MONTANT
RESPONSABLE RELATION CLIENT €]])-PORTEFEUILLE_SEBASTIEN[[#This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0" s="188" t="str">
        <f>IF(PORTEFEUILLE_SEBASTIEN[[#This Row],[BONI AAC]]&lt;&gt;0,1,"")</f>
        <v/>
      </c>
      <c r="AU50" s="188" t="str">
        <f>IF(PORTEFEUILLE_SEBASTIEN[[#This Row],[MALI AAC]]&lt;&gt;0,1,"")</f>
        <v/>
      </c>
      <c r="AV50" s="225">
        <f>IF(AP50&lt;&gt;"",IF((AP50*Paramètres!$H$4)-PORTEFEUILLE_SEBASTIEN[[#This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€]]-(DELPHINE!AP49*Paramètres!$H$4),0),0)</f>
        <v>0</v>
      </c>
      <c r="AW50" s="225">
        <f>IF(AP50&lt;&gt;"",IF(((AP50*Paramètres!$H$4)-PORTEFEUILLE_SEBASTIEN[[#This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0" s="190" t="str">
        <f>IF(PORTEFEUILLE_SEBASTIEN[[#This Row],[BONI COMPTABLE]]&lt;&gt;0,1,"")</f>
        <v/>
      </c>
      <c r="AY50" s="190" t="str">
        <f>IF(PORTEFEUILLE_SEBASTIEN[[#This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SUM(PORTEFEUILLE_SEBASTIEN[[#This Row],[PCR COMPTABLE €]:[MONTANT
RESPONSABLE RELATION CLIENT €]])-PORTEFEUILLE_SEBASTIEN[[#This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1" s="188" t="str">
        <f>IF(PORTEFEUILLE_SEBASTIEN[[#This Row],[BONI AAC]]&lt;&gt;0,1,"")</f>
        <v/>
      </c>
      <c r="AU51" s="188" t="str">
        <f>IF(PORTEFEUILLE_SEBASTIEN[[#This Row],[MALI AAC]]&lt;&gt;0,1,"")</f>
        <v/>
      </c>
      <c r="AV51" s="225">
        <f>IF(AP51&lt;&gt;"",IF((AP51*Paramètres!$H$4)-PORTEFEUILLE_SEBASTIEN[[#This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€]]-(DELPHINE!AP50*Paramètres!$H$4),0),0)</f>
        <v>0</v>
      </c>
      <c r="AW51" s="225">
        <f>IF(AP51&lt;&gt;"",IF(((AP51*Paramètres!$H$4)-PORTEFEUILLE_SEBASTIEN[[#This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1" s="190" t="str">
        <f>IF(PORTEFEUILLE_SEBASTIEN[[#This Row],[BONI COMPTABLE]]&lt;&gt;0,1,"")</f>
        <v/>
      </c>
      <c r="AY51" s="190" t="str">
        <f>IF(PORTEFEUILLE_SEBASTIEN[[#This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SUM(PORTEFEUILLE_SEBASTIEN[[#This Row],[PCR COMPTABLE €]:[MONTANT
RESPONSABLE RELATION CLIENT €]])-PORTEFEUILLE_SEBASTIEN[[#This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2" s="188" t="str">
        <f>IF(PORTEFEUILLE_SEBASTIEN[[#This Row],[BONI AAC]]&lt;&gt;0,1,"")</f>
        <v/>
      </c>
      <c r="AU52" s="188" t="str">
        <f>IF(PORTEFEUILLE_SEBASTIEN[[#This Row],[MALI AAC]]&lt;&gt;0,1,"")</f>
        <v/>
      </c>
      <c r="AV52" s="225">
        <f>IF(AP52&lt;&gt;"",IF((AP52*Paramètres!$H$4)-PORTEFEUILLE_SEBASTIEN[[#This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€]]-(DELPHINE!AP51*Paramètres!$H$4),0),0)</f>
        <v>0</v>
      </c>
      <c r="AW52" s="225">
        <f>IF(AP52&lt;&gt;"",IF(((AP52*Paramètres!$H$4)-PORTEFEUILLE_SEBASTIEN[[#This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2" s="190" t="str">
        <f>IF(PORTEFEUILLE_SEBASTIEN[[#This Row],[BONI COMPTABLE]]&lt;&gt;0,1,"")</f>
        <v/>
      </c>
      <c r="AY52" s="190" t="str">
        <f>IF(PORTEFEUILLE_SEBASTIEN[[#This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SUM(PORTEFEUILLE_SEBASTIEN[[#This Row],[PCR COMPTABLE €]:[MONTANT
RESPONSABLE RELATION CLIENT €]])-PORTEFEUILLE_SEBASTIEN[[#This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3" s="188" t="str">
        <f>IF(PORTEFEUILLE_SEBASTIEN[[#This Row],[BONI AAC]]&lt;&gt;0,1,"")</f>
        <v/>
      </c>
      <c r="AU53" s="188" t="str">
        <f>IF(PORTEFEUILLE_SEBASTIEN[[#This Row],[MALI AAC]]&lt;&gt;0,1,"")</f>
        <v/>
      </c>
      <c r="AV53" s="225">
        <f>IF(AP53&lt;&gt;"",IF((AP53*Paramètres!$H$4)-PORTEFEUILLE_SEBASTIEN[[#This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€]]-(DELPHINE!AP52*Paramètres!$H$4),0),0)</f>
        <v>0</v>
      </c>
      <c r="AW53" s="225">
        <f>IF(AP53&lt;&gt;"",IF(((AP53*Paramètres!$H$4)-PORTEFEUILLE_SEBASTIEN[[#This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3" s="190" t="str">
        <f>IF(PORTEFEUILLE_SEBASTIEN[[#This Row],[BONI COMPTABLE]]&lt;&gt;0,1,"")</f>
        <v/>
      </c>
      <c r="AY53" s="190" t="str">
        <f>IF(PORTEFEUILLE_SEBASTIEN[[#This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SUM(PORTEFEUILLE_SEBASTIEN[[#This Row],[PCR COMPTABLE €]:[MONTANT
RESPONSABLE RELATION CLIENT €]])-PORTEFEUILLE_SEBASTIEN[[#This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4" s="188" t="str">
        <f>IF(PORTEFEUILLE_SEBASTIEN[[#This Row],[BONI AAC]]&lt;&gt;0,1,"")</f>
        <v/>
      </c>
      <c r="AU54" s="188" t="str">
        <f>IF(PORTEFEUILLE_SEBASTIEN[[#This Row],[MALI AAC]]&lt;&gt;0,1,"")</f>
        <v/>
      </c>
      <c r="AV54" s="225">
        <f>IF(AP54&lt;&gt;"",IF((AP54*Paramètres!$H$4)-PORTEFEUILLE_SEBASTIEN[[#This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€]]-(DELPHINE!AP53*Paramètres!$H$4),0),0)</f>
        <v>0</v>
      </c>
      <c r="AW54" s="225">
        <f>IF(AP54&lt;&gt;"",IF(((AP54*Paramètres!$H$4)-PORTEFEUILLE_SEBASTIEN[[#This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4" s="190" t="str">
        <f>IF(PORTEFEUILLE_SEBASTIEN[[#This Row],[BONI COMPTABLE]]&lt;&gt;0,1,"")</f>
        <v/>
      </c>
      <c r="AY54" s="190" t="str">
        <f>IF(PORTEFEUILLE_SEBASTIEN[[#This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SUM(PORTEFEUILLE_SEBASTIEN[[#This Row],[PCR COMPTABLE €]:[MONTANT
RESPONSABLE RELATION CLIENT €]])-PORTEFEUILLE_SEBASTIEN[[#This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5" s="188" t="str">
        <f>IF(PORTEFEUILLE_SEBASTIEN[[#This Row],[BONI AAC]]&lt;&gt;0,1,"")</f>
        <v/>
      </c>
      <c r="AU55" s="188" t="str">
        <f>IF(PORTEFEUILLE_SEBASTIEN[[#This Row],[MALI AAC]]&lt;&gt;0,1,"")</f>
        <v/>
      </c>
      <c r="AV55" s="225">
        <f>IF(AP55&lt;&gt;"",IF((AP55*Paramètres!$H$4)-PORTEFEUILLE_SEBASTIEN[[#This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€]]-(DELPHINE!AP54*Paramètres!$H$4),0),0)</f>
        <v>0</v>
      </c>
      <c r="AW55" s="225">
        <f>IF(AP55&lt;&gt;"",IF(((AP55*Paramètres!$H$4)-PORTEFEUILLE_SEBASTIEN[[#This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5" s="190" t="str">
        <f>IF(PORTEFEUILLE_SEBASTIEN[[#This Row],[BONI COMPTABLE]]&lt;&gt;0,1,"")</f>
        <v/>
      </c>
      <c r="AY55" s="190" t="str">
        <f>IF(PORTEFEUILLE_SEBASTIEN[[#This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SUM(PORTEFEUILLE_SEBASTIEN[[#This Row],[PCR COMPTABLE €]:[MONTANT
RESPONSABLE RELATION CLIENT €]])-PORTEFEUILLE_SEBASTIEN[[#This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6" s="188" t="str">
        <f>IF(PORTEFEUILLE_SEBASTIEN[[#This Row],[BONI AAC]]&lt;&gt;0,1,"")</f>
        <v/>
      </c>
      <c r="AU56" s="188" t="str">
        <f>IF(PORTEFEUILLE_SEBASTIEN[[#This Row],[MALI AAC]]&lt;&gt;0,1,"")</f>
        <v/>
      </c>
      <c r="AV56" s="225">
        <f>IF(AP56&lt;&gt;"",IF((AP56*Paramètres!$H$4)-PORTEFEUILLE_SEBASTIEN[[#This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€]]-(DELPHINE!AP55*Paramètres!$H$4),0),0)</f>
        <v>0</v>
      </c>
      <c r="AW56" s="225">
        <f>IF(AP56&lt;&gt;"",IF(((AP56*Paramètres!$H$4)-PORTEFEUILLE_SEBASTIEN[[#This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6" s="190" t="str">
        <f>IF(PORTEFEUILLE_SEBASTIEN[[#This Row],[BONI COMPTABLE]]&lt;&gt;0,1,"")</f>
        <v/>
      </c>
      <c r="AY56" s="190" t="str">
        <f>IF(PORTEFEUILLE_SEBASTIEN[[#This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SUM(PORTEFEUILLE_SEBASTIEN[[#This Row],[PCR COMPTABLE €]:[MONTANT
RESPONSABLE RELATION CLIENT €]])-PORTEFEUILLE_SEBASTIEN[[#This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7" s="188" t="str">
        <f>IF(PORTEFEUILLE_SEBASTIEN[[#This Row],[BONI AAC]]&lt;&gt;0,1,"")</f>
        <v/>
      </c>
      <c r="AU57" s="188" t="str">
        <f>IF(PORTEFEUILLE_SEBASTIEN[[#This Row],[MALI AAC]]&lt;&gt;0,1,"")</f>
        <v/>
      </c>
      <c r="AV57" s="225">
        <f>IF(AP57&lt;&gt;"",IF((AP57*Paramètres!$H$4)-PORTEFEUILLE_SEBASTIEN[[#This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€]]-(DELPHINE!AP56*Paramètres!$H$4),0),0)</f>
        <v>0</v>
      </c>
      <c r="AW57" s="225">
        <f>IF(AP57&lt;&gt;"",IF(((AP57*Paramètres!$H$4)-PORTEFEUILLE_SEBASTIEN[[#This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7" s="190" t="str">
        <f>IF(PORTEFEUILLE_SEBASTIEN[[#This Row],[BONI COMPTABLE]]&lt;&gt;0,1,"")</f>
        <v/>
      </c>
      <c r="AY57" s="190" t="str">
        <f>IF(PORTEFEUILLE_SEBASTIEN[[#This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SUM(PORTEFEUILLE_SEBASTIEN[[#This Row],[PCR COMPTABLE €]:[MONTANT
RESPONSABLE RELATION CLIENT €]])-PORTEFEUILLE_SEBASTIEN[[#This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8" s="188" t="str">
        <f>IF(PORTEFEUILLE_SEBASTIEN[[#This Row],[BONI AAC]]&lt;&gt;0,1,"")</f>
        <v/>
      </c>
      <c r="AU58" s="188" t="str">
        <f>IF(PORTEFEUILLE_SEBASTIEN[[#This Row],[MALI AAC]]&lt;&gt;0,1,"")</f>
        <v/>
      </c>
      <c r="AV58" s="225">
        <f>IF(AP58&lt;&gt;"",IF((AP58*Paramètres!$H$4)-PORTEFEUILLE_SEBASTIEN[[#This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€]]-(DELPHINE!AP57*Paramètres!$H$4),0),0)</f>
        <v>0</v>
      </c>
      <c r="AW58" s="225">
        <f>IF(AP58&lt;&gt;"",IF(((AP58*Paramètres!$H$4)-PORTEFEUILLE_SEBASTIEN[[#This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8" s="190" t="str">
        <f>IF(PORTEFEUILLE_SEBASTIEN[[#This Row],[BONI COMPTABLE]]&lt;&gt;0,1,"")</f>
        <v/>
      </c>
      <c r="AY58" s="190" t="str">
        <f>IF(PORTEFEUILLE_SEBASTIEN[[#This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SUM(PORTEFEUILLE_SEBASTIEN[[#This Row],[PCR COMPTABLE €]:[MONTANT
RESPONSABLE RELATION CLIENT €]])-PORTEFEUILLE_SEBASTIEN[[#This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9" s="188" t="str">
        <f>IF(PORTEFEUILLE_SEBASTIEN[[#This Row],[BONI AAC]]&lt;&gt;0,1,"")</f>
        <v/>
      </c>
      <c r="AU59" s="188" t="str">
        <f>IF(PORTEFEUILLE_SEBASTIEN[[#This Row],[MALI AAC]]&lt;&gt;0,1,"")</f>
        <v/>
      </c>
      <c r="AV59" s="225">
        <f>IF(AP59&lt;&gt;"",IF((AP59*Paramètres!$H$4)-PORTEFEUILLE_SEBASTIEN[[#This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€]]-(DELPHINE!AP58*Paramètres!$H$4),0),0)</f>
        <v>0</v>
      </c>
      <c r="AW59" s="225">
        <f>IF(AP59&lt;&gt;"",IF(((AP59*Paramètres!$H$4)-PORTEFEUILLE_SEBASTIEN[[#This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9" s="190" t="str">
        <f>IF(PORTEFEUILLE_SEBASTIEN[[#This Row],[BONI COMPTABLE]]&lt;&gt;0,1,"")</f>
        <v/>
      </c>
      <c r="AY59" s="190" t="str">
        <f>IF(PORTEFEUILLE_SEBASTIEN[[#This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SUM(PORTEFEUILLE_SEBASTIEN[[#This Row],[PCR COMPTABLE €]:[MONTANT
RESPONSABLE RELATION CLIENT €]])-PORTEFEUILLE_SEBASTIEN[[#This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6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60" s="188" t="str">
        <f>IF(PORTEFEUILLE_SEBASTIEN[[#This Row],[BONI AAC]]&lt;&gt;0,1,"")</f>
        <v/>
      </c>
      <c r="AU60" s="188" t="str">
        <f>IF(PORTEFEUILLE_SEBASTIEN[[#This Row],[MALI AAC]]&lt;&gt;0,1,"")</f>
        <v/>
      </c>
      <c r="AV60" s="225">
        <f>IF(AP60&lt;&gt;"",IF((AP60*Paramètres!$H$4)-PORTEFEUILLE_SEBASTIEN[[#This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€]]-(DELPHINE!AP59*Paramètres!$H$4),0),0)</f>
        <v>0</v>
      </c>
      <c r="AW60" s="225">
        <f>IF(AP60&lt;&gt;"",IF(((AP60*Paramètres!$H$4)-PORTEFEUILLE_SEBASTIEN[[#This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60" s="190" t="str">
        <f>IF(PORTEFEUILLE_SEBASTIEN[[#This Row],[BONI COMPTABLE]]&lt;&gt;0,1,"")</f>
        <v/>
      </c>
      <c r="AY60" s="190" t="str">
        <f>IF(PORTEFEUILLE_SEBASTIEN[[#This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11" priority="2">
      <formula>AND(P3&lt;&gt;"",P3&lt;&gt;"OUI")</formula>
    </cfRule>
  </conditionalFormatting>
  <conditionalFormatting sqref="AN3:AO60 S3:AH60">
    <cfRule type="expression" dxfId="10" priority="1" stopIfTrue="1">
      <formula>$AH3&lt;&gt;0</formula>
    </cfRule>
  </conditionalFormatting>
  <conditionalFormatting sqref="A3:E60">
    <cfRule type="expression" dxfId="9" priority="3" stopIfTrue="1">
      <formula>AND($I3&lt;&gt;"",AND($J3="",AND($BA3="",$BB3="")))</formula>
    </cfRule>
    <cfRule type="expression" dxfId="8" priority="4" stopIfTrue="1">
      <formula>AND($J3&lt;&gt;"",AND($BA3="",$BB3=""))</formula>
    </cfRule>
    <cfRule type="expression" dxfId="7" priority="5" stopIfTrue="1">
      <formula>AND($BA3&lt;&gt;"",$BB3="")</formula>
    </cfRule>
    <cfRule type="expression" dxfId="6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N183"/>
  <sheetViews>
    <sheetView zoomScale="85" zoomScaleNormal="85" workbookViewId="0">
      <pane xSplit="5" ySplit="2" topLeftCell="AG3" activePane="bottomRight" state="frozen"/>
      <selection pane="topRight" activeCell="F1" sqref="F1"/>
      <selection pane="bottomLeft" activeCell="A3" sqref="A3"/>
      <selection pane="bottomRight" activeCell="AM15" sqref="AM15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227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SUM(PORTEFEUILLE_AUTRE_COMPTABLE[[#This Row],[PCR COMPTABLE €]:[MONTANT
RESPONSABLE RELATION CLIENT €]])-PORTEFEUILLE_AUTRE_COMPTABLE[[#This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88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400</v>
      </c>
      <c r="AT3" s="188" t="str">
        <f>IF(PORTEFEUILLE_AUTRE_COMPTABLE[[#This Row],[BONI AAC]]&lt;&gt;0,1,"")</f>
        <v/>
      </c>
      <c r="AU3" s="188">
        <f>IF(PORTEFEUILLE_AUTRE_COMPTABLE[[#This Row],[MALI AAC]]&lt;&gt;0,1,"")</f>
        <v>1</v>
      </c>
      <c r="AV3" s="225">
        <f>IF(AP3&lt;&gt;"",IF((AP3*Paramètres!$H$4)-PORTEFEUILLE_AUTRE_COMPTABLE[[#This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€]]-(DELPHINE!AP3*Paramètres!$H$4),0),0)</f>
        <v>0</v>
      </c>
      <c r="AW3" s="225">
        <f>IF(AP3&lt;&gt;"",IF(((AP3*Paramètres!$H$4)-PORTEFEUILLE_AUTRE_COMPTABLE[[#This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" s="190" t="str">
        <f>IF(PORTEFEUILLE_AUTRE_COMPTABLE[[#This Row],[BONI COMPTABLE]]&lt;&gt;0,1,"")</f>
        <v/>
      </c>
      <c r="AY3" s="190" t="str">
        <f>IF(PORTEFEUILLE_AUTRE_COMPTABLE[[#This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227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SUM(PORTEFEUILLE_AUTRE_COMPTABLE[[#This Row],[PCR COMPTABLE €]:[MONTANT
RESPONSABLE RELATION CLIENT €]])-PORTEFEUILLE_AUTRE_COMPTABLE[[#This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88"/>
      <c r="AN4" s="188" t="s">
        <v>199</v>
      </c>
      <c r="AO4" s="188"/>
      <c r="AP4" s="188">
        <v>30</v>
      </c>
      <c r="AQ4" s="188">
        <v>20</v>
      </c>
      <c r="AR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1000</v>
      </c>
      <c r="AT4" s="188" t="str">
        <f>IF(PORTEFEUILLE_AUTRE_COMPTABLE[[#This Row],[BONI AAC]]&lt;&gt;0,1,"")</f>
        <v/>
      </c>
      <c r="AU4" s="188">
        <f>IF(PORTEFEUILLE_AUTRE_COMPTABLE[[#This Row],[MALI AAC]]&lt;&gt;0,1,"")</f>
        <v>1</v>
      </c>
      <c r="AV4" s="225">
        <f>IF(AP4&lt;&gt;"",IF((AP4*Paramètres!$H$4)-PORTEFEUILLE_AUTRE_COMPTABLE[[#This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€]]-(DELPHINE!AP4*Paramètres!$H$4),0),0)</f>
        <v>0</v>
      </c>
      <c r="AW4" s="225">
        <f>IF(AP4&lt;&gt;"",IF(((AP4*Paramètres!$H$4)-PORTEFEUILLE_AUTRE_COMPTABLE[[#This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3000</v>
      </c>
      <c r="AX4" s="190" t="str">
        <f>IF(PORTEFEUILLE_AUTRE_COMPTABLE[[#This Row],[BONI COMPTABLE]]&lt;&gt;0,1,"")</f>
        <v/>
      </c>
      <c r="AY4" s="190">
        <f>IF(PORTEFEUILLE_AUTRE_COMPTABLE[[#This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227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SUM(PORTEFEUILLE_AUTRE_COMPTABLE[[#This Row],[PCR COMPTABLE €]:[MONTANT
RESPONSABLE RELATION CLIENT €]])-PORTEFEUILLE_AUTRE_COMPTABLE[[#This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88"/>
      <c r="AN5" s="188"/>
      <c r="AO5" s="188"/>
      <c r="AP5" s="188">
        <v>60</v>
      </c>
      <c r="AQ5" s="188">
        <v>60</v>
      </c>
      <c r="AR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2200</v>
      </c>
      <c r="AT5" s="188" t="str">
        <f>IF(PORTEFEUILLE_AUTRE_COMPTABLE[[#This Row],[BONI AAC]]&lt;&gt;0,1,"")</f>
        <v/>
      </c>
      <c r="AU5" s="188">
        <f>IF(PORTEFEUILLE_AUTRE_COMPTABLE[[#This Row],[MALI AAC]]&lt;&gt;0,1,"")</f>
        <v>1</v>
      </c>
      <c r="AV5" s="225">
        <f>IF(AP5&lt;&gt;"",IF((AP5*Paramètres!$H$4)-PORTEFEUILLE_AUTRE_COMPTABLE[[#This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€]]-(DELPHINE!AP5*Paramètres!$H$4),0),0)</f>
        <v>0</v>
      </c>
      <c r="AW5" s="225">
        <f>IF(AP5&lt;&gt;"",IF(((AP5*Paramètres!$H$4)-PORTEFEUILLE_AUTRE_COMPTABLE[[#This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4150</v>
      </c>
      <c r="AX5" s="190" t="str">
        <f>IF(PORTEFEUILLE_AUTRE_COMPTABLE[[#This Row],[BONI COMPTABLE]]&lt;&gt;0,1,"")</f>
        <v/>
      </c>
      <c r="AY5" s="190">
        <f>IF(PORTEFEUILLE_AUTRE_COMPTABLE[[#This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SUM(PORTEFEUILLE_AUTRE_COMPTABLE[[#This Row],[PCR COMPTABLE €]:[MONTANT
RESPONSABLE RELATION CLIENT €]])-PORTEFEUILLE_AUTRE_COMPTABLE[[#This Row],[MONTANT TOTAL LETTRE DE MISION €]]</f>
        <v>0</v>
      </c>
      <c r="AI6" s="191"/>
      <c r="AJ6" s="188"/>
      <c r="AK6" s="188"/>
      <c r="AL6" s="188"/>
      <c r="AM6" s="188"/>
      <c r="AN6" s="188"/>
      <c r="AO6" s="188"/>
      <c r="AP6" s="188"/>
      <c r="AQ6" s="188"/>
      <c r="AR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6" s="188" t="str">
        <f>IF(PORTEFEUILLE_AUTRE_COMPTABLE[[#This Row],[BONI AAC]]&lt;&gt;0,1,"")</f>
        <v/>
      </c>
      <c r="AU6" s="188" t="str">
        <f>IF(PORTEFEUILLE_AUTRE_COMPTABLE[[#This Row],[MALI AAC]]&lt;&gt;0,1,"")</f>
        <v/>
      </c>
      <c r="AV6" s="225">
        <f>IF(AP6&lt;&gt;"",IF((AP6*Paramètres!$H$4)-PORTEFEUILLE_AUTRE_COMPTABLE[[#This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6" s="225">
        <f>IF(AP6&lt;&gt;"",IF(((AP6*Paramètres!$H$4)-PORTEFEUILLE_AUTRE_COMPTABLE[[#This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6" s="190" t="str">
        <f>IF(PORTEFEUILLE_AUTRE_COMPTABLE[[#This Row],[BONI COMPTABLE]]&lt;&gt;0,1,"")</f>
        <v/>
      </c>
      <c r="AY6" s="190" t="str">
        <f>IF(PORTEFEUILLE_AUTRE_COMPTABLE[[#This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SUM(PORTEFEUILLE_AUTRE_COMPTABLE[[#This Row],[PCR COMPTABLE €]:[MONTANT
RESPONSABLE RELATION CLIENT €]])-PORTEFEUILLE_AUTRE_COMPTABLE[[#This Row],[MONTANT TOTAL LETTRE DE MISION €]]</f>
        <v>0</v>
      </c>
      <c r="AI7" s="191"/>
      <c r="AJ7" s="188"/>
      <c r="AK7" s="188"/>
      <c r="AL7" s="188"/>
      <c r="AM7" s="188"/>
      <c r="AN7" s="188"/>
      <c r="AO7" s="188"/>
      <c r="AP7" s="188"/>
      <c r="AQ7" s="188"/>
      <c r="AR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7" s="188" t="str">
        <f>IF(PORTEFEUILLE_AUTRE_COMPTABLE[[#This Row],[BONI AAC]]&lt;&gt;0,1,"")</f>
        <v/>
      </c>
      <c r="AU7" s="188" t="str">
        <f>IF(PORTEFEUILLE_AUTRE_COMPTABLE[[#This Row],[MALI AAC]]&lt;&gt;0,1,"")</f>
        <v/>
      </c>
      <c r="AV7" s="225">
        <f>IF(AP7&lt;&gt;"",IF((AP7*Paramètres!$H$4)-PORTEFEUILLE_AUTRE_COMPTABLE[[#This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€]]-(DELPHINE!AP6*Paramètres!$H$4),0),0)</f>
        <v>0</v>
      </c>
      <c r="AW7" s="225">
        <f>IF(AP7&lt;&gt;"",IF(((AP7*Paramètres!$H$4)-PORTEFEUILLE_AUTRE_COMPTABLE[[#This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7" s="190" t="str">
        <f>IF(PORTEFEUILLE_AUTRE_COMPTABLE[[#This Row],[BONI COMPTABLE]]&lt;&gt;0,1,"")</f>
        <v/>
      </c>
      <c r="AY7" s="190" t="str">
        <f>IF(PORTEFEUILLE_AUTRE_COMPTABLE[[#This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SUM(PORTEFEUILLE_AUTRE_COMPTABLE[[#This Row],[PCR COMPTABLE €]:[MONTANT
RESPONSABLE RELATION CLIENT €]])-PORTEFEUILLE_AUTRE_COMPTABLE[[#This Row],[MONTANT TOTAL LETTRE DE MISION €]]</f>
        <v>0</v>
      </c>
      <c r="AI8" s="191"/>
      <c r="AJ8" s="188"/>
      <c r="AK8" s="188"/>
      <c r="AL8" s="188"/>
      <c r="AM8" s="188"/>
      <c r="AN8" s="188"/>
      <c r="AO8" s="188"/>
      <c r="AP8" s="188"/>
      <c r="AQ8" s="188"/>
      <c r="AR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8" s="188" t="str">
        <f>IF(PORTEFEUILLE_AUTRE_COMPTABLE[[#This Row],[BONI AAC]]&lt;&gt;0,1,"")</f>
        <v/>
      </c>
      <c r="AU8" s="188" t="str">
        <f>IF(PORTEFEUILLE_AUTRE_COMPTABLE[[#This Row],[MALI AAC]]&lt;&gt;0,1,"")</f>
        <v/>
      </c>
      <c r="AV8" s="225">
        <f>IF(AP8&lt;&gt;"",IF((AP8*Paramètres!$H$4)-PORTEFEUILLE_AUTRE_COMPTABLE[[#This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€]]-(DELPHINE!AP7*Paramètres!$H$4),0),0)</f>
        <v>0</v>
      </c>
      <c r="AW8" s="225">
        <f>IF(AP8&lt;&gt;"",IF(((AP8*Paramètres!$H$4)-PORTEFEUILLE_AUTRE_COMPTABLE[[#This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8" s="190" t="str">
        <f>IF(PORTEFEUILLE_AUTRE_COMPTABLE[[#This Row],[BONI COMPTABLE]]&lt;&gt;0,1,"")</f>
        <v/>
      </c>
      <c r="AY8" s="190" t="str">
        <f>IF(PORTEFEUILLE_AUTRE_COMPTABLE[[#This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SUM(PORTEFEUILLE_AUTRE_COMPTABLE[[#This Row],[PCR COMPTABLE €]:[MONTANT
RESPONSABLE RELATION CLIENT €]])-PORTEFEUILLE_AUTRE_COMPTABLE[[#This Row],[MONTANT TOTAL LETTRE DE MISION €]]</f>
        <v>0</v>
      </c>
      <c r="AI9" s="191"/>
      <c r="AJ9" s="188"/>
      <c r="AK9" s="188"/>
      <c r="AL9" s="188"/>
      <c r="AM9" s="188"/>
      <c r="AN9" s="196"/>
      <c r="AO9" s="196"/>
      <c r="AP9" s="196"/>
      <c r="AQ9" s="196"/>
      <c r="AR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9" s="188" t="str">
        <f>IF(PORTEFEUILLE_AUTRE_COMPTABLE[[#This Row],[BONI AAC]]&lt;&gt;0,1,"")</f>
        <v/>
      </c>
      <c r="AU9" s="188" t="str">
        <f>IF(PORTEFEUILLE_AUTRE_COMPTABLE[[#This Row],[MALI AAC]]&lt;&gt;0,1,"")</f>
        <v/>
      </c>
      <c r="AV9" s="225">
        <f>IF(AP9&lt;&gt;"",IF((AP9*Paramètres!$H$4)-PORTEFEUILLE_AUTRE_COMPTABLE[[#This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€]]-(DELPHINE!AP8*Paramètres!$H$4),0),0)</f>
        <v>0</v>
      </c>
      <c r="AW9" s="225">
        <f>IF(AP9&lt;&gt;"",IF(((AP9*Paramètres!$H$4)-PORTEFEUILLE_AUTRE_COMPTABLE[[#This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9" s="190" t="str">
        <f>IF(PORTEFEUILLE_AUTRE_COMPTABLE[[#This Row],[BONI COMPTABLE]]&lt;&gt;0,1,"")</f>
        <v/>
      </c>
      <c r="AY9" s="190" t="str">
        <f>IF(PORTEFEUILLE_AUTRE_COMPTABLE[[#This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SUM(PORTEFEUILLE_AUTRE_COMPTABLE[[#This Row],[PCR COMPTABLE €]:[MONTANT
RESPONSABLE RELATION CLIENT €]])-PORTEFEUILLE_AUTRE_COMPTABLE[[#This Row],[MONTANT TOTAL LETTRE DE MISION €]]</f>
        <v>0</v>
      </c>
      <c r="AI10" s="191"/>
      <c r="AJ10" s="188"/>
      <c r="AK10" s="188"/>
      <c r="AL10" s="188"/>
      <c r="AM10" s="188"/>
      <c r="AN10" s="188"/>
      <c r="AO10" s="188"/>
      <c r="AP10" s="188"/>
      <c r="AQ10" s="188"/>
      <c r="AR1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0" s="188" t="str">
        <f>IF(PORTEFEUILLE_AUTRE_COMPTABLE[[#This Row],[BONI AAC]]&lt;&gt;0,1,"")</f>
        <v/>
      </c>
      <c r="AU10" s="188" t="str">
        <f>IF(PORTEFEUILLE_AUTRE_COMPTABLE[[#This Row],[MALI AAC]]&lt;&gt;0,1,"")</f>
        <v/>
      </c>
      <c r="AV10" s="225">
        <f>IF(AP10&lt;&gt;"",IF((AP10*Paramètres!$H$4)-PORTEFEUILLE_AUTRE_COMPTABLE[[#This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€]]-(DELPHINE!AP9*Paramètres!$H$4),0),0)</f>
        <v>0</v>
      </c>
      <c r="AW10" s="225">
        <f>IF(AP10&lt;&gt;"",IF(((AP10*Paramètres!$H$4)-PORTEFEUILLE_AUTRE_COMPTABLE[[#This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0" s="190" t="str">
        <f>IF(PORTEFEUILLE_AUTRE_COMPTABLE[[#This Row],[BONI COMPTABLE]]&lt;&gt;0,1,"")</f>
        <v/>
      </c>
      <c r="AY10" s="190" t="str">
        <f>IF(PORTEFEUILLE_AUTRE_COMPTABLE[[#This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SUM(PORTEFEUILLE_AUTRE_COMPTABLE[[#This Row],[PCR COMPTABLE €]:[MONTANT
RESPONSABLE RELATION CLIENT €]])-PORTEFEUILLE_AUTRE_COMPTABLE[[#This Row],[MONTANT TOTAL LETTRE DE MISION €]]</f>
        <v>0</v>
      </c>
      <c r="AI11" s="191"/>
      <c r="AJ11" s="188"/>
      <c r="AK11" s="188"/>
      <c r="AL11" s="188"/>
      <c r="AM11" s="188"/>
      <c r="AN11" s="188"/>
      <c r="AO11" s="188"/>
      <c r="AP11" s="188"/>
      <c r="AQ11" s="188"/>
      <c r="AR1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1" s="188" t="str">
        <f>IF(PORTEFEUILLE_AUTRE_COMPTABLE[[#This Row],[BONI AAC]]&lt;&gt;0,1,"")</f>
        <v/>
      </c>
      <c r="AU11" s="188" t="str">
        <f>IF(PORTEFEUILLE_AUTRE_COMPTABLE[[#This Row],[MALI AAC]]&lt;&gt;0,1,"")</f>
        <v/>
      </c>
      <c r="AV11" s="225">
        <f>IF(AP11&lt;&gt;"",IF((AP11*Paramètres!$H$4)-PORTEFEUILLE_AUTRE_COMPTABLE[[#This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€]]-(DELPHINE!AP10*Paramètres!$H$4),0),0)</f>
        <v>0</v>
      </c>
      <c r="AW11" s="225">
        <f>IF(AP11&lt;&gt;"",IF(((AP11*Paramètres!$H$4)-PORTEFEUILLE_AUTRE_COMPTABLE[[#This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1" s="190" t="str">
        <f>IF(PORTEFEUILLE_AUTRE_COMPTABLE[[#This Row],[BONI COMPTABLE]]&lt;&gt;0,1,"")</f>
        <v/>
      </c>
      <c r="AY11" s="190" t="str">
        <f>IF(PORTEFEUILLE_AUTRE_COMPTABLE[[#This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SUM(PORTEFEUILLE_AUTRE_COMPTABLE[[#This Row],[PCR COMPTABLE €]:[MONTANT
RESPONSABLE RELATION CLIENT €]])-PORTEFEUILLE_AUTRE_COMPTABLE[[#This Row],[MONTANT TOTAL LETTRE DE MISION €]]</f>
        <v>0</v>
      </c>
      <c r="AI12" s="191"/>
      <c r="AJ12" s="188"/>
      <c r="AK12" s="188"/>
      <c r="AL12" s="188"/>
      <c r="AM12" s="188"/>
      <c r="AN12" s="188"/>
      <c r="AO12" s="188"/>
      <c r="AP12" s="188"/>
      <c r="AQ12" s="188"/>
      <c r="AR1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2" s="188" t="str">
        <f>IF(PORTEFEUILLE_AUTRE_COMPTABLE[[#This Row],[BONI AAC]]&lt;&gt;0,1,"")</f>
        <v/>
      </c>
      <c r="AU12" s="188" t="str">
        <f>IF(PORTEFEUILLE_AUTRE_COMPTABLE[[#This Row],[MALI AAC]]&lt;&gt;0,1,"")</f>
        <v/>
      </c>
      <c r="AV12" s="225">
        <f>IF(AP12&lt;&gt;"",IF((AP12*Paramètres!$H$4)-PORTEFEUILLE_AUTRE_COMPTABLE[[#This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€]]-(DELPHINE!AP11*Paramètres!$H$4),0),0)</f>
        <v>0</v>
      </c>
      <c r="AW12" s="225">
        <f>IF(AP12&lt;&gt;"",IF(((AP12*Paramètres!$H$4)-PORTEFEUILLE_AUTRE_COMPTABLE[[#This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2" s="190" t="str">
        <f>IF(PORTEFEUILLE_AUTRE_COMPTABLE[[#This Row],[BONI COMPTABLE]]&lt;&gt;0,1,"")</f>
        <v/>
      </c>
      <c r="AY12" s="190" t="str">
        <f>IF(PORTEFEUILLE_AUTRE_COMPTABLE[[#This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SUM(PORTEFEUILLE_AUTRE_COMPTABLE[[#This Row],[PCR COMPTABLE €]:[MONTANT
RESPONSABLE RELATION CLIENT €]])-PORTEFEUILLE_AUTRE_COMPTABLE[[#This Row],[MONTANT TOTAL LETTRE DE MISION €]]</f>
        <v>0</v>
      </c>
      <c r="AI13" s="191"/>
      <c r="AJ13" s="188"/>
      <c r="AK13" s="188"/>
      <c r="AL13" s="188"/>
      <c r="AM13" s="188"/>
      <c r="AN13" s="188"/>
      <c r="AO13" s="188"/>
      <c r="AP13" s="188"/>
      <c r="AQ13" s="188"/>
      <c r="AR1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3" s="188" t="str">
        <f>IF(PORTEFEUILLE_AUTRE_COMPTABLE[[#This Row],[BONI AAC]]&lt;&gt;0,1,"")</f>
        <v/>
      </c>
      <c r="AU13" s="188" t="str">
        <f>IF(PORTEFEUILLE_AUTRE_COMPTABLE[[#This Row],[MALI AAC]]&lt;&gt;0,1,"")</f>
        <v/>
      </c>
      <c r="AV13" s="225">
        <f>IF(AP13&lt;&gt;"",IF((AP13*Paramètres!$H$4)-PORTEFEUILLE_AUTRE_COMPTABLE[[#This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€]]-(DELPHINE!AP12*Paramètres!$H$4),0),0)</f>
        <v>0</v>
      </c>
      <c r="AW13" s="225">
        <f>IF(AP13&lt;&gt;"",IF(((AP13*Paramètres!$H$4)-PORTEFEUILLE_AUTRE_COMPTABLE[[#This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3" s="190" t="str">
        <f>IF(PORTEFEUILLE_AUTRE_COMPTABLE[[#This Row],[BONI COMPTABLE]]&lt;&gt;0,1,"")</f>
        <v/>
      </c>
      <c r="AY13" s="190" t="str">
        <f>IF(PORTEFEUILLE_AUTRE_COMPTABLE[[#This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SUM(PORTEFEUILLE_AUTRE_COMPTABLE[[#This Row],[PCR COMPTABLE €]:[MONTANT
RESPONSABLE RELATION CLIENT €]])-PORTEFEUILLE_AUTRE_COMPTABLE[[#This Row],[MONTANT TOTAL LETTRE DE MISION €]]</f>
        <v>0</v>
      </c>
      <c r="AI14" s="191"/>
      <c r="AJ14" s="188"/>
      <c r="AK14" s="188"/>
      <c r="AL14" s="188"/>
      <c r="AM14" s="188"/>
      <c r="AN14" s="188"/>
      <c r="AO14" s="188"/>
      <c r="AP14" s="188"/>
      <c r="AQ14" s="188"/>
      <c r="AR1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4" s="188" t="str">
        <f>IF(PORTEFEUILLE_AUTRE_COMPTABLE[[#This Row],[BONI AAC]]&lt;&gt;0,1,"")</f>
        <v/>
      </c>
      <c r="AU14" s="188" t="str">
        <f>IF(PORTEFEUILLE_AUTRE_COMPTABLE[[#This Row],[MALI AAC]]&lt;&gt;0,1,"")</f>
        <v/>
      </c>
      <c r="AV14" s="225">
        <f>IF(AP14&lt;&gt;"",IF((AP14*Paramètres!$H$4)-PORTEFEUILLE_AUTRE_COMPTABLE[[#This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€]]-(DELPHINE!AP13*Paramètres!$H$4),0),0)</f>
        <v>0</v>
      </c>
      <c r="AW14" s="225">
        <f>IF(AP14&lt;&gt;"",IF(((AP14*Paramètres!$H$4)-PORTEFEUILLE_AUTRE_COMPTABLE[[#This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4" s="190" t="str">
        <f>IF(PORTEFEUILLE_AUTRE_COMPTABLE[[#This Row],[BONI COMPTABLE]]&lt;&gt;0,1,"")</f>
        <v/>
      </c>
      <c r="AY14" s="190" t="str">
        <f>IF(PORTEFEUILLE_AUTRE_COMPTABLE[[#This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SUM(PORTEFEUILLE_AUTRE_COMPTABLE[[#This Row],[PCR COMPTABLE €]:[MONTANT
RESPONSABLE RELATION CLIENT €]])-PORTEFEUILLE_AUTRE_COMPTABLE[[#This Row],[MONTANT TOTAL LETTRE DE MISION €]]</f>
        <v>0</v>
      </c>
      <c r="AI15" s="191"/>
      <c r="AJ15" s="188"/>
      <c r="AK15" s="188"/>
      <c r="AL15" s="188"/>
      <c r="AM15" s="188"/>
      <c r="AN15" s="188"/>
      <c r="AO15" s="188"/>
      <c r="AP15" s="188"/>
      <c r="AQ15" s="188"/>
      <c r="AR1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5" s="188" t="str">
        <f>IF(PORTEFEUILLE_AUTRE_COMPTABLE[[#This Row],[BONI AAC]]&lt;&gt;0,1,"")</f>
        <v/>
      </c>
      <c r="AU15" s="188" t="str">
        <f>IF(PORTEFEUILLE_AUTRE_COMPTABLE[[#This Row],[MALI AAC]]&lt;&gt;0,1,"")</f>
        <v/>
      </c>
      <c r="AV15" s="225">
        <f>IF(AP15&lt;&gt;"",IF((AP15*Paramètres!$H$4)-PORTEFEUILLE_AUTRE_COMPTABLE[[#This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€]]-(DELPHINE!AP14*Paramètres!$H$4),0),0)</f>
        <v>0</v>
      </c>
      <c r="AW15" s="225">
        <f>IF(AP15&lt;&gt;"",IF(((AP15*Paramètres!$H$4)-PORTEFEUILLE_AUTRE_COMPTABLE[[#This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5" s="190" t="str">
        <f>IF(PORTEFEUILLE_AUTRE_COMPTABLE[[#This Row],[BONI COMPTABLE]]&lt;&gt;0,1,"")</f>
        <v/>
      </c>
      <c r="AY15" s="190" t="str">
        <f>IF(PORTEFEUILLE_AUTRE_COMPTABLE[[#This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SUM(PORTEFEUILLE_AUTRE_COMPTABLE[[#This Row],[PCR COMPTABLE €]:[MONTANT
RESPONSABLE RELATION CLIENT €]])-PORTEFEUILLE_AUTRE_COMPTABLE[[#This Row],[MONTANT TOTAL LETTRE DE MISION €]]</f>
        <v>0</v>
      </c>
      <c r="AI16" s="191"/>
      <c r="AJ16" s="188"/>
      <c r="AK16" s="188"/>
      <c r="AL16" s="188"/>
      <c r="AM16" s="188"/>
      <c r="AN16" s="188"/>
      <c r="AO16" s="188"/>
      <c r="AP16" s="188"/>
      <c r="AQ16" s="188"/>
      <c r="AR1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6" s="188" t="str">
        <f>IF(PORTEFEUILLE_AUTRE_COMPTABLE[[#This Row],[BONI AAC]]&lt;&gt;0,1,"")</f>
        <v/>
      </c>
      <c r="AU16" s="188" t="str">
        <f>IF(PORTEFEUILLE_AUTRE_COMPTABLE[[#This Row],[MALI AAC]]&lt;&gt;0,1,"")</f>
        <v/>
      </c>
      <c r="AV16" s="225">
        <f>IF(AP16&lt;&gt;"",IF((AP16*Paramètres!$H$4)-PORTEFEUILLE_AUTRE_COMPTABLE[[#This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€]]-(DELPHINE!AP15*Paramètres!$H$4),0),0)</f>
        <v>0</v>
      </c>
      <c r="AW16" s="225">
        <f>IF(AP16&lt;&gt;"",IF(((AP16*Paramètres!$H$4)-PORTEFEUILLE_AUTRE_COMPTABLE[[#This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6" s="190" t="str">
        <f>IF(PORTEFEUILLE_AUTRE_COMPTABLE[[#This Row],[BONI COMPTABLE]]&lt;&gt;0,1,"")</f>
        <v/>
      </c>
      <c r="AY16" s="190" t="str">
        <f>IF(PORTEFEUILLE_AUTRE_COMPTABLE[[#This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SUM(PORTEFEUILLE_AUTRE_COMPTABLE[[#This Row],[PCR COMPTABLE €]:[MONTANT
RESPONSABLE RELATION CLIENT €]])-PORTEFEUILLE_AUTRE_COMPTABLE[[#This Row],[MONTANT TOTAL LETTRE DE MISION €]]</f>
        <v>0</v>
      </c>
      <c r="AI17" s="191"/>
      <c r="AJ17" s="188"/>
      <c r="AK17" s="188"/>
      <c r="AL17" s="188"/>
      <c r="AM17" s="188"/>
      <c r="AN17" s="188"/>
      <c r="AO17" s="188"/>
      <c r="AP17" s="188"/>
      <c r="AQ17" s="188"/>
      <c r="AR1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7" s="188" t="str">
        <f>IF(PORTEFEUILLE_AUTRE_COMPTABLE[[#This Row],[BONI AAC]]&lt;&gt;0,1,"")</f>
        <v/>
      </c>
      <c r="AU17" s="188" t="str">
        <f>IF(PORTEFEUILLE_AUTRE_COMPTABLE[[#This Row],[MALI AAC]]&lt;&gt;0,1,"")</f>
        <v/>
      </c>
      <c r="AV17" s="225">
        <f>IF(AP17&lt;&gt;"",IF((AP17*Paramètres!$H$4)-PORTEFEUILLE_AUTRE_COMPTABLE[[#This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€]]-(DELPHINE!AP16*Paramètres!$H$4),0),0)</f>
        <v>0</v>
      </c>
      <c r="AW17" s="225">
        <f>IF(AP17&lt;&gt;"",IF(((AP17*Paramètres!$H$4)-PORTEFEUILLE_AUTRE_COMPTABLE[[#This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7" s="190" t="str">
        <f>IF(PORTEFEUILLE_AUTRE_COMPTABLE[[#This Row],[BONI COMPTABLE]]&lt;&gt;0,1,"")</f>
        <v/>
      </c>
      <c r="AY17" s="190" t="str">
        <f>IF(PORTEFEUILLE_AUTRE_COMPTABLE[[#This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SUM(PORTEFEUILLE_AUTRE_COMPTABLE[[#This Row],[PCR COMPTABLE €]:[MONTANT
RESPONSABLE RELATION CLIENT €]])-PORTEFEUILLE_AUTRE_COMPTABLE[[#This Row],[MONTANT TOTAL LETTRE DE MISION €]]</f>
        <v>0</v>
      </c>
      <c r="AI18" s="191"/>
      <c r="AJ18" s="188"/>
      <c r="AK18" s="188"/>
      <c r="AL18" s="188"/>
      <c r="AM18" s="188"/>
      <c r="AN18" s="188"/>
      <c r="AO18" s="188"/>
      <c r="AP18" s="188"/>
      <c r="AQ18" s="188"/>
      <c r="AR1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8" s="188" t="str">
        <f>IF(PORTEFEUILLE_AUTRE_COMPTABLE[[#This Row],[BONI AAC]]&lt;&gt;0,1,"")</f>
        <v/>
      </c>
      <c r="AU18" s="188" t="str">
        <f>IF(PORTEFEUILLE_AUTRE_COMPTABLE[[#This Row],[MALI AAC]]&lt;&gt;0,1,"")</f>
        <v/>
      </c>
      <c r="AV18" s="225">
        <f>IF(AP18&lt;&gt;"",IF((AP18*Paramètres!$H$4)-PORTEFEUILLE_AUTRE_COMPTABLE[[#This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€]]-(DELPHINE!AP17*Paramètres!$H$4),0),0)</f>
        <v>0</v>
      </c>
      <c r="AW18" s="225">
        <f>IF(AP18&lt;&gt;"",IF(((AP18*Paramètres!$H$4)-PORTEFEUILLE_AUTRE_COMPTABLE[[#This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8" s="190" t="str">
        <f>IF(PORTEFEUILLE_AUTRE_COMPTABLE[[#This Row],[BONI COMPTABLE]]&lt;&gt;0,1,"")</f>
        <v/>
      </c>
      <c r="AY18" s="190" t="str">
        <f>IF(PORTEFEUILLE_AUTRE_COMPTABLE[[#This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SUM(PORTEFEUILLE_AUTRE_COMPTABLE[[#This Row],[PCR COMPTABLE €]:[MONTANT
RESPONSABLE RELATION CLIENT €]])-PORTEFEUILLE_AUTRE_COMPTABLE[[#This Row],[MONTANT TOTAL LETTRE DE MISION €]]</f>
        <v>0</v>
      </c>
      <c r="AI19" s="191"/>
      <c r="AJ19" s="188"/>
      <c r="AK19" s="188"/>
      <c r="AL19" s="188"/>
      <c r="AM19" s="188"/>
      <c r="AN19" s="188"/>
      <c r="AO19" s="188"/>
      <c r="AP19" s="188"/>
      <c r="AQ19" s="188"/>
      <c r="AR1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9" s="188" t="str">
        <f>IF(PORTEFEUILLE_AUTRE_COMPTABLE[[#This Row],[BONI AAC]]&lt;&gt;0,1,"")</f>
        <v/>
      </c>
      <c r="AU19" s="188" t="str">
        <f>IF(PORTEFEUILLE_AUTRE_COMPTABLE[[#This Row],[MALI AAC]]&lt;&gt;0,1,"")</f>
        <v/>
      </c>
      <c r="AV19" s="225">
        <f>IF(AP19&lt;&gt;"",IF((AP19*Paramètres!$H$4)-PORTEFEUILLE_AUTRE_COMPTABLE[[#This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€]]-(DELPHINE!AP18*Paramètres!$H$4),0),0)</f>
        <v>0</v>
      </c>
      <c r="AW19" s="225">
        <f>IF(AP19&lt;&gt;"",IF(((AP19*Paramètres!$H$4)-PORTEFEUILLE_AUTRE_COMPTABLE[[#This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9" s="190" t="str">
        <f>IF(PORTEFEUILLE_AUTRE_COMPTABLE[[#This Row],[BONI COMPTABLE]]&lt;&gt;0,1,"")</f>
        <v/>
      </c>
      <c r="AY19" s="190" t="str">
        <f>IF(PORTEFEUILLE_AUTRE_COMPTABLE[[#This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SUM(PORTEFEUILLE_AUTRE_COMPTABLE[[#This Row],[PCR COMPTABLE €]:[MONTANT
RESPONSABLE RELATION CLIENT €]])-PORTEFEUILLE_AUTRE_COMPTABLE[[#This Row],[MONTANT TOTAL LETTRE DE MISION €]]</f>
        <v>0</v>
      </c>
      <c r="AI20" s="191"/>
      <c r="AJ20" s="188"/>
      <c r="AK20" s="188"/>
      <c r="AL20" s="188"/>
      <c r="AM20" s="188"/>
      <c r="AN20" s="196"/>
      <c r="AO20" s="196"/>
      <c r="AP20" s="196"/>
      <c r="AQ20" s="196"/>
      <c r="AR2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0" s="188" t="str">
        <f>IF(PORTEFEUILLE_AUTRE_COMPTABLE[[#This Row],[BONI AAC]]&lt;&gt;0,1,"")</f>
        <v/>
      </c>
      <c r="AU20" s="188" t="str">
        <f>IF(PORTEFEUILLE_AUTRE_COMPTABLE[[#This Row],[MALI AAC]]&lt;&gt;0,1,"")</f>
        <v/>
      </c>
      <c r="AV20" s="225">
        <f>IF(AP20&lt;&gt;"",IF((AP20*Paramètres!$H$4)-PORTEFEUILLE_AUTRE_COMPTABLE[[#This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€]]-(DELPHINE!AP19*Paramètres!$H$4),0),0)</f>
        <v>0</v>
      </c>
      <c r="AW20" s="225">
        <f>IF(AP20&lt;&gt;"",IF(((AP20*Paramètres!$H$4)-PORTEFEUILLE_AUTRE_COMPTABLE[[#This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0" s="190" t="str">
        <f>IF(PORTEFEUILLE_AUTRE_COMPTABLE[[#This Row],[BONI COMPTABLE]]&lt;&gt;0,1,"")</f>
        <v/>
      </c>
      <c r="AY20" s="190" t="str">
        <f>IF(PORTEFEUILLE_AUTRE_COMPTABLE[[#This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SUM(PORTEFEUILLE_AUTRE_COMPTABLE[[#This Row],[PCR COMPTABLE €]:[MONTANT
RESPONSABLE RELATION CLIENT €]])-PORTEFEUILLE_AUTRE_COMPTABLE[[#This Row],[MONTANT TOTAL LETTRE DE MISION €]]</f>
        <v>0</v>
      </c>
      <c r="AI21" s="191"/>
      <c r="AJ21" s="188"/>
      <c r="AK21" s="188"/>
      <c r="AL21" s="188"/>
      <c r="AM21" s="188"/>
      <c r="AN21" s="188"/>
      <c r="AO21" s="188"/>
      <c r="AP21" s="188"/>
      <c r="AQ21" s="188"/>
      <c r="AR2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1" s="188" t="str">
        <f>IF(PORTEFEUILLE_AUTRE_COMPTABLE[[#This Row],[BONI AAC]]&lt;&gt;0,1,"")</f>
        <v/>
      </c>
      <c r="AU21" s="188" t="str">
        <f>IF(PORTEFEUILLE_AUTRE_COMPTABLE[[#This Row],[MALI AAC]]&lt;&gt;0,1,"")</f>
        <v/>
      </c>
      <c r="AV21" s="225">
        <f>IF(AP21&lt;&gt;"",IF((AP21*Paramètres!$H$4)-PORTEFEUILLE_AUTRE_COMPTABLE[[#This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€]]-(DELPHINE!AP20*Paramètres!$H$4),0),0)</f>
        <v>0</v>
      </c>
      <c r="AW21" s="225">
        <f>IF(AP21&lt;&gt;"",IF(((AP21*Paramètres!$H$4)-PORTEFEUILLE_AUTRE_COMPTABLE[[#This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1" s="190" t="str">
        <f>IF(PORTEFEUILLE_AUTRE_COMPTABLE[[#This Row],[BONI COMPTABLE]]&lt;&gt;0,1,"")</f>
        <v/>
      </c>
      <c r="AY21" s="190" t="str">
        <f>IF(PORTEFEUILLE_AUTRE_COMPTABLE[[#This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SUM(PORTEFEUILLE_AUTRE_COMPTABLE[[#This Row],[PCR COMPTABLE €]:[MONTANT
RESPONSABLE RELATION CLIENT €]])-PORTEFEUILLE_AUTRE_COMPTABLE[[#This Row],[MONTANT TOTAL LETTRE DE MISION €]]</f>
        <v>0</v>
      </c>
      <c r="AI22" s="191"/>
      <c r="AJ22" s="188"/>
      <c r="AK22" s="188"/>
      <c r="AL22" s="188"/>
      <c r="AM22" s="188"/>
      <c r="AN22" s="197"/>
      <c r="AO22" s="197"/>
      <c r="AP22" s="197"/>
      <c r="AQ22" s="197"/>
      <c r="AR2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2" s="188" t="str">
        <f>IF(PORTEFEUILLE_AUTRE_COMPTABLE[[#This Row],[BONI AAC]]&lt;&gt;0,1,"")</f>
        <v/>
      </c>
      <c r="AU22" s="188" t="str">
        <f>IF(PORTEFEUILLE_AUTRE_COMPTABLE[[#This Row],[MALI AAC]]&lt;&gt;0,1,"")</f>
        <v/>
      </c>
      <c r="AV22" s="225">
        <f>IF(AP22&lt;&gt;"",IF((AP22*Paramètres!$H$4)-PORTEFEUILLE_AUTRE_COMPTABLE[[#This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€]]-(DELPHINE!AP21*Paramètres!$H$4),0),0)</f>
        <v>0</v>
      </c>
      <c r="AW22" s="225">
        <f>IF(AP22&lt;&gt;"",IF(((AP22*Paramètres!$H$4)-PORTEFEUILLE_AUTRE_COMPTABLE[[#This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2" s="190" t="str">
        <f>IF(PORTEFEUILLE_AUTRE_COMPTABLE[[#This Row],[BONI COMPTABLE]]&lt;&gt;0,1,"")</f>
        <v/>
      </c>
      <c r="AY22" s="190" t="str">
        <f>IF(PORTEFEUILLE_AUTRE_COMPTABLE[[#This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SUM(PORTEFEUILLE_AUTRE_COMPTABLE[[#This Row],[PCR COMPTABLE €]:[MONTANT
RESPONSABLE RELATION CLIENT €]])-PORTEFEUILLE_AUTRE_COMPTABLE[[#This Row],[MONTANT TOTAL LETTRE DE MISION €]]</f>
        <v>0</v>
      </c>
      <c r="AI23" s="191"/>
      <c r="AJ23" s="188"/>
      <c r="AK23" s="188"/>
      <c r="AL23" s="188"/>
      <c r="AM23" s="188"/>
      <c r="AN23" s="188"/>
      <c r="AO23" s="188"/>
      <c r="AP23" s="188"/>
      <c r="AQ23" s="188"/>
      <c r="AR2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3" s="188" t="str">
        <f>IF(PORTEFEUILLE_AUTRE_COMPTABLE[[#This Row],[BONI AAC]]&lt;&gt;0,1,"")</f>
        <v/>
      </c>
      <c r="AU23" s="188" t="str">
        <f>IF(PORTEFEUILLE_AUTRE_COMPTABLE[[#This Row],[MALI AAC]]&lt;&gt;0,1,"")</f>
        <v/>
      </c>
      <c r="AV23" s="225">
        <f>IF(AP23&lt;&gt;"",IF((AP23*Paramètres!$H$4)-PORTEFEUILLE_AUTRE_COMPTABLE[[#This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€]]-(DELPHINE!AP22*Paramètres!$H$4),0),0)</f>
        <v>0</v>
      </c>
      <c r="AW23" s="225">
        <f>IF(AP23&lt;&gt;"",IF(((AP23*Paramètres!$H$4)-PORTEFEUILLE_AUTRE_COMPTABLE[[#This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3" s="190" t="str">
        <f>IF(PORTEFEUILLE_AUTRE_COMPTABLE[[#This Row],[BONI COMPTABLE]]&lt;&gt;0,1,"")</f>
        <v/>
      </c>
      <c r="AY23" s="190" t="str">
        <f>IF(PORTEFEUILLE_AUTRE_COMPTABLE[[#This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SUM(PORTEFEUILLE_AUTRE_COMPTABLE[[#This Row],[PCR COMPTABLE €]:[MONTANT
RESPONSABLE RELATION CLIENT €]])-PORTEFEUILLE_AUTRE_COMPTABLE[[#This Row],[MONTANT TOTAL LETTRE DE MISION €]]</f>
        <v>0</v>
      </c>
      <c r="AI24" s="191"/>
      <c r="AJ24" s="188"/>
      <c r="AK24" s="188"/>
      <c r="AL24" s="188"/>
      <c r="AM24" s="188"/>
      <c r="AN24" s="196"/>
      <c r="AO24" s="196"/>
      <c r="AP24" s="196"/>
      <c r="AQ24" s="196"/>
      <c r="AR2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4" s="188" t="str">
        <f>IF(PORTEFEUILLE_AUTRE_COMPTABLE[[#This Row],[BONI AAC]]&lt;&gt;0,1,"")</f>
        <v/>
      </c>
      <c r="AU24" s="188" t="str">
        <f>IF(PORTEFEUILLE_AUTRE_COMPTABLE[[#This Row],[MALI AAC]]&lt;&gt;0,1,"")</f>
        <v/>
      </c>
      <c r="AV24" s="225">
        <f>IF(AP24&lt;&gt;"",IF((AP24*Paramètres!$H$4)-PORTEFEUILLE_AUTRE_COMPTABLE[[#This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€]]-(DELPHINE!AP23*Paramètres!$H$4),0),0)</f>
        <v>0</v>
      </c>
      <c r="AW24" s="225">
        <f>IF(AP24&lt;&gt;"",IF(((AP24*Paramètres!$H$4)-PORTEFEUILLE_AUTRE_COMPTABLE[[#This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4" s="190" t="str">
        <f>IF(PORTEFEUILLE_AUTRE_COMPTABLE[[#This Row],[BONI COMPTABLE]]&lt;&gt;0,1,"")</f>
        <v/>
      </c>
      <c r="AY24" s="190" t="str">
        <f>IF(PORTEFEUILLE_AUTRE_COMPTABLE[[#This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SUM(PORTEFEUILLE_AUTRE_COMPTABLE[[#This Row],[PCR COMPTABLE €]:[MONTANT
RESPONSABLE RELATION CLIENT €]])-PORTEFEUILLE_AUTRE_COMPTABLE[[#This Row],[MONTANT TOTAL LETTRE DE MISION €]]</f>
        <v>0</v>
      </c>
      <c r="AI25" s="191"/>
      <c r="AJ25" s="188"/>
      <c r="AK25" s="188"/>
      <c r="AL25" s="188"/>
      <c r="AM25" s="188"/>
      <c r="AN25" s="196"/>
      <c r="AO25" s="196"/>
      <c r="AP25" s="196"/>
      <c r="AQ25" s="196"/>
      <c r="AR2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5" s="188" t="str">
        <f>IF(PORTEFEUILLE_AUTRE_COMPTABLE[[#This Row],[BONI AAC]]&lt;&gt;0,1,"")</f>
        <v/>
      </c>
      <c r="AU25" s="188" t="str">
        <f>IF(PORTEFEUILLE_AUTRE_COMPTABLE[[#This Row],[MALI AAC]]&lt;&gt;0,1,"")</f>
        <v/>
      </c>
      <c r="AV25" s="225">
        <f>IF(AP25&lt;&gt;"",IF((AP25*Paramètres!$H$4)-PORTEFEUILLE_AUTRE_COMPTABLE[[#This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€]]-(DELPHINE!AP24*Paramètres!$H$4),0),0)</f>
        <v>0</v>
      </c>
      <c r="AW25" s="225">
        <f>IF(AP25&lt;&gt;"",IF(((AP25*Paramètres!$H$4)-PORTEFEUILLE_AUTRE_COMPTABLE[[#This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5" s="190" t="str">
        <f>IF(PORTEFEUILLE_AUTRE_COMPTABLE[[#This Row],[BONI COMPTABLE]]&lt;&gt;0,1,"")</f>
        <v/>
      </c>
      <c r="AY25" s="190" t="str">
        <f>IF(PORTEFEUILLE_AUTRE_COMPTABLE[[#This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SUM(PORTEFEUILLE_AUTRE_COMPTABLE[[#This Row],[PCR COMPTABLE €]:[MONTANT
RESPONSABLE RELATION CLIENT €]])-PORTEFEUILLE_AUTRE_COMPTABLE[[#This Row],[MONTANT TOTAL LETTRE DE MISION €]]</f>
        <v>0</v>
      </c>
      <c r="AI26" s="191"/>
      <c r="AJ26" s="188"/>
      <c r="AK26" s="188"/>
      <c r="AL26" s="188"/>
      <c r="AM26" s="188"/>
      <c r="AN26" s="196"/>
      <c r="AO26" s="196"/>
      <c r="AP26" s="196"/>
      <c r="AQ26" s="196"/>
      <c r="AR2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6" s="188" t="str">
        <f>IF(PORTEFEUILLE_AUTRE_COMPTABLE[[#This Row],[BONI AAC]]&lt;&gt;0,1,"")</f>
        <v/>
      </c>
      <c r="AU26" s="188" t="str">
        <f>IF(PORTEFEUILLE_AUTRE_COMPTABLE[[#This Row],[MALI AAC]]&lt;&gt;0,1,"")</f>
        <v/>
      </c>
      <c r="AV26" s="225">
        <f>IF(AP26&lt;&gt;"",IF((AP26*Paramètres!$H$4)-PORTEFEUILLE_AUTRE_COMPTABLE[[#This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€]]-(DELPHINE!AP25*Paramètres!$H$4),0),0)</f>
        <v>0</v>
      </c>
      <c r="AW26" s="225">
        <f>IF(AP26&lt;&gt;"",IF(((AP26*Paramètres!$H$4)-PORTEFEUILLE_AUTRE_COMPTABLE[[#This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6" s="190" t="str">
        <f>IF(PORTEFEUILLE_AUTRE_COMPTABLE[[#This Row],[BONI COMPTABLE]]&lt;&gt;0,1,"")</f>
        <v/>
      </c>
      <c r="AY26" s="190" t="str">
        <f>IF(PORTEFEUILLE_AUTRE_COMPTABLE[[#This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SUM(PORTEFEUILLE_AUTRE_COMPTABLE[[#This Row],[PCR COMPTABLE €]:[MONTANT
RESPONSABLE RELATION CLIENT €]])-PORTEFEUILLE_AUTRE_COMPTABLE[[#This Row],[MONTANT TOTAL LETTRE DE MISION €]]</f>
        <v>0</v>
      </c>
      <c r="AI27" s="191"/>
      <c r="AJ27" s="188"/>
      <c r="AK27" s="188"/>
      <c r="AL27" s="188"/>
      <c r="AM27" s="188"/>
      <c r="AN27" s="196"/>
      <c r="AO27" s="196"/>
      <c r="AP27" s="196"/>
      <c r="AQ27" s="196"/>
      <c r="AR2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7" s="188" t="str">
        <f>IF(PORTEFEUILLE_AUTRE_COMPTABLE[[#This Row],[BONI AAC]]&lt;&gt;0,1,"")</f>
        <v/>
      </c>
      <c r="AU27" s="188" t="str">
        <f>IF(PORTEFEUILLE_AUTRE_COMPTABLE[[#This Row],[MALI AAC]]&lt;&gt;0,1,"")</f>
        <v/>
      </c>
      <c r="AV27" s="225">
        <f>IF(AP27&lt;&gt;"",IF((AP27*Paramètres!$H$4)-PORTEFEUILLE_AUTRE_COMPTABLE[[#This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€]]-(DELPHINE!AP26*Paramètres!$H$4),0),0)</f>
        <v>0</v>
      </c>
      <c r="AW27" s="225">
        <f>IF(AP27&lt;&gt;"",IF(((AP27*Paramètres!$H$4)-PORTEFEUILLE_AUTRE_COMPTABLE[[#This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7" s="190" t="str">
        <f>IF(PORTEFEUILLE_AUTRE_COMPTABLE[[#This Row],[BONI COMPTABLE]]&lt;&gt;0,1,"")</f>
        <v/>
      </c>
      <c r="AY27" s="190" t="str">
        <f>IF(PORTEFEUILLE_AUTRE_COMPTABLE[[#This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SUM(PORTEFEUILLE_AUTRE_COMPTABLE[[#This Row],[PCR COMPTABLE €]:[MONTANT
RESPONSABLE RELATION CLIENT €]])-PORTEFEUILLE_AUTRE_COMPTABLE[[#This Row],[MONTANT TOTAL LETTRE DE MISION €]]</f>
        <v>0</v>
      </c>
      <c r="AI28" s="191"/>
      <c r="AJ28" s="188"/>
      <c r="AK28" s="188"/>
      <c r="AL28" s="188"/>
      <c r="AM28" s="188"/>
      <c r="AN28" s="188"/>
      <c r="AO28" s="188"/>
      <c r="AP28" s="188"/>
      <c r="AQ28" s="188"/>
      <c r="AR2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8" s="188" t="str">
        <f>IF(PORTEFEUILLE_AUTRE_COMPTABLE[[#This Row],[BONI AAC]]&lt;&gt;0,1,"")</f>
        <v/>
      </c>
      <c r="AU28" s="188" t="str">
        <f>IF(PORTEFEUILLE_AUTRE_COMPTABLE[[#This Row],[MALI AAC]]&lt;&gt;0,1,"")</f>
        <v/>
      </c>
      <c r="AV28" s="225">
        <f>IF(AP28&lt;&gt;"",IF((AP28*Paramètres!$H$4)-PORTEFEUILLE_AUTRE_COMPTABLE[[#This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€]]-(DELPHINE!AP27*Paramètres!$H$4),0),0)</f>
        <v>0</v>
      </c>
      <c r="AW28" s="225">
        <f>IF(AP28&lt;&gt;"",IF(((AP28*Paramètres!$H$4)-PORTEFEUILLE_AUTRE_COMPTABLE[[#This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8" s="190" t="str">
        <f>IF(PORTEFEUILLE_AUTRE_COMPTABLE[[#This Row],[BONI COMPTABLE]]&lt;&gt;0,1,"")</f>
        <v/>
      </c>
      <c r="AY28" s="190" t="str">
        <f>IF(PORTEFEUILLE_AUTRE_COMPTABLE[[#This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SUM(PORTEFEUILLE_AUTRE_COMPTABLE[[#This Row],[PCR COMPTABLE €]:[MONTANT
RESPONSABLE RELATION CLIENT €]])-PORTEFEUILLE_AUTRE_COMPTABLE[[#This Row],[MONTANT TOTAL LETTRE DE MISION €]]</f>
        <v>0</v>
      </c>
      <c r="AI29" s="191"/>
      <c r="AJ29" s="188"/>
      <c r="AK29" s="188"/>
      <c r="AL29" s="188"/>
      <c r="AM29" s="188"/>
      <c r="AN29" s="188"/>
      <c r="AO29" s="188"/>
      <c r="AP29" s="188"/>
      <c r="AQ29" s="188"/>
      <c r="AR2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9" s="188" t="str">
        <f>IF(PORTEFEUILLE_AUTRE_COMPTABLE[[#This Row],[BONI AAC]]&lt;&gt;0,1,"")</f>
        <v/>
      </c>
      <c r="AU29" s="188" t="str">
        <f>IF(PORTEFEUILLE_AUTRE_COMPTABLE[[#This Row],[MALI AAC]]&lt;&gt;0,1,"")</f>
        <v/>
      </c>
      <c r="AV29" s="225">
        <f>IF(AP29&lt;&gt;"",IF((AP29*Paramètres!$H$4)-PORTEFEUILLE_AUTRE_COMPTABLE[[#This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€]]-(DELPHINE!AP28*Paramètres!$H$4),0),0)</f>
        <v>0</v>
      </c>
      <c r="AW29" s="225">
        <f>IF(AP29&lt;&gt;"",IF(((AP29*Paramètres!$H$4)-PORTEFEUILLE_AUTRE_COMPTABLE[[#This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9" s="190" t="str">
        <f>IF(PORTEFEUILLE_AUTRE_COMPTABLE[[#This Row],[BONI COMPTABLE]]&lt;&gt;0,1,"")</f>
        <v/>
      </c>
      <c r="AY29" s="190" t="str">
        <f>IF(PORTEFEUILLE_AUTRE_COMPTABLE[[#This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SUM(PORTEFEUILLE_AUTRE_COMPTABLE[[#This Row],[PCR COMPTABLE €]:[MONTANT
RESPONSABLE RELATION CLIENT €]])-PORTEFEUILLE_AUTRE_COMPTABLE[[#This Row],[MONTANT TOTAL LETTRE DE MISION €]]</f>
        <v>0</v>
      </c>
      <c r="AI30" s="191"/>
      <c r="AJ30" s="188"/>
      <c r="AK30" s="188"/>
      <c r="AL30" s="188"/>
      <c r="AM30" s="188"/>
      <c r="AN30" s="188"/>
      <c r="AO30" s="188"/>
      <c r="AP30" s="188"/>
      <c r="AQ30" s="188"/>
      <c r="AR3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0" s="188" t="str">
        <f>IF(PORTEFEUILLE_AUTRE_COMPTABLE[[#This Row],[BONI AAC]]&lt;&gt;0,1,"")</f>
        <v/>
      </c>
      <c r="AU30" s="188" t="str">
        <f>IF(PORTEFEUILLE_AUTRE_COMPTABLE[[#This Row],[MALI AAC]]&lt;&gt;0,1,"")</f>
        <v/>
      </c>
      <c r="AV30" s="225">
        <f>IF(AP30&lt;&gt;"",IF((AP30*Paramètres!$H$4)-PORTEFEUILLE_AUTRE_COMPTABLE[[#This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€]]-(DELPHINE!AP29*Paramètres!$H$4),0),0)</f>
        <v>0</v>
      </c>
      <c r="AW30" s="225">
        <f>IF(AP30&lt;&gt;"",IF(((AP30*Paramètres!$H$4)-PORTEFEUILLE_AUTRE_COMPTABLE[[#This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0" s="190" t="str">
        <f>IF(PORTEFEUILLE_AUTRE_COMPTABLE[[#This Row],[BONI COMPTABLE]]&lt;&gt;0,1,"")</f>
        <v/>
      </c>
      <c r="AY30" s="190" t="str">
        <f>IF(PORTEFEUILLE_AUTRE_COMPTABLE[[#This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SUM(PORTEFEUILLE_AUTRE_COMPTABLE[[#This Row],[PCR COMPTABLE €]:[MONTANT
RESPONSABLE RELATION CLIENT €]])-PORTEFEUILLE_AUTRE_COMPTABLE[[#This Row],[MONTANT TOTAL LETTRE DE MISION €]]</f>
        <v>0</v>
      </c>
      <c r="AI31" s="191"/>
      <c r="AJ31" s="188"/>
      <c r="AK31" s="188"/>
      <c r="AL31" s="188"/>
      <c r="AM31" s="188"/>
      <c r="AN31" s="188"/>
      <c r="AO31" s="188"/>
      <c r="AP31" s="188"/>
      <c r="AQ31" s="188"/>
      <c r="AR3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1" s="188" t="str">
        <f>IF(PORTEFEUILLE_AUTRE_COMPTABLE[[#This Row],[BONI AAC]]&lt;&gt;0,1,"")</f>
        <v/>
      </c>
      <c r="AU31" s="188" t="str">
        <f>IF(PORTEFEUILLE_AUTRE_COMPTABLE[[#This Row],[MALI AAC]]&lt;&gt;0,1,"")</f>
        <v/>
      </c>
      <c r="AV31" s="225">
        <f>IF(AP31&lt;&gt;"",IF((AP31*Paramètres!$H$4)-PORTEFEUILLE_AUTRE_COMPTABLE[[#This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€]]-(DELPHINE!AP30*Paramètres!$H$4),0),0)</f>
        <v>0</v>
      </c>
      <c r="AW31" s="225">
        <f>IF(AP31&lt;&gt;"",IF(((AP31*Paramètres!$H$4)-PORTEFEUILLE_AUTRE_COMPTABLE[[#This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1" s="190" t="str">
        <f>IF(PORTEFEUILLE_AUTRE_COMPTABLE[[#This Row],[BONI COMPTABLE]]&lt;&gt;0,1,"")</f>
        <v/>
      </c>
      <c r="AY31" s="190" t="str">
        <f>IF(PORTEFEUILLE_AUTRE_COMPTABLE[[#This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SUM(PORTEFEUILLE_AUTRE_COMPTABLE[[#This Row],[PCR COMPTABLE €]:[MONTANT
RESPONSABLE RELATION CLIENT €]])-PORTEFEUILLE_AUTRE_COMPTABLE[[#This Row],[MONTANT TOTAL LETTRE DE MISION €]]</f>
        <v>0</v>
      </c>
      <c r="AI32" s="191"/>
      <c r="AJ32" s="188"/>
      <c r="AK32" s="188"/>
      <c r="AL32" s="188"/>
      <c r="AM32" s="188"/>
      <c r="AN32" s="188"/>
      <c r="AO32" s="188"/>
      <c r="AP32" s="188"/>
      <c r="AQ32" s="188"/>
      <c r="AR3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2" s="188" t="str">
        <f>IF(PORTEFEUILLE_AUTRE_COMPTABLE[[#This Row],[BONI AAC]]&lt;&gt;0,1,"")</f>
        <v/>
      </c>
      <c r="AU32" s="188" t="str">
        <f>IF(PORTEFEUILLE_AUTRE_COMPTABLE[[#This Row],[MALI AAC]]&lt;&gt;0,1,"")</f>
        <v/>
      </c>
      <c r="AV32" s="225">
        <f>IF(AP32&lt;&gt;"",IF((AP32*Paramètres!$H$4)-PORTEFEUILLE_AUTRE_COMPTABLE[[#This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€]]-(DELPHINE!AP31*Paramètres!$H$4),0),0)</f>
        <v>0</v>
      </c>
      <c r="AW32" s="225">
        <f>IF(AP32&lt;&gt;"",IF(((AP32*Paramètres!$H$4)-PORTEFEUILLE_AUTRE_COMPTABLE[[#This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2" s="190" t="str">
        <f>IF(PORTEFEUILLE_AUTRE_COMPTABLE[[#This Row],[BONI COMPTABLE]]&lt;&gt;0,1,"")</f>
        <v/>
      </c>
      <c r="AY32" s="190" t="str">
        <f>IF(PORTEFEUILLE_AUTRE_COMPTABLE[[#This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SUM(PORTEFEUILLE_AUTRE_COMPTABLE[[#This Row],[PCR COMPTABLE €]:[MONTANT
RESPONSABLE RELATION CLIENT €]])-PORTEFEUILLE_AUTRE_COMPTABLE[[#This Row],[MONTANT TOTAL LETTRE DE MISION €]]</f>
        <v>0</v>
      </c>
      <c r="AI33" s="191"/>
      <c r="AJ33" s="188"/>
      <c r="AK33" s="188"/>
      <c r="AL33" s="188"/>
      <c r="AM33" s="188"/>
      <c r="AN33" s="196"/>
      <c r="AO33" s="196"/>
      <c r="AP33" s="196"/>
      <c r="AQ33" s="196"/>
      <c r="AR3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3" s="188" t="str">
        <f>IF(PORTEFEUILLE_AUTRE_COMPTABLE[[#This Row],[BONI AAC]]&lt;&gt;0,1,"")</f>
        <v/>
      </c>
      <c r="AU33" s="188" t="str">
        <f>IF(PORTEFEUILLE_AUTRE_COMPTABLE[[#This Row],[MALI AAC]]&lt;&gt;0,1,"")</f>
        <v/>
      </c>
      <c r="AV33" s="225">
        <f>IF(AP33&lt;&gt;"",IF((AP33*Paramètres!$H$4)-PORTEFEUILLE_AUTRE_COMPTABLE[[#This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€]]-(DELPHINE!AP32*Paramètres!$H$4),0),0)</f>
        <v>0</v>
      </c>
      <c r="AW33" s="225">
        <f>IF(AP33&lt;&gt;"",IF(((AP33*Paramètres!$H$4)-PORTEFEUILLE_AUTRE_COMPTABLE[[#This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3" s="190" t="str">
        <f>IF(PORTEFEUILLE_AUTRE_COMPTABLE[[#This Row],[BONI COMPTABLE]]&lt;&gt;0,1,"")</f>
        <v/>
      </c>
      <c r="AY33" s="190" t="str">
        <f>IF(PORTEFEUILLE_AUTRE_COMPTABLE[[#This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SUM(PORTEFEUILLE_AUTRE_COMPTABLE[[#This Row],[PCR COMPTABLE €]:[MONTANT
RESPONSABLE RELATION CLIENT €]])-PORTEFEUILLE_AUTRE_COMPTABLE[[#This Row],[MONTANT TOTAL LETTRE DE MISION €]]</f>
        <v>0</v>
      </c>
      <c r="AI34" s="191"/>
      <c r="AJ34" s="188"/>
      <c r="AK34" s="188"/>
      <c r="AL34" s="188"/>
      <c r="AM34" s="188"/>
      <c r="AN34" s="196"/>
      <c r="AO34" s="196"/>
      <c r="AP34" s="196"/>
      <c r="AQ34" s="196"/>
      <c r="AR3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4" s="188" t="str">
        <f>IF(PORTEFEUILLE_AUTRE_COMPTABLE[[#This Row],[BONI AAC]]&lt;&gt;0,1,"")</f>
        <v/>
      </c>
      <c r="AU34" s="188" t="str">
        <f>IF(PORTEFEUILLE_AUTRE_COMPTABLE[[#This Row],[MALI AAC]]&lt;&gt;0,1,"")</f>
        <v/>
      </c>
      <c r="AV34" s="225">
        <f>IF(AP34&lt;&gt;"",IF((AP34*Paramètres!$H$4)-PORTEFEUILLE_AUTRE_COMPTABLE[[#This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€]]-(DELPHINE!AP33*Paramètres!$H$4),0),0)</f>
        <v>0</v>
      </c>
      <c r="AW34" s="225">
        <f>IF(AP34&lt;&gt;"",IF(((AP34*Paramètres!$H$4)-PORTEFEUILLE_AUTRE_COMPTABLE[[#This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4" s="190" t="str">
        <f>IF(PORTEFEUILLE_AUTRE_COMPTABLE[[#This Row],[BONI COMPTABLE]]&lt;&gt;0,1,"")</f>
        <v/>
      </c>
      <c r="AY34" s="190" t="str">
        <f>IF(PORTEFEUILLE_AUTRE_COMPTABLE[[#This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SUM(PORTEFEUILLE_AUTRE_COMPTABLE[[#This Row],[PCR COMPTABLE €]:[MONTANT
RESPONSABLE RELATION CLIENT €]])-PORTEFEUILLE_AUTRE_COMPTABLE[[#This Row],[MONTANT TOTAL LETTRE DE MISION €]]</f>
        <v>0</v>
      </c>
      <c r="AI35" s="191"/>
      <c r="AJ35" s="188"/>
      <c r="AK35" s="188"/>
      <c r="AL35" s="188"/>
      <c r="AM35" s="188"/>
      <c r="AN35" s="188"/>
      <c r="AO35" s="188"/>
      <c r="AP35" s="188"/>
      <c r="AQ35" s="188"/>
      <c r="AR3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5" s="188" t="str">
        <f>IF(PORTEFEUILLE_AUTRE_COMPTABLE[[#This Row],[BONI AAC]]&lt;&gt;0,1,"")</f>
        <v/>
      </c>
      <c r="AU35" s="188" t="str">
        <f>IF(PORTEFEUILLE_AUTRE_COMPTABLE[[#This Row],[MALI AAC]]&lt;&gt;0,1,"")</f>
        <v/>
      </c>
      <c r="AV35" s="225">
        <f>IF(AP35&lt;&gt;"",IF((AP35*Paramètres!$H$4)-PORTEFEUILLE_AUTRE_COMPTABLE[[#This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€]]-(DELPHINE!AP34*Paramètres!$H$4),0),0)</f>
        <v>0</v>
      </c>
      <c r="AW35" s="225">
        <f>IF(AP35&lt;&gt;"",IF(((AP35*Paramètres!$H$4)-PORTEFEUILLE_AUTRE_COMPTABLE[[#This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5" s="190" t="str">
        <f>IF(PORTEFEUILLE_AUTRE_COMPTABLE[[#This Row],[BONI COMPTABLE]]&lt;&gt;0,1,"")</f>
        <v/>
      </c>
      <c r="AY35" s="190" t="str">
        <f>IF(PORTEFEUILLE_AUTRE_COMPTABLE[[#This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SUM(PORTEFEUILLE_AUTRE_COMPTABLE[[#This Row],[PCR COMPTABLE €]:[MONTANT
RESPONSABLE RELATION CLIENT €]])-PORTEFEUILLE_AUTRE_COMPTABLE[[#This Row],[MONTANT TOTAL LETTRE DE MISION €]]</f>
        <v>0</v>
      </c>
      <c r="AI36" s="191"/>
      <c r="AJ36" s="188"/>
      <c r="AK36" s="188"/>
      <c r="AL36" s="188"/>
      <c r="AM36" s="188"/>
      <c r="AN36" s="188"/>
      <c r="AO36" s="188"/>
      <c r="AP36" s="188"/>
      <c r="AQ36" s="188"/>
      <c r="AR3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6" s="188" t="str">
        <f>IF(PORTEFEUILLE_AUTRE_COMPTABLE[[#This Row],[BONI AAC]]&lt;&gt;0,1,"")</f>
        <v/>
      </c>
      <c r="AU36" s="188" t="str">
        <f>IF(PORTEFEUILLE_AUTRE_COMPTABLE[[#This Row],[MALI AAC]]&lt;&gt;0,1,"")</f>
        <v/>
      </c>
      <c r="AV36" s="225">
        <f>IF(AP36&lt;&gt;"",IF((AP36*Paramètres!$H$4)-PORTEFEUILLE_AUTRE_COMPTABLE[[#This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€]]-(DELPHINE!AP35*Paramètres!$H$4),0),0)</f>
        <v>0</v>
      </c>
      <c r="AW36" s="225">
        <f>IF(AP36&lt;&gt;"",IF(((AP36*Paramètres!$H$4)-PORTEFEUILLE_AUTRE_COMPTABLE[[#This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6" s="190" t="str">
        <f>IF(PORTEFEUILLE_AUTRE_COMPTABLE[[#This Row],[BONI COMPTABLE]]&lt;&gt;0,1,"")</f>
        <v/>
      </c>
      <c r="AY36" s="190" t="str">
        <f>IF(PORTEFEUILLE_AUTRE_COMPTABLE[[#This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SUM(PORTEFEUILLE_AUTRE_COMPTABLE[[#This Row],[PCR COMPTABLE €]:[MONTANT
RESPONSABLE RELATION CLIENT €]])-PORTEFEUILLE_AUTRE_COMPTABLE[[#This Row],[MONTANT TOTAL LETTRE DE MISION €]]</f>
        <v>0</v>
      </c>
      <c r="AI37" s="191"/>
      <c r="AJ37" s="188"/>
      <c r="AK37" s="188"/>
      <c r="AL37" s="188"/>
      <c r="AM37" s="188"/>
      <c r="AN37" s="188"/>
      <c r="AO37" s="188"/>
      <c r="AP37" s="188"/>
      <c r="AQ37" s="188"/>
      <c r="AR3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7" s="188" t="str">
        <f>IF(PORTEFEUILLE_AUTRE_COMPTABLE[[#This Row],[BONI AAC]]&lt;&gt;0,1,"")</f>
        <v/>
      </c>
      <c r="AU37" s="188" t="str">
        <f>IF(PORTEFEUILLE_AUTRE_COMPTABLE[[#This Row],[MALI AAC]]&lt;&gt;0,1,"")</f>
        <v/>
      </c>
      <c r="AV37" s="225">
        <f>IF(AP37&lt;&gt;"",IF((AP37*Paramètres!$H$4)-PORTEFEUILLE_AUTRE_COMPTABLE[[#This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€]]-(DELPHINE!AP36*Paramètres!$H$4),0),0)</f>
        <v>0</v>
      </c>
      <c r="AW37" s="225">
        <f>IF(AP37&lt;&gt;"",IF(((AP37*Paramètres!$H$4)-PORTEFEUILLE_AUTRE_COMPTABLE[[#This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7" s="190" t="str">
        <f>IF(PORTEFEUILLE_AUTRE_COMPTABLE[[#This Row],[BONI COMPTABLE]]&lt;&gt;0,1,"")</f>
        <v/>
      </c>
      <c r="AY37" s="190" t="str">
        <f>IF(PORTEFEUILLE_AUTRE_COMPTABLE[[#This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SUM(PORTEFEUILLE_AUTRE_COMPTABLE[[#This Row],[PCR COMPTABLE €]:[MONTANT
RESPONSABLE RELATION CLIENT €]])-PORTEFEUILLE_AUTRE_COMPTABLE[[#This Row],[MONTANT TOTAL LETTRE DE MISION €]]</f>
        <v>0</v>
      </c>
      <c r="AI38" s="191"/>
      <c r="AJ38" s="188"/>
      <c r="AK38" s="188"/>
      <c r="AL38" s="188"/>
      <c r="AM38" s="188"/>
      <c r="AN38" s="188"/>
      <c r="AO38" s="188"/>
      <c r="AP38" s="188"/>
      <c r="AQ38" s="188"/>
      <c r="AR3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8" s="188" t="str">
        <f>IF(PORTEFEUILLE_AUTRE_COMPTABLE[[#This Row],[BONI AAC]]&lt;&gt;0,1,"")</f>
        <v/>
      </c>
      <c r="AU38" s="188" t="str">
        <f>IF(PORTEFEUILLE_AUTRE_COMPTABLE[[#This Row],[MALI AAC]]&lt;&gt;0,1,"")</f>
        <v/>
      </c>
      <c r="AV38" s="225">
        <f>IF(AP38&lt;&gt;"",IF((AP38*Paramètres!$H$4)-PORTEFEUILLE_AUTRE_COMPTABLE[[#This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€]]-(DELPHINE!AP37*Paramètres!$H$4),0),0)</f>
        <v>0</v>
      </c>
      <c r="AW38" s="225">
        <f>IF(AP38&lt;&gt;"",IF(((AP38*Paramètres!$H$4)-PORTEFEUILLE_AUTRE_COMPTABLE[[#This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8" s="190" t="str">
        <f>IF(PORTEFEUILLE_AUTRE_COMPTABLE[[#This Row],[BONI COMPTABLE]]&lt;&gt;0,1,"")</f>
        <v/>
      </c>
      <c r="AY38" s="190" t="str">
        <f>IF(PORTEFEUILLE_AUTRE_COMPTABLE[[#This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SUM(PORTEFEUILLE_AUTRE_COMPTABLE[[#This Row],[PCR COMPTABLE €]:[MONTANT
RESPONSABLE RELATION CLIENT €]])-PORTEFEUILLE_AUTRE_COMPTABLE[[#This Row],[MONTANT TOTAL LETTRE DE MISION €]]</f>
        <v>0</v>
      </c>
      <c r="AI39" s="191"/>
      <c r="AJ39" s="188"/>
      <c r="AK39" s="188"/>
      <c r="AL39" s="188"/>
      <c r="AM39" s="188"/>
      <c r="AN39" s="188"/>
      <c r="AO39" s="188"/>
      <c r="AP39" s="188"/>
      <c r="AQ39" s="188"/>
      <c r="AR3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9" s="188" t="str">
        <f>IF(PORTEFEUILLE_AUTRE_COMPTABLE[[#This Row],[BONI AAC]]&lt;&gt;0,1,"")</f>
        <v/>
      </c>
      <c r="AU39" s="188" t="str">
        <f>IF(PORTEFEUILLE_AUTRE_COMPTABLE[[#This Row],[MALI AAC]]&lt;&gt;0,1,"")</f>
        <v/>
      </c>
      <c r="AV39" s="225">
        <f>IF(AP39&lt;&gt;"",IF((AP39*Paramètres!$H$4)-PORTEFEUILLE_AUTRE_COMPTABLE[[#This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€]]-(DELPHINE!AP38*Paramètres!$H$4),0),0)</f>
        <v>0</v>
      </c>
      <c r="AW39" s="225">
        <f>IF(AP39&lt;&gt;"",IF(((AP39*Paramètres!$H$4)-PORTEFEUILLE_AUTRE_COMPTABLE[[#This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9" s="190" t="str">
        <f>IF(PORTEFEUILLE_AUTRE_COMPTABLE[[#This Row],[BONI COMPTABLE]]&lt;&gt;0,1,"")</f>
        <v/>
      </c>
      <c r="AY39" s="190" t="str">
        <f>IF(PORTEFEUILLE_AUTRE_COMPTABLE[[#This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SUM(PORTEFEUILLE_AUTRE_COMPTABLE[[#This Row],[PCR COMPTABLE €]:[MONTANT
RESPONSABLE RELATION CLIENT €]])-PORTEFEUILLE_AUTRE_COMPTABLE[[#This Row],[MONTANT TOTAL LETTRE DE MISION €]]</f>
        <v>0</v>
      </c>
      <c r="AI40" s="191"/>
      <c r="AJ40" s="188"/>
      <c r="AK40" s="188"/>
      <c r="AL40" s="188"/>
      <c r="AM40" s="188"/>
      <c r="AN40" s="188"/>
      <c r="AO40" s="188"/>
      <c r="AP40" s="188"/>
      <c r="AQ40" s="188"/>
      <c r="AR4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0" s="188" t="str">
        <f>IF(PORTEFEUILLE_AUTRE_COMPTABLE[[#This Row],[BONI AAC]]&lt;&gt;0,1,"")</f>
        <v/>
      </c>
      <c r="AU40" s="188" t="str">
        <f>IF(PORTEFEUILLE_AUTRE_COMPTABLE[[#This Row],[MALI AAC]]&lt;&gt;0,1,"")</f>
        <v/>
      </c>
      <c r="AV40" s="225">
        <f>IF(AP40&lt;&gt;"",IF((AP40*Paramètres!$H$4)-PORTEFEUILLE_AUTRE_COMPTABLE[[#This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€]]-(DELPHINE!AP39*Paramètres!$H$4),0),0)</f>
        <v>0</v>
      </c>
      <c r="AW40" s="225">
        <f>IF(AP40&lt;&gt;"",IF(((AP40*Paramètres!$H$4)-PORTEFEUILLE_AUTRE_COMPTABLE[[#This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0" s="190" t="str">
        <f>IF(PORTEFEUILLE_AUTRE_COMPTABLE[[#This Row],[BONI COMPTABLE]]&lt;&gt;0,1,"")</f>
        <v/>
      </c>
      <c r="AY40" s="190" t="str">
        <f>IF(PORTEFEUILLE_AUTRE_COMPTABLE[[#This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SUM(PORTEFEUILLE_AUTRE_COMPTABLE[[#This Row],[PCR COMPTABLE €]:[MONTANT
RESPONSABLE RELATION CLIENT €]])-PORTEFEUILLE_AUTRE_COMPTABLE[[#This Row],[MONTANT TOTAL LETTRE DE MISION €]]</f>
        <v>0</v>
      </c>
      <c r="AI41" s="191"/>
      <c r="AJ41" s="188"/>
      <c r="AK41" s="188"/>
      <c r="AL41" s="188"/>
      <c r="AM41" s="188"/>
      <c r="AN41" s="196"/>
      <c r="AO41" s="196"/>
      <c r="AP41" s="196"/>
      <c r="AQ41" s="196"/>
      <c r="AR4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1" s="188" t="str">
        <f>IF(PORTEFEUILLE_AUTRE_COMPTABLE[[#This Row],[BONI AAC]]&lt;&gt;0,1,"")</f>
        <v/>
      </c>
      <c r="AU41" s="188" t="str">
        <f>IF(PORTEFEUILLE_AUTRE_COMPTABLE[[#This Row],[MALI AAC]]&lt;&gt;0,1,"")</f>
        <v/>
      </c>
      <c r="AV41" s="225">
        <f>IF(AP41&lt;&gt;"",IF((AP41*Paramètres!$H$4)-PORTEFEUILLE_AUTRE_COMPTABLE[[#This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€]]-(DELPHINE!AP40*Paramètres!$H$4),0),0)</f>
        <v>0</v>
      </c>
      <c r="AW41" s="225">
        <f>IF(AP41&lt;&gt;"",IF(((AP41*Paramètres!$H$4)-PORTEFEUILLE_AUTRE_COMPTABLE[[#This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1" s="190" t="str">
        <f>IF(PORTEFEUILLE_AUTRE_COMPTABLE[[#This Row],[BONI COMPTABLE]]&lt;&gt;0,1,"")</f>
        <v/>
      </c>
      <c r="AY41" s="190" t="str">
        <f>IF(PORTEFEUILLE_AUTRE_COMPTABLE[[#This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SUM(PORTEFEUILLE_AUTRE_COMPTABLE[[#This Row],[PCR COMPTABLE €]:[MONTANT
RESPONSABLE RELATION CLIENT €]])-PORTEFEUILLE_AUTRE_COMPTABLE[[#This Row],[MONTANT TOTAL LETTRE DE MISION €]]</f>
        <v>0</v>
      </c>
      <c r="AI42" s="191"/>
      <c r="AJ42" s="188"/>
      <c r="AK42" s="188"/>
      <c r="AL42" s="188"/>
      <c r="AM42" s="188"/>
      <c r="AN42" s="196"/>
      <c r="AO42" s="196"/>
      <c r="AP42" s="196"/>
      <c r="AQ42" s="196"/>
      <c r="AR4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2" s="188" t="str">
        <f>IF(PORTEFEUILLE_AUTRE_COMPTABLE[[#This Row],[BONI AAC]]&lt;&gt;0,1,"")</f>
        <v/>
      </c>
      <c r="AU42" s="188" t="str">
        <f>IF(PORTEFEUILLE_AUTRE_COMPTABLE[[#This Row],[MALI AAC]]&lt;&gt;0,1,"")</f>
        <v/>
      </c>
      <c r="AV42" s="225">
        <f>IF(AP42&lt;&gt;"",IF((AP42*Paramètres!$H$4)-PORTEFEUILLE_AUTRE_COMPTABLE[[#This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€]]-(DELPHINE!AP41*Paramètres!$H$4),0),0)</f>
        <v>0</v>
      </c>
      <c r="AW42" s="225">
        <f>IF(AP42&lt;&gt;"",IF(((AP42*Paramètres!$H$4)-PORTEFEUILLE_AUTRE_COMPTABLE[[#This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2" s="190" t="str">
        <f>IF(PORTEFEUILLE_AUTRE_COMPTABLE[[#This Row],[BONI COMPTABLE]]&lt;&gt;0,1,"")</f>
        <v/>
      </c>
      <c r="AY42" s="190" t="str">
        <f>IF(PORTEFEUILLE_AUTRE_COMPTABLE[[#This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SUM(PORTEFEUILLE_AUTRE_COMPTABLE[[#This Row],[PCR COMPTABLE €]:[MONTANT
RESPONSABLE RELATION CLIENT €]])-PORTEFEUILLE_AUTRE_COMPTABLE[[#This Row],[MONTANT TOTAL LETTRE DE MISION €]]</f>
        <v>0</v>
      </c>
      <c r="AI43" s="191"/>
      <c r="AJ43" s="188"/>
      <c r="AK43" s="188"/>
      <c r="AL43" s="188"/>
      <c r="AM43" s="188"/>
      <c r="AN43" s="188"/>
      <c r="AO43" s="188"/>
      <c r="AP43" s="188"/>
      <c r="AQ43" s="188"/>
      <c r="AR4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3" s="188" t="str">
        <f>IF(PORTEFEUILLE_AUTRE_COMPTABLE[[#This Row],[BONI AAC]]&lt;&gt;0,1,"")</f>
        <v/>
      </c>
      <c r="AU43" s="188" t="str">
        <f>IF(PORTEFEUILLE_AUTRE_COMPTABLE[[#This Row],[MALI AAC]]&lt;&gt;0,1,"")</f>
        <v/>
      </c>
      <c r="AV43" s="225">
        <f>IF(AP43&lt;&gt;"",IF((AP43*Paramètres!$H$4)-PORTEFEUILLE_AUTRE_COMPTABLE[[#This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€]]-(DELPHINE!AP42*Paramètres!$H$4),0),0)</f>
        <v>0</v>
      </c>
      <c r="AW43" s="225">
        <f>IF(AP43&lt;&gt;"",IF(((AP43*Paramètres!$H$4)-PORTEFEUILLE_AUTRE_COMPTABLE[[#This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3" s="190" t="str">
        <f>IF(PORTEFEUILLE_AUTRE_COMPTABLE[[#This Row],[BONI COMPTABLE]]&lt;&gt;0,1,"")</f>
        <v/>
      </c>
      <c r="AY43" s="190" t="str">
        <f>IF(PORTEFEUILLE_AUTRE_COMPTABLE[[#This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SUM(PORTEFEUILLE_AUTRE_COMPTABLE[[#This Row],[PCR COMPTABLE €]:[MONTANT
RESPONSABLE RELATION CLIENT €]])-PORTEFEUILLE_AUTRE_COMPTABLE[[#This Row],[MONTANT TOTAL LETTRE DE MISION €]]</f>
        <v>0</v>
      </c>
      <c r="AI44" s="191"/>
      <c r="AJ44" s="188"/>
      <c r="AK44" s="188"/>
      <c r="AL44" s="188"/>
      <c r="AM44" s="188"/>
      <c r="AN44" s="188"/>
      <c r="AO44" s="188"/>
      <c r="AP44" s="188"/>
      <c r="AQ44" s="188"/>
      <c r="AR4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4" s="188" t="str">
        <f>IF(PORTEFEUILLE_AUTRE_COMPTABLE[[#This Row],[BONI AAC]]&lt;&gt;0,1,"")</f>
        <v/>
      </c>
      <c r="AU44" s="188" t="str">
        <f>IF(PORTEFEUILLE_AUTRE_COMPTABLE[[#This Row],[MALI AAC]]&lt;&gt;0,1,"")</f>
        <v/>
      </c>
      <c r="AV44" s="225">
        <f>IF(AP44&lt;&gt;"",IF((AP44*Paramètres!$H$4)-PORTEFEUILLE_AUTRE_COMPTABLE[[#This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€]]-(DELPHINE!AP43*Paramètres!$H$4),0),0)</f>
        <v>0</v>
      </c>
      <c r="AW44" s="225">
        <f>IF(AP44&lt;&gt;"",IF(((AP44*Paramètres!$H$4)-PORTEFEUILLE_AUTRE_COMPTABLE[[#This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4" s="190" t="str">
        <f>IF(PORTEFEUILLE_AUTRE_COMPTABLE[[#This Row],[BONI COMPTABLE]]&lt;&gt;0,1,"")</f>
        <v/>
      </c>
      <c r="AY44" s="190" t="str">
        <f>IF(PORTEFEUILLE_AUTRE_COMPTABLE[[#This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SUM(PORTEFEUILLE_AUTRE_COMPTABLE[[#This Row],[PCR COMPTABLE €]:[MONTANT
RESPONSABLE RELATION CLIENT €]])-PORTEFEUILLE_AUTRE_COMPTABLE[[#This Row],[MONTANT TOTAL LETTRE DE MISION €]]</f>
        <v>0</v>
      </c>
      <c r="AI45" s="191"/>
      <c r="AJ45" s="188"/>
      <c r="AK45" s="188"/>
      <c r="AL45" s="188"/>
      <c r="AM45" s="188"/>
      <c r="AN45" s="188"/>
      <c r="AO45" s="188"/>
      <c r="AP45" s="188"/>
      <c r="AQ45" s="188"/>
      <c r="AR4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5" s="188" t="str">
        <f>IF(PORTEFEUILLE_AUTRE_COMPTABLE[[#This Row],[BONI AAC]]&lt;&gt;0,1,"")</f>
        <v/>
      </c>
      <c r="AU45" s="188" t="str">
        <f>IF(PORTEFEUILLE_AUTRE_COMPTABLE[[#This Row],[MALI AAC]]&lt;&gt;0,1,"")</f>
        <v/>
      </c>
      <c r="AV45" s="225">
        <f>IF(AP45&lt;&gt;"",IF((AP45*Paramètres!$H$4)-PORTEFEUILLE_AUTRE_COMPTABLE[[#This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€]]-(DELPHINE!AP44*Paramètres!$H$4),0),0)</f>
        <v>0</v>
      </c>
      <c r="AW45" s="225">
        <f>IF(AP45&lt;&gt;"",IF(((AP45*Paramètres!$H$4)-PORTEFEUILLE_AUTRE_COMPTABLE[[#This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5" s="190" t="str">
        <f>IF(PORTEFEUILLE_AUTRE_COMPTABLE[[#This Row],[BONI COMPTABLE]]&lt;&gt;0,1,"")</f>
        <v/>
      </c>
      <c r="AY45" s="190" t="str">
        <f>IF(PORTEFEUILLE_AUTRE_COMPTABLE[[#This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SUM(PORTEFEUILLE_AUTRE_COMPTABLE[[#This Row],[PCR COMPTABLE €]:[MONTANT
RESPONSABLE RELATION CLIENT €]])-PORTEFEUILLE_AUTRE_COMPTABLE[[#This Row],[MONTANT TOTAL LETTRE DE MISION €]]</f>
        <v>0</v>
      </c>
      <c r="AI46" s="191"/>
      <c r="AJ46" s="188"/>
      <c r="AK46" s="188"/>
      <c r="AL46" s="188"/>
      <c r="AM46" s="188"/>
      <c r="AN46" s="196"/>
      <c r="AO46" s="196"/>
      <c r="AP46" s="196"/>
      <c r="AQ46" s="196"/>
      <c r="AR4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6" s="188" t="str">
        <f>IF(PORTEFEUILLE_AUTRE_COMPTABLE[[#This Row],[BONI AAC]]&lt;&gt;0,1,"")</f>
        <v/>
      </c>
      <c r="AU46" s="188" t="str">
        <f>IF(PORTEFEUILLE_AUTRE_COMPTABLE[[#This Row],[MALI AAC]]&lt;&gt;0,1,"")</f>
        <v/>
      </c>
      <c r="AV46" s="225">
        <f>IF(AP46&lt;&gt;"",IF((AP46*Paramètres!$H$4)-PORTEFEUILLE_AUTRE_COMPTABLE[[#This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€]]-(DELPHINE!AP45*Paramètres!$H$4),0),0)</f>
        <v>0</v>
      </c>
      <c r="AW46" s="225">
        <f>IF(AP46&lt;&gt;"",IF(((AP46*Paramètres!$H$4)-PORTEFEUILLE_AUTRE_COMPTABLE[[#This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6" s="190" t="str">
        <f>IF(PORTEFEUILLE_AUTRE_COMPTABLE[[#This Row],[BONI COMPTABLE]]&lt;&gt;0,1,"")</f>
        <v/>
      </c>
      <c r="AY46" s="190" t="str">
        <f>IF(PORTEFEUILLE_AUTRE_COMPTABLE[[#This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SUM(PORTEFEUILLE_AUTRE_COMPTABLE[[#This Row],[PCR COMPTABLE €]:[MONTANT
RESPONSABLE RELATION CLIENT €]])-PORTEFEUILLE_AUTRE_COMPTABLE[[#This Row],[MONTANT TOTAL LETTRE DE MISION €]]</f>
        <v>0</v>
      </c>
      <c r="AI47" s="191"/>
      <c r="AJ47" s="188"/>
      <c r="AK47" s="188"/>
      <c r="AL47" s="188"/>
      <c r="AM47" s="188"/>
      <c r="AN47" s="188"/>
      <c r="AO47" s="188"/>
      <c r="AP47" s="188"/>
      <c r="AQ47" s="188"/>
      <c r="AR4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7" s="188" t="str">
        <f>IF(PORTEFEUILLE_AUTRE_COMPTABLE[[#This Row],[BONI AAC]]&lt;&gt;0,1,"")</f>
        <v/>
      </c>
      <c r="AU47" s="188" t="str">
        <f>IF(PORTEFEUILLE_AUTRE_COMPTABLE[[#This Row],[MALI AAC]]&lt;&gt;0,1,"")</f>
        <v/>
      </c>
      <c r="AV47" s="225">
        <f>IF(AP47&lt;&gt;"",IF((AP47*Paramètres!$H$4)-PORTEFEUILLE_AUTRE_COMPTABLE[[#This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€]]-(DELPHINE!AP46*Paramètres!$H$4),0),0)</f>
        <v>0</v>
      </c>
      <c r="AW47" s="225">
        <f>IF(AP47&lt;&gt;"",IF(((AP47*Paramètres!$H$4)-PORTEFEUILLE_AUTRE_COMPTABLE[[#This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7" s="190" t="str">
        <f>IF(PORTEFEUILLE_AUTRE_COMPTABLE[[#This Row],[BONI COMPTABLE]]&lt;&gt;0,1,"")</f>
        <v/>
      </c>
      <c r="AY47" s="190" t="str">
        <f>IF(PORTEFEUILLE_AUTRE_COMPTABLE[[#This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SUM(PORTEFEUILLE_AUTRE_COMPTABLE[[#This Row],[PCR COMPTABLE €]:[MONTANT
RESPONSABLE RELATION CLIENT €]])-PORTEFEUILLE_AUTRE_COMPTABLE[[#This Row],[MONTANT TOTAL LETTRE DE MISION €]]</f>
        <v>0</v>
      </c>
      <c r="AI48" s="191"/>
      <c r="AJ48" s="188"/>
      <c r="AK48" s="188"/>
      <c r="AL48" s="188"/>
      <c r="AM48" s="188"/>
      <c r="AN48" s="196"/>
      <c r="AO48" s="196"/>
      <c r="AP48" s="196"/>
      <c r="AQ48" s="196"/>
      <c r="AR4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8" s="188" t="str">
        <f>IF(PORTEFEUILLE_AUTRE_COMPTABLE[[#This Row],[BONI AAC]]&lt;&gt;0,1,"")</f>
        <v/>
      </c>
      <c r="AU48" s="188" t="str">
        <f>IF(PORTEFEUILLE_AUTRE_COMPTABLE[[#This Row],[MALI AAC]]&lt;&gt;0,1,"")</f>
        <v/>
      </c>
      <c r="AV48" s="225">
        <f>IF(AP48&lt;&gt;"",IF((AP48*Paramètres!$H$4)-PORTEFEUILLE_AUTRE_COMPTABLE[[#This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€]]-(DELPHINE!AP47*Paramètres!$H$4),0),0)</f>
        <v>0</v>
      </c>
      <c r="AW48" s="225">
        <f>IF(AP48&lt;&gt;"",IF(((AP48*Paramètres!$H$4)-PORTEFEUILLE_AUTRE_COMPTABLE[[#This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8" s="190" t="str">
        <f>IF(PORTEFEUILLE_AUTRE_COMPTABLE[[#This Row],[BONI COMPTABLE]]&lt;&gt;0,1,"")</f>
        <v/>
      </c>
      <c r="AY48" s="190" t="str">
        <f>IF(PORTEFEUILLE_AUTRE_COMPTABLE[[#This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SUM(PORTEFEUILLE_AUTRE_COMPTABLE[[#This Row],[PCR COMPTABLE €]:[MONTANT
RESPONSABLE RELATION CLIENT €]])-PORTEFEUILLE_AUTRE_COMPTABLE[[#This Row],[MONTANT TOTAL LETTRE DE MISION €]]</f>
        <v>0</v>
      </c>
      <c r="AI49" s="191"/>
      <c r="AJ49" s="188"/>
      <c r="AK49" s="188"/>
      <c r="AL49" s="188"/>
      <c r="AM49" s="188"/>
      <c r="AN49" s="188"/>
      <c r="AO49" s="188"/>
      <c r="AP49" s="188"/>
      <c r="AQ49" s="188"/>
      <c r="AR4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9" s="188" t="str">
        <f>IF(PORTEFEUILLE_AUTRE_COMPTABLE[[#This Row],[BONI AAC]]&lt;&gt;0,1,"")</f>
        <v/>
      </c>
      <c r="AU49" s="188" t="str">
        <f>IF(PORTEFEUILLE_AUTRE_COMPTABLE[[#This Row],[MALI AAC]]&lt;&gt;0,1,"")</f>
        <v/>
      </c>
      <c r="AV49" s="225">
        <f>IF(AP49&lt;&gt;"",IF((AP49*Paramètres!$H$4)-PORTEFEUILLE_AUTRE_COMPTABLE[[#This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€]]-(DELPHINE!AP48*Paramètres!$H$4),0),0)</f>
        <v>0</v>
      </c>
      <c r="AW49" s="225">
        <f>IF(AP49&lt;&gt;"",IF(((AP49*Paramètres!$H$4)-PORTEFEUILLE_AUTRE_COMPTABLE[[#This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9" s="190" t="str">
        <f>IF(PORTEFEUILLE_AUTRE_COMPTABLE[[#This Row],[BONI COMPTABLE]]&lt;&gt;0,1,"")</f>
        <v/>
      </c>
      <c r="AY49" s="190" t="str">
        <f>IF(PORTEFEUILLE_AUTRE_COMPTABLE[[#This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SUM(PORTEFEUILLE_AUTRE_COMPTABLE[[#This Row],[PCR COMPTABLE €]:[MONTANT
RESPONSABLE RELATION CLIENT €]])-PORTEFEUILLE_AUTRE_COMPTABLE[[#This Row],[MONTANT TOTAL LETTRE DE MISION €]]</f>
        <v>0</v>
      </c>
      <c r="AI50" s="191"/>
      <c r="AJ50" s="188"/>
      <c r="AK50" s="188"/>
      <c r="AL50" s="188"/>
      <c r="AM50" s="188"/>
      <c r="AN50" s="196"/>
      <c r="AO50" s="196"/>
      <c r="AP50" s="196"/>
      <c r="AQ50" s="196"/>
      <c r="AR5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0" s="188" t="str">
        <f>IF(PORTEFEUILLE_AUTRE_COMPTABLE[[#This Row],[BONI AAC]]&lt;&gt;0,1,"")</f>
        <v/>
      </c>
      <c r="AU50" s="188" t="str">
        <f>IF(PORTEFEUILLE_AUTRE_COMPTABLE[[#This Row],[MALI AAC]]&lt;&gt;0,1,"")</f>
        <v/>
      </c>
      <c r="AV50" s="225">
        <f>IF(AP50&lt;&gt;"",IF((AP50*Paramètres!$H$4)-PORTEFEUILLE_AUTRE_COMPTABLE[[#This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€]]-(DELPHINE!AP49*Paramètres!$H$4),0),0)</f>
        <v>0</v>
      </c>
      <c r="AW50" s="225">
        <f>IF(AP50&lt;&gt;"",IF(((AP50*Paramètres!$H$4)-PORTEFEUILLE_AUTRE_COMPTABLE[[#This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0" s="190" t="str">
        <f>IF(PORTEFEUILLE_AUTRE_COMPTABLE[[#This Row],[BONI COMPTABLE]]&lt;&gt;0,1,"")</f>
        <v/>
      </c>
      <c r="AY50" s="190" t="str">
        <f>IF(PORTEFEUILLE_AUTRE_COMPTABLE[[#This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SUM(PORTEFEUILLE_AUTRE_COMPTABLE[[#This Row],[PCR COMPTABLE €]:[MONTANT
RESPONSABLE RELATION CLIENT €]])-PORTEFEUILLE_AUTRE_COMPTABLE[[#This Row],[MONTANT TOTAL LETTRE DE MISION €]]</f>
        <v>0</v>
      </c>
      <c r="AI51" s="191"/>
      <c r="AJ51" s="188"/>
      <c r="AK51" s="188"/>
      <c r="AL51" s="188"/>
      <c r="AM51" s="188"/>
      <c r="AN51" s="196"/>
      <c r="AO51" s="196"/>
      <c r="AP51" s="196"/>
      <c r="AQ51" s="196"/>
      <c r="AR5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1" s="188" t="str">
        <f>IF(PORTEFEUILLE_AUTRE_COMPTABLE[[#This Row],[BONI AAC]]&lt;&gt;0,1,"")</f>
        <v/>
      </c>
      <c r="AU51" s="188" t="str">
        <f>IF(PORTEFEUILLE_AUTRE_COMPTABLE[[#This Row],[MALI AAC]]&lt;&gt;0,1,"")</f>
        <v/>
      </c>
      <c r="AV51" s="225">
        <f>IF(AP51&lt;&gt;"",IF((AP51*Paramètres!$H$4)-PORTEFEUILLE_AUTRE_COMPTABLE[[#This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€]]-(DELPHINE!AP50*Paramètres!$H$4),0),0)</f>
        <v>0</v>
      </c>
      <c r="AW51" s="225">
        <f>IF(AP51&lt;&gt;"",IF(((AP51*Paramètres!$H$4)-PORTEFEUILLE_AUTRE_COMPTABLE[[#This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1" s="190" t="str">
        <f>IF(PORTEFEUILLE_AUTRE_COMPTABLE[[#This Row],[BONI COMPTABLE]]&lt;&gt;0,1,"")</f>
        <v/>
      </c>
      <c r="AY51" s="190" t="str">
        <f>IF(PORTEFEUILLE_AUTRE_COMPTABLE[[#This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SUM(PORTEFEUILLE_AUTRE_COMPTABLE[[#This Row],[PCR COMPTABLE €]:[MONTANT
RESPONSABLE RELATION CLIENT €]])-PORTEFEUILLE_AUTRE_COMPTABLE[[#This Row],[MONTANT TOTAL LETTRE DE MISION €]]</f>
        <v>0</v>
      </c>
      <c r="AI52" s="191"/>
      <c r="AJ52" s="188"/>
      <c r="AK52" s="188"/>
      <c r="AL52" s="188"/>
      <c r="AM52" s="188"/>
      <c r="AN52" s="196"/>
      <c r="AO52" s="196"/>
      <c r="AP52" s="196"/>
      <c r="AQ52" s="196"/>
      <c r="AR5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2" s="188" t="str">
        <f>IF(PORTEFEUILLE_AUTRE_COMPTABLE[[#This Row],[BONI AAC]]&lt;&gt;0,1,"")</f>
        <v/>
      </c>
      <c r="AU52" s="188" t="str">
        <f>IF(PORTEFEUILLE_AUTRE_COMPTABLE[[#This Row],[MALI AAC]]&lt;&gt;0,1,"")</f>
        <v/>
      </c>
      <c r="AV52" s="225">
        <f>IF(AP52&lt;&gt;"",IF((AP52*Paramètres!$H$4)-PORTEFEUILLE_AUTRE_COMPTABLE[[#This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€]]-(DELPHINE!AP51*Paramètres!$H$4),0),0)</f>
        <v>0</v>
      </c>
      <c r="AW52" s="225">
        <f>IF(AP52&lt;&gt;"",IF(((AP52*Paramètres!$H$4)-PORTEFEUILLE_AUTRE_COMPTABLE[[#This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2" s="190" t="str">
        <f>IF(PORTEFEUILLE_AUTRE_COMPTABLE[[#This Row],[BONI COMPTABLE]]&lt;&gt;0,1,"")</f>
        <v/>
      </c>
      <c r="AY52" s="190" t="str">
        <f>IF(PORTEFEUILLE_AUTRE_COMPTABLE[[#This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SUM(PORTEFEUILLE_AUTRE_COMPTABLE[[#This Row],[PCR COMPTABLE €]:[MONTANT
RESPONSABLE RELATION CLIENT €]])-PORTEFEUILLE_AUTRE_COMPTABLE[[#This Row],[MONTANT TOTAL LETTRE DE MISION €]]</f>
        <v>0</v>
      </c>
      <c r="AI53" s="191"/>
      <c r="AJ53" s="188"/>
      <c r="AK53" s="201"/>
      <c r="AL53" s="201"/>
      <c r="AM53" s="201"/>
      <c r="AN53" s="202"/>
      <c r="AO53" s="202"/>
      <c r="AP53" s="202"/>
      <c r="AQ53" s="202"/>
      <c r="AR5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3" s="188" t="str">
        <f>IF(PORTEFEUILLE_AUTRE_COMPTABLE[[#This Row],[BONI AAC]]&lt;&gt;0,1,"")</f>
        <v/>
      </c>
      <c r="AU53" s="188" t="str">
        <f>IF(PORTEFEUILLE_AUTRE_COMPTABLE[[#This Row],[MALI AAC]]&lt;&gt;0,1,"")</f>
        <v/>
      </c>
      <c r="AV53" s="225">
        <f>IF(AP53&lt;&gt;"",IF((AP53*Paramètres!$H$4)-PORTEFEUILLE_AUTRE_COMPTABLE[[#This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€]]-(DELPHINE!AP52*Paramètres!$H$4),0),0)</f>
        <v>0</v>
      </c>
      <c r="AW53" s="225">
        <f>IF(AP53&lt;&gt;"",IF(((AP53*Paramètres!$H$4)-PORTEFEUILLE_AUTRE_COMPTABLE[[#This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3" s="190" t="str">
        <f>IF(PORTEFEUILLE_AUTRE_COMPTABLE[[#This Row],[BONI COMPTABLE]]&lt;&gt;0,1,"")</f>
        <v/>
      </c>
      <c r="AY53" s="190" t="str">
        <f>IF(PORTEFEUILLE_AUTRE_COMPTABLE[[#This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SUM(PORTEFEUILLE_AUTRE_COMPTABLE[[#This Row],[PCR COMPTABLE €]:[MONTANT
RESPONSABLE RELATION CLIENT €]])-PORTEFEUILLE_AUTRE_COMPTABLE[[#This Row],[MONTANT TOTAL LETTRE DE MISION €]]</f>
        <v>0</v>
      </c>
      <c r="AI54" s="191"/>
      <c r="AJ54" s="188"/>
      <c r="AK54" s="188"/>
      <c r="AL54" s="188"/>
      <c r="AM54" s="188"/>
      <c r="AN54" s="194"/>
      <c r="AO54" s="194"/>
      <c r="AP54" s="194"/>
      <c r="AQ54" s="194"/>
      <c r="AR5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4" s="188" t="str">
        <f>IF(PORTEFEUILLE_AUTRE_COMPTABLE[[#This Row],[BONI AAC]]&lt;&gt;0,1,"")</f>
        <v/>
      </c>
      <c r="AU54" s="188" t="str">
        <f>IF(PORTEFEUILLE_AUTRE_COMPTABLE[[#This Row],[MALI AAC]]&lt;&gt;0,1,"")</f>
        <v/>
      </c>
      <c r="AV54" s="225">
        <f>IF(AP54&lt;&gt;"",IF((AP54*Paramètres!$H$4)-PORTEFEUILLE_AUTRE_COMPTABLE[[#This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€]]-(DELPHINE!AP53*Paramètres!$H$4),0),0)</f>
        <v>0</v>
      </c>
      <c r="AW54" s="225">
        <f>IF(AP54&lt;&gt;"",IF(((AP54*Paramètres!$H$4)-PORTEFEUILLE_AUTRE_COMPTABLE[[#This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4" s="190" t="str">
        <f>IF(PORTEFEUILLE_AUTRE_COMPTABLE[[#This Row],[BONI COMPTABLE]]&lt;&gt;0,1,"")</f>
        <v/>
      </c>
      <c r="AY54" s="190" t="str">
        <f>IF(PORTEFEUILLE_AUTRE_COMPTABLE[[#This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SUM(PORTEFEUILLE_AUTRE_COMPTABLE[[#This Row],[PCR COMPTABLE €]:[MONTANT
RESPONSABLE RELATION CLIENT €]])-PORTEFEUILLE_AUTRE_COMPTABLE[[#This Row],[MONTANT TOTAL LETTRE DE MISION €]]</f>
        <v>0</v>
      </c>
      <c r="AI55" s="191"/>
      <c r="AJ55" s="188"/>
      <c r="AK55" s="188"/>
      <c r="AL55" s="188"/>
      <c r="AM55" s="188"/>
      <c r="AN55" s="194"/>
      <c r="AO55" s="194"/>
      <c r="AP55" s="194"/>
      <c r="AQ55" s="194"/>
      <c r="AR5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5" s="188" t="str">
        <f>IF(PORTEFEUILLE_AUTRE_COMPTABLE[[#This Row],[BONI AAC]]&lt;&gt;0,1,"")</f>
        <v/>
      </c>
      <c r="AU55" s="188" t="str">
        <f>IF(PORTEFEUILLE_AUTRE_COMPTABLE[[#This Row],[MALI AAC]]&lt;&gt;0,1,"")</f>
        <v/>
      </c>
      <c r="AV55" s="225">
        <f>IF(AP55&lt;&gt;"",IF((AP55*Paramètres!$H$4)-PORTEFEUILLE_AUTRE_COMPTABLE[[#This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€]]-(DELPHINE!AP54*Paramètres!$H$4),0),0)</f>
        <v>0</v>
      </c>
      <c r="AW55" s="225">
        <f>IF(AP55&lt;&gt;"",IF(((AP55*Paramètres!$H$4)-PORTEFEUILLE_AUTRE_COMPTABLE[[#This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5" s="190" t="str">
        <f>IF(PORTEFEUILLE_AUTRE_COMPTABLE[[#This Row],[BONI COMPTABLE]]&lt;&gt;0,1,"")</f>
        <v/>
      </c>
      <c r="AY55" s="190" t="str">
        <f>IF(PORTEFEUILLE_AUTRE_COMPTABLE[[#This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SUM(PORTEFEUILLE_AUTRE_COMPTABLE[[#This Row],[PCR COMPTABLE €]:[MONTANT
RESPONSABLE RELATION CLIENT €]])-PORTEFEUILLE_AUTRE_COMPTABLE[[#This Row],[MONTANT TOTAL LETTRE DE MISION €]]</f>
        <v>0</v>
      </c>
      <c r="AI56" s="191"/>
      <c r="AJ56" s="188"/>
      <c r="AK56" s="188"/>
      <c r="AL56" s="188"/>
      <c r="AM56" s="188"/>
      <c r="AN56" s="194"/>
      <c r="AO56" s="194"/>
      <c r="AP56" s="194"/>
      <c r="AQ56" s="194"/>
      <c r="AR5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6" s="188" t="str">
        <f>IF(PORTEFEUILLE_AUTRE_COMPTABLE[[#This Row],[BONI AAC]]&lt;&gt;0,1,"")</f>
        <v/>
      </c>
      <c r="AU56" s="188" t="str">
        <f>IF(PORTEFEUILLE_AUTRE_COMPTABLE[[#This Row],[MALI AAC]]&lt;&gt;0,1,"")</f>
        <v/>
      </c>
      <c r="AV56" s="225">
        <f>IF(AP56&lt;&gt;"",IF((AP56*Paramètres!$H$4)-PORTEFEUILLE_AUTRE_COMPTABLE[[#This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€]]-(DELPHINE!AP55*Paramètres!$H$4),0),0)</f>
        <v>0</v>
      </c>
      <c r="AW56" s="225">
        <f>IF(AP56&lt;&gt;"",IF(((AP56*Paramètres!$H$4)-PORTEFEUILLE_AUTRE_COMPTABLE[[#This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6" s="190" t="str">
        <f>IF(PORTEFEUILLE_AUTRE_COMPTABLE[[#This Row],[BONI COMPTABLE]]&lt;&gt;0,1,"")</f>
        <v/>
      </c>
      <c r="AY56" s="190" t="str">
        <f>IF(PORTEFEUILLE_AUTRE_COMPTABLE[[#This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SUM(PORTEFEUILLE_AUTRE_COMPTABLE[[#This Row],[PCR COMPTABLE €]:[MONTANT
RESPONSABLE RELATION CLIENT €]])-PORTEFEUILLE_AUTRE_COMPTABLE[[#This Row],[MONTANT TOTAL LETTRE DE MISION €]]</f>
        <v>0</v>
      </c>
      <c r="AI57" s="191"/>
      <c r="AJ57" s="188"/>
      <c r="AK57" s="188"/>
      <c r="AL57" s="188"/>
      <c r="AM57" s="188"/>
      <c r="AN57" s="194"/>
      <c r="AO57" s="194"/>
      <c r="AP57" s="194"/>
      <c r="AQ57" s="194"/>
      <c r="AR5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7" s="188" t="str">
        <f>IF(PORTEFEUILLE_AUTRE_COMPTABLE[[#This Row],[BONI AAC]]&lt;&gt;0,1,"")</f>
        <v/>
      </c>
      <c r="AU57" s="188" t="str">
        <f>IF(PORTEFEUILLE_AUTRE_COMPTABLE[[#This Row],[MALI AAC]]&lt;&gt;0,1,"")</f>
        <v/>
      </c>
      <c r="AV57" s="225">
        <f>IF(AP57&lt;&gt;"",IF((AP57*Paramètres!$H$4)-PORTEFEUILLE_AUTRE_COMPTABLE[[#This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€]]-(DELPHINE!AP56*Paramètres!$H$4),0),0)</f>
        <v>0</v>
      </c>
      <c r="AW57" s="225">
        <f>IF(AP57&lt;&gt;"",IF(((AP57*Paramètres!$H$4)-PORTEFEUILLE_AUTRE_COMPTABLE[[#This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7" s="190" t="str">
        <f>IF(PORTEFEUILLE_AUTRE_COMPTABLE[[#This Row],[BONI COMPTABLE]]&lt;&gt;0,1,"")</f>
        <v/>
      </c>
      <c r="AY57" s="190" t="str">
        <f>IF(PORTEFEUILLE_AUTRE_COMPTABLE[[#This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SUM(PORTEFEUILLE_AUTRE_COMPTABLE[[#This Row],[PCR COMPTABLE €]:[MONTANT
RESPONSABLE RELATION CLIENT €]])-PORTEFEUILLE_AUTRE_COMPTABLE[[#This Row],[MONTANT TOTAL LETTRE DE MISION €]]</f>
        <v>0</v>
      </c>
      <c r="AI58" s="191"/>
      <c r="AJ58" s="188"/>
      <c r="AK58" s="188"/>
      <c r="AL58" s="188"/>
      <c r="AM58" s="188"/>
      <c r="AN58" s="194"/>
      <c r="AO58" s="194"/>
      <c r="AP58" s="194"/>
      <c r="AQ58" s="194"/>
      <c r="AR5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8" s="188" t="str">
        <f>IF(PORTEFEUILLE_AUTRE_COMPTABLE[[#This Row],[BONI AAC]]&lt;&gt;0,1,"")</f>
        <v/>
      </c>
      <c r="AU58" s="188" t="str">
        <f>IF(PORTEFEUILLE_AUTRE_COMPTABLE[[#This Row],[MALI AAC]]&lt;&gt;0,1,"")</f>
        <v/>
      </c>
      <c r="AV58" s="225">
        <f>IF(AP58&lt;&gt;"",IF((AP58*Paramètres!$H$4)-PORTEFEUILLE_AUTRE_COMPTABLE[[#This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€]]-(DELPHINE!AP57*Paramètres!$H$4),0),0)</f>
        <v>0</v>
      </c>
      <c r="AW58" s="225">
        <f>IF(AP58&lt;&gt;"",IF(((AP58*Paramètres!$H$4)-PORTEFEUILLE_AUTRE_COMPTABLE[[#This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8" s="190" t="str">
        <f>IF(PORTEFEUILLE_AUTRE_COMPTABLE[[#This Row],[BONI COMPTABLE]]&lt;&gt;0,1,"")</f>
        <v/>
      </c>
      <c r="AY58" s="190" t="str">
        <f>IF(PORTEFEUILLE_AUTRE_COMPTABLE[[#This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SUM(PORTEFEUILLE_AUTRE_COMPTABLE[[#This Row],[PCR COMPTABLE €]:[MONTANT
RESPONSABLE RELATION CLIENT €]])-PORTEFEUILLE_AUTRE_COMPTABLE[[#This Row],[MONTANT TOTAL LETTRE DE MISION €]]</f>
        <v>0</v>
      </c>
      <c r="AI59" s="191"/>
      <c r="AJ59" s="188"/>
      <c r="AK59" s="188"/>
      <c r="AL59" s="188"/>
      <c r="AM59" s="188"/>
      <c r="AN59" s="194"/>
      <c r="AO59" s="194"/>
      <c r="AP59" s="194"/>
      <c r="AQ59" s="194"/>
      <c r="AR5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9" s="188" t="str">
        <f>IF(PORTEFEUILLE_AUTRE_COMPTABLE[[#This Row],[BONI AAC]]&lt;&gt;0,1,"")</f>
        <v/>
      </c>
      <c r="AU59" s="188" t="str">
        <f>IF(PORTEFEUILLE_AUTRE_COMPTABLE[[#This Row],[MALI AAC]]&lt;&gt;0,1,"")</f>
        <v/>
      </c>
      <c r="AV59" s="225">
        <f>IF(AP59&lt;&gt;"",IF((AP59*Paramètres!$H$4)-PORTEFEUILLE_AUTRE_COMPTABLE[[#This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€]]-(DELPHINE!AP58*Paramètres!$H$4),0),0)</f>
        <v>0</v>
      </c>
      <c r="AW59" s="225">
        <f>IF(AP59&lt;&gt;"",IF(((AP59*Paramètres!$H$4)-PORTEFEUILLE_AUTRE_COMPTABLE[[#This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9" s="190" t="str">
        <f>IF(PORTEFEUILLE_AUTRE_COMPTABLE[[#This Row],[BONI COMPTABLE]]&lt;&gt;0,1,"")</f>
        <v/>
      </c>
      <c r="AY59" s="190" t="str">
        <f>IF(PORTEFEUILLE_AUTRE_COMPTABLE[[#This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SUM(PORTEFEUILLE_AUTRE_COMPTABLE[[#This Row],[PCR COMPTABLE €]:[MONTANT
RESPONSABLE RELATION CLIENT €]])-PORTEFEUILLE_AUTRE_COMPTABLE[[#This Row],[MONTANT TOTAL LETTRE DE MISION €]]</f>
        <v>0</v>
      </c>
      <c r="AI60" s="191"/>
      <c r="AJ60" s="188"/>
      <c r="AK60" s="201"/>
      <c r="AL60" s="201"/>
      <c r="AM60" s="201"/>
      <c r="AN60" s="205"/>
      <c r="AO60" s="205"/>
      <c r="AP60" s="205"/>
      <c r="AQ60" s="205"/>
      <c r="AR6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6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60" s="188" t="str">
        <f>IF(PORTEFEUILLE_AUTRE_COMPTABLE[[#This Row],[BONI AAC]]&lt;&gt;0,1,"")</f>
        <v/>
      </c>
      <c r="AU60" s="188" t="str">
        <f>IF(PORTEFEUILLE_AUTRE_COMPTABLE[[#This Row],[MALI AAC]]&lt;&gt;0,1,"")</f>
        <v/>
      </c>
      <c r="AV60" s="225">
        <f>IF(AP60&lt;&gt;"",IF((AP60*Paramètres!$H$4)-PORTEFEUILLE_AUTRE_COMPTABLE[[#This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€]]-(DELPHINE!AP59*Paramètres!$H$4),0),0)</f>
        <v>0</v>
      </c>
      <c r="AW60" s="225">
        <f>IF(AP60&lt;&gt;"",IF(((AP60*Paramètres!$H$4)-PORTEFEUILLE_AUTRE_COMPTABLE[[#This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60" s="190" t="str">
        <f>IF(PORTEFEUILLE_AUTRE_COMPTABLE[[#This Row],[BONI COMPTABLE]]&lt;&gt;0,1,"")</f>
        <v/>
      </c>
      <c r="AY60" s="190" t="str">
        <f>IF(PORTEFEUILLE_AUTRE_COMPTABLE[[#This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5" priority="2">
      <formula>AND(P3&lt;&gt;"",P3&lt;&gt;"OUI")</formula>
    </cfRule>
  </conditionalFormatting>
  <conditionalFormatting sqref="AN3:AO60 S3:AH60">
    <cfRule type="expression" dxfId="4" priority="1" stopIfTrue="1">
      <formula>$AH3&lt;&gt;0</formula>
    </cfRule>
  </conditionalFormatting>
  <conditionalFormatting sqref="A3:E60">
    <cfRule type="expression" dxfId="3" priority="3" stopIfTrue="1">
      <formula>AND($I3&lt;&gt;"",AND($J3="",AND($BA3="",$BB3="")))</formula>
    </cfRule>
    <cfRule type="expression" dxfId="2" priority="4" stopIfTrue="1">
      <formula>AND($J3&lt;&gt;"",AND($BA3="",$BB3=""))</formula>
    </cfRule>
    <cfRule type="expression" dxfId="1" priority="5" stopIfTrue="1">
      <formula>AND($BA3&lt;&gt;"",$BB3="")</formula>
    </cfRule>
    <cfRule type="expression" dxfId="0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13</vt:i4>
      </vt:variant>
    </vt:vector>
  </HeadingPairs>
  <TitlesOfParts>
    <vt:vector size="25" baseType="lpstr">
      <vt:lpstr>Agence Stats Budget</vt:lpstr>
      <vt:lpstr>Agence Stats Visas</vt:lpstr>
      <vt:lpstr>Paramètres</vt:lpstr>
      <vt:lpstr>Menu</vt:lpstr>
      <vt:lpstr>DELPHINE</vt:lpstr>
      <vt:lpstr>FREDERIQUE</vt:lpstr>
      <vt:lpstr>AURELIE_T</vt:lpstr>
      <vt:lpstr>ERIC</vt:lpstr>
      <vt:lpstr>MARIE_PIERRE</vt:lpstr>
      <vt:lpstr>GUILLAUME</vt:lpstr>
      <vt:lpstr>SEBASTIEN</vt:lpstr>
      <vt:lpstr>AUTRE COMPTABLE</vt:lpstr>
      <vt:lpstr>agoasigneeouinonafairena</vt:lpstr>
      <vt:lpstr>crfaitparlecomptableouinon</vt:lpstr>
      <vt:lpstr>crouinonaterminerafaire</vt:lpstr>
      <vt:lpstr>listedossierdelphine</vt:lpstr>
      <vt:lpstr>N°_DOSSIERDELPHINE</vt:lpstr>
      <vt:lpstr>pcrouinonafaire</vt:lpstr>
      <vt:lpstr>prénomsaac</vt:lpstr>
      <vt:lpstr>prenomscomptables</vt:lpstr>
      <vt:lpstr>prenomsconseillers</vt:lpstr>
      <vt:lpstr>quicomptableconseiller</vt:lpstr>
      <vt:lpstr>ranosouinonafaire</vt:lpstr>
      <vt:lpstr>reconductionouinon</vt:lpstr>
      <vt:lpstr>réponsesouinon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Guy Blancher</cp:lastModifiedBy>
  <cp:lastPrinted>2020-04-17T20:35:32Z</cp:lastPrinted>
  <dcterms:created xsi:type="dcterms:W3CDTF">2020-04-09T11:31:02Z</dcterms:created>
  <dcterms:modified xsi:type="dcterms:W3CDTF">2020-04-25T10:58:10Z</dcterms:modified>
</cp:coreProperties>
</file>