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drawings/drawing1.xml" ContentType="application/vnd.openxmlformats-officedocument.drawing+xml"/>
  <Override PartName="/xl/tables/table1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095" windowHeight="8385" activeTab="1"/>
  </bookViews>
  <sheets>
    <sheet name="catégorie " sheetId="1" r:id="rId1"/>
    <sheet name="input " sheetId="4" r:id="rId2"/>
    <sheet name="rapport" sheetId="6" r:id="rId3"/>
    <sheet name="Analyse " sheetId="5" r:id="rId4"/>
    <sheet name="config " sheetId="2" r:id="rId5"/>
    <sheet name="compte" sheetId="3" r:id="rId6"/>
  </sheets>
  <definedNames>
    <definedName name="_xlnm._FilterDatabase" localSheetId="1" hidden="1">'input '!$B$2:$Q$15</definedName>
    <definedName name="compte">Tableau15[]</definedName>
    <definedName name="_xlnm.Criteria" localSheetId="1">'input '!$Z$2:$Z$3</definedName>
    <definedName name="dépenses">Tableau1[]</definedName>
    <definedName name="dépenses1">Tableau3[]</definedName>
    <definedName name="dépenses2">Tableau6[]</definedName>
    <definedName name="dépenses3">Tableau7[]</definedName>
    <definedName name="dépenses4">Tableau8[]</definedName>
    <definedName name="dépenses5">Tableau9[]</definedName>
    <definedName name="dépenses6">Tableau10[]</definedName>
    <definedName name="dépenses7">Tableau11[]</definedName>
    <definedName name="_xlnm.Extract" localSheetId="1">'input '!$AB$2:$AQ$2</definedName>
    <definedName name="input">'input '!$B$3</definedName>
    <definedName name="recettes">Tableau2[]</definedName>
    <definedName name="recettes1">Tableau12[]</definedName>
    <definedName name="recettes2">Tableau13[]</definedName>
    <definedName name="Segment_année">#N/A</definedName>
    <definedName name="Segment_compte">#N/A</definedName>
    <definedName name="Segment_mois">#N/A</definedName>
    <definedName name="type">Tableau14[type]</definedName>
  </definedNames>
  <calcPr calcId="162913"/>
  <pivotCaches>
    <pivotCache cacheId="0" r:id="rId7"/>
  </pivotCaches>
  <extLst>
    <ext xmlns:x14="http://schemas.microsoft.com/office/spreadsheetml/2009/9/main" uri="{BBE1A952-AA13-448e-AADC-164F8A28A991}">
      <x14:slicerCaches>
        <x14:slicerCache r:id="rId8"/>
        <x14:slicerCache r:id="rId9"/>
        <x14:slicerCache r:id="rId10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5" i="4" l="1"/>
  <c r="J15" i="4"/>
  <c r="O15" i="4"/>
  <c r="P15" i="4"/>
  <c r="B14" i="4"/>
  <c r="J14" i="4"/>
  <c r="O14" i="4"/>
  <c r="P14" i="4"/>
  <c r="B13" i="4"/>
  <c r="J13" i="4"/>
  <c r="O13" i="4"/>
  <c r="P13" i="4"/>
  <c r="B12" i="4"/>
  <c r="J12" i="4"/>
  <c r="O12" i="4"/>
  <c r="P12" i="4"/>
  <c r="B11" i="4"/>
  <c r="J11" i="4"/>
  <c r="O11" i="4"/>
  <c r="P11" i="4"/>
  <c r="B10" i="4"/>
  <c r="J10" i="4"/>
  <c r="O10" i="4"/>
  <c r="P10" i="4"/>
  <c r="B9" i="4"/>
  <c r="J9" i="4"/>
  <c r="L9" i="4"/>
  <c r="O9" i="4"/>
  <c r="P9" i="4"/>
  <c r="L11" i="4"/>
  <c r="L10" i="4"/>
  <c r="L13" i="4"/>
  <c r="L12" i="4"/>
  <c r="L14" i="4"/>
  <c r="L15" i="4"/>
  <c r="Q9" i="4" l="1" a="1"/>
  <c r="Q9" i="4" s="1"/>
  <c r="Q10" i="4" a="1"/>
  <c r="Q10" i="4" s="1"/>
  <c r="Q11" i="4" a="1"/>
  <c r="Q11" i="4" s="1"/>
  <c r="Q12" i="4" a="1"/>
  <c r="Q12" i="4" s="1"/>
  <c r="Q13" i="4" a="1"/>
  <c r="Q13" i="4" s="1"/>
  <c r="Q14" i="4" a="1"/>
  <c r="Q14" i="4" s="1"/>
  <c r="Q15" i="4" a="1"/>
  <c r="Q15" i="4" s="1"/>
  <c r="B8" i="4"/>
  <c r="J8" i="4"/>
  <c r="O8" i="4"/>
  <c r="P8" i="4"/>
  <c r="P7" i="4"/>
  <c r="O7" i="4"/>
  <c r="J7" i="4"/>
  <c r="B7" i="4"/>
  <c r="P6" i="4"/>
  <c r="O6" i="4"/>
  <c r="J6" i="4"/>
  <c r="B6" i="4"/>
  <c r="B5" i="4"/>
  <c r="E5" i="3" a="1"/>
  <c r="E5" i="3" s="1"/>
  <c r="J3" i="4"/>
  <c r="W3" i="5"/>
  <c r="W4" i="5"/>
  <c r="L8" i="4"/>
  <c r="L6" i="4"/>
  <c r="L5" i="4"/>
  <c r="L7" i="4"/>
  <c r="L3" i="4"/>
  <c r="L4" i="4"/>
  <c r="Q7" i="4" l="1" a="1"/>
  <c r="Q7" i="4" s="1"/>
  <c r="Q6" i="4" a="1"/>
  <c r="Q6" i="4" s="1"/>
  <c r="Q8" i="4" a="1"/>
  <c r="Q8" i="4" s="1"/>
  <c r="P5" i="4"/>
  <c r="O5" i="4"/>
  <c r="J5" i="4"/>
  <c r="Q5" i="4" l="1" a="1"/>
  <c r="Q5" i="4" s="1"/>
  <c r="B4" i="4"/>
  <c r="J4" i="4"/>
  <c r="O4" i="4"/>
  <c r="P4" i="4"/>
  <c r="B3" i="4"/>
  <c r="Q4" i="4" l="1" a="1"/>
  <c r="Q4" i="4" s="1"/>
  <c r="P3" i="4" l="1"/>
  <c r="O3" i="4"/>
  <c r="F5" i="3"/>
  <c r="B5" i="3"/>
  <c r="H23" i="1"/>
  <c r="E23" i="1"/>
  <c r="W2" i="1"/>
  <c r="T2" i="1"/>
  <c r="Q2" i="1"/>
  <c r="N2" i="1"/>
  <c r="K2" i="1"/>
  <c r="H2" i="1"/>
  <c r="E2" i="1"/>
  <c r="Q3" i="4" l="1" a="1"/>
  <c r="Q3" i="4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<sst xmlns="http://schemas.openxmlformats.org/spreadsheetml/2006/main" count="323" uniqueCount="179">
  <si>
    <t xml:space="preserve">Catégorie </t>
  </si>
  <si>
    <t>Assurances</t>
  </si>
  <si>
    <t xml:space="preserve">Frais bancaires </t>
  </si>
  <si>
    <t>Fournisseurs</t>
  </si>
  <si>
    <t>Charges restaurant</t>
  </si>
  <si>
    <t xml:space="preserve">Voiture </t>
  </si>
  <si>
    <t xml:space="preserve">Catégorie Dépenses </t>
  </si>
  <si>
    <t xml:space="preserve">Catégorie Recettes </t>
  </si>
  <si>
    <t xml:space="preserve">Tickets restaurant </t>
  </si>
  <si>
    <t>ID</t>
  </si>
  <si>
    <t>Sous-catégorie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</si>
  <si>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</si>
  <si>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</si>
  <si>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</si>
  <si>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</si>
  <si>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</si>
  <si>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</si>
  <si>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</si>
  <si>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</si>
  <si>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</si>
  <si>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</si>
  <si>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 xml:space="preserve">loyer </t>
  </si>
  <si>
    <t xml:space="preserve">Gaz </t>
  </si>
  <si>
    <t>électrécité</t>
  </si>
  <si>
    <t xml:space="preserve">Eau </t>
  </si>
  <si>
    <t xml:space="preserve">Impots/Taxes </t>
  </si>
  <si>
    <t>autres dépenses restaurant</t>
  </si>
  <si>
    <t xml:space="preserve">Sous- catégorie 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</si>
  <si>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</si>
  <si>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</si>
  <si>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</si>
  <si>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</si>
  <si>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</si>
  <si>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</si>
  <si>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</si>
  <si>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</si>
  <si>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</si>
  <si>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 xml:space="preserve">metro </t>
  </si>
  <si>
    <t xml:space="preserve">boulanger </t>
  </si>
  <si>
    <t>boucher Perrot</t>
  </si>
  <si>
    <t>murgier</t>
  </si>
  <si>
    <t xml:space="preserve">vins et selection </t>
  </si>
  <si>
    <t>carrefour</t>
  </si>
  <si>
    <t xml:space="preserve">autres </t>
  </si>
  <si>
    <t>autres fournisseur vins</t>
  </si>
  <si>
    <t xml:space="preserve">autres fournisseurs </t>
  </si>
  <si>
    <t xml:space="preserve">sous- catégorie </t>
  </si>
  <si>
    <t>3.1</t>
  </si>
  <si>
    <t>3.2</t>
  </si>
  <si>
    <t>3.3</t>
  </si>
  <si>
    <t>Metlife</t>
  </si>
  <si>
    <t xml:space="preserve">Generali </t>
  </si>
  <si>
    <t>sous- catégorie</t>
  </si>
  <si>
    <t>4.1</t>
  </si>
  <si>
    <t>4.2</t>
  </si>
  <si>
    <t>4.3</t>
  </si>
  <si>
    <t>4.4</t>
  </si>
  <si>
    <t>4.5</t>
  </si>
  <si>
    <t xml:space="preserve">Spotify </t>
  </si>
  <si>
    <t xml:space="preserve">la fourchette </t>
  </si>
  <si>
    <t>bouygues telecom</t>
  </si>
  <si>
    <t>commission TPE</t>
  </si>
  <si>
    <t xml:space="preserve">Caisse laddition </t>
  </si>
  <si>
    <t xml:space="preserve">commission caution </t>
  </si>
  <si>
    <t>frais de gestion SGT</t>
  </si>
  <si>
    <t>autres frais bancaires</t>
  </si>
  <si>
    <t>sous-catégorie</t>
  </si>
  <si>
    <t>5.1</t>
  </si>
  <si>
    <t>5.2</t>
  </si>
  <si>
    <t>5.3</t>
  </si>
  <si>
    <t>5.4</t>
  </si>
  <si>
    <t>5.5</t>
  </si>
  <si>
    <t>5.6</t>
  </si>
  <si>
    <t>Paie Seignol</t>
  </si>
  <si>
    <t>Paie Dulbecco</t>
  </si>
  <si>
    <t>Remboursement frais Seignol</t>
  </si>
  <si>
    <t>Remboursement Compte courant</t>
  </si>
  <si>
    <t>Ursaff</t>
  </si>
  <si>
    <t>1.11</t>
  </si>
  <si>
    <t xml:space="preserve">Charges salariales </t>
  </si>
  <si>
    <t>6.1</t>
  </si>
  <si>
    <t>6.2</t>
  </si>
  <si>
    <t>6.3</t>
  </si>
  <si>
    <t>6.4</t>
  </si>
  <si>
    <t>Primes</t>
  </si>
  <si>
    <t>TVA</t>
  </si>
  <si>
    <t>Frais postaux</t>
  </si>
  <si>
    <t>SACEM</t>
  </si>
  <si>
    <t>SPRE</t>
  </si>
  <si>
    <t>entretien mobilier</t>
  </si>
  <si>
    <t>Taxe apprentissage</t>
  </si>
  <si>
    <t>Taxe formation continue</t>
  </si>
  <si>
    <t>Impot Société</t>
  </si>
  <si>
    <t>6.5</t>
  </si>
  <si>
    <t>6.6</t>
  </si>
  <si>
    <t xml:space="preserve">Emprunt </t>
  </si>
  <si>
    <t>1.12</t>
  </si>
  <si>
    <t>1.13</t>
  </si>
  <si>
    <t xml:space="preserve">fourniture équipement </t>
  </si>
  <si>
    <t>Merluchons</t>
  </si>
  <si>
    <t>commission TR</t>
  </si>
  <si>
    <t>Terrasse</t>
  </si>
  <si>
    <t>6.7</t>
  </si>
  <si>
    <t>7.1</t>
  </si>
  <si>
    <t>essence</t>
  </si>
  <si>
    <t xml:space="preserve">assurance voiture </t>
  </si>
  <si>
    <t>TVS</t>
  </si>
  <si>
    <t>6.8</t>
  </si>
  <si>
    <t>Loyer LLD</t>
  </si>
  <si>
    <t>7.2</t>
  </si>
  <si>
    <t>7.3</t>
  </si>
  <si>
    <t xml:space="preserve">autres frais voiture </t>
  </si>
  <si>
    <t>7.4</t>
  </si>
  <si>
    <t>Sodexo</t>
  </si>
  <si>
    <t>Natixis</t>
  </si>
  <si>
    <t>edenred</t>
  </si>
  <si>
    <t>ticket restaurant</t>
  </si>
  <si>
    <t>Versement TPE</t>
  </si>
  <si>
    <t xml:space="preserve">Versement </t>
  </si>
  <si>
    <t>Depot chèque</t>
  </si>
  <si>
    <t xml:space="preserve">dépôt espèce </t>
  </si>
  <si>
    <t xml:space="preserve">autres versement </t>
  </si>
  <si>
    <t>type</t>
  </si>
  <si>
    <t>dépenses</t>
  </si>
  <si>
    <t>recettes</t>
  </si>
  <si>
    <t>budget</t>
  </si>
  <si>
    <t>transfert</t>
  </si>
  <si>
    <t xml:space="preserve">compte </t>
  </si>
  <si>
    <t>départ</t>
  </si>
  <si>
    <t>calculé</t>
  </si>
  <si>
    <t xml:space="preserve">solde </t>
  </si>
  <si>
    <t xml:space="preserve"> </t>
  </si>
  <si>
    <t>Compte CM</t>
  </si>
  <si>
    <t xml:space="preserve">date </t>
  </si>
  <si>
    <t>somme</t>
  </si>
  <si>
    <t>Du/Au</t>
  </si>
  <si>
    <t>Description</t>
  </si>
  <si>
    <t>Catid</t>
  </si>
  <si>
    <t>catégorie</t>
  </si>
  <si>
    <t>subid</t>
  </si>
  <si>
    <t>référence</t>
  </si>
  <si>
    <t>commentaires</t>
  </si>
  <si>
    <t>année</t>
  </si>
  <si>
    <t>mois</t>
  </si>
  <si>
    <t xml:space="preserve">recherche </t>
  </si>
  <si>
    <t>compte CM</t>
  </si>
  <si>
    <t>test</t>
  </si>
  <si>
    <t>février</t>
  </si>
  <si>
    <t>mars</t>
  </si>
  <si>
    <t>Étiquettes de colonnes</t>
  </si>
  <si>
    <t>Total général</t>
  </si>
  <si>
    <t>Étiquettes de lignes</t>
  </si>
  <si>
    <t>Somme de somme</t>
  </si>
  <si>
    <t>test1</t>
  </si>
  <si>
    <t>Total budget</t>
  </si>
  <si>
    <t>Total dépenses</t>
  </si>
  <si>
    <t>Total recettes</t>
  </si>
  <si>
    <t>Total Fournisseurs</t>
  </si>
  <si>
    <t>Total Assurances</t>
  </si>
  <si>
    <t>Total Charges restaurant</t>
  </si>
  <si>
    <t xml:space="preserve">Total Tickets restaurant </t>
  </si>
  <si>
    <t>avril</t>
  </si>
  <si>
    <t>15/03/2020</t>
  </si>
  <si>
    <t>lo</t>
  </si>
  <si>
    <t xml:space="preserve">test </t>
  </si>
  <si>
    <t/>
  </si>
  <si>
    <t>03/03/2020</t>
  </si>
  <si>
    <t>kk</t>
  </si>
  <si>
    <t>test 2</t>
  </si>
  <si>
    <t>02/02/2020</t>
  </si>
  <si>
    <t>eé</t>
  </si>
  <si>
    <t>dze</t>
  </si>
  <si>
    <t xml:space="preserve">Total Frais bancaires </t>
  </si>
  <si>
    <t>01/02/2020</t>
  </si>
  <si>
    <t>ee</t>
  </si>
  <si>
    <t>test 3</t>
  </si>
  <si>
    <t>daz</t>
  </si>
  <si>
    <t>jfoz</t>
  </si>
  <si>
    <t>test d'entrée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</si>
</sst>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_-* #,##0.00\ [$€-40C]_-;\-* #,##0.00\ [$€-40C]_-;_-* &quot;-&quot;??\ [$€-40C]_-;_-@_-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2" borderId="7" xfId="0" applyFill="1" applyBorder="1"/>
    <xf numFmtId="0" fontId="0" fillId="2" borderId="8" xfId="0" applyFill="1" applyBorder="1" applyAlignment="1">
      <alignment horizontal="center"/>
    </xf>
    <xf numFmtId="0" fontId="0" fillId="2" borderId="8" xfId="0" applyFill="1" applyBorder="1"/>
    <xf numFmtId="0" fontId="3" fillId="0" borderId="0" xfId="0" applyFont="1"/>
    <xf numFmtId="164" fontId="3" fillId="0" borderId="0" xfId="0" applyNumberFormat="1" applyFont="1"/>
    <xf numFmtId="14" fontId="0" fillId="0" borderId="0" xfId="0" applyNumberFormat="1"/>
    <xf numFmtId="165" fontId="0" fillId="0" borderId="0" xfId="0" applyNumberFormat="1"/>
    <xf numFmtId="0" fontId="3" fillId="0" borderId="0" xfId="0" applyFont="1" applyAlignment="1">
      <alignment horizont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pivotButton="1" applyAlignment="1">
      <alignment horizontal="center" vertical="center"/>
    </xf>
    <xf numFmtId="0" fontId="0" fillId="0" borderId="0" xfId="0" applyAlignment="1">
      <alignment horizontal="left" indent="1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indent="2"/>
    </xf>
    <xf numFmtId="0" fontId="4" fillId="3" borderId="9" xfId="0" applyFont="1" applyFill="1" applyBorder="1"/>
    <xf numFmtId="0" fontId="4" fillId="3" borderId="10" xfId="0" applyFont="1" applyFill="1" applyBorder="1"/>
    <xf numFmtId="0" fontId="4" fillId="3" borderId="11" xfId="0" applyFont="1" applyFill="1" applyBorder="1"/>
    <xf numFmtId="0" fontId="0" fillId="0" borderId="12" xfId="0" applyBorder="1"/>
    <xf numFmtId="0" fontId="4" fillId="4" borderId="12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79"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.00\ &quot;€&quot;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.00\ &quot;€&quot;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#,##0.00\ &quot;€&quot;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numFmt numFmtId="0" formatCode="General"/>
    </dxf>
    <dxf>
      <numFmt numFmtId="165" formatCode="_-* #,##0.00\ [$€-40C]_-;\-* #,##0.00\ [$€-40C]_-;_-* &quot;-&quot;??\ [$€-40C]_-;_-@_-"/>
    </dxf>
    <dxf>
      <numFmt numFmtId="166" formatCode="m/d/yyyy"/>
    </dxf>
    <dxf>
      <border outline="0">
        <top style="medium">
          <color indexed="64"/>
        </top>
      </border>
    </dxf>
    <dxf>
      <border outline="0">
        <top style="medium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center" textRotation="0" wrapText="0" indent="0" justifyLastLine="0" shrinkToFit="0" readingOrder="0"/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6"/>
        </top>
        <bottom style="thin">
          <color theme="6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n">
          <color theme="6" tint="0.39997558519241921"/>
        </top>
      </border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6"/>
        </top>
        <bottom style="thin">
          <color theme="6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n">
          <color theme="6" tint="0.39997558519241921"/>
        </top>
      </border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6"/>
        </top>
        <bottom style="thin">
          <color theme="6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n">
          <color theme="6" tint="0.39997558519241921"/>
        </top>
      </border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6"/>
        </top>
        <bottom style="thin">
          <color theme="6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n">
          <color theme="6" tint="0.39997558519241921"/>
        </top>
      </border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4" defaultTableStyle="TableStyleMedium2" defaultPivotStyle="PivotStyleLight16">
    <tableStyle name="PivotStyleLight18 2" table="0" count="12">
      <tableStyleElement type="wholeTable" dxfId="78"/>
      <tableStyleElement type="headerRow" dxfId="77"/>
      <tableStyleElement type="totalRow" dxfId="76"/>
      <tableStyleElement type="firstRowStripe" dxfId="75"/>
      <tableStyleElement type="firstColumnStripe" dxfId="74"/>
      <tableStyleElement type="firstSubtotalColumn" dxfId="73"/>
      <tableStyleElement type="firstSubtotalRow" dxfId="72"/>
      <tableStyleElement type="secondSubtotalRow" dxfId="71"/>
      <tableStyleElement type="firstRowSubheading" dxfId="70"/>
      <tableStyleElement type="secondRowSubheading" dxfId="69"/>
      <tableStyleElement type="pageFieldLabels" dxfId="68"/>
      <tableStyleElement type="pageFieldValues" dxfId="67"/>
    </tableStyle>
    <tableStyle name="PivotStyleLight18 3" table="0" count="12">
      <tableStyleElement type="wholeTable" dxfId="66"/>
      <tableStyleElement type="headerRow" dxfId="65"/>
      <tableStyleElement type="totalRow" dxfId="64"/>
      <tableStyleElement type="firstRowStripe" dxfId="63"/>
      <tableStyleElement type="firstColumnStripe" dxfId="62"/>
      <tableStyleElement type="firstSubtotalColumn" dxfId="61"/>
      <tableStyleElement type="firstSubtotalRow" dxfId="60"/>
      <tableStyleElement type="secondSubtotalRow" dxfId="59"/>
      <tableStyleElement type="firstRowSubheading" dxfId="58"/>
      <tableStyleElement type="secondRowSubheading" dxfId="57"/>
      <tableStyleElement type="pageFieldLabels" dxfId="56"/>
      <tableStyleElement type="pageFieldValues" dxfId="55"/>
    </tableStyle>
    <tableStyle name="PivotStyleLight18 4" table="0" count="12">
      <tableStyleElement type="wholeTable" dxfId="54"/>
      <tableStyleElement type="headerRow" dxfId="53"/>
      <tableStyleElement type="totalRow" dxfId="52"/>
      <tableStyleElement type="firstRowStripe" dxfId="51"/>
      <tableStyleElement type="firstColumnStripe" dxfId="50"/>
      <tableStyleElement type="firstSubtotalColumn" dxfId="49"/>
      <tableStyleElement type="firstSubtotalRow" dxfId="48"/>
      <tableStyleElement type="secondSubtotalRow" dxfId="47"/>
      <tableStyleElement type="firstRowSubheading" dxfId="46"/>
      <tableStyleElement type="secondRowSubheading" dxfId="45"/>
      <tableStyleElement type="pageFieldLabels" dxfId="44"/>
      <tableStyleElement type="pageFieldValues" dxfId="43"/>
    </tableStyle>
    <tableStyle name="PivotStyleLight18 5" table="0" count="12">
      <tableStyleElement type="wholeTable" dxfId="42"/>
      <tableStyleElement type="headerRow" dxfId="41"/>
      <tableStyleElement type="totalRow" dxfId="40"/>
      <tableStyleElement type="firstRowStripe" dxfId="39"/>
      <tableStyleElement type="firstColumnStripe" dxfId="38"/>
      <tableStyleElement type="firstSubtotalColumn" dxfId="37"/>
      <tableStyleElement type="firstSubtotalRow" dxfId="36"/>
      <tableStyleElement type="secondSubtotalRow" dxfId="35"/>
      <tableStyleElement type="firstRowSubheading" dxfId="34"/>
      <tableStyleElement type="secondRowSubheading" dxfId="33"/>
      <tableStyleElement type="pageFieldLabels" dxfId="32"/>
      <tableStyleElement type="pageFieldValues" dxfId="3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microsoft.com/office/2007/relationships/slicerCache" Target="slicerCaches/slicerCache3.xml"/><Relationship Id="rId4" Type="http://schemas.openxmlformats.org/officeDocument/2006/relationships/worksheet" Target="worksheets/sheet4.xml"/><Relationship Id="rId9" Type="http://schemas.microsoft.com/office/2007/relationships/slicerCache" Target="slicerCaches/slicerCache2.xml"/><Relationship Id="rId14" Type="http://schemas.openxmlformats.org/officeDocument/2006/relationships/sheetMetadata" Target="metadata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[Compta Essai1 v1.xlsm]Analyse !Tableau croisé dynamique1</c:name>
    <c:fmtId val="3"/>
  </c:pivotSource>
  <c:chart>
    <c:autoTitleDeleted val="1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>
              <a:solidFill>
                <a:sysClr val="windowText" lastClr="000000">
                  <a:lumMod val="25000"/>
                  <a:lumOff val="75000"/>
                </a:sysClr>
              </a:solidFill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>
              <a:solidFill>
                <a:sysClr val="windowText" lastClr="000000">
                  <a:lumMod val="25000"/>
                  <a:lumOff val="75000"/>
                </a:sysClr>
              </a:solidFill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>
              <a:solidFill>
                <a:sysClr val="windowText" lastClr="000000">
                  <a:lumMod val="25000"/>
                  <a:lumOff val="75000"/>
                </a:sysClr>
              </a:solidFill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>
              <a:solidFill>
                <a:sysClr val="windowText" lastClr="000000">
                  <a:lumMod val="25000"/>
                  <a:lumOff val="75000"/>
                </a:sysClr>
              </a:solidFill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>
              <a:solidFill>
                <a:sysClr val="windowText" lastClr="000000">
                  <a:lumMod val="25000"/>
                  <a:lumOff val="75000"/>
                </a:sysClr>
              </a:solidFill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7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8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125"/>
          <c:y val="0.11342592592592593"/>
          <c:w val="0.81388888888888888"/>
          <c:h val="0.77314814814814814"/>
        </c:manualLayout>
      </c:layout>
      <c:pie3DChart>
        <c:varyColors val="1"/>
        <c:ser>
          <c:idx val="0"/>
          <c:order val="0"/>
          <c:tx>
            <c:strRef>
              <c:f>'Analyse '!$K$8:$K$9</c:f>
              <c:strCache>
                <c:ptCount val="1"/>
                <c:pt idx="0">
                  <c:v>dépenses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5FC5-44CA-8035-1C97640E16A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5FC5-44CA-8035-1C97640E16A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5FC5-44CA-8035-1C97640E16A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5FC5-44CA-8035-1C97640E16A3}"/>
              </c:ext>
            </c:extLst>
          </c:dPt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'Analyse '!$J$10:$J$14</c:f>
              <c:strCache>
                <c:ptCount val="4"/>
                <c:pt idx="0">
                  <c:v>Charges restaurant</c:v>
                </c:pt>
                <c:pt idx="1">
                  <c:v>Fournisseurs</c:v>
                </c:pt>
                <c:pt idx="2">
                  <c:v>Assurances</c:v>
                </c:pt>
                <c:pt idx="3">
                  <c:v>Frais bancaires </c:v>
                </c:pt>
              </c:strCache>
            </c:strRef>
          </c:cat>
          <c:val>
            <c:numRef>
              <c:f>'Analyse '!$K$10:$K$14</c:f>
              <c:numCache>
                <c:formatCode>#\ ##0.00\ "€"</c:formatCode>
                <c:ptCount val="4"/>
                <c:pt idx="0">
                  <c:v>2701</c:v>
                </c:pt>
                <c:pt idx="1">
                  <c:v>601</c:v>
                </c:pt>
                <c:pt idx="2">
                  <c:v>400</c:v>
                </c:pt>
                <c:pt idx="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3293-439A-8511-E959E1D4E780}"/>
            </c:ext>
          </c:extLst>
        </c:ser>
        <c:ser>
          <c:idx val="1"/>
          <c:order val="1"/>
          <c:tx>
            <c:strRef>
              <c:f>'Analyse '!$L$8:$L$9</c:f>
              <c:strCache>
                <c:ptCount val="1"/>
                <c:pt idx="0">
                  <c:v>budget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5FC5-44CA-8035-1C97640E16A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5FC5-44CA-8035-1C97640E16A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5FC5-44CA-8035-1C97640E16A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5FC5-44CA-8035-1C97640E16A3}"/>
              </c:ext>
            </c:extLst>
          </c:dPt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'Analyse '!$J$10:$J$14</c:f>
              <c:strCache>
                <c:ptCount val="4"/>
                <c:pt idx="0">
                  <c:v>Charges restaurant</c:v>
                </c:pt>
                <c:pt idx="1">
                  <c:v>Fournisseurs</c:v>
                </c:pt>
                <c:pt idx="2">
                  <c:v>Assurances</c:v>
                </c:pt>
                <c:pt idx="3">
                  <c:v>Frais bancaires </c:v>
                </c:pt>
              </c:strCache>
            </c:strRef>
          </c:cat>
          <c:val>
            <c:numRef>
              <c:f>'Analyse '!$L$10:$L$14</c:f>
              <c:numCache>
                <c:formatCode>#\ ##0.00\ "€"</c:formatCode>
                <c:ptCount val="4"/>
                <c:pt idx="1">
                  <c:v>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3293-439A-8511-E959E1D4E7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980621051176565"/>
          <c:y val="0.24272279264295726"/>
          <c:w val="0.87232174103237092"/>
          <c:h val="0.72088764946048411"/>
        </c:manualLayout>
      </c:layout>
      <c:barChart>
        <c:barDir val="col"/>
        <c:grouping val="percentStacked"/>
        <c:varyColors val="0"/>
        <c:ser>
          <c:idx val="0"/>
          <c:order val="0"/>
          <c:tx>
            <c:strRef>
              <c:f>'Analyse '!$V$3</c:f>
              <c:strCache>
                <c:ptCount val="1"/>
                <c:pt idx="0">
                  <c:v>dépenses</c:v>
                </c:pt>
              </c:strCache>
            </c:strRef>
          </c:tx>
          <c:spPr>
            <a:solidFill>
              <a:srgbClr val="FF0000">
                <a:alpha val="70000"/>
              </a:srgbClr>
            </a:solidFill>
            <a:ln>
              <a:noFill/>
            </a:ln>
            <a:effectLst/>
          </c:spPr>
          <c:invertIfNegative val="0"/>
          <c:dLbls>
            <c:dLbl>
              <c:idx val="0"/>
              <c:numFmt formatCode="#,##0.00\ &quot;€&quot;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ctr"/>
              <c:showLegendKey val="0"/>
              <c:showVal val="1"/>
              <c:showCatName val="0"/>
              <c:showSerName val="1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79FE-4626-893D-1CCB891391D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'Analyse '!$W$3</c:f>
              <c:numCache>
                <c:formatCode>General</c:formatCode>
                <c:ptCount val="1"/>
                <c:pt idx="0">
                  <c:v>3704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FE-4626-893D-1CCB891391D3}"/>
            </c:ext>
          </c:extLst>
        </c:ser>
        <c:ser>
          <c:idx val="1"/>
          <c:order val="1"/>
          <c:tx>
            <c:strRef>
              <c:f>'Analyse '!$V$4</c:f>
              <c:strCache>
                <c:ptCount val="1"/>
                <c:pt idx="0">
                  <c:v>recettes</c:v>
                </c:pt>
              </c:strCache>
            </c:strRef>
          </c:tx>
          <c:spPr>
            <a:solidFill>
              <a:srgbClr val="00B050">
                <a:alpha val="70000"/>
              </a:srgbClr>
            </a:solidFill>
            <a:ln>
              <a:noFill/>
            </a:ln>
            <a:effectLst/>
          </c:spPr>
          <c:invertIfNegative val="0"/>
          <c:dLbls>
            <c:numFmt formatCode="#,##0.00\ &quot;€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1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'Analyse '!$W$4</c:f>
              <c:numCache>
                <c:formatCode>General</c:formatCode>
                <c:ptCount val="1"/>
                <c:pt idx="0">
                  <c:v>1100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9FE-4626-893D-1CCB891391D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09492880"/>
        <c:axId val="409498128"/>
      </c:barChart>
      <c:catAx>
        <c:axId val="409492880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409498128"/>
        <c:crosses val="autoZero"/>
        <c:auto val="1"/>
        <c:lblAlgn val="ctr"/>
        <c:lblOffset val="100"/>
        <c:noMultiLvlLbl val="0"/>
      </c:catAx>
      <c:valAx>
        <c:axId val="409498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9492880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0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03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0</xdr:colOff>
      <xdr:row>1</xdr:row>
      <xdr:rowOff>0</xdr:rowOff>
    </xdr:from>
    <xdr:to>
      <xdr:col>20</xdr:col>
      <xdr:colOff>276225</xdr:colOff>
      <xdr:row>2</xdr:row>
      <xdr:rowOff>180974</xdr:rowOff>
    </xdr:to>
    <xdr:sp macro="[0]!copié_collé" textlink="">
      <xdr:nvSpPr>
        <xdr:cNvPr id="2" name="ZoneTexte 1"/>
        <xdr:cNvSpPr txBox="1"/>
      </xdr:nvSpPr>
      <xdr:spPr>
        <a:xfrm>
          <a:off x="21945600" y="1905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Copieé collé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28575</xdr:colOff>
      <xdr:row>16</xdr:row>
      <xdr:rowOff>109537</xdr:rowOff>
    </xdr:from>
    <xdr:to>
      <xdr:col>12</xdr:col>
      <xdr:colOff>219075</xdr:colOff>
      <xdr:row>30</xdr:row>
      <xdr:rowOff>185737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CD39E79-F286-463C-885D-8F223E27E35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14</xdr:col>
      <xdr:colOff>392906</xdr:colOff>
      <xdr:row>13</xdr:row>
      <xdr:rowOff>88106</xdr:rowOff>
    </xdr:from>
    <xdr:to>
      <xdr:col>18</xdr:col>
      <xdr:colOff>571500</xdr:colOff>
      <xdr:row>23</xdr:row>
      <xdr:rowOff>169067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9CF552EA-8014-429E-9158-2A0B63E023F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</xdr:col>
      <xdr:colOff>85725</xdr:colOff>
      <xdr:row>0</xdr:row>
      <xdr:rowOff>126207</xdr:rowOff>
    </xdr:from>
    <xdr:to>
      <xdr:col>2</xdr:col>
      <xdr:colOff>0</xdr:colOff>
      <xdr:row>5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compte ">
              <a:extLst>
                <a:ext uri="{FF2B5EF4-FFF2-40B4-BE49-F238E27FC236}">
                  <a16:creationId xmlns:a16="http://schemas.microsoft.com/office/drawing/2014/main" id="{E8A8E351-A924-42E1-AFE0-A2F108CAE18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mpte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66725" y="126207"/>
              <a:ext cx="1700213" cy="82629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</xdr:col>
      <xdr:colOff>121443</xdr:colOff>
      <xdr:row>0</xdr:row>
      <xdr:rowOff>126207</xdr:rowOff>
    </xdr:from>
    <xdr:to>
      <xdr:col>4</xdr:col>
      <xdr:colOff>0</xdr:colOff>
      <xdr:row>5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">
              <a:extLst>
                <a:ext uri="{FF2B5EF4-FFF2-40B4-BE49-F238E27FC236}">
                  <a16:creationId xmlns:a16="http://schemas.microsoft.com/office/drawing/2014/main" id="{8364CDD6-0BA4-4AF3-872B-5627F8988F6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8381" y="126207"/>
              <a:ext cx="1831182" cy="82629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145256</xdr:colOff>
      <xdr:row>0</xdr:row>
      <xdr:rowOff>126207</xdr:rowOff>
    </xdr:from>
    <xdr:to>
      <xdr:col>5</xdr:col>
      <xdr:colOff>0</xdr:colOff>
      <xdr:row>7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mois">
              <a:extLst>
                <a:ext uri="{FF2B5EF4-FFF2-40B4-BE49-F238E27FC236}">
                  <a16:creationId xmlns:a16="http://schemas.microsoft.com/office/drawing/2014/main" id="{8E0F1990-416B-44BE-8DEE-3A48A5FD5BD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264819" y="126207"/>
              <a:ext cx="1462087" cy="120729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261937</xdr:colOff>
      <xdr:row>13</xdr:row>
      <xdr:rowOff>130969</xdr:rowOff>
    </xdr:from>
    <xdr:to>
      <xdr:col>4</xdr:col>
      <xdr:colOff>654843</xdr:colOff>
      <xdr:row>13</xdr:row>
      <xdr:rowOff>130970</xdr:rowOff>
    </xdr:to>
    <xdr:cxnSp macro="">
      <xdr:nvCxnSpPr>
        <xdr:cNvPr id="8" name="Connecteur droit 7">
          <a:extLst>
            <a:ext uri="{FF2B5EF4-FFF2-40B4-BE49-F238E27FC236}">
              <a16:creationId xmlns:a16="http://schemas.microsoft.com/office/drawing/2014/main" id="{F4B0AE17-7C47-4987-A5E6-D6872BC5932D}"/>
            </a:ext>
          </a:extLst>
        </xdr:cNvPr>
        <xdr:cNvCxnSpPr/>
      </xdr:nvCxnSpPr>
      <xdr:spPr>
        <a:xfrm flipV="1">
          <a:off x="261937" y="2416969"/>
          <a:ext cx="4512469" cy="1"/>
        </a:xfrm>
        <a:prstGeom prst="line">
          <a:avLst/>
        </a:prstGeom>
        <a:ln w="57150"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190500</xdr:colOff>
      <xdr:row>0</xdr:row>
      <xdr:rowOff>154781</xdr:rowOff>
    </xdr:from>
    <xdr:to>
      <xdr:col>8</xdr:col>
      <xdr:colOff>214313</xdr:colOff>
      <xdr:row>13</xdr:row>
      <xdr:rowOff>107156</xdr:rowOff>
    </xdr:to>
    <xdr:cxnSp macro="">
      <xdr:nvCxnSpPr>
        <xdr:cNvPr id="9" name="Connecteur droit 8">
          <a:extLst>
            <a:ext uri="{FF2B5EF4-FFF2-40B4-BE49-F238E27FC236}">
              <a16:creationId xmlns:a16="http://schemas.microsoft.com/office/drawing/2014/main" id="{7C343B41-88E7-49A3-80F3-4947BA876729}"/>
            </a:ext>
          </a:extLst>
        </xdr:cNvPr>
        <xdr:cNvCxnSpPr/>
      </xdr:nvCxnSpPr>
      <xdr:spPr>
        <a:xfrm>
          <a:off x="5917406" y="154781"/>
          <a:ext cx="23813" cy="2238375"/>
        </a:xfrm>
        <a:prstGeom prst="line">
          <a:avLst/>
        </a:prstGeom>
        <a:ln w="57150"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1166812</xdr:colOff>
      <xdr:row>16</xdr:row>
      <xdr:rowOff>35719</xdr:rowOff>
    </xdr:from>
    <xdr:to>
      <xdr:col>4</xdr:col>
      <xdr:colOff>1166813</xdr:colOff>
      <xdr:row>30</xdr:row>
      <xdr:rowOff>107157</xdr:rowOff>
    </xdr:to>
    <xdr:cxnSp macro="">
      <xdr:nvCxnSpPr>
        <xdr:cNvPr id="14" name="Connecteur droit 13">
          <a:extLst>
            <a:ext uri="{FF2B5EF4-FFF2-40B4-BE49-F238E27FC236}">
              <a16:creationId xmlns:a16="http://schemas.microsoft.com/office/drawing/2014/main" id="{71010E53-FE45-421B-8B4B-71AE51F9C381}"/>
            </a:ext>
          </a:extLst>
        </xdr:cNvPr>
        <xdr:cNvCxnSpPr/>
      </xdr:nvCxnSpPr>
      <xdr:spPr>
        <a:xfrm>
          <a:off x="5286375" y="2893219"/>
          <a:ext cx="1" cy="2738438"/>
        </a:xfrm>
        <a:prstGeom prst="line">
          <a:avLst/>
        </a:prstGeom>
        <a:ln w="57150"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rie caroline dulbecco" refreshedDate="43908.637028703706" createdVersion="6" refreshedVersion="6" minRefreshableVersion="3" recordCount="13">
  <cacheSource type="worksheet">
    <worksheetSource name="Tableau16"/>
  </cacheSource>
  <cacheFields count="16">
    <cacheField name="ID" numFmtId="0">
      <sharedItems containsSemiMixedTypes="0" containsString="0" containsNumber="1" containsInteger="1" minValue="1" maxValue="13"/>
    </cacheField>
    <cacheField name="date " numFmtId="14">
      <sharedItems containsDate="1" containsBlank="1" containsMixedTypes="1" minDate="2020-02-01T00:00:00" maxDate="2020-04-13T00:00:00"/>
    </cacheField>
    <cacheField name="type" numFmtId="0">
      <sharedItems containsBlank="1" count="6">
        <s v="recettes"/>
        <s v="dépenses"/>
        <s v="budget"/>
        <m/>
        <s v="Formule2" f="1"/>
        <s v="Formule1" f="1"/>
      </sharedItems>
    </cacheField>
    <cacheField name="somme" numFmtId="165">
      <sharedItems containsString="0" containsBlank="1" containsNumber="1" containsInteger="1" minValue="1" maxValue="1300"/>
    </cacheField>
    <cacheField name="compte " numFmtId="0">
      <sharedItems containsBlank="1" containsMixedTypes="1" containsNumber="1" containsInteger="1" minValue="1" maxValue="1" count="3">
        <s v="compte CM"/>
        <m/>
        <n v="1"/>
      </sharedItems>
    </cacheField>
    <cacheField name="Du/Au" numFmtId="0">
      <sharedItems containsBlank="1" containsMixedTypes="1" containsNumber="1" containsInteger="1" minValue="2" maxValue="2"/>
    </cacheField>
    <cacheField name="Description" numFmtId="0">
      <sharedItems containsBlank="1"/>
    </cacheField>
    <cacheField name="Catid" numFmtId="0">
      <sharedItems containsString="0" containsBlank="1" containsNumber="1" containsInteger="1" minValue="1" maxValue="4"/>
    </cacheField>
    <cacheField name="catégorie" numFmtId="0">
      <sharedItems count="6">
        <s v="Tickets restaurant "/>
        <s v="Charges restaurant"/>
        <s v="Fournisseurs"/>
        <s v="Assurances"/>
        <s v=""/>
        <s v="Frais bancaires "/>
      </sharedItems>
    </cacheField>
    <cacheField name="subid" numFmtId="0">
      <sharedItems containsBlank="1"/>
    </cacheField>
    <cacheField name="sous- catégorie" numFmtId="0">
      <sharedItems count="10">
        <s v="edenred"/>
        <s v="Emprunt "/>
        <s v="boulanger "/>
        <s v="Metlife"/>
        <s v=""/>
        <s v="loyer "/>
        <s v="metro "/>
        <s v="commission caution "/>
        <s v="Gaz "/>
        <s v="Sodexo"/>
      </sharedItems>
    </cacheField>
    <cacheField name="référence" numFmtId="0">
      <sharedItems containsBlank="1"/>
    </cacheField>
    <cacheField name="commentaires" numFmtId="0">
      <sharedItems containsBlank="1"/>
    </cacheField>
    <cacheField name="année" numFmtId="0">
      <sharedItems containsSemiMixedTypes="0" containsString="0" containsNumber="1" containsInteger="1" minValue="1900" maxValue="2020" count="2">
        <n v="2020"/>
        <n v="1900"/>
      </sharedItems>
    </cacheField>
    <cacheField name="mois" numFmtId="0">
      <sharedItems count="4">
        <s v="février"/>
        <s v="mars"/>
        <s v="avril"/>
        <s v="janvier"/>
      </sharedItems>
    </cacheField>
    <cacheField name="recherche " numFmtId="0">
      <sharedItems/>
    </cacheField>
  </cacheFields>
  <calculatedItems count="2">
    <calculatedItem>
      <pivotArea cacheIndex="1" outline="0" fieldPosition="0">
        <references count="1">
          <reference field="2" count="1">
            <x v="5"/>
          </reference>
        </references>
      </pivotArea>
    </calculatedItem>
    <calculatedItem>
      <pivotArea cacheIndex="1" outline="0" fieldPosition="0">
        <references count="1">
          <reference field="2" count="1">
            <x v="4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 pivotCacheId="2419270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">
  <r>
    <n v="1"/>
    <d v="2020-02-01T00:00:00"/>
    <x v="0"/>
    <n v="1000"/>
    <x v="0"/>
    <n v="2"/>
    <s v="test"/>
    <n v="1"/>
    <x v="0"/>
    <s v="1.3"/>
    <x v="0"/>
    <m/>
    <m/>
    <x v="0"/>
    <x v="0"/>
    <s v="01/02/2020 recettes 1000 compte CM 2 test Tickets restaurant  edenred   2020 février"/>
  </r>
  <r>
    <n v="2"/>
    <d v="2020-03-02T00:00:00"/>
    <x v="1"/>
    <n v="200"/>
    <x v="0"/>
    <m/>
    <m/>
    <n v="1"/>
    <x v="1"/>
    <s v="1.2"/>
    <x v="1"/>
    <m/>
    <m/>
    <x v="0"/>
    <x v="1"/>
    <s v="01/02/2020 dépenses 200 compte CM   Charges restaurant Emprunt    2020 mars"/>
  </r>
  <r>
    <n v="3"/>
    <d v="2020-03-02T00:00:00"/>
    <x v="1"/>
    <n v="300"/>
    <x v="0"/>
    <m/>
    <m/>
    <n v="2"/>
    <x v="2"/>
    <s v="2.2"/>
    <x v="2"/>
    <m/>
    <m/>
    <x v="0"/>
    <x v="1"/>
    <s v="01/02/2020 dépenses 300 compte CM   Fournisseurs boulanger    2020 mars"/>
  </r>
  <r>
    <n v="4"/>
    <d v="2020-03-02T00:00:00"/>
    <x v="2"/>
    <n v="300"/>
    <x v="0"/>
    <m/>
    <s v="test1"/>
    <n v="2"/>
    <x v="2"/>
    <s v="2.2"/>
    <x v="2"/>
    <m/>
    <m/>
    <x v="0"/>
    <x v="1"/>
    <s v="01/02/2020 budget 300 compte CM  test1 Fournisseurs boulanger    2020 mars"/>
  </r>
  <r>
    <n v="5"/>
    <d v="2020-03-02T00:00:00"/>
    <x v="1"/>
    <n v="300"/>
    <x v="0"/>
    <m/>
    <m/>
    <n v="2"/>
    <x v="2"/>
    <s v="2.2"/>
    <x v="2"/>
    <m/>
    <m/>
    <x v="0"/>
    <x v="1"/>
    <s v="01/02/2020 dépenses 300 compte CM   Fournisseurs boulanger    2020 mars"/>
  </r>
  <r>
    <n v="6"/>
    <d v="2020-04-12T00:00:00"/>
    <x v="1"/>
    <n v="400"/>
    <x v="0"/>
    <m/>
    <s v="test"/>
    <n v="3"/>
    <x v="3"/>
    <s v="3.1"/>
    <x v="3"/>
    <m/>
    <m/>
    <x v="0"/>
    <x v="2"/>
    <s v="01/02/2020 dépenses 400 compte CM  test Assurances Metlife   2020 avril"/>
  </r>
  <r>
    <n v="7"/>
    <m/>
    <x v="3"/>
    <m/>
    <x v="1"/>
    <m/>
    <m/>
    <m/>
    <x v="4"/>
    <m/>
    <x v="4"/>
    <m/>
    <m/>
    <x v="1"/>
    <x v="3"/>
    <s v="#EPARS!"/>
  </r>
  <r>
    <n v="8"/>
    <s v="15/03/2020"/>
    <x v="1"/>
    <n v="1300"/>
    <x v="2"/>
    <s v="lo"/>
    <s v="test "/>
    <n v="1"/>
    <x v="1"/>
    <s v="1.1"/>
    <x v="5"/>
    <s v=""/>
    <s v=""/>
    <x v="0"/>
    <x v="1"/>
    <s v="#EPARS!"/>
  </r>
  <r>
    <n v="9"/>
    <s v="03/03/2020"/>
    <x v="1"/>
    <n v="1"/>
    <x v="0"/>
    <s v="kk"/>
    <s v="test 2"/>
    <n v="2"/>
    <x v="2"/>
    <s v="2.1"/>
    <x v="6"/>
    <s v=""/>
    <s v=""/>
    <x v="0"/>
    <x v="1"/>
    <s v="#EPARS!"/>
  </r>
  <r>
    <n v="10"/>
    <s v="02/02/2020"/>
    <x v="1"/>
    <n v="2"/>
    <x v="0"/>
    <s v="eé"/>
    <s v="dze"/>
    <n v="4"/>
    <x v="5"/>
    <s v="4.2"/>
    <x v="7"/>
    <s v=""/>
    <s v=""/>
    <x v="0"/>
    <x v="0"/>
    <s v="#EPARS!"/>
  </r>
  <r>
    <n v="11"/>
    <s v="01/02/2020"/>
    <x v="1"/>
    <n v="1"/>
    <x v="0"/>
    <s v="ee"/>
    <s v="test 3"/>
    <n v="1"/>
    <x v="1"/>
    <s v="1.1"/>
    <x v="5"/>
    <s v=""/>
    <s v=""/>
    <x v="0"/>
    <x v="0"/>
    <s v="#EPARS!"/>
  </r>
  <r>
    <n v="12"/>
    <s v="02/02/2020"/>
    <x v="1"/>
    <n v="1200"/>
    <x v="0"/>
    <s v="daz"/>
    <s v="jfoz"/>
    <n v="1"/>
    <x v="1"/>
    <s v="1.3"/>
    <x v="8"/>
    <s v=""/>
    <s v=""/>
    <x v="0"/>
    <x v="0"/>
    <s v="#EPARS!"/>
  </r>
  <r>
    <n v="13"/>
    <s v="02/02/2020"/>
    <x v="0"/>
    <n v="100"/>
    <x v="0"/>
    <s v="test"/>
    <s v="test d'entrée"/>
    <n v="1"/>
    <x v="0"/>
    <s v="1.1"/>
    <x v="9"/>
    <s v=""/>
    <s v=""/>
    <x v="0"/>
    <x v="0"/>
    <s v="#EPARS!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B4:F34" firstHeaderRow="1" firstDataRow="2" firstDataCol="1"/>
  <pivotFields count="16">
    <pivotField subtotalTop="0" showAll="0"/>
    <pivotField numFmtId="14" subtotalTop="0" showAll="0"/>
    <pivotField axis="axisRow" subtotalTop="0" showAll="0">
      <items count="7">
        <item x="2"/>
        <item x="1"/>
        <item h="1" f="1" x="5"/>
        <item h="1" f="1" x="4"/>
        <item x="0"/>
        <item h="1" x="3"/>
        <item t="default"/>
      </items>
    </pivotField>
    <pivotField dataField="1" numFmtId="165" subtotalTop="0" showAll="0"/>
    <pivotField subtotalTop="0" showAll="0">
      <items count="4">
        <item x="2"/>
        <item x="0"/>
        <item x="1"/>
        <item t="default"/>
      </items>
    </pivotField>
    <pivotField subtotalTop="0" showAll="0"/>
    <pivotField subtotalTop="0" showAll="0"/>
    <pivotField subtotalTop="0" showAll="0"/>
    <pivotField axis="axisRow" subtotalTop="0" showAll="0">
      <items count="7">
        <item x="3"/>
        <item x="1"/>
        <item x="2"/>
        <item x="0"/>
        <item x="4"/>
        <item x="5"/>
        <item t="default"/>
      </items>
    </pivotField>
    <pivotField subtotalTop="0" showAll="0"/>
    <pivotField axis="axisRow" subtotalTop="0" showAll="0">
      <items count="11">
        <item x="2"/>
        <item x="0"/>
        <item x="1"/>
        <item x="3"/>
        <item x="4"/>
        <item x="5"/>
        <item x="6"/>
        <item x="7"/>
        <item x="8"/>
        <item x="9"/>
        <item t="default"/>
      </items>
    </pivotField>
    <pivotField subtotalTop="0" showAll="0"/>
    <pivotField subtotalTop="0" showAll="0"/>
    <pivotField subtotalTop="0" showAll="0">
      <items count="3">
        <item x="1"/>
        <item x="0"/>
        <item t="default"/>
      </items>
    </pivotField>
    <pivotField axis="axisCol" subtotalTop="0" showAll="0">
      <items count="5">
        <item x="0"/>
        <item x="1"/>
        <item x="2"/>
        <item x="3"/>
        <item t="default"/>
      </items>
    </pivotField>
    <pivotField subtotalTop="0" showAll="0"/>
  </pivotFields>
  <rowFields count="3">
    <field x="2"/>
    <field x="8"/>
    <field x="10"/>
  </rowFields>
  <rowItems count="29">
    <i>
      <x/>
    </i>
    <i r="1">
      <x v="2"/>
    </i>
    <i r="2">
      <x/>
    </i>
    <i t="default" r="1">
      <x v="2"/>
    </i>
    <i t="default">
      <x/>
    </i>
    <i>
      <x v="1"/>
    </i>
    <i r="1">
      <x/>
    </i>
    <i r="2">
      <x v="3"/>
    </i>
    <i t="default" r="1">
      <x/>
    </i>
    <i r="1">
      <x v="1"/>
    </i>
    <i r="2">
      <x v="2"/>
    </i>
    <i r="2">
      <x v="5"/>
    </i>
    <i r="2">
      <x v="8"/>
    </i>
    <i t="default" r="1">
      <x v="1"/>
    </i>
    <i r="1">
      <x v="2"/>
    </i>
    <i r="2">
      <x/>
    </i>
    <i r="2">
      <x v="6"/>
    </i>
    <i t="default" r="1">
      <x v="2"/>
    </i>
    <i r="1">
      <x v="5"/>
    </i>
    <i r="2">
      <x v="7"/>
    </i>
    <i t="default" r="1">
      <x v="5"/>
    </i>
    <i t="default">
      <x v="1"/>
    </i>
    <i>
      <x v="4"/>
    </i>
    <i r="1">
      <x v="3"/>
    </i>
    <i r="2">
      <x v="1"/>
    </i>
    <i r="2">
      <x v="9"/>
    </i>
    <i t="default" r="1">
      <x v="3"/>
    </i>
    <i t="default">
      <x v="4"/>
    </i>
    <i t="grand">
      <x/>
    </i>
  </rowItems>
  <colFields count="1">
    <field x="14"/>
  </colFields>
  <colItems count="4">
    <i>
      <x/>
    </i>
    <i>
      <x v="1"/>
    </i>
    <i>
      <x v="2"/>
    </i>
    <i t="grand">
      <x/>
    </i>
  </colItems>
  <dataFields count="1">
    <dataField name="Somme de somme" fld="3" baseField="2" baseItem="0" numFmtId="164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2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showDrill="0" colGrandTotals="0" itemPrintTitles="1" createdVersion="6" indent="0" showHeaders="0" outline="1" outlineData="1" multipleFieldFilters="0">
  <location ref="S8:T11" firstHeaderRow="1" firstDataRow="2" firstDataCol="1"/>
  <pivotFields count="16">
    <pivotField showAll="0"/>
    <pivotField numFmtId="14" showAll="0"/>
    <pivotField axis="axisCol" showAll="0">
      <items count="7">
        <item h="1" x="2"/>
        <item h="1" x="1"/>
        <item x="0"/>
        <item h="1" f="1" x="5"/>
        <item h="1" f="1" x="4"/>
        <item h="1" x="3"/>
        <item t="default"/>
      </items>
    </pivotField>
    <pivotField dataField="1" numFmtId="165" showAll="0"/>
    <pivotField showAll="0">
      <items count="4">
        <item x="2"/>
        <item x="0"/>
        <item x="1"/>
        <item t="default"/>
      </items>
    </pivotField>
    <pivotField showAll="0"/>
    <pivotField showAll="0"/>
    <pivotField showAll="0"/>
    <pivotField axis="axisRow" showAll="0">
      <items count="7">
        <item x="3"/>
        <item x="1"/>
        <item x="2"/>
        <item x="0"/>
        <item x="4"/>
        <item x="5"/>
        <item t="default"/>
      </items>
    </pivotField>
    <pivotField showAll="0"/>
    <pivotField showAll="0"/>
    <pivotField showAll="0"/>
    <pivotField showAll="0"/>
    <pivotField showAll="0">
      <items count="3">
        <item x="1"/>
        <item x="0"/>
        <item t="default"/>
      </items>
    </pivotField>
    <pivotField showAll="0">
      <items count="5">
        <item x="3"/>
        <item x="0"/>
        <item x="1"/>
        <item x="2"/>
        <item t="default"/>
      </items>
    </pivotField>
    <pivotField showAll="0"/>
  </pivotFields>
  <rowFields count="1">
    <field x="8"/>
  </rowFields>
  <rowItems count="2">
    <i>
      <x v="3"/>
    </i>
    <i t="grand">
      <x/>
    </i>
  </rowItems>
  <colFields count="1">
    <field x="2"/>
  </colFields>
  <colItems count="1">
    <i>
      <x v="2"/>
    </i>
  </colItems>
  <dataFields count="1">
    <dataField name="Somme de somme" fld="3" baseField="8" baseItem="3" numFmtId="164"/>
  </dataFields>
  <formats count="8">
    <format dxfId="14">
      <pivotArea type="origin" dataOnly="0" labelOnly="1" outline="0" fieldPosition="0"/>
    </format>
    <format dxfId="13">
      <pivotArea type="topRight" dataOnly="0" labelOnly="1" outline="0" fieldPosition="0"/>
    </format>
    <format dxfId="12">
      <pivotArea dataOnly="0" labelOnly="1" fieldPosition="0">
        <references count="1">
          <reference field="2" count="0"/>
        </references>
      </pivotArea>
    </format>
    <format dxfId="11">
      <pivotArea dataOnly="0" labelOnly="1" grandCol="1" outline="0" fieldPosition="0"/>
    </format>
    <format dxfId="10">
      <pivotArea type="origin" dataOnly="0" labelOnly="1" outline="0" fieldPosition="0"/>
    </format>
    <format dxfId="9">
      <pivotArea type="topRight" dataOnly="0" labelOnly="1" outline="0" fieldPosition="0"/>
    </format>
    <format dxfId="8">
      <pivotArea dataOnly="0" labelOnly="1" fieldPosition="0">
        <references count="1">
          <reference field="2" count="0"/>
        </references>
      </pivotArea>
    </format>
    <format dxfId="7">
      <pivotArea dataOnly="0" labelOnly="1" grandCol="1" outline="0" fieldPosition="0"/>
    </format>
  </formats>
  <pivotTableStyleInfo name="PivotStyleLight1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showDrill="0" colGrandTotals="0" itemPrintTitles="1" createdVersion="6" indent="0" showHeaders="0" outline="1" outlineData="1" multipleFieldFilters="0" chartFormat="4">
  <location ref="J8:L14" firstHeaderRow="1" firstDataRow="2" firstDataCol="1"/>
  <pivotFields count="16">
    <pivotField showAll="0"/>
    <pivotField numFmtId="14" showAll="0"/>
    <pivotField axis="axisCol" showAll="0">
      <items count="7">
        <item x="1"/>
        <item h="1" x="0"/>
        <item x="2"/>
        <item h="1" f="1" x="5"/>
        <item h="1" f="1" x="4"/>
        <item h="1" x="3"/>
        <item t="default"/>
      </items>
    </pivotField>
    <pivotField dataField="1" numFmtId="165" showAll="0"/>
    <pivotField showAll="0">
      <items count="4">
        <item x="2"/>
        <item x="0"/>
        <item x="1"/>
        <item t="default"/>
      </items>
    </pivotField>
    <pivotField showAll="0"/>
    <pivotField showAll="0"/>
    <pivotField showAll="0"/>
    <pivotField axis="axisRow" showAll="0">
      <items count="7">
        <item x="1"/>
        <item x="2"/>
        <item x="0"/>
        <item x="3"/>
        <item x="4"/>
        <item x="5"/>
        <item t="default"/>
      </items>
    </pivotField>
    <pivotField showAll="0"/>
    <pivotField showAll="0"/>
    <pivotField showAll="0"/>
    <pivotField showAll="0"/>
    <pivotField showAll="0">
      <items count="3">
        <item x="1"/>
        <item x="0"/>
        <item t="default"/>
      </items>
    </pivotField>
    <pivotField showAll="0">
      <items count="5">
        <item x="3"/>
        <item x="0"/>
        <item x="1"/>
        <item x="2"/>
        <item t="default"/>
      </items>
    </pivotField>
    <pivotField showAll="0"/>
  </pivotFields>
  <rowFields count="1">
    <field x="8"/>
  </rowFields>
  <rowItems count="5">
    <i>
      <x/>
    </i>
    <i>
      <x v="1"/>
    </i>
    <i>
      <x v="3"/>
    </i>
    <i>
      <x v="5"/>
    </i>
    <i t="grand">
      <x/>
    </i>
  </rowItems>
  <colFields count="1">
    <field x="2"/>
  </colFields>
  <colItems count="2">
    <i>
      <x/>
    </i>
    <i>
      <x v="2"/>
    </i>
  </colItems>
  <dataFields count="1">
    <dataField name="Somme de somme" fld="3" baseField="8" baseItem="0" numFmtId="164"/>
  </dataFields>
  <formats count="2">
    <format dxfId="16">
      <pivotArea dataOnly="0" labelOnly="1" fieldPosition="0">
        <references count="1">
          <reference field="2" count="0"/>
        </references>
      </pivotArea>
    </format>
    <format dxfId="15">
      <pivotArea dataOnly="0" labelOnly="1" fieldPosition="0">
        <references count="1">
          <reference field="2" count="0"/>
        </references>
      </pivotArea>
    </format>
  </formats>
  <conditionalFormats count="1">
    <conditionalFormat priority="1">
      <pivotAreas count="1">
        <pivotArea type="data" collapsedLevelsAreSubtotals="1" fieldPosition="0">
          <references count="3">
            <reference field="4294967294" count="1" selected="0">
              <x v="0"/>
            </reference>
            <reference field="2" count="1" selected="0">
              <x v="0"/>
            </reference>
            <reference field="8" count="3">
              <x v="0"/>
              <x v="1"/>
              <x v="3"/>
            </reference>
          </references>
        </pivotArea>
      </pivotAreas>
    </conditionalFormat>
  </conditionalFormats>
  <chartFormats count="13">
    <chartFormat chart="3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3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3" format="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3" format="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3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5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8" count="1" selected="0">
            <x v="0"/>
          </reference>
        </references>
      </pivotArea>
    </chartFormat>
    <chartFormat chart="3" format="6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8" count="1" selected="0">
            <x v="1"/>
          </reference>
        </references>
      </pivotArea>
    </chartFormat>
    <chartFormat chart="3" format="7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8" count="1" selected="0">
            <x v="3"/>
          </reference>
        </references>
      </pivotArea>
    </chartFormat>
    <chartFormat chart="3" format="8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8" count="1" selected="0">
            <x v="0"/>
          </reference>
        </references>
      </pivotArea>
    </chartFormat>
    <chartFormat chart="3" format="9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8" count="1" selected="0">
            <x v="1"/>
          </reference>
        </references>
      </pivotArea>
    </chartFormat>
    <chartFormat chart="3" format="10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8" count="1" selected="0">
            <x v="3"/>
          </reference>
        </references>
      </pivotArea>
    </chartFormat>
    <chartFormat chart="3" format="11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8" count="1" selected="0">
            <x v="5"/>
          </reference>
        </references>
      </pivotArea>
    </chartFormat>
    <chartFormat chart="3" format="12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8" count="1" selected="0">
            <x v="5"/>
          </reference>
        </references>
      </pivotArea>
    </chartFormat>
  </chartFormats>
  <pivotTableStyleInfo name="PivotStyleLight1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6" minRefreshableVersion="3" colGrandTotals="0" itemPrintTitles="1" createdVersion="6" indent="0" showHeaders="0" outline="1" outlineData="1" multipleFieldFilters="0">
  <location ref="B20:D33" firstHeaderRow="1" firstDataRow="2" firstDataCol="1"/>
  <pivotFields count="16">
    <pivotField showAll="0"/>
    <pivotField numFmtId="14" showAll="0"/>
    <pivotField axis="axisCol" showAll="0">
      <items count="7">
        <item h="1" f="1" x="4"/>
        <item x="2"/>
        <item h="1" f="1" x="5"/>
        <item x="1"/>
        <item h="1" x="0"/>
        <item h="1" x="3"/>
        <item t="default"/>
      </items>
    </pivotField>
    <pivotField dataField="1" numFmtId="165" showAll="0"/>
    <pivotField showAll="0">
      <items count="4">
        <item x="2"/>
        <item x="0"/>
        <item x="1"/>
        <item t="default"/>
      </items>
    </pivotField>
    <pivotField showAll="0"/>
    <pivotField showAll="0"/>
    <pivotField showAll="0"/>
    <pivotField axis="axisRow" showAll="0">
      <items count="7">
        <item x="3"/>
        <item x="1"/>
        <item x="2"/>
        <item x="0"/>
        <item x="4"/>
        <item x="5"/>
        <item t="default"/>
      </items>
    </pivotField>
    <pivotField showAll="0"/>
    <pivotField axis="axisRow" showAll="0">
      <items count="11">
        <item x="2"/>
        <item x="0"/>
        <item x="1"/>
        <item x="3"/>
        <item x="4"/>
        <item x="5"/>
        <item x="6"/>
        <item x="7"/>
        <item x="8"/>
        <item x="9"/>
        <item t="default"/>
      </items>
    </pivotField>
    <pivotField showAll="0"/>
    <pivotField showAll="0"/>
    <pivotField showAll="0">
      <items count="3">
        <item x="1"/>
        <item x="0"/>
        <item t="default"/>
      </items>
    </pivotField>
    <pivotField showAll="0">
      <items count="5">
        <item x="3"/>
        <item x="0"/>
        <item x="1"/>
        <item x="2"/>
        <item t="default"/>
      </items>
    </pivotField>
    <pivotField showAll="0"/>
  </pivotFields>
  <rowFields count="2">
    <field x="8"/>
    <field x="10"/>
  </rowFields>
  <rowItems count="12">
    <i>
      <x/>
    </i>
    <i r="1">
      <x v="3"/>
    </i>
    <i>
      <x v="1"/>
    </i>
    <i r="1">
      <x v="2"/>
    </i>
    <i r="1">
      <x v="5"/>
    </i>
    <i r="1">
      <x v="8"/>
    </i>
    <i>
      <x v="2"/>
    </i>
    <i r="1">
      <x/>
    </i>
    <i r="1">
      <x v="6"/>
    </i>
    <i>
      <x v="5"/>
    </i>
    <i r="1">
      <x v="7"/>
    </i>
    <i t="grand">
      <x/>
    </i>
  </rowItems>
  <colFields count="1">
    <field x="2"/>
  </colFields>
  <colItems count="2">
    <i>
      <x v="1"/>
    </i>
    <i>
      <x v="3"/>
    </i>
  </colItems>
  <dataFields count="1">
    <dataField name="Somme de somme" fld="3" baseField="10" baseItem="2" numFmtId="164"/>
  </dataFields>
  <formats count="6">
    <format dxfId="22">
      <pivotArea outline="0" collapsedLevelsAreSubtotals="1" fieldPosition="0"/>
    </format>
    <format dxfId="21">
      <pivotArea type="topRight" dataOnly="0" labelOnly="1" outline="0" fieldPosition="0"/>
    </format>
    <format dxfId="20">
      <pivotArea dataOnly="0" labelOnly="1" fieldPosition="0">
        <references count="1">
          <reference field="2" count="0"/>
        </references>
      </pivotArea>
    </format>
    <format dxfId="19">
      <pivotArea outline="0" collapsedLevelsAreSubtotals="1" fieldPosition="0"/>
    </format>
    <format dxfId="18">
      <pivotArea type="topRight" dataOnly="0" labelOnly="1" outline="0" fieldPosition="0"/>
    </format>
    <format dxfId="17">
      <pivotArea dataOnly="0" labelOnly="1" fieldPosition="0">
        <references count="1">
          <reference field="2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mpte" sourceName="compte ">
  <pivotTables>
    <pivotTable tabId="5" name="Tableau croisé dynamique1"/>
    <pivotTable tabId="5" name="Tableau croisé dynamique2"/>
    <pivotTable tabId="5" name="Tableau croisé dynamique3"/>
    <pivotTable tabId="6" name="Tableau croisé dynamique4"/>
  </pivotTables>
  <data>
    <tabular pivotCacheId="24192701">
      <items count="3">
        <i x="2" s="1"/>
        <i x="0" s="1"/>
        <i x="1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" sourceName="année">
  <pivotTables>
    <pivotTable tabId="5" name="Tableau croisé dynamique1"/>
    <pivotTable tabId="5" name="Tableau croisé dynamique2"/>
    <pivotTable tabId="5" name="Tableau croisé dynamique3"/>
    <pivotTable tabId="6" name="Tableau croisé dynamique4"/>
  </pivotTables>
  <data>
    <tabular pivotCacheId="24192701">
      <items count="2">
        <i x="0" s="1"/>
        <i x="1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pivotTables>
    <pivotTable tabId="5" name="Tableau croisé dynamique1"/>
    <pivotTable tabId="5" name="Tableau croisé dynamique2"/>
    <pivotTable tabId="5" name="Tableau croisé dynamique3"/>
    <pivotTable tabId="6" name="Tableau croisé dynamique4"/>
  </pivotTables>
  <data>
    <tabular pivotCacheId="24192701">
      <items count="4">
        <i x="0" s="1"/>
        <i x="1" s="1"/>
        <i x="2" s="1"/>
        <i x="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ompte " cache="Segment_compte" caption="compte " rowHeight="241300"/>
  <slicer name="année" cache="Segment_année" caption="année" rowHeight="241300"/>
  <slicer name="mois" cache="Segment_mois" caption="mois" rowHeight="241300"/>
</slicers>
</file>

<file path=xl/tables/table1.xml><?xml version="1.0" encoding="utf-8"?>
<table xmlns="http://schemas.openxmlformats.org/spreadsheetml/2006/main" id="1" name="Tableau1" displayName="Tableau1" ref="B4:C14" totalsRowShown="0">
  <autoFilter ref="B4:C14"/>
  <tableColumns count="2">
    <tableColumn id="1" name="ID" dataDxfId="30"/>
    <tableColumn id="2" name="Catégorie 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25:C29" totalsRowShown="0" tableBorderDxfId="29">
  <autoFilter ref="B25:C29"/>
  <tableColumns count="2">
    <tableColumn id="1" name="ID" dataDxfId="28"/>
    <tableColumn id="2" name="Catégorie 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E4:F17" totalsRowShown="0">
  <autoFilter ref="E4:F17"/>
  <tableColumns count="2">
    <tableColumn id="1" name="ID"/>
    <tableColumn id="2" name="Sous- catégorie 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H4:I13" totalsRowShown="0">
  <autoFilter ref="H4:I13"/>
  <tableColumns count="2">
    <tableColumn id="1" name="ID"/>
    <tableColumn id="2" name="Sous-catégorie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7" name="Tableau7" displayName="Tableau7" ref="K4:L7" totalsRowShown="0">
  <autoFilter ref="K4:L7"/>
  <tableColumns count="2">
    <tableColumn id="1" name="ID"/>
    <tableColumn id="2" name="sous- catégorie 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id="8" name="Tableau8" displayName="Tableau8" ref="N4:O9" totalsRowShown="0">
  <autoFilter ref="N4:O9"/>
  <tableColumns count="2">
    <tableColumn id="1" name="ID"/>
    <tableColumn id="2" name="sous- catégorie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id="9" name="Tableau9" displayName="Tableau9" ref="Q4:R10" totalsRowShown="0" tableBorderDxfId="27">
  <autoFilter ref="Q4:R10"/>
  <tableColumns count="2">
    <tableColumn id="1" name="ID"/>
    <tableColumn id="2" name="sous-catégorie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id="10" name="Tableau10" displayName="Tableau10" ref="T4:U12" totalsRowShown="0">
  <autoFilter ref="T4:U12"/>
  <tableColumns count="2">
    <tableColumn id="1" name="ID"/>
    <tableColumn id="2" name="sous- catégorie "/>
  </tableColumns>
  <tableStyleInfo name="TableStyleMedium1" showFirstColumn="0" showLastColumn="0" showRowStripes="1" showColumnStripes="0"/>
</table>
</file>

<file path=xl/tables/table9.xml><?xml version="1.0" encoding="utf-8"?>
<table xmlns="http://schemas.openxmlformats.org/spreadsheetml/2006/main" id="11" name="Tableau11" displayName="Tableau11" ref="W4:X8" totalsRowShown="0" tableBorderDxfId="26">
  <autoFilter ref="W4:X8"/>
  <tableColumns count="2">
    <tableColumn id="1" name="ID"/>
    <tableColumn id="2" name="sous- catégorie"/>
  </tableColumns>
  <tableStyleInfo name="TableStyleMedium1" showFirstColumn="0" showLastColumn="0" showRowStripes="1" showColumnStripes="0"/>
</table>
</file>

<file path=xl/tables/table10.xml><?xml version="1.0" encoding="utf-8"?>
<table xmlns="http://schemas.openxmlformats.org/spreadsheetml/2006/main" id="12" name="Tableau12" displayName="Tableau12" ref="E25:F29" totalsRowShown="0">
  <autoFilter ref="E25:F29"/>
  <tableColumns count="2">
    <tableColumn id="1" name="ID"/>
    <tableColumn id="2" name="sous- catégorie"/>
  </tableColumns>
  <tableStyleInfo name="TableStyleMedium1" showFirstColumn="0" showLastColumn="0" showRowStripes="1" showColumnStripes="0"/>
</table>
</file>

<file path=xl/tables/table11.xml><?xml version="1.0" encoding="utf-8"?>
<table xmlns="http://schemas.openxmlformats.org/spreadsheetml/2006/main" id="13" name="Tableau13" displayName="Tableau13" ref="H25:I29" totalsRowShown="0">
  <autoFilter ref="H25:I29"/>
  <tableColumns count="2">
    <tableColumn id="1" name="ID"/>
    <tableColumn id="2" name="sous- catégorie "/>
  </tableColumns>
  <tableStyleInfo name="TableStyleMedium1" showFirstColumn="0" showLastColumn="0" showRowStripes="1" showColumnStripes="0"/>
</table>
</file>

<file path=xl/tables/table12.xml><?xml version="1.0" encoding="utf-8"?>
<table xmlns="http://schemas.openxmlformats.org/spreadsheetml/2006/main" id="16" name="Tableau16" displayName="Tableau16" ref="B2:Q15" totalsRowShown="0">
  <tableColumns count="16">
    <tableColumn id="1" name="ID">
      <calculatedColumnFormula>ROW(B3)-2</calculatedColumnFormula>
    </tableColumn>
    <tableColumn id="2" name="date " dataDxfId="25"/>
    <tableColumn id="3" name="type"/>
    <tableColumn id="4" name="somme" dataDxfId="24"/>
    <tableColumn id="5" name="compte "/>
    <tableColumn id="6" name="Du/Au"/>
    <tableColumn id="7" name="Description"/>
    <tableColumn id="8" name="Catid"/>
    <tableColumn id="9" name="catégorie">
      <calculatedColumnFormula>IFERROR(IF(OR(Tableau16[[#This Row],[type]]="dépenses",Tableau16[[#This Row],[type]]="budget"),VLOOKUP(Tableau16[[#This Row],[Catid]],dépenses,2,0),IF(Tableau16[[#This Row],[type]]="recettes",VLOOKUP(Tableau16[[#This Row],[Catid]],recettes,2,0),"")),"")</calculatedColumnFormula>
    </tableColumn>
    <tableColumn id="10" name="subid"/>
    <tableColumn id="11" name="sous- catégorie" dataDxfId="23">
      <calculatedColumnFormula>IFERROR(IF(OR(Tableau16[[#This Row],[type]]="dépenses",Tableau16[[#This Row],[type]]="budget"),VLOOKUP(Tableau16[[#This Row],[subid]],INDIRECT("dépenses"&amp;Tableau16[[#This Row],[Catid]]),2,0),IF(Tableau16[[#This Row],[type]]="recettes",VLOOKUP(Tableau16[[#This Row],[subid]],INDIRECT("recettes"&amp;Tableau16[[#This Row],[Catid]]),2,0),"")),"")</calculatedColumnFormula>
    </tableColumn>
    <tableColumn id="12" name="référence"/>
    <tableColumn id="13" name="commentaires"/>
    <tableColumn id="14" name="année">
      <calculatedColumnFormula>YEAR(C3)</calculatedColumnFormula>
    </tableColumn>
    <tableColumn id="15" name="mois">
      <calculatedColumnFormula>TEXT(C3,"mmmm")</calculatedColumnFormula>
    </tableColumn>
    <tableColumn id="16" name="recherche ">
      <calculatedColumnFormula array="1">CONCATENATE(TEXT(Tableau16[[date ]],"jj/mm/aaaa")," ",Tableau16[[#This Row],[type]]," ",Tableau16[[#This Row],[somme]]," ",Tableau16[[#This Row],[compte ]]," ",Tableau16[[#This Row],[Du/Au]]," ",Tableau16[[#This Row],[Description]]," ",Tableau16[[#This Row],[catégorie]]," ",Tableau16[[#This Row],[sous- catégorie]]," ",Tableau16[[#This Row],[référence]]," ",Tableau16[[#This Row],[commentaires]]," ",Tableau16[[#This Row],[année]]," ",Tableau16[[#This Row],[mois]])</calculatedColumnFormula>
    </tableColumn>
  </tableColumns>
  <tableStyleInfo name="TableStyleMedium1" showFirstColumn="0" showLastColumn="0" showRowStripes="1" showColumnStripes="0"/>
</table>
</file>

<file path=xl/tables/table13.xml><?xml version="1.0" encoding="utf-8"?>
<table xmlns="http://schemas.openxmlformats.org/spreadsheetml/2006/main" id="14" name="Tableau14" displayName="Tableau14" ref="B3:B7" totalsRowShown="0">
  <autoFilter ref="B3:B7"/>
  <tableColumns count="1">
    <tableColumn id="1" name="type"/>
  </tableColumns>
  <tableStyleInfo name="TableStyleMedium1" showFirstColumn="0" showLastColumn="0" showRowStripes="1" showColumnStripes="0"/>
</table>
</file>

<file path=xl/tables/table14.xml><?xml version="1.0" encoding="utf-8"?>
<table xmlns="http://schemas.openxmlformats.org/spreadsheetml/2006/main" id="15" name="Tableau15" displayName="Tableau15" ref="B4:F5" totalsRowShown="0" headerRowDxfId="6" dataDxfId="5">
  <autoFilter ref="B4:F5"/>
  <tableColumns count="5">
    <tableColumn id="1" name="ID" dataDxfId="4">
      <calculatedColumnFormula>ROW(B5)-4</calculatedColumnFormula>
    </tableColumn>
    <tableColumn id="2" name="compte " dataDxfId="3"/>
    <tableColumn id="3" name="départ" dataDxfId="2"/>
    <tableColumn id="4" name="calculé" dataDxfId="1">
      <calculatedColumnFormula array="1">SUM(SUMIFS(Tableau16[somme],Tableau16[type],{"recettes";"transfert"},Tableau16[[compte ]],compte!C5))-SUMIFS(Tableau16[somme],Tableau16[[compte ]],compte!C5,Tableau16[type],"dépenses")</calculatedColumnFormula>
    </tableColumn>
    <tableColumn id="5" name="solde " dataDxfId="0">
      <calculatedColumnFormula>Tableau15[[#This Row],[départ]]+Tableau15[[#This Row],[calculé]]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6" Type="http://schemas.microsoft.com/office/2007/relationships/slicer" Target="../slicers/slicer1.x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29"/>
  <sheetViews>
    <sheetView showGridLines="0" topLeftCell="A10" workbookViewId="0">
      <selection activeCell="I18" sqref="I18"/>
    </sheetView>
  </sheetViews>
  <sheetFormatPr baseColWidth="10" defaultRowHeight="15" x14ac:dyDescent="0.25"/>
  <cols>
    <col min="2" max="2" width="4.85546875" style="1" customWidth="1"/>
    <col min="3" max="3" width="25.7109375" customWidth="1"/>
    <col min="5" max="5" width="5.140625" bestFit="1" customWidth="1"/>
    <col min="6" max="6" width="25.7109375" customWidth="1"/>
    <col min="8" max="8" width="5" customWidth="1"/>
    <col min="9" max="9" width="25.7109375" customWidth="1"/>
    <col min="11" max="11" width="5" customWidth="1"/>
    <col min="12" max="12" width="25.7109375" customWidth="1"/>
    <col min="14" max="14" width="5" customWidth="1"/>
    <col min="15" max="15" width="25.7109375" customWidth="1"/>
    <col min="17" max="17" width="5" customWidth="1"/>
    <col min="18" max="18" width="30.85546875" bestFit="1" customWidth="1"/>
    <col min="20" max="20" width="5" customWidth="1"/>
    <col min="21" max="21" width="25.7109375" customWidth="1"/>
    <col min="23" max="23" width="5" customWidth="1"/>
    <col min="24" max="24" width="25.7109375" customWidth="1"/>
  </cols>
  <sheetData>
    <row r="1" spans="2:24" ht="51.75" customHeight="1" thickBot="1" x14ac:dyDescent="0.3"/>
    <row r="2" spans="2:24" x14ac:dyDescent="0.25">
      <c r="B2" s="24" t="s">
        <v>6</v>
      </c>
      <c r="C2" s="25"/>
      <c r="E2" s="30" t="str">
        <f>IFERROR(INDEX(Tableau1[[Catégorie ]],MATCH(1,Tableau1[ID],0)),"")</f>
        <v>Charges restaurant</v>
      </c>
      <c r="F2" s="30"/>
      <c r="H2" s="24" t="str">
        <f>IFERROR(INDEX(Tableau1[[Catégorie ]],MATCH(2,Tableau1[ID],0)),"")</f>
        <v>Fournisseurs</v>
      </c>
      <c r="I2" s="25"/>
      <c r="K2" s="24" t="str">
        <f>IFERROR(INDEX(Tableau1[[Catégorie ]],MATCH(3,Tableau1[ID],0)),"")</f>
        <v>Assurances</v>
      </c>
      <c r="L2" s="25"/>
      <c r="N2" s="24" t="str">
        <f>IFERROR(INDEX(Tableau1[[Catégorie ]],MATCH(4,Tableau1[ID],0)),"")</f>
        <v xml:space="preserve">Frais bancaires </v>
      </c>
      <c r="O2" s="25"/>
      <c r="Q2" s="24" t="str">
        <f>IFERROR(INDEX(Tableau1[[Catégorie ]],MATCH(5,Tableau1[ID],0)),"")</f>
        <v xml:space="preserve">Charges salariales </v>
      </c>
      <c r="R2" s="25"/>
      <c r="T2" s="24" t="str">
        <f>IFERROR(INDEX(Tableau1[[Catégorie ]],MATCH(6,Tableau1[ID],0)),"")</f>
        <v xml:space="preserve">Impots/Taxes </v>
      </c>
      <c r="U2" s="25"/>
      <c r="W2" s="24" t="str">
        <f>IFERROR(INDEX(Tableau1[[Catégorie ]],MATCH(7,Tableau1[ID],0)),"")</f>
        <v xml:space="preserve">Voiture </v>
      </c>
      <c r="X2" s="25"/>
    </row>
    <row r="3" spans="2:24" ht="15.75" thickBot="1" x14ac:dyDescent="0.3">
      <c r="B3" s="28"/>
      <c r="C3" s="29"/>
      <c r="E3" s="30"/>
      <c r="F3" s="30"/>
      <c r="H3" s="28"/>
      <c r="I3" s="29"/>
      <c r="K3" s="28"/>
      <c r="L3" s="29"/>
      <c r="N3" s="28"/>
      <c r="O3" s="29"/>
      <c r="Q3" s="26"/>
      <c r="R3" s="27"/>
      <c r="T3" s="28"/>
      <c r="U3" s="29"/>
      <c r="W3" s="26"/>
      <c r="X3" s="27"/>
    </row>
    <row r="4" spans="2:24" x14ac:dyDescent="0.25">
      <c r="B4" s="1" t="s">
        <v>9</v>
      </c>
      <c r="C4" t="s">
        <v>0</v>
      </c>
      <c r="E4" t="s">
        <v>9</v>
      </c>
      <c r="F4" t="s">
        <v>27</v>
      </c>
      <c r="H4" t="s">
        <v>9</v>
      </c>
      <c r="I4" t="s">
        <v>10</v>
      </c>
      <c r="K4" t="s">
        <v>9</v>
      </c>
      <c r="L4" t="s">
        <v>46</v>
      </c>
      <c r="N4" t="s">
        <v>9</v>
      </c>
      <c r="O4" t="s">
        <v>52</v>
      </c>
      <c r="Q4" t="s">
        <v>9</v>
      </c>
      <c r="R4" t="s">
        <v>66</v>
      </c>
      <c r="T4" t="s">
        <v>9</v>
      </c>
      <c r="U4" t="s">
        <v>46</v>
      </c>
      <c r="W4" t="s">
        <v>9</v>
      </c>
      <c r="X4" t="s">
        <v>52</v>
      </c>
    </row>
    <row r="5" spans="2:24" x14ac:dyDescent="0.25">
      <c r="B5" s="1">
        <v>1</v>
      </c>
      <c r="C5" t="s">
        <v>4</v>
      </c>
      <c r="E5" t="s">
        <v>11</v>
      </c>
      <c r="F5" t="s">
        <v>21</v>
      </c>
      <c r="H5" t="s">
        <v>28</v>
      </c>
      <c r="I5" t="s">
        <v>37</v>
      </c>
      <c r="K5" t="s">
        <v>47</v>
      </c>
      <c r="L5" t="s">
        <v>50</v>
      </c>
      <c r="N5" t="s">
        <v>53</v>
      </c>
      <c r="O5" t="s">
        <v>61</v>
      </c>
      <c r="Q5" t="s">
        <v>67</v>
      </c>
      <c r="R5" t="s">
        <v>73</v>
      </c>
      <c r="T5" t="s">
        <v>80</v>
      </c>
      <c r="U5" t="s">
        <v>92</v>
      </c>
      <c r="W5" t="s">
        <v>103</v>
      </c>
      <c r="X5" t="s">
        <v>104</v>
      </c>
    </row>
    <row r="6" spans="2:24" x14ac:dyDescent="0.25">
      <c r="B6" s="1">
        <v>2</v>
      </c>
      <c r="C6" t="s">
        <v>3</v>
      </c>
      <c r="E6" t="s">
        <v>12</v>
      </c>
      <c r="F6" t="s">
        <v>95</v>
      </c>
      <c r="H6" t="s">
        <v>29</v>
      </c>
      <c r="I6" t="s">
        <v>38</v>
      </c>
      <c r="K6" t="s">
        <v>48</v>
      </c>
      <c r="L6" t="s">
        <v>51</v>
      </c>
      <c r="N6" t="s">
        <v>54</v>
      </c>
      <c r="O6" t="s">
        <v>63</v>
      </c>
      <c r="Q6" t="s">
        <v>68</v>
      </c>
      <c r="R6" t="s">
        <v>74</v>
      </c>
      <c r="T6" t="s">
        <v>81</v>
      </c>
      <c r="U6" t="s">
        <v>85</v>
      </c>
      <c r="W6" t="s">
        <v>109</v>
      </c>
      <c r="X6" t="s">
        <v>105</v>
      </c>
    </row>
    <row r="7" spans="2:24" x14ac:dyDescent="0.25">
      <c r="B7" s="1">
        <v>3</v>
      </c>
      <c r="C7" t="s">
        <v>1</v>
      </c>
      <c r="E7" t="s">
        <v>13</v>
      </c>
      <c r="F7" t="s">
        <v>22</v>
      </c>
      <c r="H7" t="s">
        <v>30</v>
      </c>
      <c r="I7" t="s">
        <v>39</v>
      </c>
      <c r="K7" t="s">
        <v>49</v>
      </c>
      <c r="L7" t="s">
        <v>43</v>
      </c>
      <c r="N7" t="s">
        <v>55</v>
      </c>
      <c r="O7" t="s">
        <v>64</v>
      </c>
      <c r="Q7" t="s">
        <v>69</v>
      </c>
      <c r="R7" t="s">
        <v>75</v>
      </c>
      <c r="T7" t="s">
        <v>82</v>
      </c>
      <c r="U7" t="s">
        <v>90</v>
      </c>
      <c r="W7" t="s">
        <v>110</v>
      </c>
      <c r="X7" t="s">
        <v>108</v>
      </c>
    </row>
    <row r="8" spans="2:24" x14ac:dyDescent="0.25">
      <c r="B8" s="1">
        <v>4</v>
      </c>
      <c r="C8" t="s">
        <v>2</v>
      </c>
      <c r="E8" t="s">
        <v>14</v>
      </c>
      <c r="F8" t="s">
        <v>23</v>
      </c>
      <c r="H8" t="s">
        <v>31</v>
      </c>
      <c r="I8" t="s">
        <v>40</v>
      </c>
      <c r="N8" t="s">
        <v>56</v>
      </c>
      <c r="O8" t="s">
        <v>65</v>
      </c>
      <c r="Q8" t="s">
        <v>70</v>
      </c>
      <c r="R8" t="s">
        <v>76</v>
      </c>
      <c r="T8" t="s">
        <v>83</v>
      </c>
      <c r="U8" t="s">
        <v>87</v>
      </c>
      <c r="W8" t="s">
        <v>112</v>
      </c>
      <c r="X8" t="s">
        <v>111</v>
      </c>
    </row>
    <row r="9" spans="2:24" x14ac:dyDescent="0.25">
      <c r="B9" s="1">
        <v>5</v>
      </c>
      <c r="C9" t="s">
        <v>79</v>
      </c>
      <c r="E9" t="s">
        <v>15</v>
      </c>
      <c r="F9" t="s">
        <v>24</v>
      </c>
      <c r="H9" t="s">
        <v>32</v>
      </c>
      <c r="I9" t="s">
        <v>41</v>
      </c>
      <c r="N9" t="s">
        <v>57</v>
      </c>
      <c r="O9" t="s">
        <v>100</v>
      </c>
      <c r="Q9" t="s">
        <v>71</v>
      </c>
      <c r="R9" t="s">
        <v>77</v>
      </c>
      <c r="T9" t="s">
        <v>93</v>
      </c>
      <c r="U9" t="s">
        <v>88</v>
      </c>
    </row>
    <row r="10" spans="2:24" x14ac:dyDescent="0.25">
      <c r="B10" s="1">
        <v>6</v>
      </c>
      <c r="C10" t="s">
        <v>25</v>
      </c>
      <c r="E10" t="s">
        <v>16</v>
      </c>
      <c r="F10" t="s">
        <v>26</v>
      </c>
      <c r="H10" t="s">
        <v>33</v>
      </c>
      <c r="I10" t="s">
        <v>42</v>
      </c>
      <c r="Q10" t="s">
        <v>72</v>
      </c>
      <c r="R10" t="s">
        <v>84</v>
      </c>
      <c r="T10" t="s">
        <v>94</v>
      </c>
      <c r="U10" t="s">
        <v>91</v>
      </c>
    </row>
    <row r="11" spans="2:24" x14ac:dyDescent="0.25">
      <c r="B11" s="1">
        <v>7</v>
      </c>
      <c r="C11" t="s">
        <v>5</v>
      </c>
      <c r="E11" t="s">
        <v>17</v>
      </c>
      <c r="F11" t="s">
        <v>58</v>
      </c>
      <c r="H11" t="s">
        <v>34</v>
      </c>
      <c r="I11" t="s">
        <v>45</v>
      </c>
      <c r="T11" t="s">
        <v>102</v>
      </c>
      <c r="U11" t="s">
        <v>101</v>
      </c>
    </row>
    <row r="12" spans="2:24" x14ac:dyDescent="0.25">
      <c r="E12" t="s">
        <v>18</v>
      </c>
      <c r="F12" t="s">
        <v>62</v>
      </c>
      <c r="H12" t="s">
        <v>35</v>
      </c>
      <c r="I12" t="s">
        <v>44</v>
      </c>
      <c r="T12" t="s">
        <v>107</v>
      </c>
      <c r="U12" t="s">
        <v>106</v>
      </c>
    </row>
    <row r="13" spans="2:24" x14ac:dyDescent="0.25">
      <c r="E13" t="s">
        <v>19</v>
      </c>
      <c r="F13" t="s">
        <v>59</v>
      </c>
      <c r="H13" t="s">
        <v>36</v>
      </c>
      <c r="I13" t="s">
        <v>99</v>
      </c>
    </row>
    <row r="14" spans="2:24" x14ac:dyDescent="0.25">
      <c r="E14" t="s">
        <v>20</v>
      </c>
      <c r="F14" t="s">
        <v>60</v>
      </c>
    </row>
    <row r="15" spans="2:24" x14ac:dyDescent="0.25">
      <c r="E15" t="s">
        <v>78</v>
      </c>
      <c r="F15" t="s">
        <v>89</v>
      </c>
    </row>
    <row r="16" spans="2:24" x14ac:dyDescent="0.25">
      <c r="E16" t="s">
        <v>96</v>
      </c>
      <c r="F16" t="s">
        <v>86</v>
      </c>
    </row>
    <row r="17" spans="1:9" x14ac:dyDescent="0.25">
      <c r="E17" t="s">
        <v>97</v>
      </c>
      <c r="F17" t="s">
        <v>98</v>
      </c>
    </row>
    <row r="19" spans="1:9" ht="15.75" thickBot="1" x14ac:dyDescent="0.3"/>
    <row r="20" spans="1:9" s="4" customFormat="1" ht="15.75" thickBot="1" x14ac:dyDescent="0.3">
      <c r="A20" s="2"/>
      <c r="B20" s="3"/>
    </row>
    <row r="22" spans="1:9" ht="15.75" thickBot="1" x14ac:dyDescent="0.3"/>
    <row r="23" spans="1:9" x14ac:dyDescent="0.25">
      <c r="B23" s="24" t="s">
        <v>7</v>
      </c>
      <c r="C23" s="25"/>
      <c r="E23" s="24" t="str">
        <f>IFERROR(INDEX(Tableau2[[Catégorie ]],MATCH(1,Tableau2[ID],0)),"")</f>
        <v xml:space="preserve">Tickets restaurant </v>
      </c>
      <c r="F23" s="25"/>
      <c r="H23" s="24" t="str">
        <f>IFERROR(INDEX(Tableau2[[Catégorie ]],MATCH(2,Tableau2[ID],0)),"")</f>
        <v xml:space="preserve">Versement </v>
      </c>
      <c r="I23" s="25"/>
    </row>
    <row r="24" spans="1:9" ht="15.75" thickBot="1" x14ac:dyDescent="0.3">
      <c r="B24" s="26"/>
      <c r="C24" s="27"/>
      <c r="E24" s="28"/>
      <c r="F24" s="29"/>
      <c r="H24" s="28"/>
      <c r="I24" s="29"/>
    </row>
    <row r="25" spans="1:9" x14ac:dyDescent="0.25">
      <c r="B25" s="1" t="s">
        <v>9</v>
      </c>
      <c r="C25" t="s">
        <v>0</v>
      </c>
      <c r="E25" t="s">
        <v>9</v>
      </c>
      <c r="F25" t="s">
        <v>52</v>
      </c>
      <c r="H25" t="s">
        <v>9</v>
      </c>
      <c r="I25" t="s">
        <v>46</v>
      </c>
    </row>
    <row r="26" spans="1:9" x14ac:dyDescent="0.25">
      <c r="B26" s="1">
        <v>1</v>
      </c>
      <c r="C26" t="s">
        <v>8</v>
      </c>
      <c r="E26" t="s">
        <v>11</v>
      </c>
      <c r="F26" t="s">
        <v>113</v>
      </c>
      <c r="H26" t="s">
        <v>28</v>
      </c>
      <c r="I26" t="s">
        <v>117</v>
      </c>
    </row>
    <row r="27" spans="1:9" x14ac:dyDescent="0.25">
      <c r="B27" s="1">
        <v>2</v>
      </c>
      <c r="C27" t="s">
        <v>118</v>
      </c>
      <c r="E27" t="s">
        <v>12</v>
      </c>
      <c r="F27" t="s">
        <v>114</v>
      </c>
      <c r="H27" t="s">
        <v>29</v>
      </c>
      <c r="I27" t="s">
        <v>119</v>
      </c>
    </row>
    <row r="28" spans="1:9" x14ac:dyDescent="0.25">
      <c r="E28" t="s">
        <v>13</v>
      </c>
      <c r="F28" t="s">
        <v>115</v>
      </c>
      <c r="H28" t="s">
        <v>30</v>
      </c>
      <c r="I28" t="s">
        <v>120</v>
      </c>
    </row>
    <row r="29" spans="1:9" x14ac:dyDescent="0.25">
      <c r="E29" t="s">
        <v>14</v>
      </c>
      <c r="F29" t="s">
        <v>116</v>
      </c>
      <c r="H29" t="s">
        <v>31</v>
      </c>
      <c r="I29" t="s">
        <v>121</v>
      </c>
    </row>
  </sheetData>
  <mergeCells count="11">
    <mergeCell ref="B2:C3"/>
    <mergeCell ref="B23:C24"/>
    <mergeCell ref="E2:F3"/>
    <mergeCell ref="H2:I3"/>
    <mergeCell ref="K2:L3"/>
    <mergeCell ref="Q2:R3"/>
    <mergeCell ref="T2:U3"/>
    <mergeCell ref="W2:X3"/>
    <mergeCell ref="E23:F24"/>
    <mergeCell ref="H23:I24"/>
    <mergeCell ref="N2:O3"/>
  </mergeCells>
  <phoneticPr fontId="2" type="noConversion"/>
  <pageMargins left="0.7" right="0.7" top="0.75" bottom="0.75" header="0.3" footer="0.3"/>
  <pageSetup paperSize="9" orientation="portrait" r:id="rId1"/>
  <tableParts count="11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AQ15"/>
  <sheetViews>
    <sheetView showGridLines="0" tabSelected="1" topLeftCell="P1" zoomScaleNormal="100" workbookViewId="0">
      <selection activeCell="W11" sqref="W11"/>
    </sheetView>
  </sheetViews>
  <sheetFormatPr baseColWidth="10" defaultRowHeight="15" x14ac:dyDescent="0.25"/>
  <cols>
    <col min="3" max="3" width="12.5703125" bestFit="1" customWidth="1"/>
    <col min="4" max="4" width="13.42578125" customWidth="1"/>
    <col min="5" max="5" width="15.7109375" customWidth="1"/>
    <col min="6" max="6" width="11.7109375" bestFit="1" customWidth="1"/>
    <col min="8" max="8" width="14.140625" bestFit="1" customWidth="1"/>
    <col min="10" max="10" width="22.7109375" customWidth="1"/>
    <col min="11" max="11" width="8.7109375" bestFit="1" customWidth="1"/>
    <col min="12" max="12" width="17.42578125" customWidth="1"/>
    <col min="13" max="13" width="11.85546875" customWidth="1"/>
    <col min="14" max="14" width="15.85546875" customWidth="1"/>
    <col min="17" max="17" width="93.5703125" bestFit="1" customWidth="1"/>
    <col min="26" max="26" width="17.85546875" customWidth="1"/>
    <col min="29" max="29" width="12.5703125" bestFit="1" customWidth="1"/>
  </cols>
  <sheetData>
    <row r="2" spans="2:43" x14ac:dyDescent="0.25">
      <c r="B2" t="s">
        <v>9</v>
      </c>
      <c r="C2" t="s">
        <v>133</v>
      </c>
      <c r="D2" t="s">
        <v>122</v>
      </c>
      <c r="E2" t="s">
        <v>134</v>
      </c>
      <c r="F2" t="s">
        <v>127</v>
      </c>
      <c r="G2" t="s">
        <v>135</v>
      </c>
      <c r="H2" t="s">
        <v>136</v>
      </c>
      <c r="I2" t="s">
        <v>137</v>
      </c>
      <c r="J2" t="s">
        <v>138</v>
      </c>
      <c r="K2" t="s">
        <v>139</v>
      </c>
      <c r="L2" t="s">
        <v>52</v>
      </c>
      <c r="M2" t="s">
        <v>140</v>
      </c>
      <c r="N2" t="s">
        <v>141</v>
      </c>
      <c r="O2" t="s">
        <v>142</v>
      </c>
      <c r="P2" t="s">
        <v>143</v>
      </c>
      <c r="Q2" t="s">
        <v>144</v>
      </c>
      <c r="Z2" s="23" t="s">
        <v>144</v>
      </c>
      <c r="AB2" s="19" t="s">
        <v>9</v>
      </c>
      <c r="AC2" s="20" t="s">
        <v>133</v>
      </c>
      <c r="AD2" s="20" t="s">
        <v>122</v>
      </c>
      <c r="AE2" s="20" t="s">
        <v>134</v>
      </c>
      <c r="AF2" s="20" t="s">
        <v>127</v>
      </c>
      <c r="AG2" s="20" t="s">
        <v>135</v>
      </c>
      <c r="AH2" s="20" t="s">
        <v>136</v>
      </c>
      <c r="AI2" s="20" t="s">
        <v>137</v>
      </c>
      <c r="AJ2" s="20" t="s">
        <v>138</v>
      </c>
      <c r="AK2" s="20" t="s">
        <v>139</v>
      </c>
      <c r="AL2" s="20" t="s">
        <v>52</v>
      </c>
      <c r="AM2" s="20" t="s">
        <v>140</v>
      </c>
      <c r="AN2" s="20" t="s">
        <v>141</v>
      </c>
      <c r="AO2" s="20" t="s">
        <v>142</v>
      </c>
      <c r="AP2" s="20" t="s">
        <v>143</v>
      </c>
      <c r="AQ2" s="21" t="s">
        <v>144</v>
      </c>
    </row>
    <row r="3" spans="2:43" x14ac:dyDescent="0.25">
      <c r="B3">
        <f t="shared" ref="B3:B8" si="0">ROW(B3)-2</f>
        <v>1</v>
      </c>
      <c r="C3" s="7">
        <v>43862</v>
      </c>
      <c r="D3" t="s">
        <v>124</v>
      </c>
      <c r="E3" s="8">
        <v>1000</v>
      </c>
      <c r="F3" t="s">
        <v>145</v>
      </c>
      <c r="G3">
        <v>2</v>
      </c>
      <c r="H3" t="s">
        <v>146</v>
      </c>
      <c r="I3">
        <v>1</v>
      </c>
      <c r="J3" t="str">
        <f>IFERROR(IF(OR(Tableau16[[#This Row],[type]]="dépenses",Tableau16[[#This Row],[type]]="budget"),VLOOKUP(Tableau16[[#This Row],[Catid]],dépenses,2,0),IF(Tableau16[[#This Row],[type]]="recettes",VLOOKUP(Tableau16[[#This Row],[Catid]],recettes,2,0),"")),"")</f>
        <v xml:space="preserve">Tickets restaurant </v>
      </c>
      <c r="K3" t="s">
        <v>13</v>
      </c>
      <c r="L3" t="str">
        <f ca="1">IFERROR(IF(OR(Tableau16[[#This Row],[type]]="dépenses",Tableau16[[#This Row],[type]]="budget"),VLOOKUP(Tableau16[[#This Row],[subid]],INDIRECT("dépenses"&amp;Tableau16[[#This Row],[Catid]]),2,0),IF(Tableau16[[#This Row],[type]]="recettes",VLOOKUP(Tableau16[[#This Row],[subid]],INDIRECT("recettes"&amp;Tableau16[[#This Row],[Catid]]),2,0),"")),"")</f>
        <v>edenred</v>
      </c>
      <c r="O3">
        <f t="shared" ref="O3:O8" si="1">YEAR(C3)</f>
        <v>2020</v>
      </c>
      <c r="P3" t="str">
        <f t="shared" ref="P3:P8" si="2">TEXT(C3,"mmmm")</f>
        <v>février</v>
      </c>
      <c r="Q3" t="str">
        <f t="array" aca="1" ref="Q3" ca="1">CONCATENATE(TEXT(Tableau16[[date ]],"jj/mm/aaaa")," ",Tableau16[[#This Row],[type]]," ",Tableau16[[#This Row],[somme]]," ",Tableau16[[#This Row],[compte ]]," ",Tableau16[[#This Row],[Du/Au]]," ",Tableau16[[#This Row],[Description]]," ",Tableau16[[#This Row],[catégorie]]," ",Tableau16[[#This Row],[sous- catégorie]]," ",Tableau16[[#This Row],[référence]]," ",Tableau16[[#This Row],[commentaires]]," ",Tableau16[[#This Row],[année]]," ",Tableau16[[#This Row],[mois]])</f>
        <v>01/02/2020 recettes 1000 compte CM 2 test Tickets restaurant  edenred   2020 février</v>
      </c>
      <c r="Z3" s="22"/>
      <c r="AC3" s="7"/>
      <c r="AE3" s="8"/>
      <c r="AL3" s="10"/>
    </row>
    <row r="4" spans="2:43" x14ac:dyDescent="0.25">
      <c r="B4">
        <f t="shared" si="0"/>
        <v>2</v>
      </c>
      <c r="C4" s="7">
        <v>43892</v>
      </c>
      <c r="D4" t="s">
        <v>123</v>
      </c>
      <c r="E4" s="8">
        <v>200</v>
      </c>
      <c r="F4" t="s">
        <v>145</v>
      </c>
      <c r="I4">
        <v>1</v>
      </c>
      <c r="J4" t="str">
        <f>IFERROR(IF(OR(Tableau16[[#This Row],[type]]="dépenses",Tableau16[[#This Row],[type]]="budget"),VLOOKUP(Tableau16[[#This Row],[Catid]],dépenses,2,0),IF(Tableau16[[#This Row],[type]]="recettes",VLOOKUP(Tableau16[[#This Row],[Catid]],recettes,2,0),"")),"")</f>
        <v>Charges restaurant</v>
      </c>
      <c r="K4" t="s">
        <v>12</v>
      </c>
      <c r="L4" t="str">
        <f ca="1">IFERROR(IF(OR(Tableau16[[#This Row],[type]]="dépenses",Tableau16[[#This Row],[type]]="budget"),VLOOKUP(Tableau16[[#This Row],[subid]],INDIRECT("dépenses"&amp;Tableau16[[#This Row],[Catid]]),2,0),IF(Tableau16[[#This Row],[type]]="recettes",VLOOKUP(Tableau16[[#This Row],[subid]],INDIRECT("recettes"&amp;Tableau16[[#This Row],[Catid]]),2,0),"")),"")</f>
        <v xml:space="preserve">Emprunt </v>
      </c>
      <c r="O4">
        <f t="shared" si="1"/>
        <v>2020</v>
      </c>
      <c r="P4" t="str">
        <f t="shared" si="2"/>
        <v>mars</v>
      </c>
      <c r="Q4" t="str">
        <f t="array" aca="1" ref="Q4" ca="1">CONCATENATE(TEXT(Tableau16[[date ]],"jj/mm/aaaa")," ",Tableau16[[#This Row],[type]]," ",Tableau16[[#This Row],[somme]]," ",Tableau16[[#This Row],[compte ]]," ",Tableau16[[#This Row],[Du/Au]]," ",Tableau16[[#This Row],[Description]]," ",Tableau16[[#This Row],[catégorie]]," ",Tableau16[[#This Row],[sous- catégorie]]," ",Tableau16[[#This Row],[référence]]," ",Tableau16[[#This Row],[commentaires]]," ",Tableau16[[#This Row],[année]]," ",Tableau16[[#This Row],[mois]])</f>
        <v>01/02/2020 dépenses 200 compte CM   Charges restaurant Emprunt    2020 mars</v>
      </c>
      <c r="AC4" s="7"/>
      <c r="AE4" s="8"/>
    </row>
    <row r="5" spans="2:43" x14ac:dyDescent="0.25">
      <c r="B5">
        <f t="shared" si="0"/>
        <v>3</v>
      </c>
      <c r="C5" s="7">
        <v>43892</v>
      </c>
      <c r="D5" t="s">
        <v>123</v>
      </c>
      <c r="E5" s="8">
        <v>300</v>
      </c>
      <c r="F5" t="s">
        <v>145</v>
      </c>
      <c r="I5">
        <v>2</v>
      </c>
      <c r="J5" t="str">
        <f>IFERROR(IF(OR(Tableau16[[#This Row],[type]]="dépenses",Tableau16[[#This Row],[type]]="budget"),VLOOKUP(Tableau16[[#This Row],[Catid]],dépenses,2,0),IF(Tableau16[[#This Row],[type]]="recettes",VLOOKUP(Tableau16[[#This Row],[Catid]],recettes,2,0),"")),"")</f>
        <v>Fournisseurs</v>
      </c>
      <c r="K5" t="s">
        <v>29</v>
      </c>
      <c r="L5" t="str">
        <f ca="1">IFERROR(IF(OR(Tableau16[[#This Row],[type]]="dépenses",Tableau16[[#This Row],[type]]="budget"),VLOOKUP(Tableau16[[#This Row],[subid]],INDIRECT("dépenses"&amp;Tableau16[[#This Row],[Catid]]),2,0),IF(Tableau16[[#This Row],[type]]="recettes",VLOOKUP(Tableau16[[#This Row],[subid]],INDIRECT("recettes"&amp;Tableau16[[#This Row],[Catid]]),2,0),"")),"")</f>
        <v xml:space="preserve">boulanger </v>
      </c>
      <c r="O5">
        <f t="shared" si="1"/>
        <v>2020</v>
      </c>
      <c r="P5" t="str">
        <f t="shared" si="2"/>
        <v>mars</v>
      </c>
      <c r="Q5" t="str">
        <f t="array" aca="1" ref="Q5" ca="1">CONCATENATE(TEXT(Tableau16[[date ]],"jj/mm/aaaa")," ",Tableau16[[#This Row],[type]]," ",Tableau16[[#This Row],[somme]]," ",Tableau16[[#This Row],[compte ]]," ",Tableau16[[#This Row],[Du/Au]]," ",Tableau16[[#This Row],[Description]]," ",Tableau16[[#This Row],[catégorie]]," ",Tableau16[[#This Row],[sous- catégorie]]," ",Tableau16[[#This Row],[référence]]," ",Tableau16[[#This Row],[commentaires]]," ",Tableau16[[#This Row],[année]]," ",Tableau16[[#This Row],[mois]])</f>
        <v>01/02/2020 dépenses 300 compte CM   Fournisseurs boulanger    2020 mars</v>
      </c>
      <c r="AC5" s="7"/>
      <c r="AE5" s="8"/>
    </row>
    <row r="6" spans="2:43" x14ac:dyDescent="0.25">
      <c r="B6">
        <f t="shared" si="0"/>
        <v>4</v>
      </c>
      <c r="C6" s="7">
        <v>43892</v>
      </c>
      <c r="D6" t="s">
        <v>125</v>
      </c>
      <c r="E6" s="8">
        <v>300</v>
      </c>
      <c r="F6" t="s">
        <v>145</v>
      </c>
      <c r="H6" t="s">
        <v>153</v>
      </c>
      <c r="I6">
        <v>2</v>
      </c>
      <c r="J6" t="str">
        <f>IFERROR(IF(OR(Tableau16[[#This Row],[type]]="dépenses",Tableau16[[#This Row],[type]]="budget"),VLOOKUP(Tableau16[[#This Row],[Catid]],dépenses,2,0),IF(Tableau16[[#This Row],[type]]="recettes",VLOOKUP(Tableau16[[#This Row],[Catid]],recettes,2,0),"")),"")</f>
        <v>Fournisseurs</v>
      </c>
      <c r="K6" t="s">
        <v>29</v>
      </c>
      <c r="L6" s="10" t="str">
        <f ca="1">IFERROR(IF(OR(Tableau16[[#This Row],[type]]="dépenses",Tableau16[[#This Row],[type]]="budget"),VLOOKUP(Tableau16[[#This Row],[subid]],INDIRECT("dépenses"&amp;Tableau16[[#This Row],[Catid]]),2,0),IF(Tableau16[[#This Row],[type]]="recettes",VLOOKUP(Tableau16[[#This Row],[subid]],INDIRECT("recettes"&amp;Tableau16[[#This Row],[Catid]]),2,0),"")),"")</f>
        <v xml:space="preserve">boulanger </v>
      </c>
      <c r="O6">
        <f t="shared" si="1"/>
        <v>2020</v>
      </c>
      <c r="P6" t="str">
        <f t="shared" si="2"/>
        <v>mars</v>
      </c>
      <c r="Q6" t="str">
        <f t="array" aca="1" ref="Q6" ca="1">CONCATENATE(TEXT(Tableau16[[date ]],"jj/mm/aaaa")," ",Tableau16[[#This Row],[type]]," ",Tableau16[[#This Row],[somme]]," ",Tableau16[[#This Row],[compte ]]," ",Tableau16[[#This Row],[Du/Au]]," ",Tableau16[[#This Row],[Description]]," ",Tableau16[[#This Row],[catégorie]]," ",Tableau16[[#This Row],[sous- catégorie]]," ",Tableau16[[#This Row],[référence]]," ",Tableau16[[#This Row],[commentaires]]," ",Tableau16[[#This Row],[année]]," ",Tableau16[[#This Row],[mois]])</f>
        <v>01/02/2020 budget 300 compte CM  test1 Fournisseurs boulanger    2020 mars</v>
      </c>
      <c r="AC6" s="7"/>
      <c r="AE6" s="8"/>
      <c r="AL6" s="10"/>
    </row>
    <row r="7" spans="2:43" x14ac:dyDescent="0.25">
      <c r="B7">
        <f t="shared" si="0"/>
        <v>5</v>
      </c>
      <c r="C7" s="7">
        <v>43892</v>
      </c>
      <c r="D7" t="s">
        <v>123</v>
      </c>
      <c r="E7" s="8">
        <v>300</v>
      </c>
      <c r="F7" t="s">
        <v>145</v>
      </c>
      <c r="I7">
        <v>2</v>
      </c>
      <c r="J7" t="str">
        <f>IFERROR(IF(OR(Tableau16[[#This Row],[type]]="dépenses",Tableau16[[#This Row],[type]]="budget"),VLOOKUP(Tableau16[[#This Row],[Catid]],dépenses,2,0),IF(Tableau16[[#This Row],[type]]="recettes",VLOOKUP(Tableau16[[#This Row],[Catid]],recettes,2,0),"")),"")</f>
        <v>Fournisseurs</v>
      </c>
      <c r="K7" t="s">
        <v>29</v>
      </c>
      <c r="L7" s="10" t="str">
        <f ca="1">IFERROR(IF(OR(Tableau16[[#This Row],[type]]="dépenses",Tableau16[[#This Row],[type]]="budget"),VLOOKUP(Tableau16[[#This Row],[subid]],INDIRECT("dépenses"&amp;Tableau16[[#This Row],[Catid]]),2,0),IF(Tableau16[[#This Row],[type]]="recettes",VLOOKUP(Tableau16[[#This Row],[subid]],INDIRECT("recettes"&amp;Tableau16[[#This Row],[Catid]]),2,0),"")),"")</f>
        <v xml:space="preserve">boulanger </v>
      </c>
      <c r="O7">
        <f t="shared" si="1"/>
        <v>2020</v>
      </c>
      <c r="P7" t="str">
        <f t="shared" si="2"/>
        <v>mars</v>
      </c>
      <c r="Q7" t="str">
        <f t="array" aca="1" ref="Q7" ca="1">CONCATENATE(TEXT(Tableau16[[date ]],"jj/mm/aaaa")," ",Tableau16[[#This Row],[type]]," ",Tableau16[[#This Row],[somme]]," ",Tableau16[[#This Row],[compte ]]," ",Tableau16[[#This Row],[Du/Au]]," ",Tableau16[[#This Row],[Description]]," ",Tableau16[[#This Row],[catégorie]]," ",Tableau16[[#This Row],[sous- catégorie]]," ",Tableau16[[#This Row],[référence]]," ",Tableau16[[#This Row],[commentaires]]," ",Tableau16[[#This Row],[année]]," ",Tableau16[[#This Row],[mois]])</f>
        <v>01/02/2020 dépenses 300 compte CM   Fournisseurs boulanger    2020 mars</v>
      </c>
      <c r="AC7" s="7"/>
      <c r="AE7" s="8"/>
      <c r="AL7" s="10"/>
    </row>
    <row r="8" spans="2:43" x14ac:dyDescent="0.25">
      <c r="B8">
        <f t="shared" si="0"/>
        <v>6</v>
      </c>
      <c r="C8" s="7">
        <v>43933</v>
      </c>
      <c r="D8" t="s">
        <v>123</v>
      </c>
      <c r="E8" s="8">
        <v>400</v>
      </c>
      <c r="F8" t="s">
        <v>145</v>
      </c>
      <c r="H8" t="s">
        <v>146</v>
      </c>
      <c r="I8">
        <v>3</v>
      </c>
      <c r="J8" t="str">
        <f>IFERROR(IF(OR(Tableau16[[#This Row],[type]]="dépenses",Tableau16[[#This Row],[type]]="budget"),VLOOKUP(Tableau16[[#This Row],[Catid]],dépenses,2,0),IF(Tableau16[[#This Row],[type]]="recettes",VLOOKUP(Tableau16[[#This Row],[Catid]],recettes,2,0),"")),"")</f>
        <v>Assurances</v>
      </c>
      <c r="K8" t="s">
        <v>47</v>
      </c>
      <c r="L8" s="10" t="str">
        <f ca="1">IFERROR(IF(OR(Tableau16[[#This Row],[type]]="dépenses",Tableau16[[#This Row],[type]]="budget"),VLOOKUP(Tableau16[[#This Row],[subid]],INDIRECT("dépenses"&amp;Tableau16[[#This Row],[Catid]]),2,0),IF(Tableau16[[#This Row],[type]]="recettes",VLOOKUP(Tableau16[[#This Row],[subid]],INDIRECT("recettes"&amp;Tableau16[[#This Row],[Catid]]),2,0),"")),"")</f>
        <v>Metlife</v>
      </c>
      <c r="O8">
        <f t="shared" si="1"/>
        <v>2020</v>
      </c>
      <c r="P8" t="str">
        <f t="shared" si="2"/>
        <v>avril</v>
      </c>
      <c r="Q8" t="str">
        <f t="array" aca="1" ref="Q8" ca="1">CONCATENATE(TEXT(Tableau16[[date ]],"jj/mm/aaaa")," ",Tableau16[[#This Row],[type]]," ",Tableau16[[#This Row],[somme]]," ",Tableau16[[#This Row],[compte ]]," ",Tableau16[[#This Row],[Du/Au]]," ",Tableau16[[#This Row],[Description]]," ",Tableau16[[#This Row],[catégorie]]," ",Tableau16[[#This Row],[sous- catégorie]]," ",Tableau16[[#This Row],[référence]]," ",Tableau16[[#This Row],[commentaires]]," ",Tableau16[[#This Row],[année]]," ",Tableau16[[#This Row],[mois]])</f>
        <v>01/02/2020 dépenses 400 compte CM  test Assurances Metlife   2020 avril</v>
      </c>
      <c r="AC8" s="7"/>
      <c r="AE8" s="8"/>
      <c r="AL8" s="10"/>
    </row>
    <row r="9" spans="2:43" x14ac:dyDescent="0.25">
      <c r="B9">
        <f t="shared" ref="B9:B15" si="3">ROW(B9)-2</f>
        <v>7</v>
      </c>
      <c r="C9" s="7"/>
      <c r="E9" s="8"/>
      <c r="J9" t="str">
        <f>IFERROR(IF(OR(Tableau16[[#This Row],[type]]="dépenses",Tableau16[[#This Row],[type]]="budget"),VLOOKUP(Tableau16[[#This Row],[Catid]],dépenses,2,0),IF(Tableau16[[#This Row],[type]]="recettes",VLOOKUP(Tableau16[[#This Row],[Catid]],recettes,2,0),"")),"")</f>
        <v/>
      </c>
      <c r="L9" s="10" t="str">
        <f ca="1">IFERROR(IF(OR(Tableau16[[#This Row],[type]]="dépenses",Tableau16[[#This Row],[type]]="budget"),VLOOKUP(Tableau16[[#This Row],[subid]],INDIRECT("dépenses"&amp;Tableau16[[#This Row],[Catid]]),2,0),IF(Tableau16[[#This Row],[type]]="recettes",VLOOKUP(Tableau16[[#This Row],[subid]],INDIRECT("recettes"&amp;Tableau16[[#This Row],[Catid]]),2,0),"")),"")</f>
        <v/>
      </c>
      <c r="O9">
        <f t="shared" ref="O9:O15" si="4">YEAR(C9)</f>
        <v>1900</v>
      </c>
      <c r="P9" t="str">
        <f t="shared" ref="P9:P15" si="5">TEXT(C9,"mmmm")</f>
        <v>janvier</v>
      </c>
      <c r="Q9" t="str">
        <f t="array" aca="1" ref="Q9" ca="1">CONCATENATE(TEXT(Tableau16[[date ]],"jj/mm/aaaa")," ",Tableau16[[#This Row],[type]]," ",Tableau16[[#This Row],[somme]]," ",Tableau16[[#This Row],[compte ]]," ",Tableau16[[#This Row],[Du/Au]]," ",Tableau16[[#This Row],[Description]]," ",Tableau16[[#This Row],[catégorie]]," ",Tableau16[[#This Row],[sous- catégorie]]," ",Tableau16[[#This Row],[référence]]," ",Tableau16[[#This Row],[commentaires]]," ",Tableau16[[#This Row],[année]]," ",Tableau16[[#This Row],[mois]])</f>
        <v>01/02/2020          1900 janvier</v>
      </c>
      <c r="AC9" s="7"/>
      <c r="AE9" s="8"/>
      <c r="AL9" s="10"/>
    </row>
    <row r="10" spans="2:43" x14ac:dyDescent="0.25">
      <c r="B10">
        <f t="shared" si="3"/>
        <v>8</v>
      </c>
      <c r="C10" s="7" t="s">
        <v>162</v>
      </c>
      <c r="D10" t="s">
        <v>123</v>
      </c>
      <c r="E10" s="8">
        <v>1300</v>
      </c>
      <c r="F10">
        <v>1</v>
      </c>
      <c r="G10" t="s">
        <v>163</v>
      </c>
      <c r="H10" t="s">
        <v>164</v>
      </c>
      <c r="I10">
        <v>1</v>
      </c>
      <c r="J10" t="str">
        <f>IFERROR(IF(OR(Tableau16[[#This Row],[type]]="dépenses",Tableau16[[#This Row],[type]]="budget"),VLOOKUP(Tableau16[[#This Row],[Catid]],dépenses,2,0),IF(Tableau16[[#This Row],[type]]="recettes",VLOOKUP(Tableau16[[#This Row],[Catid]],recettes,2,0),"")),"")</f>
        <v>Charges restaurant</v>
      </c>
      <c r="K10" t="s">
        <v>11</v>
      </c>
      <c r="L10" s="10" t="str">
        <f ca="1">IFERROR(IF(OR(Tableau16[[#This Row],[type]]="dépenses",Tableau16[[#This Row],[type]]="budget"),VLOOKUP(Tableau16[[#This Row],[subid]],INDIRECT("dépenses"&amp;Tableau16[[#This Row],[Catid]]),2,0),IF(Tableau16[[#This Row],[type]]="recettes",VLOOKUP(Tableau16[[#This Row],[subid]],INDIRECT("recettes"&amp;Tableau16[[#This Row],[Catid]]),2,0),"")),"")</f>
        <v xml:space="preserve">loyer </v>
      </c>
      <c r="M10" t="s">
        <v>165</v>
      </c>
      <c r="N10" t="s">
        <v>165</v>
      </c>
      <c r="O10">
        <f t="shared" si="4"/>
        <v>2020</v>
      </c>
      <c r="P10" t="str">
        <f t="shared" si="5"/>
        <v>mars</v>
      </c>
      <c r="Q10" t="str">
        <f t="array" aca="1" ref="Q10" ca="1">CONCATENATE(TEXT(Tableau16[[date ]],"jj/mm/aaaa")," ",Tableau16[[#This Row],[type]]," ",Tableau16[[#This Row],[somme]]," ",Tableau16[[#This Row],[compte ]]," ",Tableau16[[#This Row],[Du/Au]]," ",Tableau16[[#This Row],[Description]]," ",Tableau16[[#This Row],[catégorie]]," ",Tableau16[[#This Row],[sous- catégorie]]," ",Tableau16[[#This Row],[référence]]," ",Tableau16[[#This Row],[commentaires]]," ",Tableau16[[#This Row],[année]]," ",Tableau16[[#This Row],[mois]])</f>
        <v>01/02/2020 dépenses 1300 1 lo test  Charges restaurant loyer    2020 mars</v>
      </c>
      <c r="AC10" s="7"/>
      <c r="AE10" s="8"/>
      <c r="AL10" s="10"/>
    </row>
    <row r="11" spans="2:43" x14ac:dyDescent="0.25">
      <c r="B11">
        <f t="shared" si="3"/>
        <v>9</v>
      </c>
      <c r="C11" s="7" t="s">
        <v>166</v>
      </c>
      <c r="D11" t="s">
        <v>123</v>
      </c>
      <c r="E11" s="8">
        <v>1</v>
      </c>
      <c r="F11" t="s">
        <v>132</v>
      </c>
      <c r="G11" t="s">
        <v>167</v>
      </c>
      <c r="H11" t="s">
        <v>168</v>
      </c>
      <c r="I11">
        <v>2</v>
      </c>
      <c r="J11" t="str">
        <f>IFERROR(IF(OR(Tableau16[[#This Row],[type]]="dépenses",Tableau16[[#This Row],[type]]="budget"),VLOOKUP(Tableau16[[#This Row],[Catid]],dépenses,2,0),IF(Tableau16[[#This Row],[type]]="recettes",VLOOKUP(Tableau16[[#This Row],[Catid]],recettes,2,0),"")),"")</f>
        <v>Fournisseurs</v>
      </c>
      <c r="K11" t="s">
        <v>28</v>
      </c>
      <c r="L11" s="10" t="str">
        <f ca="1">IFERROR(IF(OR(Tableau16[[#This Row],[type]]="dépenses",Tableau16[[#This Row],[type]]="budget"),VLOOKUP(Tableau16[[#This Row],[subid]],INDIRECT("dépenses"&amp;Tableau16[[#This Row],[Catid]]),2,0),IF(Tableau16[[#This Row],[type]]="recettes",VLOOKUP(Tableau16[[#This Row],[subid]],INDIRECT("recettes"&amp;Tableau16[[#This Row],[Catid]]),2,0),"")),"")</f>
        <v xml:space="preserve">metro </v>
      </c>
      <c r="M11" t="s">
        <v>165</v>
      </c>
      <c r="N11" t="s">
        <v>165</v>
      </c>
      <c r="O11">
        <f t="shared" si="4"/>
        <v>2020</v>
      </c>
      <c r="P11" t="str">
        <f t="shared" si="5"/>
        <v>mars</v>
      </c>
      <c r="Q11" t="str">
        <f t="array" aca="1" ref="Q11" ca="1">CONCATENATE(TEXT(Tableau16[[date ]],"jj/mm/aaaa")," ",Tableau16[[#This Row],[type]]," ",Tableau16[[#This Row],[somme]]," ",Tableau16[[#This Row],[compte ]]," ",Tableau16[[#This Row],[Du/Au]]," ",Tableau16[[#This Row],[Description]]," ",Tableau16[[#This Row],[catégorie]]," ",Tableau16[[#This Row],[sous- catégorie]]," ",Tableau16[[#This Row],[référence]]," ",Tableau16[[#This Row],[commentaires]]," ",Tableau16[[#This Row],[année]]," ",Tableau16[[#This Row],[mois]])</f>
        <v>01/02/2020 dépenses 1 Compte CM kk test 2 Fournisseurs metro    2020 mars</v>
      </c>
      <c r="AC11" s="7"/>
      <c r="AE11" s="8"/>
      <c r="AL11" s="10"/>
    </row>
    <row r="12" spans="2:43" x14ac:dyDescent="0.25">
      <c r="B12">
        <f t="shared" si="3"/>
        <v>10</v>
      </c>
      <c r="C12" s="7" t="s">
        <v>169</v>
      </c>
      <c r="D12" t="s">
        <v>123</v>
      </c>
      <c r="E12" s="8">
        <v>2</v>
      </c>
      <c r="F12" t="s">
        <v>132</v>
      </c>
      <c r="G12" t="s">
        <v>170</v>
      </c>
      <c r="H12" t="s">
        <v>171</v>
      </c>
      <c r="I12">
        <v>4</v>
      </c>
      <c r="J12" t="str">
        <f>IFERROR(IF(OR(Tableau16[[#This Row],[type]]="dépenses",Tableau16[[#This Row],[type]]="budget"),VLOOKUP(Tableau16[[#This Row],[Catid]],dépenses,2,0),IF(Tableau16[[#This Row],[type]]="recettes",VLOOKUP(Tableau16[[#This Row],[Catid]],recettes,2,0),"")),"")</f>
        <v xml:space="preserve">Frais bancaires </v>
      </c>
      <c r="K12" t="s">
        <v>54</v>
      </c>
      <c r="L12" s="10" t="str">
        <f ca="1">IFERROR(IF(OR(Tableau16[[#This Row],[type]]="dépenses",Tableau16[[#This Row],[type]]="budget"),VLOOKUP(Tableau16[[#This Row],[subid]],INDIRECT("dépenses"&amp;Tableau16[[#This Row],[Catid]]),2,0),IF(Tableau16[[#This Row],[type]]="recettes",VLOOKUP(Tableau16[[#This Row],[subid]],INDIRECT("recettes"&amp;Tableau16[[#This Row],[Catid]]),2,0),"")),"")</f>
        <v xml:space="preserve">commission caution </v>
      </c>
      <c r="M12" t="s">
        <v>165</v>
      </c>
      <c r="N12" t="s">
        <v>165</v>
      </c>
      <c r="O12">
        <f t="shared" si="4"/>
        <v>2020</v>
      </c>
      <c r="P12" t="str">
        <f t="shared" si="5"/>
        <v>février</v>
      </c>
      <c r="Q12" t="str">
        <f t="array" aca="1" ref="Q12" ca="1">CONCATENATE(TEXT(Tableau16[[date ]],"jj/mm/aaaa")," ",Tableau16[[#This Row],[type]]," ",Tableau16[[#This Row],[somme]]," ",Tableau16[[#This Row],[compte ]]," ",Tableau16[[#This Row],[Du/Au]]," ",Tableau16[[#This Row],[Description]]," ",Tableau16[[#This Row],[catégorie]]," ",Tableau16[[#This Row],[sous- catégorie]]," ",Tableau16[[#This Row],[référence]]," ",Tableau16[[#This Row],[commentaires]]," ",Tableau16[[#This Row],[année]]," ",Tableau16[[#This Row],[mois]])</f>
        <v>01/02/2020 dépenses 2 Compte CM eé dze Frais bancaires  commission caution    2020 février</v>
      </c>
      <c r="AC12" s="7"/>
      <c r="AE12" s="8"/>
      <c r="AL12" s="10"/>
    </row>
    <row r="13" spans="2:43" x14ac:dyDescent="0.25">
      <c r="B13">
        <f t="shared" si="3"/>
        <v>11</v>
      </c>
      <c r="C13" s="7" t="s">
        <v>173</v>
      </c>
      <c r="D13" t="s">
        <v>123</v>
      </c>
      <c r="E13" s="8">
        <v>1</v>
      </c>
      <c r="F13" t="s">
        <v>132</v>
      </c>
      <c r="G13" t="s">
        <v>174</v>
      </c>
      <c r="H13" t="s">
        <v>175</v>
      </c>
      <c r="I13">
        <v>1</v>
      </c>
      <c r="J13" t="str">
        <f>IFERROR(IF(OR(Tableau16[[#This Row],[type]]="dépenses",Tableau16[[#This Row],[type]]="budget"),VLOOKUP(Tableau16[[#This Row],[Catid]],dépenses,2,0),IF(Tableau16[[#This Row],[type]]="recettes",VLOOKUP(Tableau16[[#This Row],[Catid]],recettes,2,0),"")),"")</f>
        <v>Charges restaurant</v>
      </c>
      <c r="K13" t="s">
        <v>11</v>
      </c>
      <c r="L13" s="10" t="str">
        <f ca="1">IFERROR(IF(OR(Tableau16[[#This Row],[type]]="dépenses",Tableau16[[#This Row],[type]]="budget"),VLOOKUP(Tableau16[[#This Row],[subid]],INDIRECT("dépenses"&amp;Tableau16[[#This Row],[Catid]]),2,0),IF(Tableau16[[#This Row],[type]]="recettes",VLOOKUP(Tableau16[[#This Row],[subid]],INDIRECT("recettes"&amp;Tableau16[[#This Row],[Catid]]),2,0),"")),"")</f>
        <v xml:space="preserve">loyer </v>
      </c>
      <c r="M13" t="s">
        <v>165</v>
      </c>
      <c r="N13" t="s">
        <v>165</v>
      </c>
      <c r="O13">
        <f t="shared" si="4"/>
        <v>2020</v>
      </c>
      <c r="P13" t="str">
        <f t="shared" si="5"/>
        <v>février</v>
      </c>
      <c r="Q13" t="str">
        <f t="array" aca="1" ref="Q13" ca="1">CONCATENATE(TEXT(Tableau16[[date ]],"jj/mm/aaaa")," ",Tableau16[[#This Row],[type]]," ",Tableau16[[#This Row],[somme]]," ",Tableau16[[#This Row],[compte ]]," ",Tableau16[[#This Row],[Du/Au]]," ",Tableau16[[#This Row],[Description]]," ",Tableau16[[#This Row],[catégorie]]," ",Tableau16[[#This Row],[sous- catégorie]]," ",Tableau16[[#This Row],[référence]]," ",Tableau16[[#This Row],[commentaires]]," ",Tableau16[[#This Row],[année]]," ",Tableau16[[#This Row],[mois]])</f>
        <v>01/02/2020 dépenses 1 Compte CM ee test 3 Charges restaurant loyer    2020 février</v>
      </c>
      <c r="AC13" s="7"/>
      <c r="AE13" s="8"/>
      <c r="AL13" s="10"/>
    </row>
    <row r="14" spans="2:43" x14ac:dyDescent="0.25">
      <c r="B14">
        <f t="shared" si="3"/>
        <v>12</v>
      </c>
      <c r="C14" s="7" t="s">
        <v>169</v>
      </c>
      <c r="D14" t="s">
        <v>123</v>
      </c>
      <c r="E14" s="8">
        <v>1200</v>
      </c>
      <c r="F14" t="s">
        <v>132</v>
      </c>
      <c r="G14" t="s">
        <v>176</v>
      </c>
      <c r="H14" t="s">
        <v>177</v>
      </c>
      <c r="I14">
        <v>1</v>
      </c>
      <c r="J14" t="str">
        <f>IFERROR(IF(OR(Tableau16[[#This Row],[type]]="dépenses",Tableau16[[#This Row],[type]]="budget"),VLOOKUP(Tableau16[[#This Row],[Catid]],dépenses,2,0),IF(Tableau16[[#This Row],[type]]="recettes",VLOOKUP(Tableau16[[#This Row],[Catid]],recettes,2,0),"")),"")</f>
        <v>Charges restaurant</v>
      </c>
      <c r="K14" t="s">
        <v>13</v>
      </c>
      <c r="L14" s="10" t="str">
        <f ca="1">IFERROR(IF(OR(Tableau16[[#This Row],[type]]="dépenses",Tableau16[[#This Row],[type]]="budget"),VLOOKUP(Tableau16[[#This Row],[subid]],INDIRECT("dépenses"&amp;Tableau16[[#This Row],[Catid]]),2,0),IF(Tableau16[[#This Row],[type]]="recettes",VLOOKUP(Tableau16[[#This Row],[subid]],INDIRECT("recettes"&amp;Tableau16[[#This Row],[Catid]]),2,0),"")),"")</f>
        <v xml:space="preserve">Gaz </v>
      </c>
      <c r="M14" t="s">
        <v>165</v>
      </c>
      <c r="N14" t="s">
        <v>165</v>
      </c>
      <c r="O14">
        <f t="shared" si="4"/>
        <v>2020</v>
      </c>
      <c r="P14" t="str">
        <f t="shared" si="5"/>
        <v>février</v>
      </c>
      <c r="Q14" t="str">
        <f t="array" aca="1" ref="Q14" ca="1">CONCATENATE(TEXT(Tableau16[[date ]],"jj/mm/aaaa")," ",Tableau16[[#This Row],[type]]," ",Tableau16[[#This Row],[somme]]," ",Tableau16[[#This Row],[compte ]]," ",Tableau16[[#This Row],[Du/Au]]," ",Tableau16[[#This Row],[Description]]," ",Tableau16[[#This Row],[catégorie]]," ",Tableau16[[#This Row],[sous- catégorie]]," ",Tableau16[[#This Row],[référence]]," ",Tableau16[[#This Row],[commentaires]]," ",Tableau16[[#This Row],[année]]," ",Tableau16[[#This Row],[mois]])</f>
        <v>01/02/2020 dépenses 1200 Compte CM daz jfoz Charges restaurant Gaz    2020 février</v>
      </c>
      <c r="AC14" s="7"/>
      <c r="AE14" s="8"/>
      <c r="AL14" s="10"/>
    </row>
    <row r="15" spans="2:43" x14ac:dyDescent="0.25">
      <c r="B15">
        <f t="shared" si="3"/>
        <v>13</v>
      </c>
      <c r="C15" s="7" t="s">
        <v>169</v>
      </c>
      <c r="D15" t="s">
        <v>124</v>
      </c>
      <c r="E15" s="8">
        <v>100</v>
      </c>
      <c r="F15" t="s">
        <v>132</v>
      </c>
      <c r="G15" t="s">
        <v>146</v>
      </c>
      <c r="H15" t="s">
        <v>178</v>
      </c>
      <c r="I15">
        <v>1</v>
      </c>
      <c r="J15" t="str">
        <f>IFERROR(IF(OR(Tableau16[[#This Row],[type]]="dépenses",Tableau16[[#This Row],[type]]="budget"),VLOOKUP(Tableau16[[#This Row],[Catid]],dépenses,2,0),IF(Tableau16[[#This Row],[type]]="recettes",VLOOKUP(Tableau16[[#This Row],[Catid]],recettes,2,0),"")),"")</f>
        <v xml:space="preserve">Tickets restaurant </v>
      </c>
      <c r="K15" t="s">
        <v>11</v>
      </c>
      <c r="L15" s="10" t="str">
        <f ca="1">IFERROR(IF(OR(Tableau16[[#This Row],[type]]="dépenses",Tableau16[[#This Row],[type]]="budget"),VLOOKUP(Tableau16[[#This Row],[subid]],INDIRECT("dépenses"&amp;Tableau16[[#This Row],[Catid]]),2,0),IF(Tableau16[[#This Row],[type]]="recettes",VLOOKUP(Tableau16[[#This Row],[subid]],INDIRECT("recettes"&amp;Tableau16[[#This Row],[Catid]]),2,0),"")),"")</f>
        <v>Sodexo</v>
      </c>
      <c r="M15" t="s">
        <v>165</v>
      </c>
      <c r="N15" t="s">
        <v>165</v>
      </c>
      <c r="O15">
        <f t="shared" si="4"/>
        <v>2020</v>
      </c>
      <c r="P15" t="str">
        <f t="shared" si="5"/>
        <v>février</v>
      </c>
      <c r="Q15" t="str">
        <f t="array" aca="1" ref="Q15" ca="1">CONCATENATE(TEXT(Tableau16[[date ]],"jj/mm/aaaa")," ",Tableau16[[#This Row],[type]]," ",Tableau16[[#This Row],[somme]]," ",Tableau16[[#This Row],[compte ]]," ",Tableau16[[#This Row],[Du/Au]]," ",Tableau16[[#This Row],[Description]]," ",Tableau16[[#This Row],[catégorie]]," ",Tableau16[[#This Row],[sous- catégorie]]," ",Tableau16[[#This Row],[référence]]," ",Tableau16[[#This Row],[commentaires]]," ",Tableau16[[#This Row],[année]]," ",Tableau16[[#This Row],[mois]])</f>
        <v>01/02/2020 recettes 100 Compte CM test test d'entrée Tickets restaurant  Sodexo   2020 février</v>
      </c>
      <c r="AC15" s="7"/>
      <c r="AE15" s="8"/>
      <c r="AL15" s="10"/>
    </row>
  </sheetData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4:F34"/>
  <sheetViews>
    <sheetView workbookViewId="0">
      <selection activeCell="K10" sqref="K10"/>
    </sheetView>
  </sheetViews>
  <sheetFormatPr baseColWidth="10" defaultRowHeight="15" x14ac:dyDescent="0.25"/>
  <cols>
    <col min="2" max="2" width="24.85546875" bestFit="1" customWidth="1"/>
    <col min="3" max="3" width="23.85546875" bestFit="1" customWidth="1"/>
    <col min="4" max="4" width="9.42578125" bestFit="1" customWidth="1"/>
    <col min="5" max="5" width="8" bestFit="1" customWidth="1"/>
    <col min="6" max="6" width="12.5703125" bestFit="1" customWidth="1"/>
  </cols>
  <sheetData>
    <row r="4" spans="2:6" x14ac:dyDescent="0.25">
      <c r="B4" s="11" t="s">
        <v>152</v>
      </c>
      <c r="C4" s="11" t="s">
        <v>149</v>
      </c>
    </row>
    <row r="5" spans="2:6" x14ac:dyDescent="0.25">
      <c r="B5" s="11" t="s">
        <v>151</v>
      </c>
      <c r="C5" t="s">
        <v>147</v>
      </c>
      <c r="D5" t="s">
        <v>148</v>
      </c>
      <c r="E5" t="s">
        <v>161</v>
      </c>
      <c r="F5" t="s">
        <v>150</v>
      </c>
    </row>
    <row r="6" spans="2:6" x14ac:dyDescent="0.25">
      <c r="B6" s="12" t="s">
        <v>125</v>
      </c>
      <c r="C6" s="13"/>
      <c r="D6" s="13"/>
      <c r="E6" s="13"/>
      <c r="F6" s="13"/>
    </row>
    <row r="7" spans="2:6" x14ac:dyDescent="0.25">
      <c r="B7" s="16" t="s">
        <v>3</v>
      </c>
      <c r="C7" s="13"/>
      <c r="D7" s="13"/>
      <c r="E7" s="13"/>
      <c r="F7" s="13"/>
    </row>
    <row r="8" spans="2:6" x14ac:dyDescent="0.25">
      <c r="B8" s="18" t="s">
        <v>38</v>
      </c>
      <c r="C8" s="13"/>
      <c r="D8" s="13">
        <v>300</v>
      </c>
      <c r="E8" s="13"/>
      <c r="F8" s="13">
        <v>300</v>
      </c>
    </row>
    <row r="9" spans="2:6" x14ac:dyDescent="0.25">
      <c r="B9" s="16" t="s">
        <v>157</v>
      </c>
      <c r="C9" s="13"/>
      <c r="D9" s="13">
        <v>300</v>
      </c>
      <c r="E9" s="13"/>
      <c r="F9" s="13">
        <v>300</v>
      </c>
    </row>
    <row r="10" spans="2:6" x14ac:dyDescent="0.25">
      <c r="B10" s="12" t="s">
        <v>154</v>
      </c>
      <c r="C10" s="13"/>
      <c r="D10" s="13">
        <v>300</v>
      </c>
      <c r="E10" s="13"/>
      <c r="F10" s="13">
        <v>300</v>
      </c>
    </row>
    <row r="11" spans="2:6" x14ac:dyDescent="0.25">
      <c r="B11" s="12" t="s">
        <v>123</v>
      </c>
      <c r="C11" s="13"/>
      <c r="D11" s="13"/>
      <c r="E11" s="13"/>
      <c r="F11" s="13"/>
    </row>
    <row r="12" spans="2:6" x14ac:dyDescent="0.25">
      <c r="B12" s="16" t="s">
        <v>1</v>
      </c>
      <c r="C12" s="13"/>
      <c r="D12" s="13"/>
      <c r="E12" s="13"/>
      <c r="F12" s="13"/>
    </row>
    <row r="13" spans="2:6" x14ac:dyDescent="0.25">
      <c r="B13" s="18" t="s">
        <v>50</v>
      </c>
      <c r="C13" s="13"/>
      <c r="D13" s="13"/>
      <c r="E13" s="13">
        <v>400</v>
      </c>
      <c r="F13" s="13">
        <v>400</v>
      </c>
    </row>
    <row r="14" spans="2:6" x14ac:dyDescent="0.25">
      <c r="B14" s="16" t="s">
        <v>158</v>
      </c>
      <c r="C14" s="13"/>
      <c r="D14" s="13"/>
      <c r="E14" s="13">
        <v>400</v>
      </c>
      <c r="F14" s="13">
        <v>400</v>
      </c>
    </row>
    <row r="15" spans="2:6" x14ac:dyDescent="0.25">
      <c r="B15" s="16" t="s">
        <v>4</v>
      </c>
      <c r="C15" s="13"/>
      <c r="D15" s="13"/>
      <c r="E15" s="13"/>
      <c r="F15" s="13"/>
    </row>
    <row r="16" spans="2:6" x14ac:dyDescent="0.25">
      <c r="B16" s="18" t="s">
        <v>95</v>
      </c>
      <c r="C16" s="13"/>
      <c r="D16" s="13">
        <v>200</v>
      </c>
      <c r="E16" s="13"/>
      <c r="F16" s="13">
        <v>200</v>
      </c>
    </row>
    <row r="17" spans="2:6" x14ac:dyDescent="0.25">
      <c r="B17" s="18" t="s">
        <v>21</v>
      </c>
      <c r="C17" s="13">
        <v>1</v>
      </c>
      <c r="D17" s="13">
        <v>1300</v>
      </c>
      <c r="E17" s="13"/>
      <c r="F17" s="13">
        <v>1301</v>
      </c>
    </row>
    <row r="18" spans="2:6" x14ac:dyDescent="0.25">
      <c r="B18" s="18" t="s">
        <v>22</v>
      </c>
      <c r="C18" s="13">
        <v>1200</v>
      </c>
      <c r="D18" s="13"/>
      <c r="E18" s="13"/>
      <c r="F18" s="13">
        <v>1200</v>
      </c>
    </row>
    <row r="19" spans="2:6" x14ac:dyDescent="0.25">
      <c r="B19" s="16" t="s">
        <v>159</v>
      </c>
      <c r="C19" s="13">
        <v>1201</v>
      </c>
      <c r="D19" s="13">
        <v>1500</v>
      </c>
      <c r="E19" s="13"/>
      <c r="F19" s="13">
        <v>2701</v>
      </c>
    </row>
    <row r="20" spans="2:6" x14ac:dyDescent="0.25">
      <c r="B20" s="16" t="s">
        <v>3</v>
      </c>
      <c r="C20" s="13"/>
      <c r="D20" s="13"/>
      <c r="E20" s="13"/>
      <c r="F20" s="13"/>
    </row>
    <row r="21" spans="2:6" x14ac:dyDescent="0.25">
      <c r="B21" s="18" t="s">
        <v>38</v>
      </c>
      <c r="C21" s="13"/>
      <c r="D21" s="13">
        <v>600</v>
      </c>
      <c r="E21" s="13"/>
      <c r="F21" s="13">
        <v>600</v>
      </c>
    </row>
    <row r="22" spans="2:6" x14ac:dyDescent="0.25">
      <c r="B22" s="18" t="s">
        <v>37</v>
      </c>
      <c r="C22" s="13"/>
      <c r="D22" s="13">
        <v>1</v>
      </c>
      <c r="E22" s="13"/>
      <c r="F22" s="13">
        <v>1</v>
      </c>
    </row>
    <row r="23" spans="2:6" x14ac:dyDescent="0.25">
      <c r="B23" s="16" t="s">
        <v>157</v>
      </c>
      <c r="C23" s="13"/>
      <c r="D23" s="13">
        <v>601</v>
      </c>
      <c r="E23" s="13"/>
      <c r="F23" s="13">
        <v>601</v>
      </c>
    </row>
    <row r="24" spans="2:6" x14ac:dyDescent="0.25">
      <c r="B24" s="16" t="s">
        <v>2</v>
      </c>
      <c r="C24" s="13"/>
      <c r="D24" s="13"/>
      <c r="E24" s="13"/>
      <c r="F24" s="13"/>
    </row>
    <row r="25" spans="2:6" x14ac:dyDescent="0.25">
      <c r="B25" s="18" t="s">
        <v>63</v>
      </c>
      <c r="C25" s="13">
        <v>2</v>
      </c>
      <c r="D25" s="13"/>
      <c r="E25" s="13"/>
      <c r="F25" s="13">
        <v>2</v>
      </c>
    </row>
    <row r="26" spans="2:6" x14ac:dyDescent="0.25">
      <c r="B26" s="16" t="s">
        <v>172</v>
      </c>
      <c r="C26" s="13">
        <v>2</v>
      </c>
      <c r="D26" s="13"/>
      <c r="E26" s="13"/>
      <c r="F26" s="13">
        <v>2</v>
      </c>
    </row>
    <row r="27" spans="2:6" x14ac:dyDescent="0.25">
      <c r="B27" s="12" t="s">
        <v>155</v>
      </c>
      <c r="C27" s="13">
        <v>1203</v>
      </c>
      <c r="D27" s="13">
        <v>2101</v>
      </c>
      <c r="E27" s="13">
        <v>400</v>
      </c>
      <c r="F27" s="13">
        <v>3704</v>
      </c>
    </row>
    <row r="28" spans="2:6" x14ac:dyDescent="0.25">
      <c r="B28" s="12" t="s">
        <v>124</v>
      </c>
      <c r="C28" s="13"/>
      <c r="D28" s="13"/>
      <c r="E28" s="13"/>
      <c r="F28" s="13"/>
    </row>
    <row r="29" spans="2:6" x14ac:dyDescent="0.25">
      <c r="B29" s="16" t="s">
        <v>8</v>
      </c>
      <c r="C29" s="13"/>
      <c r="D29" s="13"/>
      <c r="E29" s="13"/>
      <c r="F29" s="13"/>
    </row>
    <row r="30" spans="2:6" x14ac:dyDescent="0.25">
      <c r="B30" s="18" t="s">
        <v>115</v>
      </c>
      <c r="C30" s="13">
        <v>1000</v>
      </c>
      <c r="D30" s="13"/>
      <c r="E30" s="13"/>
      <c r="F30" s="13">
        <v>1000</v>
      </c>
    </row>
    <row r="31" spans="2:6" x14ac:dyDescent="0.25">
      <c r="B31" s="18" t="s">
        <v>113</v>
      </c>
      <c r="C31" s="13">
        <v>100</v>
      </c>
      <c r="D31" s="13"/>
      <c r="E31" s="13"/>
      <c r="F31" s="13">
        <v>100</v>
      </c>
    </row>
    <row r="32" spans="2:6" x14ac:dyDescent="0.25">
      <c r="B32" s="16" t="s">
        <v>160</v>
      </c>
      <c r="C32" s="13">
        <v>1100</v>
      </c>
      <c r="D32" s="13"/>
      <c r="E32" s="13"/>
      <c r="F32" s="13">
        <v>1100</v>
      </c>
    </row>
    <row r="33" spans="2:6" x14ac:dyDescent="0.25">
      <c r="B33" s="12" t="s">
        <v>156</v>
      </c>
      <c r="C33" s="13">
        <v>1100</v>
      </c>
      <c r="D33" s="13"/>
      <c r="E33" s="13"/>
      <c r="F33" s="13">
        <v>1100</v>
      </c>
    </row>
    <row r="34" spans="2:6" x14ac:dyDescent="0.25">
      <c r="B34" s="12" t="s">
        <v>150</v>
      </c>
      <c r="C34" s="13">
        <v>2303</v>
      </c>
      <c r="D34" s="13">
        <v>2401</v>
      </c>
      <c r="E34" s="13">
        <v>400</v>
      </c>
      <c r="F34" s="13">
        <v>5104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W33"/>
  <sheetViews>
    <sheetView showGridLines="0" topLeftCell="C1" zoomScale="80" zoomScaleNormal="80" workbookViewId="0">
      <selection activeCell="E32" sqref="E32"/>
    </sheetView>
  </sheetViews>
  <sheetFormatPr baseColWidth="10" defaultRowHeight="15" x14ac:dyDescent="0.25"/>
  <cols>
    <col min="1" max="1" width="5.7109375" customWidth="1"/>
    <col min="2" max="2" width="26.7109375" customWidth="1"/>
    <col min="3" max="4" width="14.5703125" style="14" customWidth="1"/>
    <col min="5" max="5" width="24.140625" bestFit="1" customWidth="1"/>
    <col min="6" max="6" width="12.85546875" hidden="1" customWidth="1"/>
    <col min="7" max="8" width="11.42578125" hidden="1" customWidth="1"/>
    <col min="10" max="11" width="20.85546875" customWidth="1"/>
    <col min="12" max="12" width="12.5703125" bestFit="1" customWidth="1"/>
    <col min="13" max="14" width="7.28515625" customWidth="1"/>
    <col min="19" max="19" width="19.42578125" bestFit="1" customWidth="1"/>
    <col min="20" max="20" width="10.28515625" bestFit="1" customWidth="1"/>
    <col min="21" max="21" width="9.5703125" bestFit="1" customWidth="1"/>
    <col min="22" max="22" width="10" customWidth="1"/>
  </cols>
  <sheetData>
    <row r="3" spans="10:23" x14ac:dyDescent="0.25">
      <c r="V3" t="s">
        <v>123</v>
      </c>
      <c r="W3">
        <f>GETPIVOTDATA("somme",$J$8,"type","dépenses")</f>
        <v>3704</v>
      </c>
    </row>
    <row r="4" spans="10:23" x14ac:dyDescent="0.25">
      <c r="V4" t="s">
        <v>124</v>
      </c>
      <c r="W4">
        <f>GETPIVOTDATA("somme",$S$8,"type","recettes")</f>
        <v>1100</v>
      </c>
    </row>
    <row r="8" spans="10:23" hidden="1" x14ac:dyDescent="0.25">
      <c r="J8" s="11" t="s">
        <v>152</v>
      </c>
      <c r="S8" s="15" t="s">
        <v>152</v>
      </c>
    </row>
    <row r="9" spans="10:23" x14ac:dyDescent="0.25">
      <c r="K9" s="14" t="s">
        <v>123</v>
      </c>
      <c r="L9" s="14" t="s">
        <v>125</v>
      </c>
      <c r="T9" s="14" t="s">
        <v>124</v>
      </c>
    </row>
    <row r="10" spans="10:23" x14ac:dyDescent="0.25">
      <c r="J10" s="12" t="s">
        <v>4</v>
      </c>
      <c r="K10" s="13">
        <v>2701</v>
      </c>
      <c r="L10" s="13"/>
      <c r="S10" s="12" t="s">
        <v>8</v>
      </c>
      <c r="T10" s="13">
        <v>1100</v>
      </c>
    </row>
    <row r="11" spans="10:23" x14ac:dyDescent="0.25">
      <c r="J11" s="12" t="s">
        <v>3</v>
      </c>
      <c r="K11" s="13">
        <v>601</v>
      </c>
      <c r="L11" s="13">
        <v>300</v>
      </c>
      <c r="S11" s="12" t="s">
        <v>150</v>
      </c>
      <c r="T11" s="13">
        <v>1100</v>
      </c>
    </row>
    <row r="12" spans="10:23" x14ac:dyDescent="0.25">
      <c r="J12" s="12" t="s">
        <v>1</v>
      </c>
      <c r="K12" s="13">
        <v>400</v>
      </c>
      <c r="L12" s="13"/>
    </row>
    <row r="13" spans="10:23" x14ac:dyDescent="0.25">
      <c r="J13" s="12" t="s">
        <v>2</v>
      </c>
      <c r="K13" s="13">
        <v>2</v>
      </c>
      <c r="L13" s="13"/>
    </row>
    <row r="14" spans="10:23" x14ac:dyDescent="0.25">
      <c r="J14" s="12" t="s">
        <v>150</v>
      </c>
      <c r="K14" s="13">
        <v>3704</v>
      </c>
      <c r="L14" s="13">
        <v>300</v>
      </c>
    </row>
    <row r="20" spans="2:4" x14ac:dyDescent="0.25">
      <c r="B20" s="11" t="s">
        <v>152</v>
      </c>
      <c r="C20"/>
    </row>
    <row r="21" spans="2:4" x14ac:dyDescent="0.25">
      <c r="C21" s="14" t="s">
        <v>125</v>
      </c>
      <c r="D21" s="14" t="s">
        <v>123</v>
      </c>
    </row>
    <row r="22" spans="2:4" x14ac:dyDescent="0.25">
      <c r="B22" s="12" t="s">
        <v>1</v>
      </c>
      <c r="C22" s="17"/>
      <c r="D22" s="17">
        <v>400</v>
      </c>
    </row>
    <row r="23" spans="2:4" x14ac:dyDescent="0.25">
      <c r="B23" s="16" t="s">
        <v>50</v>
      </c>
      <c r="C23" s="17"/>
      <c r="D23" s="17">
        <v>400</v>
      </c>
    </row>
    <row r="24" spans="2:4" x14ac:dyDescent="0.25">
      <c r="B24" s="12" t="s">
        <v>4</v>
      </c>
      <c r="C24" s="17"/>
      <c r="D24" s="17">
        <v>2701</v>
      </c>
    </row>
    <row r="25" spans="2:4" x14ac:dyDescent="0.25">
      <c r="B25" s="16" t="s">
        <v>95</v>
      </c>
      <c r="C25" s="17"/>
      <c r="D25" s="17">
        <v>200</v>
      </c>
    </row>
    <row r="26" spans="2:4" x14ac:dyDescent="0.25">
      <c r="B26" s="16" t="s">
        <v>21</v>
      </c>
      <c r="C26" s="17"/>
      <c r="D26" s="17">
        <v>1301</v>
      </c>
    </row>
    <row r="27" spans="2:4" x14ac:dyDescent="0.25">
      <c r="B27" s="16" t="s">
        <v>22</v>
      </c>
      <c r="C27" s="17"/>
      <c r="D27" s="17">
        <v>1200</v>
      </c>
    </row>
    <row r="28" spans="2:4" x14ac:dyDescent="0.25">
      <c r="B28" s="12" t="s">
        <v>3</v>
      </c>
      <c r="C28" s="17">
        <v>300</v>
      </c>
      <c r="D28" s="17">
        <v>601</v>
      </c>
    </row>
    <row r="29" spans="2:4" x14ac:dyDescent="0.25">
      <c r="B29" s="16" t="s">
        <v>38</v>
      </c>
      <c r="C29" s="17">
        <v>300</v>
      </c>
      <c r="D29" s="17">
        <v>600</v>
      </c>
    </row>
    <row r="30" spans="2:4" x14ac:dyDescent="0.25">
      <c r="B30" s="16" t="s">
        <v>37</v>
      </c>
      <c r="C30" s="17"/>
      <c r="D30" s="17">
        <v>1</v>
      </c>
    </row>
    <row r="31" spans="2:4" x14ac:dyDescent="0.25">
      <c r="B31" s="12" t="s">
        <v>2</v>
      </c>
      <c r="C31" s="17"/>
      <c r="D31" s="17">
        <v>2</v>
      </c>
    </row>
    <row r="32" spans="2:4" x14ac:dyDescent="0.25">
      <c r="B32" s="16" t="s">
        <v>63</v>
      </c>
      <c r="C32" s="17"/>
      <c r="D32" s="17">
        <v>2</v>
      </c>
    </row>
    <row r="33" spans="2:4" x14ac:dyDescent="0.25">
      <c r="B33" s="12" t="s">
        <v>150</v>
      </c>
      <c r="C33" s="17">
        <v>300</v>
      </c>
      <c r="D33" s="17">
        <v>3704</v>
      </c>
    </row>
  </sheetData>
  <conditionalFormatting pivot="1" sqref="K10:K12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{D6804525-E2D1-4909-B35A-6F5AEE0424B0}</x14:id>
        </ext>
      </extLst>
    </cfRule>
  </conditionalFormatting>
  <pageMargins left="0.7" right="0.7" top="0.75" bottom="0.75" header="0.3" footer="0.3"/>
  <pageSetup paperSize="9" orientation="portrait" r:id="rId4"/>
  <drawing r:id="rId5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dataBar" id="{D6804525-E2D1-4909-B35A-6F5AEE0424B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K10:K12</xm:sqref>
        </x14:conditionalFormatting>
      </x14:conditionalFormattings>
    </ext>
    <ext xmlns:x14="http://schemas.microsoft.com/office/spreadsheetml/2009/9/main" uri="{A8765BA9-456A-4dab-B4F3-ACF838C121DE}">
      <x14:slicerList>
        <x14:slicer r:id="rId6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3:B7"/>
  <sheetViews>
    <sheetView workbookViewId="0">
      <selection activeCell="D15" sqref="D15"/>
    </sheetView>
  </sheetViews>
  <sheetFormatPr baseColWidth="10" defaultRowHeight="15" x14ac:dyDescent="0.25"/>
  <sheetData>
    <row r="3" spans="2:2" x14ac:dyDescent="0.25">
      <c r="B3" t="s">
        <v>122</v>
      </c>
    </row>
    <row r="4" spans="2:2" x14ac:dyDescent="0.25">
      <c r="B4" t="s">
        <v>123</v>
      </c>
    </row>
    <row r="5" spans="2:2" x14ac:dyDescent="0.25">
      <c r="B5" t="s">
        <v>124</v>
      </c>
    </row>
    <row r="6" spans="2:2" x14ac:dyDescent="0.25">
      <c r="B6" t="s">
        <v>125</v>
      </c>
    </row>
    <row r="7" spans="2:2" x14ac:dyDescent="0.25">
      <c r="B7" t="s">
        <v>126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F5"/>
  <sheetViews>
    <sheetView showGridLines="0" workbookViewId="0">
      <selection activeCell="E5" sqref="E5"/>
    </sheetView>
  </sheetViews>
  <sheetFormatPr baseColWidth="10" defaultRowHeight="21" x14ac:dyDescent="0.35"/>
  <cols>
    <col min="1" max="1" width="11.5703125" style="5" customWidth="1"/>
    <col min="2" max="6" width="24" style="5" customWidth="1"/>
    <col min="7" max="16384" width="11.42578125" style="5"/>
  </cols>
  <sheetData>
    <row r="1" spans="2:6" x14ac:dyDescent="0.35">
      <c r="B1" s="5" t="s">
        <v>131</v>
      </c>
    </row>
    <row r="4" spans="2:6" x14ac:dyDescent="0.35">
      <c r="B4" s="5" t="s">
        <v>9</v>
      </c>
      <c r="C4" s="5" t="s">
        <v>127</v>
      </c>
      <c r="D4" s="5" t="s">
        <v>128</v>
      </c>
      <c r="E4" s="5" t="s">
        <v>129</v>
      </c>
      <c r="F4" s="5" t="s">
        <v>130</v>
      </c>
    </row>
    <row r="5" spans="2:6" x14ac:dyDescent="0.35">
      <c r="B5" s="9">
        <f>ROW(B5)-4</f>
        <v>1</v>
      </c>
      <c r="C5" s="5" t="s">
        <v>132</v>
      </c>
      <c r="D5" s="6">
        <v>3000</v>
      </c>
      <c r="E5" s="6" cm="1">
        <f t="array" ref="E5">SUM(SUMIFS(Tableau16[somme],Tableau16[type],{"recettes";"transfert"},Tableau16[[compte ]],compte!C5))-SUMIFS(Tableau16[somme],Tableau16[[compte ]],compte!C5,Tableau16[type],"dépenses")</f>
        <v>-1304</v>
      </c>
      <c r="F5" s="6">
        <f>Tableau15[[#This Row],[départ]]+Tableau15[[#This Row],[calculé]]</f>
        <v>1696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16</vt:i4>
      </vt:variant>
    </vt:vector>
  </HeadingPairs>
  <TitlesOfParts>
    <vt:vector size="22" baseType="lpstr">
      <vt:lpstr>catégorie </vt:lpstr>
      <vt:lpstr>input </vt:lpstr>
      <vt:lpstr>rapport</vt:lpstr>
      <vt:lpstr>Analyse </vt:lpstr>
      <vt:lpstr>config </vt:lpstr>
      <vt:lpstr>compte</vt:lpstr>
      <vt:lpstr>compte</vt:lpstr>
      <vt:lpstr>'input '!Criteres</vt:lpstr>
      <vt:lpstr>dépenses</vt:lpstr>
      <vt:lpstr>dépenses1</vt:lpstr>
      <vt:lpstr>dépenses2</vt:lpstr>
      <vt:lpstr>dépenses3</vt:lpstr>
      <vt:lpstr>dépenses4</vt:lpstr>
      <vt:lpstr>dépenses5</vt:lpstr>
      <vt:lpstr>dépenses6</vt:lpstr>
      <vt:lpstr>dépenses7</vt:lpstr>
      <vt:lpstr>'input '!Extraire</vt:lpstr>
      <vt:lpstr>input</vt:lpstr>
      <vt:lpstr>recettes</vt:lpstr>
      <vt:lpstr>recettes1</vt:lpstr>
      <vt:lpstr>recettes2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caroline dulbecco</dc:creator>
  <cp:lastModifiedBy>Guy Blancher</cp:lastModifiedBy>
  <dcterms:created xsi:type="dcterms:W3CDTF">2020-03-15T10:41:59Z</dcterms:created>
  <dcterms:modified xsi:type="dcterms:W3CDTF">2020-03-18T17:47:20Z</dcterms:modified>
</cp:coreProperties>
</file>