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55" windowHeight="7425" activeTab="2"/>
  </bookViews>
  <sheets>
    <sheet name="RESUME" sheetId="4" r:id="rId1"/>
    <sheet name="Compare" sheetId="3" r:id="rId2"/>
    <sheet name="Rates" sheetId="2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9" i="3"/>
  <c r="F10" i="3"/>
  <c r="F11" i="3"/>
  <c r="F8" i="3"/>
  <c r="F2" i="3"/>
  <c r="N47" i="3" l="1"/>
  <c r="N46" i="3"/>
  <c r="N45" i="3"/>
  <c r="N44" i="3"/>
  <c r="N41" i="3"/>
  <c r="N40" i="3"/>
  <c r="N39" i="3"/>
  <c r="N38" i="3"/>
  <c r="N35" i="3"/>
  <c r="N34" i="3"/>
  <c r="N33" i="3"/>
  <c r="N32" i="3"/>
  <c r="N29" i="3"/>
  <c r="N28" i="3"/>
  <c r="N27" i="3"/>
  <c r="N26" i="3"/>
  <c r="N23" i="3"/>
  <c r="N22" i="3"/>
  <c r="N21" i="3"/>
  <c r="N20" i="3"/>
  <c r="N17" i="3"/>
  <c r="N16" i="3"/>
  <c r="N15" i="3"/>
  <c r="N14" i="3"/>
  <c r="N11" i="3"/>
  <c r="N10" i="3"/>
  <c r="N9" i="3"/>
  <c r="N8" i="3"/>
  <c r="N5" i="3"/>
  <c r="N4" i="3"/>
  <c r="N3" i="3"/>
  <c r="N2" i="3"/>
  <c r="L43" i="3"/>
  <c r="L37" i="3"/>
  <c r="L31" i="3"/>
  <c r="L25" i="3"/>
  <c r="L19" i="3"/>
  <c r="L13" i="3"/>
  <c r="L7" i="3"/>
  <c r="L1" i="3"/>
  <c r="D43" i="3"/>
  <c r="D37" i="3"/>
  <c r="D31" i="3"/>
  <c r="D25" i="3"/>
  <c r="D19" i="3"/>
  <c r="D13" i="3"/>
  <c r="D7" i="3"/>
  <c r="D1" i="3"/>
  <c r="O14" i="3" l="1"/>
  <c r="O26" i="3"/>
  <c r="O32" i="3"/>
  <c r="O20" i="3"/>
  <c r="O38" i="3"/>
  <c r="O44" i="3"/>
  <c r="O8" i="3"/>
  <c r="O2" i="3"/>
  <c r="F45" i="3"/>
  <c r="F46" i="3"/>
  <c r="F47" i="3"/>
  <c r="F44" i="3"/>
  <c r="F39" i="3"/>
  <c r="F40" i="3"/>
  <c r="F41" i="3"/>
  <c r="F38" i="3"/>
  <c r="F33" i="3"/>
  <c r="F34" i="3"/>
  <c r="F35" i="3"/>
  <c r="F32" i="3"/>
  <c r="F15" i="3"/>
  <c r="F16" i="3"/>
  <c r="F17" i="3"/>
  <c r="F27" i="3"/>
  <c r="F28" i="3"/>
  <c r="F29" i="3"/>
  <c r="F26" i="3"/>
  <c r="F21" i="3"/>
  <c r="F22" i="3"/>
  <c r="F23" i="3"/>
  <c r="F20" i="3"/>
  <c r="F14" i="3"/>
  <c r="G8" i="3" l="1"/>
  <c r="G2" i="3"/>
  <c r="G14" i="3"/>
  <c r="G44" i="3"/>
  <c r="G38" i="3"/>
  <c r="G32" i="3"/>
  <c r="G26" i="3"/>
  <c r="G20" i="3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G33" i="2"/>
  <c r="G34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3" i="2"/>
  <c r="I12" i="2"/>
  <c r="I11" i="2"/>
  <c r="I10" i="2"/>
  <c r="I9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3" i="2"/>
  <c r="F12" i="2"/>
  <c r="F11" i="2"/>
  <c r="F10" i="2"/>
  <c r="F9" i="2"/>
</calcChain>
</file>

<file path=xl/sharedStrings.xml><?xml version="1.0" encoding="utf-8"?>
<sst xmlns="http://schemas.openxmlformats.org/spreadsheetml/2006/main" count="282" uniqueCount="143">
  <si>
    <r>
      <rPr>
        <b/>
        <sz val="10"/>
        <color rgb="FFFFFFFF"/>
        <rFont val="Arial"/>
        <family val="2"/>
      </rPr>
      <t>PLZ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-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Zonen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Gewicht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</si>
  <si>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</si>
  <si>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</si>
  <si>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</si>
  <si>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</si>
  <si>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</si>
  <si>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</si>
  <si>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</si>
  <si>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</si>
  <si>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</si>
  <si>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</si>
  <si>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</si>
  <si>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</si>
  <si>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</si>
  <si>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</si>
  <si>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</si>
  <si>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</si>
  <si>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</si>
  <si>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</si>
  <si>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</si>
  <si>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</si>
  <si>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</si>
  <si>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</si>
  <si>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</si>
  <si>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</si>
  <si>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</si>
  <si>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</si>
  <si>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</si>
  <si>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</si>
  <si>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</si>
  <si>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t>01</t>
  </si>
  <si>
    <t>02</t>
  </si>
  <si>
    <t>03</t>
  </si>
  <si>
    <t>04</t>
  </si>
  <si>
    <t>06</t>
  </si>
  <si>
    <t>07</t>
  </si>
  <si>
    <t>08</t>
  </si>
  <si>
    <t>09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</si>
  <si>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</si>
  <si>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</si>
  <si>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</si>
  <si>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</si>
  <si>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</si>
  <si>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</si>
  <si>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</si>
  <si>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</si>
  <si>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</si>
  <si>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</si>
  <si>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</si>
  <si>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</si>
  <si>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</si>
  <si>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</si>
  <si>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</si>
  <si>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</si>
  <si>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</si>
  <si>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</si>
  <si>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</si>
  <si>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</si>
  <si>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</si>
  <si>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</si>
  <si>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</si>
  <si>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</si>
  <si>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</si>
  <si>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</si>
  <si>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</si>
  <si>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</si>
  <si>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</si>
  <si>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</si>
  <si>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</si>
  <si>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</si>
  <si>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</si>
  <si>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</si>
  <si>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</si>
  <si>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</si>
  <si>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</si>
  <si>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</si>
  <si>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</si>
  <si>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</si>
  <si>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</si>
  <si>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</si>
  <si>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</si>
  <si>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</si>
  <si>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</si>
  <si>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</si>
  <si>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</si>
  <si>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</si>
  <si>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</si>
  <si>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</si>
  <si>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</si>
  <si>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</si>
  <si>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</si>
  <si>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</si>
  <si>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</si>
  <si>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</si>
  <si>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</si>
  <si>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</si>
  <si>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</si>
  <si>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</si>
  <si>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</si>
  <si>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</si>
  <si>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</si>
  <si>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</si>
  <si>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</si>
  <si>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</si>
  <si>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</si>
  <si>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</si>
  <si>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</si>
  <si>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</si>
  <si>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</si>
  <si>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</si>
  <si>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</si>
  <si>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</si>
  <si>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</si>
  <si>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</si>
  <si>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</si>
  <si>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</si>
  <si>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</si>
  <si>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</si>
  <si>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</si>
  <si>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</si>
  <si>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</si>
  <si>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</si>
  <si>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</si>
  <si>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</si>
  <si>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</si>
  <si>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Bis 50 Kg</t>
  </si>
  <si>
    <t>PLZ 01</t>
  </si>
  <si>
    <t>Bis 100 Kg</t>
  </si>
  <si>
    <t>Bis 500 Kg</t>
  </si>
  <si>
    <t>Bis 1000 Kg</t>
  </si>
  <si>
    <t>Bis 1500 Kg</t>
  </si>
  <si>
    <t>Bis 2000 Kg</t>
  </si>
  <si>
    <t>Bis 2500 Kg</t>
  </si>
  <si>
    <t>Bis 3000 Kg</t>
  </si>
  <si>
    <t>TARIFFE VERGLEICH</t>
  </si>
  <si>
    <t>PLZ 02</t>
  </si>
  <si>
    <t>LAMBDA 1</t>
  </si>
  <si>
    <t>LAMBDA 3</t>
  </si>
  <si>
    <t>LAMBDA 2</t>
  </si>
  <si>
    <t>LAMBDA 4</t>
  </si>
  <si>
    <t>Ecart</t>
  </si>
  <si>
    <t>Le - cher</t>
  </si>
  <si>
    <t>https://forum.excel-pratique.com/viewtopic.php?f=2&amp;t=123023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</si>
</sst>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7]_-;\-* #,##0.00\ [$€-407]_-;_-* &quot;-&quot;??\ [$€-407]_-;_-@_-"/>
    <numFmt numFmtId="165" formatCode="0%\ &quot;du max&quot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4E81BD"/>
      </patternFill>
    </fill>
    <fill>
      <patternFill patternType="solid">
        <fgColor rgb="FFDCE6F1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5">
    <xf numFmtId="0" fontId="0" fillId="0" borderId="0"/>
    <xf numFmtId="0" fontId="6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4" borderId="6" xfId="0" applyFont="1" applyFill="1" applyBorder="1" applyAlignment="1">
      <alignment horizontal="center" vertical="top" wrapText="1"/>
    </xf>
    <xf numFmtId="0" fontId="1" fillId="6" borderId="6" xfId="0" applyFont="1" applyFill="1" applyBorder="1" applyAlignment="1">
      <alignment horizontal="center" vertical="top" wrapText="1"/>
    </xf>
    <xf numFmtId="0" fontId="1" fillId="8" borderId="6" xfId="0" applyFont="1" applyFill="1" applyBorder="1" applyAlignment="1">
      <alignment horizontal="center" vertical="top" wrapText="1"/>
    </xf>
    <xf numFmtId="164" fontId="4" fillId="3" borderId="2" xfId="0" applyNumberFormat="1" applyFont="1" applyFill="1" applyBorder="1" applyAlignment="1">
      <alignment vertical="top" shrinkToFit="1"/>
    </xf>
    <xf numFmtId="164" fontId="1" fillId="5" borderId="2" xfId="0" applyNumberFormat="1" applyFont="1" applyFill="1" applyBorder="1"/>
    <xf numFmtId="164" fontId="6" fillId="7" borderId="2" xfId="1" applyNumberForma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top" shrinkToFit="1"/>
    </xf>
    <xf numFmtId="0" fontId="8" fillId="0" borderId="0" xfId="0" applyFont="1"/>
    <xf numFmtId="44" fontId="8" fillId="0" borderId="0" xfId="2" applyFont="1"/>
    <xf numFmtId="165" fontId="8" fillId="7" borderId="0" xfId="3" applyNumberFormat="1" applyFont="1" applyFill="1"/>
    <xf numFmtId="0" fontId="9" fillId="10" borderId="2" xfId="0" applyFont="1" applyFill="1" applyBorder="1" applyAlignment="1">
      <alignment horizontal="center" vertical="center"/>
    </xf>
    <xf numFmtId="0" fontId="9" fillId="5" borderId="0" xfId="0" applyFont="1" applyFill="1"/>
    <xf numFmtId="0" fontId="8" fillId="11" borderId="0" xfId="0" applyFont="1" applyFill="1"/>
    <xf numFmtId="0" fontId="10" fillId="2" borderId="6" xfId="0" applyFont="1" applyFill="1" applyBorder="1" applyAlignment="1">
      <alignment horizontal="center" vertical="top" wrapText="1"/>
    </xf>
    <xf numFmtId="0" fontId="11" fillId="2" borderId="6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2" fillId="0" borderId="0" xfId="4"/>
  </cellXfs>
  <cellStyles count="5">
    <cellStyle name="Lien hypertexte" xfId="4" builtinId="8"/>
    <cellStyle name="Monétaire" xfId="2" builtinId="4"/>
    <cellStyle name="Normal" xfId="0" builtinId="0"/>
    <cellStyle name="Normal 2 2 2 3" xfId="1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30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12"/>
  <sheetViews>
    <sheetView workbookViewId="0">
      <selection activeCell="B5" sqref="B5:C12"/>
    </sheetView>
  </sheetViews>
  <sheetFormatPr baseColWidth="10" defaultRowHeight="15" x14ac:dyDescent="0.25"/>
  <cols>
    <col min="2" max="2" width="12.140625" customWidth="1"/>
    <col min="3" max="100" width="9.5703125" customWidth="1"/>
  </cols>
  <sheetData>
    <row r="1" spans="1:96" x14ac:dyDescent="0.25">
      <c r="B1">
        <v>0.61513684197852692</v>
      </c>
    </row>
    <row r="2" spans="1:96" x14ac:dyDescent="0.25">
      <c r="A2" t="s">
        <v>134</v>
      </c>
    </row>
    <row r="3" spans="1:96" x14ac:dyDescent="0.25">
      <c r="B3" t="s">
        <v>140</v>
      </c>
      <c r="C3" t="s">
        <v>138</v>
      </c>
    </row>
    <row r="4" spans="1:96" ht="38.25" x14ac:dyDescent="0.25">
      <c r="A4" s="2" t="s">
        <v>0</v>
      </c>
      <c r="B4" s="19" t="s">
        <v>30</v>
      </c>
      <c r="C4" s="19" t="s">
        <v>31</v>
      </c>
      <c r="D4" s="19" t="s">
        <v>32</v>
      </c>
      <c r="E4" s="19" t="s">
        <v>33</v>
      </c>
      <c r="F4" s="19" t="s">
        <v>34</v>
      </c>
      <c r="G4" s="19" t="s">
        <v>35</v>
      </c>
      <c r="H4" s="19" t="s">
        <v>36</v>
      </c>
      <c r="I4" s="19" t="s">
        <v>37</v>
      </c>
      <c r="J4" s="19" t="s">
        <v>38</v>
      </c>
      <c r="K4" s="19" t="s">
        <v>39</v>
      </c>
      <c r="L4" s="19" t="s">
        <v>40</v>
      </c>
      <c r="M4" s="19" t="s">
        <v>41</v>
      </c>
      <c r="N4" s="19" t="s">
        <v>42</v>
      </c>
      <c r="O4" s="19" t="s">
        <v>43</v>
      </c>
      <c r="P4" s="19" t="s">
        <v>44</v>
      </c>
      <c r="Q4" s="19" t="s">
        <v>45</v>
      </c>
      <c r="R4" s="19" t="s">
        <v>46</v>
      </c>
      <c r="S4" s="19" t="s">
        <v>47</v>
      </c>
      <c r="T4" s="19" t="s">
        <v>48</v>
      </c>
      <c r="U4" s="19" t="s">
        <v>49</v>
      </c>
      <c r="V4" s="19" t="s">
        <v>50</v>
      </c>
      <c r="W4" s="19" t="s">
        <v>51</v>
      </c>
      <c r="X4" s="19" t="s">
        <v>52</v>
      </c>
      <c r="Y4" s="19" t="s">
        <v>53</v>
      </c>
      <c r="Z4" s="19" t="s">
        <v>54</v>
      </c>
      <c r="AA4" s="19" t="s">
        <v>55</v>
      </c>
      <c r="AB4" s="19" t="s">
        <v>56</v>
      </c>
      <c r="AC4" s="19" t="s">
        <v>57</v>
      </c>
      <c r="AD4" s="19" t="s">
        <v>58</v>
      </c>
      <c r="AE4" s="19" t="s">
        <v>59</v>
      </c>
      <c r="AF4" s="19" t="s">
        <v>60</v>
      </c>
      <c r="AG4" s="19" t="s">
        <v>61</v>
      </c>
      <c r="AH4" s="19" t="s">
        <v>62</v>
      </c>
      <c r="AI4" s="19" t="s">
        <v>63</v>
      </c>
      <c r="AJ4" s="19" t="s">
        <v>64</v>
      </c>
      <c r="AK4" s="19" t="s">
        <v>65</v>
      </c>
      <c r="AL4" s="19" t="s">
        <v>66</v>
      </c>
      <c r="AM4" s="19" t="s">
        <v>67</v>
      </c>
      <c r="AN4" s="19" t="s">
        <v>68</v>
      </c>
      <c r="AO4" s="19" t="s">
        <v>69</v>
      </c>
      <c r="AP4" s="19" t="s">
        <v>70</v>
      </c>
      <c r="AQ4" s="19" t="s">
        <v>71</v>
      </c>
      <c r="AR4" s="19" t="s">
        <v>72</v>
      </c>
      <c r="AS4" s="19" t="s">
        <v>73</v>
      </c>
      <c r="AT4" s="19" t="s">
        <v>74</v>
      </c>
      <c r="AU4" s="19" t="s">
        <v>75</v>
      </c>
      <c r="AV4" s="19" t="s">
        <v>76</v>
      </c>
      <c r="AW4" s="19" t="s">
        <v>77</v>
      </c>
      <c r="AX4" s="19" t="s">
        <v>78</v>
      </c>
      <c r="AY4" s="19" t="s">
        <v>79</v>
      </c>
      <c r="AZ4" s="19" t="s">
        <v>80</v>
      </c>
      <c r="BA4" s="19" t="s">
        <v>81</v>
      </c>
      <c r="BB4" s="19" t="s">
        <v>82</v>
      </c>
      <c r="BC4" s="19" t="s">
        <v>83</v>
      </c>
      <c r="BD4" s="19" t="s">
        <v>84</v>
      </c>
      <c r="BE4" s="19" t="s">
        <v>85</v>
      </c>
      <c r="BF4" s="19" t="s">
        <v>86</v>
      </c>
      <c r="BG4" s="19" t="s">
        <v>87</v>
      </c>
      <c r="BH4" s="19" t="s">
        <v>88</v>
      </c>
      <c r="BI4" s="19" t="s">
        <v>89</v>
      </c>
      <c r="BJ4" s="19" t="s">
        <v>90</v>
      </c>
      <c r="BK4" s="19" t="s">
        <v>91</v>
      </c>
      <c r="BL4" s="19" t="s">
        <v>92</v>
      </c>
      <c r="BM4" s="19" t="s">
        <v>93</v>
      </c>
      <c r="BN4" s="19" t="s">
        <v>94</v>
      </c>
      <c r="BO4" s="19" t="s">
        <v>95</v>
      </c>
      <c r="BP4" s="19" t="s">
        <v>96</v>
      </c>
      <c r="BQ4" s="19" t="s">
        <v>97</v>
      </c>
      <c r="BR4" s="19" t="s">
        <v>98</v>
      </c>
      <c r="BS4" s="19" t="s">
        <v>99</v>
      </c>
      <c r="BT4" s="19" t="s">
        <v>100</v>
      </c>
      <c r="BU4" s="19" t="s">
        <v>101</v>
      </c>
      <c r="BV4" s="19" t="s">
        <v>102</v>
      </c>
      <c r="BW4" s="19" t="s">
        <v>103</v>
      </c>
      <c r="BX4" s="19" t="s">
        <v>104</v>
      </c>
      <c r="BY4" s="19" t="s">
        <v>105</v>
      </c>
      <c r="BZ4" s="19" t="s">
        <v>106</v>
      </c>
      <c r="CA4" s="19" t="s">
        <v>107</v>
      </c>
      <c r="CB4" s="19" t="s">
        <v>108</v>
      </c>
      <c r="CC4" s="19" t="s">
        <v>109</v>
      </c>
      <c r="CD4" s="19" t="s">
        <v>110</v>
      </c>
      <c r="CE4" s="19" t="s">
        <v>111</v>
      </c>
      <c r="CF4" s="19" t="s">
        <v>112</v>
      </c>
      <c r="CG4" s="19" t="s">
        <v>113</v>
      </c>
      <c r="CH4" s="19" t="s">
        <v>114</v>
      </c>
      <c r="CI4" s="19" t="s">
        <v>115</v>
      </c>
      <c r="CJ4" s="19" t="s">
        <v>116</v>
      </c>
      <c r="CK4" s="19" t="s">
        <v>117</v>
      </c>
      <c r="CL4" s="19" t="s">
        <v>118</v>
      </c>
      <c r="CM4" s="19" t="s">
        <v>119</v>
      </c>
      <c r="CN4" s="19" t="s">
        <v>120</v>
      </c>
      <c r="CO4" s="19" t="s">
        <v>121</v>
      </c>
      <c r="CP4" s="19" t="s">
        <v>122</v>
      </c>
      <c r="CQ4" s="19" t="s">
        <v>123</v>
      </c>
      <c r="CR4" s="19" t="s">
        <v>124</v>
      </c>
    </row>
    <row r="5" spans="1:96" x14ac:dyDescent="0.25">
      <c r="A5" s="2" t="s">
        <v>1</v>
      </c>
      <c r="B5" s="20" t="s">
        <v>139</v>
      </c>
      <c r="C5" s="20" t="s">
        <v>139</v>
      </c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</row>
    <row r="6" spans="1:96" x14ac:dyDescent="0.25">
      <c r="A6" s="2" t="s">
        <v>2</v>
      </c>
      <c r="B6" s="20" t="s">
        <v>137</v>
      </c>
      <c r="C6" s="20" t="s">
        <v>137</v>
      </c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0"/>
      <c r="CN6" s="20"/>
      <c r="CO6" s="20"/>
      <c r="CP6" s="20"/>
      <c r="CQ6" s="20"/>
      <c r="CR6" s="20"/>
    </row>
    <row r="7" spans="1:96" x14ac:dyDescent="0.25">
      <c r="A7" s="2" t="s">
        <v>8</v>
      </c>
      <c r="B7" s="20" t="s">
        <v>139</v>
      </c>
      <c r="C7" s="20" t="s">
        <v>139</v>
      </c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</row>
    <row r="8" spans="1:96" x14ac:dyDescent="0.25">
      <c r="A8" s="2" t="s">
        <v>13</v>
      </c>
      <c r="B8" s="20" t="s">
        <v>138</v>
      </c>
      <c r="C8" s="20" t="s">
        <v>137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</row>
    <row r="9" spans="1:96" x14ac:dyDescent="0.25">
      <c r="A9" s="2" t="s">
        <v>18</v>
      </c>
      <c r="B9" s="20" t="s">
        <v>137</v>
      </c>
      <c r="C9" s="20" t="s">
        <v>137</v>
      </c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</row>
    <row r="10" spans="1:96" x14ac:dyDescent="0.25">
      <c r="A10" s="2" t="s">
        <v>23</v>
      </c>
      <c r="B10" s="20" t="e">
        <v>#N/A</v>
      </c>
      <c r="C10" s="20" t="e">
        <v>#N/A</v>
      </c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</row>
    <row r="11" spans="1:96" x14ac:dyDescent="0.25">
      <c r="A11" s="2" t="s">
        <v>28</v>
      </c>
      <c r="B11" s="20" t="e">
        <v>#N/A</v>
      </c>
      <c r="C11" s="20" t="e">
        <v>#N/A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</row>
    <row r="12" spans="1:96" x14ac:dyDescent="0.25">
      <c r="A12" s="2" t="s">
        <v>29</v>
      </c>
      <c r="B12" s="20" t="e">
        <v>#N/A</v>
      </c>
      <c r="C12" s="20" t="e">
        <v>#N/A</v>
      </c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</row>
  </sheetData>
  <pageMargins left="0.7" right="0.7" top="0.78740157499999996" bottom="0.78740157499999996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7"/>
  <sheetViews>
    <sheetView workbookViewId="0">
      <selection activeCell="D2" sqref="D2:D5"/>
    </sheetView>
  </sheetViews>
  <sheetFormatPr baseColWidth="10" defaultRowHeight="11.25" x14ac:dyDescent="0.2"/>
  <cols>
    <col min="1" max="1" width="6.140625" style="12" bestFit="1" customWidth="1"/>
    <col min="2" max="2" width="9.7109375" style="12" bestFit="1" customWidth="1"/>
    <col min="3" max="3" width="8.7109375" style="12" bestFit="1" customWidth="1"/>
    <col min="4" max="4" width="24.42578125" style="12" bestFit="1" customWidth="1"/>
    <col min="5" max="5" width="1.7109375" style="12" customWidth="1"/>
    <col min="6" max="6" width="14.140625" style="12" bestFit="1" customWidth="1"/>
    <col min="7" max="12" width="11.42578125" style="12"/>
    <col min="13" max="13" width="1.7109375" style="12" customWidth="1"/>
    <col min="14" max="14" width="14.140625" style="12" bestFit="1" customWidth="1"/>
    <col min="15" max="16384" width="11.42578125" style="12"/>
  </cols>
  <sheetData>
    <row r="1" spans="1:15" x14ac:dyDescent="0.2">
      <c r="A1" s="16" t="s">
        <v>126</v>
      </c>
      <c r="B1" s="16" t="s">
        <v>125</v>
      </c>
      <c r="D1" s="17" t="str">
        <f>"Le + cher:     "&amp;MAX(D2:D5)&amp;"   "&amp;INDEX(C2:C5,MATCH(MAX(D2:D5),D2:D5,0))</f>
        <v>Le + cher:     63   LAMBDA 1</v>
      </c>
      <c r="F1" s="12" t="s">
        <v>140</v>
      </c>
      <c r="G1" s="12" t="s">
        <v>141</v>
      </c>
      <c r="I1" s="16" t="s">
        <v>135</v>
      </c>
      <c r="J1" s="16" t="s">
        <v>125</v>
      </c>
      <c r="L1" s="17" t="str">
        <f>"Le + cher:     "&amp;MAX(L2:L5)&amp;"   "&amp;INDEX(K2:K5,MATCH(MAX(L2:L5),L2:L5,0))</f>
        <v>Le + cher:     63   LAMBDA 1</v>
      </c>
      <c r="N1" s="12" t="s">
        <v>140</v>
      </c>
      <c r="O1" s="12" t="s">
        <v>141</v>
      </c>
    </row>
    <row r="2" spans="1:15" x14ac:dyDescent="0.2">
      <c r="C2" s="12" t="s">
        <v>136</v>
      </c>
      <c r="D2" s="13">
        <v>63</v>
      </c>
      <c r="F2" s="14" t="str">
        <f>IFERROR(IF(OR(D2=MAX(D$2:D$5),D2=""),"",MAX(D$2:D$5)-D2)/MIN(D$2:D$5),"")</f>
        <v/>
      </c>
      <c r="G2" s="15" t="str">
        <f>INDEX(C2:C5,MATCH(MAX(F2:F5),F2:F5,0))</f>
        <v>LAMBDA 4</v>
      </c>
      <c r="K2" s="12" t="s">
        <v>136</v>
      </c>
      <c r="L2" s="13">
        <v>63</v>
      </c>
      <c r="N2" s="14" t="str">
        <f>IFERROR(IF(OR(L2=MAX(L$2:L$5),L2=""),"",MAX(L$2:L$5)-L2)/MIN(L$2:L$5),"")</f>
        <v/>
      </c>
      <c r="O2" s="15" t="str">
        <f>INDEX(K2:K5,MATCH(MAX(N2:N5),N2:N5,0))</f>
        <v>LAMBDA 4</v>
      </c>
    </row>
    <row r="3" spans="1:15" x14ac:dyDescent="0.2">
      <c r="C3" s="12" t="s">
        <v>138</v>
      </c>
      <c r="D3" s="13">
        <v>42.5</v>
      </c>
      <c r="F3" s="14">
        <f>IFERROR(IF(OR(D3=MAX(D$2:D$5),D3=""),"",MAX(D$2:D$5)-D3)/MIN(D$2:D$5),"")</f>
        <v>0.66022545905674879</v>
      </c>
      <c r="K3" s="12" t="s">
        <v>138</v>
      </c>
      <c r="L3" s="13">
        <v>43.900001525878906</v>
      </c>
      <c r="N3" s="14">
        <f t="shared" ref="N3:N5" si="0">IFERROR(IF(OR(L3=MAX(L$2:L$5),L3=""),"",MAX(L$2:L$5)-L3)/MIN(L$2:L$5),"")</f>
        <v>0.61513684197852692</v>
      </c>
    </row>
    <row r="4" spans="1:15" x14ac:dyDescent="0.2">
      <c r="C4" s="12" t="s">
        <v>137</v>
      </c>
      <c r="D4" s="13">
        <v>36.176700592041016</v>
      </c>
      <c r="F4" s="14">
        <f t="shared" ref="F4:F5" si="1">IFERROR(IF(OR(D4=MAX(D$2:D$5),D4=""),"",MAX(D$2:D$5)-D4)/MIN(D$2:D$5),"")</f>
        <v>0.86387439829445556</v>
      </c>
      <c r="K4" s="12" t="s">
        <v>137</v>
      </c>
      <c r="L4" s="13">
        <v>36.176700592041016</v>
      </c>
      <c r="N4" s="14">
        <f t="shared" si="0"/>
        <v>0.86387439829445556</v>
      </c>
    </row>
    <row r="5" spans="1:15" x14ac:dyDescent="0.2">
      <c r="C5" s="12" t="s">
        <v>139</v>
      </c>
      <c r="D5" s="13">
        <v>31.049999237060547</v>
      </c>
      <c r="F5" s="14">
        <f t="shared" si="1"/>
        <v>1.0289855571012281</v>
      </c>
      <c r="K5" s="12" t="s">
        <v>139</v>
      </c>
      <c r="L5" s="13">
        <v>31.049999237060547</v>
      </c>
      <c r="N5" s="14">
        <f t="shared" si="0"/>
        <v>1.0289855571012281</v>
      </c>
    </row>
    <row r="7" spans="1:15" x14ac:dyDescent="0.2">
      <c r="B7" s="16" t="s">
        <v>127</v>
      </c>
      <c r="D7" s="17" t="str">
        <f>"Le + cher:     "&amp;MAX(D8:D11)&amp;"   "&amp;INDEX(C8:C11,MATCH(MAX(D8:D11),D8:D11,0))</f>
        <v>Le + cher:     155   LAMBDA 1</v>
      </c>
      <c r="F7" s="12" t="s">
        <v>140</v>
      </c>
      <c r="G7" s="12" t="s">
        <v>141</v>
      </c>
      <c r="J7" s="16" t="s">
        <v>127</v>
      </c>
      <c r="L7" s="17" t="str">
        <f>"Le + cher:     "&amp;MAX(L8:L11)&amp;"   "&amp;INDEX(K8:K11,MATCH(MAX(L8:L11),L8:L11,0))</f>
        <v>Le + cher:     155   LAMBDA 1</v>
      </c>
      <c r="N7" s="12" t="s">
        <v>140</v>
      </c>
      <c r="O7" s="12" t="s">
        <v>141</v>
      </c>
    </row>
    <row r="8" spans="1:15" x14ac:dyDescent="0.2">
      <c r="C8" s="12" t="s">
        <v>136</v>
      </c>
      <c r="D8" s="13">
        <v>155</v>
      </c>
      <c r="F8" s="14" t="str">
        <f>IFERROR(IF(OR(D8=MAX(D$8:D$11),D8=""),"",MAX(D$8:D$11)-D8)/MIN(D$8:D$11),"")</f>
        <v/>
      </c>
      <c r="G8" s="15" t="str">
        <f>INDEX(C8:C11,MATCH(MAX(F8:F11),F8:F11,0))</f>
        <v>LAMBDA 3</v>
      </c>
      <c r="K8" s="12" t="s">
        <v>136</v>
      </c>
      <c r="L8" s="13">
        <v>155</v>
      </c>
      <c r="N8" s="14" t="str">
        <f>IFERROR(IF(OR(L8=MAX(L$8:L$11),L8=""),"",MAX(L$8:L$11)-L8)/MIN(L$8:L$11),"")</f>
        <v/>
      </c>
      <c r="O8" s="15" t="str">
        <f>INDEX(K8:K11,MATCH(MAX(N8:N11),N8:N11,0))</f>
        <v>LAMBDA 3</v>
      </c>
    </row>
    <row r="9" spans="1:15" x14ac:dyDescent="0.2">
      <c r="C9" s="12" t="s">
        <v>138</v>
      </c>
      <c r="D9" s="13">
        <v>95.199996948242188</v>
      </c>
      <c r="F9" s="14">
        <f>IFERROR(IF(OR(D9=MAX(D$8:D$11),D9=""),"",MAX(D$8:D$11)-D9)/MIN(D$8:D$11),"")</f>
        <v>0.7231865245175646</v>
      </c>
      <c r="K9" s="12" t="s">
        <v>138</v>
      </c>
      <c r="L9" s="13">
        <v>108.40000152587891</v>
      </c>
      <c r="N9" s="14">
        <f t="shared" ref="N9:N11" si="2">IFERROR(IF(OR(L9=MAX(L$8:L$11),L9=""),"",MAX(L$8:L$11)-L9)/MIN(L$8:L$11),"")</f>
        <v>0.56355333142466835</v>
      </c>
    </row>
    <row r="10" spans="1:15" x14ac:dyDescent="0.2">
      <c r="C10" s="12" t="s">
        <v>137</v>
      </c>
      <c r="D10" s="13">
        <v>82.689598083496094</v>
      </c>
      <c r="F10" s="14">
        <f t="shared" ref="F10:F11" si="3">IFERROR(IF(OR(D10=MAX(D$8:D$11),D10=""),"",MAX(D$8:D$11)-D10)/MIN(D$8:D$11),"")</f>
        <v>0.87448002641744904</v>
      </c>
      <c r="K10" s="12" t="s">
        <v>137</v>
      </c>
      <c r="L10" s="13">
        <v>82.689598083496094</v>
      </c>
      <c r="N10" s="14">
        <f t="shared" si="2"/>
        <v>0.87448002641744904</v>
      </c>
    </row>
    <row r="11" spans="1:15" x14ac:dyDescent="0.2">
      <c r="C11" s="12" t="s">
        <v>139</v>
      </c>
      <c r="D11" s="13">
        <v>89.699996948242188</v>
      </c>
      <c r="F11" s="14">
        <f t="shared" si="3"/>
        <v>0.78970033190657085</v>
      </c>
      <c r="K11" s="12" t="s">
        <v>139</v>
      </c>
      <c r="L11" s="13">
        <v>89.699996948242188</v>
      </c>
      <c r="N11" s="14">
        <f t="shared" si="2"/>
        <v>0.78970033190657085</v>
      </c>
    </row>
    <row r="13" spans="1:15" x14ac:dyDescent="0.2">
      <c r="B13" s="16" t="s">
        <v>128</v>
      </c>
      <c r="D13" s="17" t="str">
        <f>"Le + cher:    "&amp;MAX(D14:D17)&amp;"   "&amp;INDEX(C14:C17,MATCH(MAX(D14:D17),D14:D17,0))</f>
        <v>Le + cher:    273   LAMBDA 1</v>
      </c>
      <c r="F13" s="12" t="s">
        <v>140</v>
      </c>
      <c r="G13" s="12" t="s">
        <v>141</v>
      </c>
      <c r="J13" s="16" t="s">
        <v>128</v>
      </c>
      <c r="L13" s="17" t="str">
        <f>"Le + cher:    "&amp;MAX(L14:L17)&amp;"   "&amp;INDEX(K14:K17,MATCH(MAX(L14:L17),L14:L17,0))</f>
        <v>Le + cher:    273   LAMBDA 1</v>
      </c>
      <c r="N13" s="12" t="s">
        <v>140</v>
      </c>
      <c r="O13" s="12" t="s">
        <v>141</v>
      </c>
    </row>
    <row r="14" spans="1:15" x14ac:dyDescent="0.2">
      <c r="C14" s="12" t="s">
        <v>136</v>
      </c>
      <c r="D14" s="13">
        <v>273</v>
      </c>
      <c r="F14" s="14" t="str">
        <f>IFERROR(IF(OR(D14=MAX(D$14:D$17),D14=""),"",MAX(D$14:D$17)-D14)/MIN(D$14:D$17),"")</f>
        <v/>
      </c>
      <c r="G14" s="15" t="str">
        <f>INDEX(C14:C17,MATCH(MAX(F14:F17),F14:F17,0))</f>
        <v>LAMBDA 4</v>
      </c>
      <c r="K14" s="12" t="s">
        <v>136</v>
      </c>
      <c r="L14" s="13">
        <v>273</v>
      </c>
      <c r="N14" s="14" t="str">
        <f>IFERROR(IF(OR(L14=MAX(L$14:L$17),L14=""),"",MAX(L$14:L$17)-L14)/MIN(L$14:L$17),"")</f>
        <v/>
      </c>
      <c r="O14" s="15" t="str">
        <f>INDEX(K14:K17,MATCH(MAX(N14:N17),N14:N17,0))</f>
        <v>LAMBDA 4</v>
      </c>
    </row>
    <row r="15" spans="1:15" x14ac:dyDescent="0.2">
      <c r="C15" s="12" t="s">
        <v>138</v>
      </c>
      <c r="D15" s="13">
        <v>169.19999694824219</v>
      </c>
      <c r="F15" s="14">
        <f t="shared" ref="F15:F17" si="4">IFERROR(IF(OR(D15=MAX(D$14:D$17),D15=""),"",MAX(D$14:D$17)-D15)/MIN(D$14:D$17),"")</f>
        <v>0.68083430723289184</v>
      </c>
      <c r="K15" s="12" t="s">
        <v>138</v>
      </c>
      <c r="L15" s="13">
        <v>195.30000305175781</v>
      </c>
      <c r="N15" s="14">
        <f t="shared" ref="N15:N17" si="5">IFERROR(IF(OR(L15=MAX(L$14:L$17),L15=""),"",MAX(L$14:L$17)-L15)/MIN(L$14:L$17),"")</f>
        <v>0.50964183081840886</v>
      </c>
    </row>
    <row r="16" spans="1:15" x14ac:dyDescent="0.2">
      <c r="C16" s="12" t="s">
        <v>137</v>
      </c>
      <c r="D16" s="13">
        <v>157.62704467773438</v>
      </c>
      <c r="F16" s="14">
        <f t="shared" si="4"/>
        <v>0.75674242582708573</v>
      </c>
      <c r="K16" s="12" t="s">
        <v>137</v>
      </c>
      <c r="L16" s="13">
        <v>157.62704467773438</v>
      </c>
      <c r="N16" s="14">
        <f t="shared" si="5"/>
        <v>0.75674242582708573</v>
      </c>
    </row>
    <row r="17" spans="2:15" x14ac:dyDescent="0.2">
      <c r="C17" s="12" t="s">
        <v>139</v>
      </c>
      <c r="D17" s="13">
        <v>152.46000671386719</v>
      </c>
      <c r="F17" s="14">
        <f t="shared" si="4"/>
        <v>0.79063352996146075</v>
      </c>
      <c r="K17" s="12" t="s">
        <v>139</v>
      </c>
      <c r="L17" s="13">
        <v>152.46000671386719</v>
      </c>
      <c r="N17" s="14">
        <f t="shared" si="5"/>
        <v>0.79063352996146075</v>
      </c>
    </row>
    <row r="19" spans="2:15" x14ac:dyDescent="0.2">
      <c r="B19" s="16" t="s">
        <v>129</v>
      </c>
      <c r="D19" s="17" t="str">
        <f>"Le + cher:     "&amp;MAX(D20:D23)&amp;"   "&amp;INDEX(C20:C23,MATCH(MAX(D20:D23),D20:D23,0))</f>
        <v>Le + cher:     334   LAMBDA 1</v>
      </c>
      <c r="F19" s="12" t="s">
        <v>140</v>
      </c>
      <c r="G19" s="12" t="s">
        <v>141</v>
      </c>
      <c r="J19" s="16" t="s">
        <v>129</v>
      </c>
      <c r="L19" s="17" t="str">
        <f>"Le + cher:     "&amp;MAX(L20:L23)&amp;"   "&amp;INDEX(K20:K23,MATCH(MAX(L20:L23),L20:L23,0))</f>
        <v>Le + cher:     334   LAMBDA 1</v>
      </c>
      <c r="N19" s="12" t="s">
        <v>140</v>
      </c>
      <c r="O19" s="12" t="s">
        <v>141</v>
      </c>
    </row>
    <row r="20" spans="2:15" x14ac:dyDescent="0.2">
      <c r="C20" s="12" t="s">
        <v>136</v>
      </c>
      <c r="D20" s="13">
        <v>334</v>
      </c>
      <c r="F20" s="14" t="str">
        <f>IFERROR(IF(OR(D20=MAX(D$20:D$23),D20=""),"",MAX(D$20:D$23)-D20)/MIN(D$20:D$23),"")</f>
        <v/>
      </c>
      <c r="G20" s="15" t="str">
        <f>INDEX(C20:C23,MATCH(MAX(F20:F23),F20:F23,0))</f>
        <v>LAMBDA 2</v>
      </c>
      <c r="K20" s="12" t="s">
        <v>136</v>
      </c>
      <c r="L20" s="13">
        <v>334</v>
      </c>
      <c r="N20" s="14" t="str">
        <f>IFERROR(IF(OR(L20=MAX(L$20:L$23),L20=""),"",MAX(L$20:L$23)-L20)/MIN(L$20:L$23),"")</f>
        <v/>
      </c>
      <c r="O20" s="15" t="str">
        <f>INDEX(K20:K23,MATCH(MAX(N20:N23),N20:N23,0))</f>
        <v>LAMBDA 3</v>
      </c>
    </row>
    <row r="21" spans="2:15" x14ac:dyDescent="0.2">
      <c r="C21" s="12" t="s">
        <v>138</v>
      </c>
      <c r="D21" s="13">
        <v>205.80000305175781</v>
      </c>
      <c r="F21" s="14">
        <f t="shared" ref="F21:F23" si="6">IFERROR(IF(OR(D21=MAX(D$20:D$23),D21=""),"",MAX(D$20:D$23)-D21)/MIN(D$20:D$23),"")</f>
        <v>0.62293486417490695</v>
      </c>
      <c r="K21" s="12" t="s">
        <v>138</v>
      </c>
      <c r="L21" s="13">
        <v>225.39999389648438</v>
      </c>
      <c r="N21" s="14">
        <f t="shared" ref="N21:N23" si="7">IFERROR(IF(OR(L21=MAX(L$20:L$23),L21=""),"",MAX(L$20:L$23)-L21)/MIN(L$20:L$23),"")</f>
        <v>0.48306957937874345</v>
      </c>
    </row>
    <row r="22" spans="2:15" x14ac:dyDescent="0.2">
      <c r="C22" s="12" t="s">
        <v>137</v>
      </c>
      <c r="D22" s="13">
        <v>224.81234741210938</v>
      </c>
      <c r="F22" s="14">
        <f t="shared" si="6"/>
        <v>0.53055223988714129</v>
      </c>
      <c r="K22" s="12" t="s">
        <v>137</v>
      </c>
      <c r="L22" s="13">
        <v>224.81234741210938</v>
      </c>
      <c r="N22" s="14">
        <f t="shared" si="7"/>
        <v>0.48568352158938982</v>
      </c>
    </row>
    <row r="23" spans="2:15" x14ac:dyDescent="0.2">
      <c r="C23" s="12" t="s">
        <v>139</v>
      </c>
      <c r="D23" s="13">
        <v>226.32000732421875</v>
      </c>
      <c r="F23" s="14">
        <f t="shared" si="6"/>
        <v>0.52322639008270666</v>
      </c>
      <c r="K23" s="12" t="s">
        <v>139</v>
      </c>
      <c r="L23" s="13">
        <v>226.32000732421875</v>
      </c>
      <c r="N23" s="14">
        <f t="shared" si="7"/>
        <v>0.47897721773435448</v>
      </c>
    </row>
    <row r="25" spans="2:15" x14ac:dyDescent="0.2">
      <c r="B25" s="16" t="s">
        <v>130</v>
      </c>
      <c r="D25" s="17" t="str">
        <f>"Le + cher:     "&amp;MAX(D26:D29)&amp;"   "&amp;INDEX(C26:C29,MATCH(MAX(D26:D29),D26:D29,0))</f>
        <v>Le + cher:     402   LAMBDA 1</v>
      </c>
      <c r="F25" s="12" t="s">
        <v>140</v>
      </c>
      <c r="G25" s="12" t="s">
        <v>141</v>
      </c>
      <c r="J25" s="16" t="s">
        <v>130</v>
      </c>
      <c r="L25" s="17" t="str">
        <f>"Le + cher:     "&amp;MAX(L26:L29)&amp;"   "&amp;INDEX(K26:K29,MATCH(MAX(L26:L29),L26:L29,0))</f>
        <v>Le + cher:     402   LAMBDA 1</v>
      </c>
      <c r="N25" s="12" t="s">
        <v>140</v>
      </c>
      <c r="O25" s="12" t="s">
        <v>141</v>
      </c>
    </row>
    <row r="26" spans="2:15" ht="10.5" customHeight="1" x14ac:dyDescent="0.2">
      <c r="C26" s="12" t="s">
        <v>136</v>
      </c>
      <c r="D26" s="13">
        <v>402</v>
      </c>
      <c r="F26" s="14" t="str">
        <f>IFERROR(IF(OR(D26=MAX(D$26:D$29),D26=""),"",MAX(D$26:D$29)-D26)/MIN(D$26:D$29),"")</f>
        <v/>
      </c>
      <c r="G26" s="15" t="str">
        <f>INDEX(C26:C29,MATCH(MAX(F26:F29),F26:F29,0))</f>
        <v>LAMBDA 3</v>
      </c>
      <c r="K26" s="12" t="s">
        <v>136</v>
      </c>
      <c r="L26" s="13">
        <v>402</v>
      </c>
      <c r="N26" s="14" t="str">
        <f>IFERROR(IF(OR(L26=MAX(L$26:L$29),L26=""),"",MAX(L$26:L$29)-L26)/MIN(L$26:L$29),"")</f>
        <v/>
      </c>
      <c r="O26" s="15" t="str">
        <f>INDEX(K26:K29,MATCH(MAX(N26:N29),N26:N29,0))</f>
        <v>LAMBDA 3</v>
      </c>
    </row>
    <row r="27" spans="2:15" x14ac:dyDescent="0.2">
      <c r="C27" s="12" t="s">
        <v>138</v>
      </c>
      <c r="D27" s="13">
        <v>279.29998779296875</v>
      </c>
      <c r="F27" s="14">
        <f t="shared" ref="F27:F29" si="8">IFERROR(IF(OR(D27=MAX(D$26:D$29),D27=""),"",MAX(D$26:D$29)-D27)/MIN(D$26:D$29),"")</f>
        <v>0.4396630306508349</v>
      </c>
      <c r="K27" s="12" t="s">
        <v>138</v>
      </c>
      <c r="L27" s="13">
        <v>305.89999389648438</v>
      </c>
      <c r="N27" s="14">
        <f t="shared" ref="N27:N29" si="9">IFERROR(IF(OR(L27=MAX(L$26:L$29),L27=""),"",MAX(L$26:L$29)-L27)/MIN(L$26:L$29),"")</f>
        <v>0.34434894641855796</v>
      </c>
    </row>
    <row r="28" spans="2:15" x14ac:dyDescent="0.2">
      <c r="C28" s="12" t="s">
        <v>137</v>
      </c>
      <c r="D28" s="13">
        <v>279.077392578125</v>
      </c>
      <c r="F28" s="14">
        <f t="shared" si="8"/>
        <v>0.44046064171057503</v>
      </c>
      <c r="K28" s="12" t="s">
        <v>137</v>
      </c>
      <c r="L28" s="13">
        <v>279.077392578125</v>
      </c>
      <c r="N28" s="14">
        <f t="shared" si="9"/>
        <v>0.44046064171057503</v>
      </c>
    </row>
    <row r="29" spans="2:15" x14ac:dyDescent="0.2">
      <c r="C29" s="12" t="s">
        <v>139</v>
      </c>
      <c r="D29" s="13">
        <v>294</v>
      </c>
      <c r="F29" s="14">
        <f t="shared" si="8"/>
        <v>0.38698942613119924</v>
      </c>
      <c r="K29" s="12" t="s">
        <v>139</v>
      </c>
      <c r="L29" s="13">
        <v>294</v>
      </c>
      <c r="N29" s="14">
        <f t="shared" si="9"/>
        <v>0.38698942613119924</v>
      </c>
    </row>
    <row r="31" spans="2:15" x14ac:dyDescent="0.2">
      <c r="B31" s="16" t="s">
        <v>131</v>
      </c>
      <c r="D31" s="17" t="str">
        <f>"Le + cher:     "&amp;MAX(D32:D35)&amp;"   "&amp;INDEX(C32:C35,MATCH(MAX(D32:D35),D32:D35,0))</f>
        <v>Le + cher:     448   LAMBDA 1</v>
      </c>
      <c r="F31" s="12" t="s">
        <v>140</v>
      </c>
      <c r="G31" s="12" t="s">
        <v>141</v>
      </c>
      <c r="J31" s="16" t="s">
        <v>131</v>
      </c>
      <c r="L31" s="17" t="str">
        <f>"Le + cher:     "&amp;MAX(L32:L35)&amp;"   "&amp;INDEX(K32:K35,MATCH(MAX(L32:L35),L32:L35,0))</f>
        <v>Le + cher:     448   LAMBDA 1</v>
      </c>
      <c r="N31" s="12" t="s">
        <v>140</v>
      </c>
      <c r="O31" s="12" t="s">
        <v>141</v>
      </c>
    </row>
    <row r="32" spans="2:15" x14ac:dyDescent="0.2">
      <c r="C32" s="12" t="s">
        <v>136</v>
      </c>
      <c r="D32" s="13">
        <v>448</v>
      </c>
      <c r="F32" s="14" t="str">
        <f>IFERROR(IF(OR(D32=MAX(D$32:D$35),D32=""),"",MAX(D$32:D$35)-D32)/MIN(D$32:D$35),"")</f>
        <v/>
      </c>
      <c r="G32" s="15" t="e">
        <f>INDEX(C32:C35,MATCH(MAX(F32:F35),F32:F35,0))</f>
        <v>#N/A</v>
      </c>
      <c r="K32" s="12" t="s">
        <v>136</v>
      </c>
      <c r="L32" s="13">
        <v>448</v>
      </c>
      <c r="N32" s="14" t="str">
        <f>IFERROR(IF(OR(L32=MAX(L$32:L$35),L32=""),"",MAX(L$32:L$35)-L32)/MIN(L$32:L$35),"")</f>
        <v/>
      </c>
      <c r="O32" s="15" t="e">
        <f>INDEX(K32:K35,MATCH(MAX(N32:N35),N32:N35,0))</f>
        <v>#N/A</v>
      </c>
    </row>
    <row r="33" spans="2:15" x14ac:dyDescent="0.2">
      <c r="C33" s="12" t="s">
        <v>138</v>
      </c>
      <c r="D33" s="13">
        <v>295.20001220703125</v>
      </c>
      <c r="F33" s="14" t="str">
        <f t="shared" ref="F33:F35" si="10">IFERROR(IF(OR(D33=MAX(D$32:D$35),D33=""),"",MAX(D$32:D$35)-D33)/MIN(D$32:D$35),"")</f>
        <v/>
      </c>
      <c r="K33" s="12" t="s">
        <v>138</v>
      </c>
      <c r="L33" s="13">
        <v>324</v>
      </c>
      <c r="N33" s="14" t="str">
        <f t="shared" ref="N33:N35" si="11">IFERROR(IF(OR(L33=MAX(L$32:L$35),L33=""),"",MAX(L$32:L$35)-L33)/MIN(L$32:L$35),"")</f>
        <v/>
      </c>
    </row>
    <row r="34" spans="2:15" x14ac:dyDescent="0.2">
      <c r="C34" s="12" t="s">
        <v>137</v>
      </c>
      <c r="D34" s="13">
        <v>298.457763671875</v>
      </c>
      <c r="F34" s="14" t="str">
        <f t="shared" si="10"/>
        <v/>
      </c>
      <c r="K34" s="12" t="s">
        <v>137</v>
      </c>
      <c r="L34" s="13">
        <v>298.457763671875</v>
      </c>
      <c r="N34" s="14" t="str">
        <f t="shared" si="11"/>
        <v/>
      </c>
    </row>
    <row r="35" spans="2:15" x14ac:dyDescent="0.2">
      <c r="C35" s="12" t="s">
        <v>139</v>
      </c>
      <c r="D35" s="13">
        <v>0</v>
      </c>
      <c r="F35" s="14" t="str">
        <f t="shared" si="10"/>
        <v/>
      </c>
      <c r="K35" s="12" t="s">
        <v>139</v>
      </c>
      <c r="L35" s="13">
        <v>0</v>
      </c>
      <c r="N35" s="14" t="str">
        <f t="shared" si="11"/>
        <v/>
      </c>
    </row>
    <row r="37" spans="2:15" x14ac:dyDescent="0.2">
      <c r="B37" s="16" t="s">
        <v>132</v>
      </c>
      <c r="D37" s="17" t="str">
        <f>"Le + cher:     "&amp;MAX(D38:D41)&amp;"   "&amp;INDEX(C38:C41,MATCH(MAX(D38:D41),D38:D41,0))</f>
        <v>Le + cher:     450   LAMBDA 1</v>
      </c>
      <c r="F37" s="12" t="s">
        <v>140</v>
      </c>
      <c r="G37" s="12" t="s">
        <v>141</v>
      </c>
      <c r="J37" s="16" t="s">
        <v>132</v>
      </c>
      <c r="L37" s="17" t="str">
        <f>"Le + cher:     "&amp;MAX(L38:L41)&amp;"   "&amp;INDEX(K38:K41,MATCH(MAX(L38:L41),L38:L41,0))</f>
        <v>Le + cher:     450   LAMBDA 1</v>
      </c>
      <c r="N37" s="12" t="s">
        <v>140</v>
      </c>
      <c r="O37" s="12" t="s">
        <v>141</v>
      </c>
    </row>
    <row r="38" spans="2:15" x14ac:dyDescent="0.2">
      <c r="C38" s="12" t="s">
        <v>136</v>
      </c>
      <c r="D38" s="13">
        <v>450</v>
      </c>
      <c r="F38" s="14" t="str">
        <f>IFERROR(IF(OR(D38=MAX(D$38:D$41),D38=""),"",MAX(D$38:D$41)-D38)/MIN(D$38:D$41),"")</f>
        <v/>
      </c>
      <c r="G38" s="15" t="e">
        <f>INDEX(C38:C41,MATCH(MAX(F38:F41),F38:F41,0))</f>
        <v>#N/A</v>
      </c>
      <c r="K38" s="12" t="s">
        <v>136</v>
      </c>
      <c r="L38" s="13">
        <v>450</v>
      </c>
      <c r="N38" s="14" t="str">
        <f>IFERROR(IF(OR(L38=MAX(L$38:L$41),L38=""),"",MAX(L$38:L$41)-L38)/MIN(L$38:L$41),"")</f>
        <v/>
      </c>
      <c r="O38" s="15" t="e">
        <f>INDEX(K38:K41,MATCH(MAX(N38:N41),N38:N41,0))</f>
        <v>#N/A</v>
      </c>
    </row>
    <row r="39" spans="2:15" x14ac:dyDescent="0.2">
      <c r="C39" s="12" t="s">
        <v>138</v>
      </c>
      <c r="D39" s="13">
        <v>307.5</v>
      </c>
      <c r="F39" s="14" t="str">
        <f t="shared" ref="F39:F41" si="12">IFERROR(IF(OR(D39=MAX(D$38:D$41),D39=""),"",MAX(D$38:D$41)-D39)/MIN(D$38:D$41),"")</f>
        <v/>
      </c>
      <c r="K39" s="12" t="s">
        <v>138</v>
      </c>
      <c r="L39" s="13">
        <v>337.5</v>
      </c>
      <c r="N39" s="14" t="str">
        <f t="shared" ref="N39:N41" si="13">IFERROR(IF(OR(L39=MAX(L$38:L$41),L39=""),"",MAX(L$38:L$41)-L39)/MIN(L$38:L$41),"")</f>
        <v/>
      </c>
    </row>
    <row r="40" spans="2:15" x14ac:dyDescent="0.2">
      <c r="C40" s="12" t="s">
        <v>137</v>
      </c>
      <c r="D40" s="13">
        <v>298.457763671875</v>
      </c>
      <c r="F40" s="14" t="str">
        <f t="shared" si="12"/>
        <v/>
      </c>
      <c r="K40" s="12" t="s">
        <v>137</v>
      </c>
      <c r="L40" s="13">
        <v>298.457763671875</v>
      </c>
      <c r="N40" s="14" t="str">
        <f t="shared" si="13"/>
        <v/>
      </c>
    </row>
    <row r="41" spans="2:15" x14ac:dyDescent="0.2">
      <c r="C41" s="12" t="s">
        <v>139</v>
      </c>
      <c r="D41" s="13">
        <v>0</v>
      </c>
      <c r="F41" s="14" t="str">
        <f t="shared" si="12"/>
        <v/>
      </c>
      <c r="K41" s="12" t="s">
        <v>139</v>
      </c>
      <c r="L41" s="13">
        <v>0</v>
      </c>
      <c r="N41" s="14" t="str">
        <f t="shared" si="13"/>
        <v/>
      </c>
    </row>
    <row r="43" spans="2:15" x14ac:dyDescent="0.2">
      <c r="B43" s="16" t="s">
        <v>133</v>
      </c>
      <c r="D43" s="17" t="str">
        <f>"Le + cher:     "&amp;MAX(D44:D47)&amp;"   "&amp;INDEX(C44:C47,MATCH(MAX(D44:D47),D44:D47,0))</f>
        <v>Le + cher:     478   LAMBDA 1</v>
      </c>
      <c r="F43" s="12" t="s">
        <v>140</v>
      </c>
      <c r="G43" s="12" t="s">
        <v>141</v>
      </c>
      <c r="J43" s="16" t="s">
        <v>133</v>
      </c>
      <c r="L43" s="17" t="str">
        <f>"Le + cher:     "&amp;MAX(L44:L47)&amp;"   "&amp;INDEX(K44:K47,MATCH(MAX(L44:L47),L44:L47,0))</f>
        <v>Le + cher:     478   LAMBDA 1</v>
      </c>
      <c r="N43" s="12" t="s">
        <v>140</v>
      </c>
      <c r="O43" s="12" t="s">
        <v>141</v>
      </c>
    </row>
    <row r="44" spans="2:15" x14ac:dyDescent="0.2">
      <c r="C44" s="12" t="s">
        <v>136</v>
      </c>
      <c r="D44" s="13">
        <v>478</v>
      </c>
      <c r="F44" s="14" t="str">
        <f>IFERROR(IF(OR(D44=MAX(D$44:D$47),D44=""),"",MAX(D$44:D$47)-D44)/MIN(D$44:D$47),"")</f>
        <v/>
      </c>
      <c r="G44" s="15" t="e">
        <f>INDEX(C44:C47,MATCH(MAX(F44:F47),F44:F47,0))</f>
        <v>#N/A</v>
      </c>
      <c r="K44" s="12" t="s">
        <v>136</v>
      </c>
      <c r="L44" s="13">
        <v>478</v>
      </c>
      <c r="N44" s="14" t="str">
        <f>IFERROR(IF(OR(L44=MAX(L$44:L$47),L44=""),"",MAX(L$44:L$47)-L44)/MIN(L$44:L$47),"")</f>
        <v/>
      </c>
      <c r="O44" s="15" t="e">
        <f>INDEX(K44:K47,MATCH(MAX(N44:N47),N44:N47,0))</f>
        <v>#N/A</v>
      </c>
    </row>
    <row r="45" spans="2:15" x14ac:dyDescent="0.2">
      <c r="C45" s="12" t="s">
        <v>138</v>
      </c>
      <c r="D45" s="13">
        <v>336</v>
      </c>
      <c r="F45" s="14" t="str">
        <f t="shared" ref="F45:F47" si="14">IFERROR(IF(OR(D45=MAX(D$44:D$47),D45=""),"",MAX(D$44:D$47)-D45)/MIN(D$44:D$47),"")</f>
        <v/>
      </c>
      <c r="K45" s="12" t="s">
        <v>138</v>
      </c>
      <c r="L45" s="13">
        <v>372</v>
      </c>
      <c r="N45" s="14" t="str">
        <f t="shared" ref="N45:N47" si="15">IFERROR(IF(OR(L45=MAX(L$44:L$47),L45=""),"",MAX(L$44:L$47)-L45)/MIN(L$44:L$47),"")</f>
        <v/>
      </c>
    </row>
    <row r="46" spans="2:15" x14ac:dyDescent="0.2">
      <c r="C46" s="12" t="s">
        <v>137</v>
      </c>
      <c r="D46" s="13">
        <v>347.55471801757813</v>
      </c>
      <c r="F46" s="14" t="str">
        <f t="shared" si="14"/>
        <v/>
      </c>
      <c r="K46" s="12" t="s">
        <v>137</v>
      </c>
      <c r="L46" s="13">
        <v>347.55471801757813</v>
      </c>
      <c r="N46" s="14" t="str">
        <f t="shared" si="15"/>
        <v/>
      </c>
    </row>
    <row r="47" spans="2:15" x14ac:dyDescent="0.2">
      <c r="C47" s="12" t="s">
        <v>139</v>
      </c>
      <c r="D47" s="13">
        <v>0</v>
      </c>
      <c r="F47" s="14" t="str">
        <f t="shared" si="14"/>
        <v/>
      </c>
      <c r="K47" s="12" t="s">
        <v>139</v>
      </c>
      <c r="L47" s="13">
        <v>0</v>
      </c>
      <c r="N47" s="14" t="str">
        <f t="shared" si="15"/>
        <v/>
      </c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Q40"/>
  <sheetViews>
    <sheetView tabSelected="1" workbookViewId="0">
      <pane xSplit="1" topLeftCell="B1" activePane="topRight" state="frozen"/>
      <selection pane="topRight" activeCell="K34" sqref="K34"/>
    </sheetView>
  </sheetViews>
  <sheetFormatPr baseColWidth="10" defaultRowHeight="12.75" x14ac:dyDescent="0.2"/>
  <cols>
    <col min="1" max="16384" width="11.42578125" style="1"/>
  </cols>
  <sheetData>
    <row r="1" spans="1:69" ht="15" x14ac:dyDescent="0.25">
      <c r="E1" s="24" t="s">
        <v>142</v>
      </c>
    </row>
    <row r="4" spans="1:69" ht="30" x14ac:dyDescent="0.4">
      <c r="B4" s="21" t="s">
        <v>136</v>
      </c>
      <c r="C4" s="22"/>
      <c r="D4" s="22"/>
      <c r="E4" s="22"/>
      <c r="F4" s="21" t="s">
        <v>138</v>
      </c>
      <c r="G4" s="22"/>
      <c r="H4" s="22"/>
      <c r="I4" s="22"/>
      <c r="J4" s="21" t="s">
        <v>137</v>
      </c>
      <c r="K4" s="22"/>
      <c r="L4" s="22"/>
      <c r="M4" s="22"/>
      <c r="N4" s="21" t="s">
        <v>139</v>
      </c>
      <c r="O4" s="22"/>
      <c r="P4" s="22"/>
      <c r="Q4" s="23"/>
    </row>
    <row r="5" spans="1:69" ht="12.75" customHeight="1" x14ac:dyDescent="0.2">
      <c r="A5" s="2" t="s">
        <v>0</v>
      </c>
      <c r="B5" s="18" t="s">
        <v>30</v>
      </c>
      <c r="C5" s="18" t="s">
        <v>31</v>
      </c>
      <c r="D5" s="18" t="s">
        <v>32</v>
      </c>
      <c r="E5" s="18" t="s">
        <v>33</v>
      </c>
      <c r="F5" s="5" t="s">
        <v>30</v>
      </c>
      <c r="G5" s="5" t="s">
        <v>31</v>
      </c>
      <c r="H5" s="5" t="s">
        <v>32</v>
      </c>
      <c r="I5" s="5" t="s">
        <v>33</v>
      </c>
      <c r="J5" s="6" t="s">
        <v>30</v>
      </c>
      <c r="K5" s="6" t="s">
        <v>31</v>
      </c>
      <c r="L5" s="6" t="s">
        <v>32</v>
      </c>
      <c r="M5" s="6" t="s">
        <v>33</v>
      </c>
      <c r="N5" s="7" t="s">
        <v>30</v>
      </c>
      <c r="O5" s="7" t="s">
        <v>31</v>
      </c>
      <c r="P5" s="7" t="s">
        <v>32</v>
      </c>
      <c r="Q5" s="7" t="s">
        <v>33</v>
      </c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</row>
    <row r="6" spans="1:69" x14ac:dyDescent="0.2">
      <c r="A6" s="2" t="s">
        <v>1</v>
      </c>
      <c r="B6" s="8">
        <v>63</v>
      </c>
      <c r="C6" s="8">
        <v>63</v>
      </c>
      <c r="D6" s="8">
        <v>63</v>
      </c>
      <c r="E6" s="8">
        <v>63</v>
      </c>
      <c r="F6" s="9">
        <v>42.5</v>
      </c>
      <c r="G6" s="9">
        <v>43.9</v>
      </c>
      <c r="H6" s="9">
        <v>43.9</v>
      </c>
      <c r="I6" s="9">
        <v>42.5</v>
      </c>
      <c r="J6" s="10">
        <v>36.176699999999997</v>
      </c>
      <c r="K6" s="10">
        <v>36.176699999999997</v>
      </c>
      <c r="L6" s="10">
        <v>36.176699999999997</v>
      </c>
      <c r="M6" s="10">
        <v>36.176699999999997</v>
      </c>
      <c r="N6" s="11">
        <v>31.05</v>
      </c>
      <c r="O6" s="11">
        <v>31.05</v>
      </c>
      <c r="P6" s="11">
        <v>31.05</v>
      </c>
      <c r="Q6" s="11">
        <v>31.05</v>
      </c>
    </row>
    <row r="7" spans="1:69" x14ac:dyDescent="0.2">
      <c r="A7" s="2" t="s">
        <v>2</v>
      </c>
      <c r="B7" s="8">
        <v>71</v>
      </c>
      <c r="C7" s="8">
        <v>71</v>
      </c>
      <c r="D7" s="8">
        <v>71</v>
      </c>
      <c r="E7" s="8">
        <v>71</v>
      </c>
      <c r="F7" s="9">
        <v>42.5</v>
      </c>
      <c r="G7" s="9">
        <v>43.9</v>
      </c>
      <c r="H7" s="9">
        <v>43.9</v>
      </c>
      <c r="I7" s="9">
        <v>42.5</v>
      </c>
      <c r="J7" s="10">
        <v>41.344800000000006</v>
      </c>
      <c r="K7" s="10">
        <v>41.344800000000006</v>
      </c>
      <c r="L7" s="10">
        <v>41.344800000000006</v>
      </c>
      <c r="M7" s="10">
        <v>41.344800000000006</v>
      </c>
      <c r="N7" s="11">
        <v>33.75</v>
      </c>
      <c r="O7" s="11">
        <v>33.75</v>
      </c>
      <c r="P7" s="11">
        <v>33.75</v>
      </c>
      <c r="Q7" s="11">
        <v>33.75</v>
      </c>
    </row>
    <row r="8" spans="1:69" x14ac:dyDescent="0.2">
      <c r="A8" s="2" t="s">
        <v>3</v>
      </c>
      <c r="B8" s="8">
        <v>89</v>
      </c>
      <c r="C8" s="8">
        <v>89</v>
      </c>
      <c r="D8" s="8">
        <v>89</v>
      </c>
      <c r="E8" s="8">
        <v>89</v>
      </c>
      <c r="F8" s="9">
        <v>42.5</v>
      </c>
      <c r="G8" s="9">
        <v>43.9</v>
      </c>
      <c r="H8" s="9">
        <v>43.9</v>
      </c>
      <c r="I8" s="9">
        <v>42.5</v>
      </c>
      <c r="J8" s="10">
        <v>60.725175</v>
      </c>
      <c r="K8" s="10">
        <v>60.725175</v>
      </c>
      <c r="L8" s="10">
        <v>60.725175</v>
      </c>
      <c r="M8" s="10">
        <v>60.725175</v>
      </c>
      <c r="N8" s="11">
        <v>39.6</v>
      </c>
      <c r="O8" s="11">
        <v>39.6</v>
      </c>
      <c r="P8" s="11">
        <v>39.6</v>
      </c>
      <c r="Q8" s="11">
        <v>39.6</v>
      </c>
    </row>
    <row r="9" spans="1:69" x14ac:dyDescent="0.2">
      <c r="A9" s="2" t="s">
        <v>4</v>
      </c>
      <c r="B9" s="8">
        <v>103</v>
      </c>
      <c r="C9" s="8">
        <v>103</v>
      </c>
      <c r="D9" s="8">
        <v>103</v>
      </c>
      <c r="E9" s="8">
        <v>103</v>
      </c>
      <c r="F9" s="9">
        <f>2*23.8</f>
        <v>47.6</v>
      </c>
      <c r="G9" s="9">
        <f>2*27.1</f>
        <v>54.2</v>
      </c>
      <c r="H9" s="9">
        <f>2*27.1</f>
        <v>54.2</v>
      </c>
      <c r="I9" s="9">
        <f>2*23.8</f>
        <v>47.6</v>
      </c>
      <c r="J9" s="10">
        <v>60.725175</v>
      </c>
      <c r="K9" s="10">
        <v>60.725175</v>
      </c>
      <c r="L9" s="10">
        <v>60.725175</v>
      </c>
      <c r="M9" s="10">
        <v>60.725175</v>
      </c>
      <c r="N9" s="11">
        <v>55.44</v>
      </c>
      <c r="O9" s="11">
        <v>55.44</v>
      </c>
      <c r="P9" s="11">
        <v>55.44</v>
      </c>
      <c r="Q9" s="11">
        <v>52.8</v>
      </c>
    </row>
    <row r="10" spans="1:69" x14ac:dyDescent="0.2">
      <c r="A10" s="2" t="s">
        <v>5</v>
      </c>
      <c r="B10" s="8">
        <v>124</v>
      </c>
      <c r="C10" s="8">
        <v>124</v>
      </c>
      <c r="D10" s="8">
        <v>124</v>
      </c>
      <c r="E10" s="8">
        <v>124</v>
      </c>
      <c r="F10" s="9">
        <f>2.5*23.8</f>
        <v>59.5</v>
      </c>
      <c r="G10" s="9">
        <f>27.1*2.5</f>
        <v>67.75</v>
      </c>
      <c r="H10" s="9">
        <f>27.1*2.5</f>
        <v>67.75</v>
      </c>
      <c r="I10" s="9">
        <f>2.5*23.8</f>
        <v>59.5</v>
      </c>
      <c r="J10" s="10">
        <v>76.229474999999994</v>
      </c>
      <c r="K10" s="10">
        <v>76.229474999999994</v>
      </c>
      <c r="L10" s="10">
        <v>76.229474999999994</v>
      </c>
      <c r="M10" s="10">
        <v>76.229474999999994</v>
      </c>
      <c r="N10" s="11">
        <v>63.36</v>
      </c>
      <c r="O10" s="11">
        <v>63.36</v>
      </c>
      <c r="P10" s="11">
        <v>63.36</v>
      </c>
      <c r="Q10" s="11">
        <v>60.72</v>
      </c>
    </row>
    <row r="11" spans="1:69" x14ac:dyDescent="0.2">
      <c r="A11" s="2" t="s">
        <v>6</v>
      </c>
      <c r="B11" s="8">
        <v>142</v>
      </c>
      <c r="C11" s="8">
        <v>142</v>
      </c>
      <c r="D11" s="8">
        <v>142</v>
      </c>
      <c r="E11" s="8">
        <v>142</v>
      </c>
      <c r="F11" s="9">
        <f>23.8*3</f>
        <v>71.400000000000006</v>
      </c>
      <c r="G11" s="9">
        <f>27.1*3</f>
        <v>81.300000000000011</v>
      </c>
      <c r="H11" s="9">
        <f>27.1*3</f>
        <v>81.300000000000011</v>
      </c>
      <c r="I11" s="9">
        <f>23.8*3</f>
        <v>71.400000000000006</v>
      </c>
      <c r="J11" s="10">
        <v>76.229474999999994</v>
      </c>
      <c r="K11" s="10">
        <v>76.229474999999994</v>
      </c>
      <c r="L11" s="10">
        <v>76.229474999999994</v>
      </c>
      <c r="M11" s="10">
        <v>76.229474999999994</v>
      </c>
      <c r="N11" s="11">
        <v>72.599999999999994</v>
      </c>
      <c r="O11" s="11">
        <v>72.599999999999994</v>
      </c>
      <c r="P11" s="11">
        <v>72.599999999999994</v>
      </c>
      <c r="Q11" s="11">
        <v>69.959999999999994</v>
      </c>
    </row>
    <row r="12" spans="1:69" x14ac:dyDescent="0.2">
      <c r="A12" s="2" t="s">
        <v>7</v>
      </c>
      <c r="B12" s="8">
        <v>155</v>
      </c>
      <c r="C12" s="8">
        <v>155</v>
      </c>
      <c r="D12" s="8">
        <v>155</v>
      </c>
      <c r="E12" s="8">
        <v>155</v>
      </c>
      <c r="F12" s="9">
        <f>23.8*4</f>
        <v>95.2</v>
      </c>
      <c r="G12" s="9">
        <f>27.1*4</f>
        <v>108.4</v>
      </c>
      <c r="H12" s="9">
        <f>27.1*4</f>
        <v>108.4</v>
      </c>
      <c r="I12" s="9">
        <f>23.8*4</f>
        <v>95.2</v>
      </c>
      <c r="J12" s="10">
        <v>82.689600000000013</v>
      </c>
      <c r="K12" s="10">
        <v>82.689600000000013</v>
      </c>
      <c r="L12" s="10">
        <v>82.689600000000013</v>
      </c>
      <c r="M12" s="10">
        <v>82.689600000000013</v>
      </c>
      <c r="N12" s="11">
        <v>89.7</v>
      </c>
      <c r="O12" s="11">
        <v>89.7</v>
      </c>
      <c r="P12" s="11">
        <v>89.7</v>
      </c>
      <c r="Q12" s="11">
        <v>79.3</v>
      </c>
    </row>
    <row r="13" spans="1:69" x14ac:dyDescent="0.2">
      <c r="A13" s="2" t="s">
        <v>8</v>
      </c>
      <c r="B13" s="8">
        <v>173</v>
      </c>
      <c r="C13" s="8">
        <v>173</v>
      </c>
      <c r="D13" s="8">
        <v>173</v>
      </c>
      <c r="E13" s="8">
        <v>173</v>
      </c>
      <c r="F13" s="9">
        <f>23.8*5</f>
        <v>119</v>
      </c>
      <c r="G13" s="9">
        <f>27.1*5</f>
        <v>135.5</v>
      </c>
      <c r="H13" s="9">
        <f>27.1*5</f>
        <v>135.5</v>
      </c>
      <c r="I13" s="9">
        <f>23.8*5</f>
        <v>119</v>
      </c>
      <c r="J13" s="10">
        <v>96.90187499999999</v>
      </c>
      <c r="K13" s="10">
        <v>96.90187499999999</v>
      </c>
      <c r="L13" s="10">
        <v>96.90187499999999</v>
      </c>
      <c r="M13" s="10">
        <v>96.90187499999999</v>
      </c>
      <c r="N13" s="11">
        <v>107.9</v>
      </c>
      <c r="O13" s="11">
        <v>107.9</v>
      </c>
      <c r="P13" s="11">
        <v>107.9</v>
      </c>
      <c r="Q13" s="11">
        <v>87.1</v>
      </c>
    </row>
    <row r="14" spans="1:69" x14ac:dyDescent="0.2">
      <c r="A14" s="2" t="s">
        <v>9</v>
      </c>
      <c r="B14" s="8">
        <v>207</v>
      </c>
      <c r="C14" s="8">
        <v>207</v>
      </c>
      <c r="D14" s="8">
        <v>207</v>
      </c>
      <c r="E14" s="8">
        <v>207</v>
      </c>
      <c r="F14" s="9">
        <v>119</v>
      </c>
      <c r="G14" s="9">
        <f>21.7*6</f>
        <v>130.19999999999999</v>
      </c>
      <c r="H14" s="9">
        <f>21.7*6</f>
        <v>130.19999999999999</v>
      </c>
      <c r="I14" s="9">
        <v>119</v>
      </c>
      <c r="J14" s="10">
        <v>114.990225</v>
      </c>
      <c r="K14" s="10">
        <v>114.990225</v>
      </c>
      <c r="L14" s="10">
        <v>114.990225</v>
      </c>
      <c r="M14" s="10">
        <v>114.990225</v>
      </c>
      <c r="N14" s="11">
        <v>117.76</v>
      </c>
      <c r="O14" s="11">
        <v>117.76</v>
      </c>
      <c r="P14" s="11">
        <v>117.76</v>
      </c>
      <c r="Q14" s="11">
        <v>96.2</v>
      </c>
    </row>
    <row r="15" spans="1:69" x14ac:dyDescent="0.2">
      <c r="A15" s="2" t="s">
        <v>10</v>
      </c>
      <c r="B15" s="8">
        <v>235</v>
      </c>
      <c r="C15" s="8">
        <v>235</v>
      </c>
      <c r="D15" s="8">
        <v>235</v>
      </c>
      <c r="E15" s="8">
        <v>235</v>
      </c>
      <c r="F15" s="9">
        <f>7*18.8</f>
        <v>131.6</v>
      </c>
      <c r="G15" s="9">
        <f>21.7*7</f>
        <v>151.9</v>
      </c>
      <c r="H15" s="9">
        <f>21.7*7</f>
        <v>151.9</v>
      </c>
      <c r="I15" s="9">
        <f>7*18.8</f>
        <v>131.6</v>
      </c>
      <c r="J15" s="10">
        <v>131.78654999999998</v>
      </c>
      <c r="K15" s="10">
        <v>131.78654999999998</v>
      </c>
      <c r="L15" s="10">
        <v>131.78654999999998</v>
      </c>
      <c r="M15" s="10">
        <v>131.78654999999998</v>
      </c>
      <c r="N15" s="11">
        <v>129.28</v>
      </c>
      <c r="O15" s="11">
        <v>129.28</v>
      </c>
      <c r="P15" s="11">
        <v>129.28</v>
      </c>
      <c r="Q15" s="11">
        <v>105.3</v>
      </c>
    </row>
    <row r="16" spans="1:69" x14ac:dyDescent="0.2">
      <c r="A16" s="2" t="s">
        <v>11</v>
      </c>
      <c r="B16" s="8">
        <v>259</v>
      </c>
      <c r="C16" s="8">
        <v>259</v>
      </c>
      <c r="D16" s="8">
        <v>259</v>
      </c>
      <c r="E16" s="8">
        <v>259</v>
      </c>
      <c r="F16" s="9">
        <f>18.8*8</f>
        <v>150.4</v>
      </c>
      <c r="G16" s="9">
        <f>21.7*8</f>
        <v>173.6</v>
      </c>
      <c r="H16" s="9">
        <f>21.7*8</f>
        <v>173.6</v>
      </c>
      <c r="I16" s="9">
        <f>18.8*8</f>
        <v>150.4</v>
      </c>
      <c r="J16" s="10">
        <v>144.70679999999999</v>
      </c>
      <c r="K16" s="10">
        <v>144.70679999999999</v>
      </c>
      <c r="L16" s="10">
        <v>144.70679999999999</v>
      </c>
      <c r="M16" s="10">
        <v>144.70679999999999</v>
      </c>
      <c r="N16" s="11">
        <v>142.08000000000001</v>
      </c>
      <c r="O16" s="11">
        <v>142.08000000000001</v>
      </c>
      <c r="P16" s="11">
        <v>142.08000000000001</v>
      </c>
      <c r="Q16" s="11">
        <v>115.2</v>
      </c>
    </row>
    <row r="17" spans="1:17" x14ac:dyDescent="0.2">
      <c r="A17" s="2" t="s">
        <v>12</v>
      </c>
      <c r="B17" s="8">
        <v>273</v>
      </c>
      <c r="C17" s="8">
        <v>273</v>
      </c>
      <c r="D17" s="8">
        <v>273</v>
      </c>
      <c r="E17" s="8">
        <v>273</v>
      </c>
      <c r="F17" s="9">
        <f>18.8*9</f>
        <v>169.20000000000002</v>
      </c>
      <c r="G17" s="9">
        <f>21.7*9</f>
        <v>195.29999999999998</v>
      </c>
      <c r="H17" s="9">
        <f>21.7*9</f>
        <v>195.29999999999998</v>
      </c>
      <c r="I17" s="9">
        <f>18.8*9</f>
        <v>169.20000000000002</v>
      </c>
      <c r="J17" s="10">
        <v>157.62705</v>
      </c>
      <c r="K17" s="10">
        <v>157.62705</v>
      </c>
      <c r="L17" s="10">
        <v>157.62705</v>
      </c>
      <c r="M17" s="10">
        <v>157.62705</v>
      </c>
      <c r="N17" s="11">
        <v>152.46</v>
      </c>
      <c r="O17" s="11">
        <v>152.46</v>
      </c>
      <c r="P17" s="11">
        <v>152.46</v>
      </c>
      <c r="Q17" s="11">
        <v>126.72</v>
      </c>
    </row>
    <row r="18" spans="1:17" x14ac:dyDescent="0.2">
      <c r="A18" s="2" t="s">
        <v>13</v>
      </c>
      <c r="B18" s="8">
        <v>287</v>
      </c>
      <c r="C18" s="8">
        <v>287</v>
      </c>
      <c r="D18" s="8">
        <v>287</v>
      </c>
      <c r="E18" s="8">
        <v>287</v>
      </c>
      <c r="F18" s="9">
        <f>10*18.8</f>
        <v>188</v>
      </c>
      <c r="G18" s="9">
        <f>10*21.7</f>
        <v>217</v>
      </c>
      <c r="H18" s="9">
        <f>10*21.7</f>
        <v>217</v>
      </c>
      <c r="I18" s="9">
        <f>10*18.8</f>
        <v>188</v>
      </c>
      <c r="J18" s="10">
        <v>171.83932500000003</v>
      </c>
      <c r="K18" s="10">
        <v>171.83932500000003</v>
      </c>
      <c r="L18" s="10">
        <v>171.83932500000003</v>
      </c>
      <c r="M18" s="10">
        <v>171.83932500000003</v>
      </c>
      <c r="N18" s="11">
        <v>166.32</v>
      </c>
      <c r="O18" s="11">
        <v>166.32</v>
      </c>
      <c r="P18" s="11">
        <v>166.32</v>
      </c>
      <c r="Q18" s="11">
        <v>139.52000000000001</v>
      </c>
    </row>
    <row r="19" spans="1:17" x14ac:dyDescent="0.2">
      <c r="A19" s="2" t="s">
        <v>14</v>
      </c>
      <c r="B19" s="8">
        <v>305</v>
      </c>
      <c r="C19" s="8">
        <v>305</v>
      </c>
      <c r="D19" s="8">
        <v>305</v>
      </c>
      <c r="E19" s="8">
        <v>305</v>
      </c>
      <c r="F19" s="9">
        <f>11*14.7</f>
        <v>161.69999999999999</v>
      </c>
      <c r="G19" s="9">
        <f>11*16.1</f>
        <v>177.10000000000002</v>
      </c>
      <c r="H19" s="9">
        <f>11*16.1</f>
        <v>177.10000000000002</v>
      </c>
      <c r="I19" s="9">
        <f>11*14.7</f>
        <v>161.69999999999999</v>
      </c>
      <c r="J19" s="10">
        <v>200.26387500000001</v>
      </c>
      <c r="K19" s="10">
        <v>200.26387500000001</v>
      </c>
      <c r="L19" s="10">
        <v>200.26387500000001</v>
      </c>
      <c r="M19" s="10">
        <v>200.26387500000001</v>
      </c>
      <c r="N19" s="11">
        <v>193.11</v>
      </c>
      <c r="O19" s="11">
        <v>193.11</v>
      </c>
      <c r="P19" s="11">
        <v>193.11</v>
      </c>
      <c r="Q19" s="11">
        <v>149.94</v>
      </c>
    </row>
    <row r="20" spans="1:17" x14ac:dyDescent="0.2">
      <c r="A20" s="2" t="s">
        <v>15</v>
      </c>
      <c r="B20" s="8">
        <v>316</v>
      </c>
      <c r="C20" s="8">
        <v>316</v>
      </c>
      <c r="D20" s="8">
        <v>316</v>
      </c>
      <c r="E20" s="8">
        <v>316</v>
      </c>
      <c r="F20" s="9">
        <f>14.7*12</f>
        <v>176.39999999999998</v>
      </c>
      <c r="G20" s="9">
        <f>16.1*12</f>
        <v>193.20000000000002</v>
      </c>
      <c r="H20" s="9">
        <f>16.1*12</f>
        <v>193.20000000000002</v>
      </c>
      <c r="I20" s="9">
        <f>14.7*12</f>
        <v>176.39999999999998</v>
      </c>
      <c r="J20" s="10">
        <v>200.26387500000001</v>
      </c>
      <c r="K20" s="10">
        <v>200.26387500000001</v>
      </c>
      <c r="L20" s="10">
        <v>200.26387500000001</v>
      </c>
      <c r="M20" s="10">
        <v>200.26387500000001</v>
      </c>
      <c r="N20" s="11">
        <v>193.11</v>
      </c>
      <c r="O20" s="11">
        <v>193.11</v>
      </c>
      <c r="P20" s="11">
        <v>193.11</v>
      </c>
      <c r="Q20" s="11">
        <v>149.94</v>
      </c>
    </row>
    <row r="21" spans="1:17" x14ac:dyDescent="0.2">
      <c r="A21" s="2" t="s">
        <v>16</v>
      </c>
      <c r="B21" s="8">
        <v>332</v>
      </c>
      <c r="C21" s="8">
        <v>332</v>
      </c>
      <c r="D21" s="8">
        <v>332</v>
      </c>
      <c r="E21" s="8">
        <v>332</v>
      </c>
      <c r="F21" s="9">
        <f>13*14.7</f>
        <v>191.1</v>
      </c>
      <c r="G21" s="9">
        <f>16.1*13</f>
        <v>209.3</v>
      </c>
      <c r="H21" s="9">
        <f>16.1*13</f>
        <v>209.3</v>
      </c>
      <c r="I21" s="9">
        <f>13*14.7</f>
        <v>191.1</v>
      </c>
      <c r="J21" s="10">
        <v>224.81234999999998</v>
      </c>
      <c r="K21" s="10">
        <v>224.81234999999998</v>
      </c>
      <c r="L21" s="10">
        <v>224.81234999999998</v>
      </c>
      <c r="M21" s="10">
        <v>224.81234999999998</v>
      </c>
      <c r="N21" s="11">
        <v>226.32</v>
      </c>
      <c r="O21" s="11">
        <v>226.32</v>
      </c>
      <c r="P21" s="11">
        <v>226.32</v>
      </c>
      <c r="Q21" s="11">
        <v>163.80000000000001</v>
      </c>
    </row>
    <row r="22" spans="1:17" x14ac:dyDescent="0.2">
      <c r="A22" s="2" t="s">
        <v>17</v>
      </c>
      <c r="B22" s="8">
        <v>334</v>
      </c>
      <c r="C22" s="8">
        <v>334</v>
      </c>
      <c r="D22" s="8">
        <v>334</v>
      </c>
      <c r="E22" s="8">
        <v>334</v>
      </c>
      <c r="F22" s="9">
        <f>14.7*14</f>
        <v>205.79999999999998</v>
      </c>
      <c r="G22" s="9">
        <f>16.1*14</f>
        <v>225.40000000000003</v>
      </c>
      <c r="H22" s="9">
        <f>16.1*14</f>
        <v>225.40000000000003</v>
      </c>
      <c r="I22" s="9">
        <f>14.7*14</f>
        <v>205.79999999999998</v>
      </c>
      <c r="J22" s="10">
        <v>224.81234999999998</v>
      </c>
      <c r="K22" s="10">
        <v>224.81234999999998</v>
      </c>
      <c r="L22" s="10">
        <v>224.81234999999998</v>
      </c>
      <c r="M22" s="10">
        <v>224.81234999999998</v>
      </c>
      <c r="N22" s="11">
        <v>226.32</v>
      </c>
      <c r="O22" s="11">
        <v>226.32</v>
      </c>
      <c r="P22" s="11">
        <v>226.32</v>
      </c>
      <c r="Q22" s="11">
        <v>163.80000000000001</v>
      </c>
    </row>
    <row r="23" spans="1:17" x14ac:dyDescent="0.2">
      <c r="A23" s="2" t="s">
        <v>18</v>
      </c>
      <c r="B23" s="8">
        <v>346</v>
      </c>
      <c r="C23" s="8">
        <v>346</v>
      </c>
      <c r="D23" s="8">
        <v>346</v>
      </c>
      <c r="E23" s="8">
        <v>346</v>
      </c>
      <c r="F23" s="9">
        <f>14.7*15</f>
        <v>220.5</v>
      </c>
      <c r="G23" s="9">
        <f>16.1*15</f>
        <v>241.50000000000003</v>
      </c>
      <c r="H23" s="9">
        <f>16.1*15</f>
        <v>241.50000000000003</v>
      </c>
      <c r="I23" s="9">
        <f>14.7*15</f>
        <v>220.5</v>
      </c>
      <c r="J23" s="10">
        <v>224.81234999999998</v>
      </c>
      <c r="K23" s="10">
        <v>224.81234999999998</v>
      </c>
      <c r="L23" s="10">
        <v>224.81234999999998</v>
      </c>
      <c r="M23" s="10">
        <v>224.81234999999998</v>
      </c>
      <c r="N23" s="11">
        <v>226.32</v>
      </c>
      <c r="O23" s="11">
        <v>226.32</v>
      </c>
      <c r="P23" s="11">
        <v>226.32</v>
      </c>
      <c r="Q23" s="11">
        <v>190.65</v>
      </c>
    </row>
    <row r="24" spans="1:17" x14ac:dyDescent="0.2">
      <c r="A24" s="2" t="s">
        <v>19</v>
      </c>
      <c r="B24" s="8">
        <v>362</v>
      </c>
      <c r="C24" s="8">
        <v>362</v>
      </c>
      <c r="D24" s="8">
        <v>362</v>
      </c>
      <c r="E24" s="8">
        <v>362</v>
      </c>
      <c r="F24" s="9">
        <f>14.7*16</f>
        <v>235.2</v>
      </c>
      <c r="G24" s="9">
        <f>16.1*16</f>
        <v>257.60000000000002</v>
      </c>
      <c r="H24" s="9">
        <f>16.1*16</f>
        <v>257.60000000000002</v>
      </c>
      <c r="I24" s="9">
        <f>14.7*16</f>
        <v>235.2</v>
      </c>
      <c r="J24" s="10">
        <v>249.36082500000001</v>
      </c>
      <c r="K24" s="10">
        <v>249.36082500000001</v>
      </c>
      <c r="L24" s="10">
        <v>249.36082500000001</v>
      </c>
      <c r="M24" s="10">
        <v>249.36082500000001</v>
      </c>
      <c r="N24" s="11">
        <v>256.8</v>
      </c>
      <c r="O24" s="11">
        <v>256.8</v>
      </c>
      <c r="P24" s="11">
        <v>256.8</v>
      </c>
      <c r="Q24" s="11">
        <v>190.65</v>
      </c>
    </row>
    <row r="25" spans="1:17" x14ac:dyDescent="0.2">
      <c r="A25" s="2" t="s">
        <v>20</v>
      </c>
      <c r="B25" s="8">
        <v>380</v>
      </c>
      <c r="C25" s="8">
        <v>380</v>
      </c>
      <c r="D25" s="8">
        <v>380</v>
      </c>
      <c r="E25" s="8">
        <v>380</v>
      </c>
      <c r="F25" s="9">
        <f>14.7*17</f>
        <v>249.89999999999998</v>
      </c>
      <c r="G25" s="9">
        <f>16.1*17</f>
        <v>273.70000000000005</v>
      </c>
      <c r="H25" s="9">
        <f>16.1*17</f>
        <v>273.70000000000005</v>
      </c>
      <c r="I25" s="9">
        <f>14.7*17</f>
        <v>249.89999999999998</v>
      </c>
      <c r="J25" s="10">
        <v>249.36082500000001</v>
      </c>
      <c r="K25" s="10">
        <v>249.36082500000001</v>
      </c>
      <c r="L25" s="10">
        <v>249.36082500000001</v>
      </c>
      <c r="M25" s="10">
        <v>249.36082500000001</v>
      </c>
      <c r="N25" s="11">
        <v>256.8</v>
      </c>
      <c r="O25" s="11">
        <v>256.8</v>
      </c>
      <c r="P25" s="11">
        <v>256.8</v>
      </c>
      <c r="Q25" s="11">
        <v>223.86</v>
      </c>
    </row>
    <row r="26" spans="1:17" x14ac:dyDescent="0.2">
      <c r="A26" s="2" t="s">
        <v>21</v>
      </c>
      <c r="B26" s="8">
        <v>393</v>
      </c>
      <c r="C26" s="8">
        <v>393</v>
      </c>
      <c r="D26" s="8">
        <v>393</v>
      </c>
      <c r="E26" s="8">
        <v>393</v>
      </c>
      <c r="F26" s="9">
        <f>18*14.7</f>
        <v>264.59999999999997</v>
      </c>
      <c r="G26" s="9">
        <f>16.1*18</f>
        <v>289.8</v>
      </c>
      <c r="H26" s="9">
        <f>16.1*18</f>
        <v>289.8</v>
      </c>
      <c r="I26" s="9">
        <f>18*14.7</f>
        <v>264.59999999999997</v>
      </c>
      <c r="J26" s="10">
        <v>249.36082500000001</v>
      </c>
      <c r="K26" s="10">
        <v>249.36082500000001</v>
      </c>
      <c r="L26" s="10">
        <v>249.36082500000001</v>
      </c>
      <c r="M26" s="10">
        <v>249.36082500000001</v>
      </c>
      <c r="N26" s="11">
        <v>256.8</v>
      </c>
      <c r="O26" s="11">
        <v>256.8</v>
      </c>
      <c r="P26" s="11">
        <v>256.8</v>
      </c>
      <c r="Q26" s="11">
        <v>223.86</v>
      </c>
    </row>
    <row r="27" spans="1:17" x14ac:dyDescent="0.2">
      <c r="A27" s="2" t="s">
        <v>22</v>
      </c>
      <c r="B27" s="8">
        <v>402</v>
      </c>
      <c r="C27" s="8">
        <v>402</v>
      </c>
      <c r="D27" s="8">
        <v>402</v>
      </c>
      <c r="E27" s="8">
        <v>402</v>
      </c>
      <c r="F27" s="9">
        <f>19*14.7</f>
        <v>279.3</v>
      </c>
      <c r="G27" s="9">
        <f>16.1*19</f>
        <v>305.90000000000003</v>
      </c>
      <c r="H27" s="9">
        <f>16.1*19</f>
        <v>305.90000000000003</v>
      </c>
      <c r="I27" s="9">
        <f>19*14.7</f>
        <v>279.3</v>
      </c>
      <c r="J27" s="10">
        <v>279.07740000000001</v>
      </c>
      <c r="K27" s="10">
        <v>279.07740000000001</v>
      </c>
      <c r="L27" s="10">
        <v>279.07740000000001</v>
      </c>
      <c r="M27" s="10">
        <v>279.07740000000001</v>
      </c>
      <c r="N27" s="11">
        <v>294</v>
      </c>
      <c r="O27" s="11">
        <v>294</v>
      </c>
      <c r="P27" s="11">
        <v>294</v>
      </c>
      <c r="Q27" s="11">
        <v>223.86</v>
      </c>
    </row>
    <row r="28" spans="1:17" x14ac:dyDescent="0.2">
      <c r="A28" s="2" t="s">
        <v>23</v>
      </c>
      <c r="B28" s="8">
        <v>412</v>
      </c>
      <c r="C28" s="8">
        <v>412</v>
      </c>
      <c r="D28" s="8">
        <v>412</v>
      </c>
      <c r="E28" s="8">
        <v>412</v>
      </c>
      <c r="F28" s="9">
        <f>20*14.7</f>
        <v>294</v>
      </c>
      <c r="G28" s="9">
        <f>16.1*20</f>
        <v>322</v>
      </c>
      <c r="H28" s="9">
        <f>16.1*20</f>
        <v>322</v>
      </c>
      <c r="I28" s="9">
        <f>20*14.7</f>
        <v>294</v>
      </c>
      <c r="J28" s="10">
        <v>279.07740000000001</v>
      </c>
      <c r="K28" s="10">
        <v>279.07740000000001</v>
      </c>
      <c r="L28" s="10">
        <v>279.07740000000001</v>
      </c>
      <c r="M28" s="10">
        <v>279.07740000000001</v>
      </c>
      <c r="N28" s="11">
        <v>294</v>
      </c>
      <c r="O28" s="11">
        <v>294</v>
      </c>
      <c r="P28" s="11">
        <v>294</v>
      </c>
      <c r="Q28" s="11">
        <v>288</v>
      </c>
    </row>
    <row r="29" spans="1:17" x14ac:dyDescent="0.2">
      <c r="A29" s="2" t="s">
        <v>24</v>
      </c>
      <c r="B29" s="8">
        <v>423</v>
      </c>
      <c r="C29" s="8">
        <v>423</v>
      </c>
      <c r="D29" s="8">
        <v>423</v>
      </c>
      <c r="E29" s="8">
        <v>423</v>
      </c>
      <c r="F29" s="9">
        <f>21*12.3</f>
        <v>258.3</v>
      </c>
      <c r="G29" s="9">
        <f>21*13.5</f>
        <v>283.5</v>
      </c>
      <c r="H29" s="9">
        <f>21*13.5</f>
        <v>283.5</v>
      </c>
      <c r="I29" s="9">
        <f>21*12.3</f>
        <v>258.3</v>
      </c>
      <c r="J29" s="10">
        <v>298.45777499999997</v>
      </c>
      <c r="K29" s="10">
        <v>298.45777499999997</v>
      </c>
      <c r="L29" s="10">
        <v>298.45777499999997</v>
      </c>
      <c r="M29" s="10">
        <v>298.45777499999997</v>
      </c>
      <c r="N29" s="4"/>
      <c r="O29" s="4"/>
      <c r="P29" s="4"/>
      <c r="Q29" s="4"/>
    </row>
    <row r="30" spans="1:17" x14ac:dyDescent="0.2">
      <c r="A30" s="2" t="s">
        <v>25</v>
      </c>
      <c r="B30" s="8">
        <v>432</v>
      </c>
      <c r="C30" s="8">
        <v>432</v>
      </c>
      <c r="D30" s="8">
        <v>432</v>
      </c>
      <c r="E30" s="8">
        <v>432</v>
      </c>
      <c r="F30" s="9">
        <f>22*12.3</f>
        <v>270.60000000000002</v>
      </c>
      <c r="G30" s="9">
        <f>13.5*22</f>
        <v>297</v>
      </c>
      <c r="H30" s="9">
        <f>13.5*22</f>
        <v>297</v>
      </c>
      <c r="I30" s="9">
        <f>22*12.3</f>
        <v>270.60000000000002</v>
      </c>
      <c r="J30" s="10">
        <v>298.45777499999997</v>
      </c>
      <c r="K30" s="10">
        <v>298.45777499999997</v>
      </c>
      <c r="L30" s="10">
        <v>298.45777499999997</v>
      </c>
      <c r="M30" s="10">
        <v>298.45777499999997</v>
      </c>
      <c r="N30" s="4"/>
      <c r="O30" s="4"/>
      <c r="P30" s="4"/>
      <c r="Q30" s="4"/>
    </row>
    <row r="31" spans="1:17" x14ac:dyDescent="0.2">
      <c r="A31" s="2" t="s">
        <v>26</v>
      </c>
      <c r="B31" s="8">
        <v>442</v>
      </c>
      <c r="C31" s="8">
        <v>442</v>
      </c>
      <c r="D31" s="8">
        <v>442</v>
      </c>
      <c r="E31" s="8">
        <v>442</v>
      </c>
      <c r="F31" s="9">
        <f>23*12.3</f>
        <v>282.90000000000003</v>
      </c>
      <c r="G31" s="9">
        <f>13.5*22</f>
        <v>297</v>
      </c>
      <c r="H31" s="9">
        <f>13.5*22</f>
        <v>297</v>
      </c>
      <c r="I31" s="9">
        <f>23*12.3</f>
        <v>282.90000000000003</v>
      </c>
      <c r="J31" s="10">
        <v>298.45777499999997</v>
      </c>
      <c r="K31" s="10">
        <v>298.45777499999997</v>
      </c>
      <c r="L31" s="10">
        <v>298.45777499999997</v>
      </c>
      <c r="M31" s="10">
        <v>298.45777499999997</v>
      </c>
      <c r="N31" s="4"/>
      <c r="O31" s="4"/>
      <c r="P31" s="4"/>
      <c r="Q31" s="4"/>
    </row>
    <row r="32" spans="1:17" x14ac:dyDescent="0.2">
      <c r="A32" s="2" t="s">
        <v>27</v>
      </c>
      <c r="B32" s="8">
        <v>448</v>
      </c>
      <c r="C32" s="8">
        <v>448</v>
      </c>
      <c r="D32" s="8">
        <v>448</v>
      </c>
      <c r="E32" s="8">
        <v>448</v>
      </c>
      <c r="F32" s="9">
        <f>24*12.3</f>
        <v>295.20000000000005</v>
      </c>
      <c r="G32" s="9">
        <f>24*13.5</f>
        <v>324</v>
      </c>
      <c r="H32" s="9">
        <f>24*13.5</f>
        <v>324</v>
      </c>
      <c r="I32" s="9">
        <f>24*12.3</f>
        <v>295.20000000000005</v>
      </c>
      <c r="J32" s="10">
        <v>298.45777499999997</v>
      </c>
      <c r="K32" s="10">
        <v>298.45777499999997</v>
      </c>
      <c r="L32" s="10">
        <v>298.45777499999997</v>
      </c>
      <c r="M32" s="10">
        <v>298.45777499999997</v>
      </c>
      <c r="N32" s="4"/>
      <c r="O32" s="4"/>
      <c r="P32" s="4"/>
      <c r="Q32" s="4"/>
    </row>
    <row r="33" spans="1:17" x14ac:dyDescent="0.2">
      <c r="A33" s="2" t="s">
        <v>28</v>
      </c>
      <c r="B33" s="8">
        <v>450</v>
      </c>
      <c r="C33" s="8">
        <v>450</v>
      </c>
      <c r="D33" s="8">
        <v>450</v>
      </c>
      <c r="E33" s="8">
        <v>450</v>
      </c>
      <c r="F33" s="9">
        <f>25*12.3</f>
        <v>307.5</v>
      </c>
      <c r="G33" s="9">
        <f>25*13.5</f>
        <v>337.5</v>
      </c>
      <c r="H33" s="9">
        <f>25*13.5</f>
        <v>337.5</v>
      </c>
      <c r="I33" s="9">
        <f>25*12.3</f>
        <v>307.5</v>
      </c>
      <c r="J33" s="10">
        <v>298.45777499999997</v>
      </c>
      <c r="K33" s="10">
        <v>298.45777499999997</v>
      </c>
      <c r="L33" s="10">
        <v>298.45777499999997</v>
      </c>
      <c r="M33" s="10">
        <v>298.45777499999997</v>
      </c>
      <c r="N33" s="4"/>
      <c r="O33" s="4"/>
      <c r="P33" s="4"/>
      <c r="Q33" s="4"/>
    </row>
    <row r="34" spans="1:17" x14ac:dyDescent="0.2">
      <c r="A34" s="2" t="s">
        <v>29</v>
      </c>
      <c r="B34" s="8">
        <v>478</v>
      </c>
      <c r="C34" s="8">
        <v>478</v>
      </c>
      <c r="D34" s="8">
        <v>478</v>
      </c>
      <c r="E34" s="8">
        <v>478</v>
      </c>
      <c r="F34" s="9">
        <f>30*11.2</f>
        <v>336</v>
      </c>
      <c r="G34" s="9">
        <f>12.4*30</f>
        <v>372</v>
      </c>
      <c r="H34" s="9">
        <f>12.4*30</f>
        <v>372</v>
      </c>
      <c r="I34" s="9">
        <f>30*11.2</f>
        <v>336</v>
      </c>
      <c r="J34" s="10">
        <v>347.55472499999996</v>
      </c>
      <c r="K34" s="10">
        <v>347.55472499999996</v>
      </c>
      <c r="L34" s="10">
        <v>347.55472499999996</v>
      </c>
      <c r="M34" s="10">
        <v>347.55472499999996</v>
      </c>
      <c r="N34" s="4"/>
      <c r="O34" s="4"/>
      <c r="P34" s="4"/>
      <c r="Q34" s="4"/>
    </row>
    <row r="35" spans="1:17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1:17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1:17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1:17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1:17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</row>
    <row r="40" spans="1:17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</row>
  </sheetData>
  <mergeCells count="4">
    <mergeCell ref="N4:Q4"/>
    <mergeCell ref="B4:E4"/>
    <mergeCell ref="F4:I4"/>
    <mergeCell ref="J4:M4"/>
  </mergeCells>
  <hyperlinks>
    <hyperlink ref="E1" r:id="rId1"/>
  </hyperlink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</vt:lpstr>
      <vt:lpstr>Compare</vt:lpstr>
      <vt:lpstr>Rates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Halisa Salihovic | TLI-TransLog Transport AG - Basel</dc:creator>
  <cp:lastModifiedBy>Guy Blancher</cp:lastModifiedBy>
  <dcterms:created xsi:type="dcterms:W3CDTF">2019-04-05T06:12:50Z</dcterms:created>
  <dcterms:modified xsi:type="dcterms:W3CDTF">2019-04-11T10:47:45Z</dcterms:modified>
</cp:coreProperties>
</file>