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80" windowHeight="10005" tabRatio="882" activeTab="3"/>
  </bookViews>
  <sheets>
    <sheet name="Agence Stats Budget" sheetId="2" r:id="rId1"/>
    <sheet name="Agence Stats Visas" sheetId="3" r:id="rId2"/>
    <sheet name="Paramètres" sheetId="6" r:id="rId3"/>
    <sheet name="Menu" sheetId="38" r:id="rId4"/>
    <sheet name="DELPHINE" sheetId="4" r:id="rId5"/>
    <sheet name="FREDERIQUE" sheetId="31" r:id="rId6"/>
    <sheet name="AURELIE_T" sheetId="32" r:id="rId7"/>
    <sheet name="ERIC" sheetId="34" r:id="rId8"/>
    <sheet name="MARIE_PIERRE" sheetId="33" r:id="rId9"/>
    <sheet name="GUILLAUME" sheetId="35" r:id="rId10"/>
    <sheet name="SEBASTIEN" sheetId="36" r:id="rId11"/>
    <sheet name="AUTRE COMPTABLE" sheetId="37" state="hidden" r:id="rId12"/>
  </sheets>
  <definedNames>
    <definedName name="_xlnm._FilterDatabase" localSheetId="6" hidden="1">AURELIE_T!$B$2:$AI$60</definedName>
    <definedName name="_xlnm._FilterDatabase" localSheetId="11" hidden="1">'AUTRE COMPTABLE'!$B$2:$AI$57</definedName>
    <definedName name="_xlnm._FilterDatabase" localSheetId="4" hidden="1">DELPHINE!$B$2:$AI$59</definedName>
    <definedName name="_xlnm._FilterDatabase" localSheetId="7" hidden="1">ERIC!$B$2:$AI$60</definedName>
    <definedName name="_xlnm._FilterDatabase" localSheetId="5" hidden="1">FREDERIQUE!$B$2:$AI$60</definedName>
    <definedName name="_xlnm._FilterDatabase" localSheetId="9" hidden="1">GUILLAUME!$B$2:$AI$60</definedName>
    <definedName name="_xlnm._FilterDatabase" localSheetId="8" hidden="1">MARIE_PIERRE!$B$2:$AI$60</definedName>
    <definedName name="_xlnm._FilterDatabase" localSheetId="10" hidden="1">SEBASTIEN!$B$2:$AI$60</definedName>
    <definedName name="agoasigneeouinonafairena">Paramètres!$J$22:$J$25</definedName>
    <definedName name="crfaitparlecomptableouinon">Paramètres!$I$22:$I$23</definedName>
    <definedName name="crouinonaterminerafaire">Paramètres!$H$22:$H$25</definedName>
    <definedName name="listedossierdelphine">PORTEFEUILLE_DELPHINE[N° DOSSIER]</definedName>
    <definedName name="N°_DOSSIERDELPHINE">PORTEFEUILLE_DELPHINE[N° DOSSIER]</definedName>
    <definedName name="pcrouinonafaire">Paramètres!$E$22:$E$24</definedName>
    <definedName name="prénomsaac">Paramètres!$J$4:$J$7</definedName>
    <definedName name="prenomscomptables">Paramètres!$L$4:$L$11</definedName>
    <definedName name="prenomsconseillers">Paramètres!$K$4:$K$9</definedName>
    <definedName name="quicomptableconseiller">Paramètres!$G$22:$G$23</definedName>
    <definedName name="ranosouinonafaire">Paramètres!$F$22:$F$24</definedName>
    <definedName name="reconductionouinon">Paramètres!$K$22:$K$23</definedName>
    <definedName name="réponsesouinon">Paramètres!$I$13:$I$14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1" i="4" l="1"/>
  <c r="R113" i="37" l="1"/>
  <c r="Q113" i="37"/>
  <c r="P113" i="37"/>
  <c r="O113" i="37"/>
  <c r="N113" i="37"/>
  <c r="M113" i="37"/>
  <c r="L113" i="37"/>
  <c r="K113" i="37"/>
  <c r="J113" i="37"/>
  <c r="I113" i="37"/>
  <c r="H113" i="37"/>
  <c r="G113" i="37"/>
  <c r="F113" i="37"/>
  <c r="E113" i="37"/>
  <c r="R110" i="37"/>
  <c r="Q110" i="37"/>
  <c r="P110" i="37"/>
  <c r="L110" i="37"/>
  <c r="K110" i="37"/>
  <c r="J110" i="37"/>
  <c r="I110" i="37"/>
  <c r="F110" i="37"/>
  <c r="E110" i="37"/>
  <c r="R109" i="37"/>
  <c r="Q109" i="37"/>
  <c r="P109" i="37"/>
  <c r="O109" i="37"/>
  <c r="N109" i="37"/>
  <c r="M109" i="37"/>
  <c r="L109" i="37"/>
  <c r="K109" i="37"/>
  <c r="I109" i="37"/>
  <c r="H109" i="37"/>
  <c r="G109" i="37"/>
  <c r="F109" i="37"/>
  <c r="E109" i="37"/>
  <c r="O108" i="37"/>
  <c r="N108" i="37"/>
  <c r="M108" i="37"/>
  <c r="J108" i="37"/>
  <c r="R107" i="37"/>
  <c r="Q107" i="37"/>
  <c r="P107" i="37"/>
  <c r="O107" i="37"/>
  <c r="N107" i="37"/>
  <c r="M107" i="37"/>
  <c r="L107" i="37"/>
  <c r="K107" i="37"/>
  <c r="J107" i="37"/>
  <c r="I107" i="37"/>
  <c r="H107" i="37"/>
  <c r="G107" i="37"/>
  <c r="F107" i="37"/>
  <c r="E107" i="37"/>
  <c r="R104" i="37"/>
  <c r="R116" i="37" s="1"/>
  <c r="Q104" i="37"/>
  <c r="Q116" i="37" s="1"/>
  <c r="P104" i="37"/>
  <c r="P116" i="37" s="1"/>
  <c r="L104" i="37"/>
  <c r="L116" i="37" s="1"/>
  <c r="K104" i="37"/>
  <c r="K116" i="37" s="1"/>
  <c r="J104" i="37"/>
  <c r="J116" i="37" s="1"/>
  <c r="I104" i="37"/>
  <c r="I116" i="37" s="1"/>
  <c r="F104" i="37"/>
  <c r="E104" i="37"/>
  <c r="R103" i="37"/>
  <c r="R115" i="37" s="1"/>
  <c r="Q103" i="37"/>
  <c r="Q115" i="37" s="1"/>
  <c r="P103" i="37"/>
  <c r="P115" i="37" s="1"/>
  <c r="O103" i="37"/>
  <c r="O115" i="37" s="1"/>
  <c r="N103" i="37"/>
  <c r="N115" i="37" s="1"/>
  <c r="M103" i="37"/>
  <c r="M115" i="37" s="1"/>
  <c r="L103" i="37"/>
  <c r="L115" i="37" s="1"/>
  <c r="K103" i="37"/>
  <c r="K115" i="37" s="1"/>
  <c r="I103" i="37"/>
  <c r="I115" i="37" s="1"/>
  <c r="H103" i="37"/>
  <c r="H115" i="37" s="1"/>
  <c r="G103" i="37"/>
  <c r="G115" i="37" s="1"/>
  <c r="F103" i="37"/>
  <c r="F115" i="37" s="1"/>
  <c r="E103" i="37"/>
  <c r="O102" i="37"/>
  <c r="O114" i="37" s="1"/>
  <c r="N102" i="37"/>
  <c r="N114" i="37" s="1"/>
  <c r="M102" i="37"/>
  <c r="M114" i="37" s="1"/>
  <c r="J102" i="37"/>
  <c r="R101" i="37"/>
  <c r="Q101" i="37"/>
  <c r="P101" i="37"/>
  <c r="O101" i="37"/>
  <c r="N101" i="37"/>
  <c r="M101" i="37"/>
  <c r="L101" i="37"/>
  <c r="K101" i="37"/>
  <c r="J101" i="37"/>
  <c r="I101" i="37"/>
  <c r="H101" i="37"/>
  <c r="G101" i="37"/>
  <c r="F101" i="37"/>
  <c r="E101" i="37"/>
  <c r="R96" i="37"/>
  <c r="Q96" i="37"/>
  <c r="P96" i="37"/>
  <c r="L96" i="37"/>
  <c r="K96" i="37"/>
  <c r="J96" i="37"/>
  <c r="I96" i="37"/>
  <c r="F96" i="37"/>
  <c r="E96" i="37"/>
  <c r="R95" i="37"/>
  <c r="Q95" i="37"/>
  <c r="P95" i="37"/>
  <c r="O95" i="37"/>
  <c r="N95" i="37"/>
  <c r="M95" i="37"/>
  <c r="L95" i="37"/>
  <c r="K95" i="37"/>
  <c r="I95" i="37"/>
  <c r="H95" i="37"/>
  <c r="G95" i="37"/>
  <c r="F95" i="37"/>
  <c r="E95" i="37"/>
  <c r="O94" i="37"/>
  <c r="N94" i="37"/>
  <c r="M94" i="37"/>
  <c r="J94" i="37"/>
  <c r="R93" i="37"/>
  <c r="Q93" i="37"/>
  <c r="P93" i="37"/>
  <c r="O93" i="37"/>
  <c r="N93" i="37"/>
  <c r="M93" i="37"/>
  <c r="L93" i="37"/>
  <c r="K93" i="37"/>
  <c r="J93" i="37"/>
  <c r="I93" i="37"/>
  <c r="H93" i="37"/>
  <c r="G93" i="37"/>
  <c r="F93" i="37"/>
  <c r="E93" i="37"/>
  <c r="O90" i="37"/>
  <c r="O91" i="37" s="1"/>
  <c r="N90" i="37"/>
  <c r="N91" i="37" s="1"/>
  <c r="M90" i="37"/>
  <c r="M91" i="37" s="1"/>
  <c r="H90" i="37"/>
  <c r="G90" i="37"/>
  <c r="D90" i="37"/>
  <c r="J89" i="37"/>
  <c r="J91" i="37" s="1"/>
  <c r="D89" i="37"/>
  <c r="R88" i="37"/>
  <c r="R91" i="37" s="1"/>
  <c r="Q88" i="37"/>
  <c r="Q91" i="37" s="1"/>
  <c r="P88" i="37"/>
  <c r="P91" i="37" s="1"/>
  <c r="L88" i="37"/>
  <c r="L91" i="37" s="1"/>
  <c r="K88" i="37"/>
  <c r="K91" i="37" s="1"/>
  <c r="I88" i="37"/>
  <c r="I91" i="37" s="1"/>
  <c r="H88" i="37"/>
  <c r="G88" i="37"/>
  <c r="G91" i="37" s="1"/>
  <c r="F88" i="37"/>
  <c r="F91" i="37" s="1"/>
  <c r="E88" i="37"/>
  <c r="E91" i="37" s="1"/>
  <c r="D88" i="37"/>
  <c r="R87" i="37"/>
  <c r="Q87" i="37"/>
  <c r="P87" i="37"/>
  <c r="O87" i="37"/>
  <c r="N87" i="37"/>
  <c r="M87" i="37"/>
  <c r="L87" i="37"/>
  <c r="K87" i="37"/>
  <c r="J87" i="37"/>
  <c r="I87" i="37"/>
  <c r="H87" i="37"/>
  <c r="G87" i="37"/>
  <c r="F87" i="37"/>
  <c r="E87" i="37"/>
  <c r="O84" i="37"/>
  <c r="O85" i="37" s="1"/>
  <c r="O97" i="37" s="1"/>
  <c r="N84" i="37"/>
  <c r="N85" i="37" s="1"/>
  <c r="M84" i="37"/>
  <c r="H84" i="37"/>
  <c r="G84" i="37"/>
  <c r="D84" i="37"/>
  <c r="J83" i="37"/>
  <c r="J85" i="37" s="1"/>
  <c r="D83" i="37"/>
  <c r="R82" i="37"/>
  <c r="R85" i="37" s="1"/>
  <c r="R97" i="37" s="1"/>
  <c r="Q82" i="37"/>
  <c r="P82" i="37"/>
  <c r="P94" i="37" s="1"/>
  <c r="L82" i="37"/>
  <c r="K82" i="37"/>
  <c r="I82" i="37"/>
  <c r="H82" i="37"/>
  <c r="H85" i="37" s="1"/>
  <c r="G82" i="37"/>
  <c r="F82" i="37"/>
  <c r="F85" i="37" s="1"/>
  <c r="F97" i="37" s="1"/>
  <c r="E82" i="37"/>
  <c r="D82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R77" i="37"/>
  <c r="Q77" i="37"/>
  <c r="P77" i="37"/>
  <c r="L77" i="37"/>
  <c r="K77" i="37"/>
  <c r="J77" i="37"/>
  <c r="I77" i="37"/>
  <c r="F77" i="37"/>
  <c r="E77" i="37"/>
  <c r="R76" i="37"/>
  <c r="Q76" i="37"/>
  <c r="P76" i="37"/>
  <c r="O76" i="37"/>
  <c r="N76" i="37"/>
  <c r="M76" i="37"/>
  <c r="L76" i="37"/>
  <c r="K76" i="37"/>
  <c r="I76" i="37"/>
  <c r="H76" i="37"/>
  <c r="G76" i="37"/>
  <c r="F76" i="37"/>
  <c r="E76" i="37"/>
  <c r="O75" i="37"/>
  <c r="N75" i="37"/>
  <c r="M75" i="37"/>
  <c r="J75" i="37"/>
  <c r="O71" i="37"/>
  <c r="N71" i="37"/>
  <c r="M71" i="37"/>
  <c r="H71" i="37"/>
  <c r="G71" i="37"/>
  <c r="D71" i="37"/>
  <c r="J70" i="37"/>
  <c r="T70" i="37" s="1"/>
  <c r="D70" i="37"/>
  <c r="R69" i="37"/>
  <c r="R72" i="37" s="1"/>
  <c r="Q69" i="37"/>
  <c r="P69" i="37"/>
  <c r="L69" i="37"/>
  <c r="K69" i="37"/>
  <c r="I69" i="37"/>
  <c r="H69" i="37"/>
  <c r="G69" i="37"/>
  <c r="F69" i="37"/>
  <c r="E69" i="37"/>
  <c r="D69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O65" i="37"/>
  <c r="N65" i="37"/>
  <c r="M65" i="37"/>
  <c r="H65" i="37"/>
  <c r="G65" i="37"/>
  <c r="D65" i="37"/>
  <c r="J64" i="37"/>
  <c r="J103" i="37" s="1"/>
  <c r="D64" i="37"/>
  <c r="R63" i="37"/>
  <c r="Q63" i="37"/>
  <c r="P63" i="37"/>
  <c r="P66" i="37" s="1"/>
  <c r="L63" i="37"/>
  <c r="L66" i="37" s="1"/>
  <c r="K63" i="37"/>
  <c r="I63" i="37"/>
  <c r="H63" i="37"/>
  <c r="G63" i="37"/>
  <c r="F63" i="37"/>
  <c r="F102" i="37" s="1"/>
  <c r="E63" i="37"/>
  <c r="D63" i="37"/>
  <c r="AW57" i="37"/>
  <c r="AY57" i="37" s="1"/>
  <c r="AV57" i="37"/>
  <c r="AX57" i="37" s="1"/>
  <c r="AS57" i="37"/>
  <c r="AU57" i="37" s="1"/>
  <c r="AR57" i="37"/>
  <c r="AT57" i="37" s="1"/>
  <c r="AH57" i="37"/>
  <c r="L57" i="37"/>
  <c r="K57" i="37"/>
  <c r="AW56" i="37"/>
  <c r="AY56" i="37" s="1"/>
  <c r="AV56" i="37"/>
  <c r="AX56" i="37" s="1"/>
  <c r="AS56" i="37"/>
  <c r="AU56" i="37" s="1"/>
  <c r="AR56" i="37"/>
  <c r="AT56" i="37" s="1"/>
  <c r="AH56" i="37"/>
  <c r="L56" i="37"/>
  <c r="K56" i="37"/>
  <c r="AW55" i="37"/>
  <c r="AY55" i="37" s="1"/>
  <c r="AV55" i="37"/>
  <c r="AX55" i="37" s="1"/>
  <c r="AS55" i="37"/>
  <c r="AU55" i="37" s="1"/>
  <c r="AR55" i="37"/>
  <c r="AT55" i="37" s="1"/>
  <c r="AH55" i="37"/>
  <c r="L55" i="37"/>
  <c r="K55" i="37"/>
  <c r="AW54" i="37"/>
  <c r="AY54" i="37" s="1"/>
  <c r="AV54" i="37"/>
  <c r="AX54" i="37" s="1"/>
  <c r="AS54" i="37"/>
  <c r="AU54" i="37" s="1"/>
  <c r="AR54" i="37"/>
  <c r="AT54" i="37" s="1"/>
  <c r="AH54" i="37"/>
  <c r="L54" i="37"/>
  <c r="K54" i="37"/>
  <c r="AW53" i="37"/>
  <c r="AY53" i="37" s="1"/>
  <c r="AV53" i="37"/>
  <c r="AX53" i="37" s="1"/>
  <c r="AS53" i="37"/>
  <c r="AU53" i="37" s="1"/>
  <c r="AR53" i="37"/>
  <c r="AT53" i="37" s="1"/>
  <c r="AH53" i="37"/>
  <c r="L53" i="37"/>
  <c r="K53" i="37"/>
  <c r="AW52" i="37"/>
  <c r="AY52" i="37" s="1"/>
  <c r="AV52" i="37"/>
  <c r="AX52" i="37" s="1"/>
  <c r="AS52" i="37"/>
  <c r="AU52" i="37" s="1"/>
  <c r="AR52" i="37"/>
  <c r="AT52" i="37" s="1"/>
  <c r="AH52" i="37"/>
  <c r="L52" i="37"/>
  <c r="K52" i="37"/>
  <c r="AW51" i="37"/>
  <c r="AY51" i="37" s="1"/>
  <c r="AV51" i="37"/>
  <c r="AX51" i="37" s="1"/>
  <c r="AS51" i="37"/>
  <c r="AU51" i="37" s="1"/>
  <c r="AR51" i="37"/>
  <c r="AT51" i="37" s="1"/>
  <c r="AH51" i="37"/>
  <c r="L51" i="37"/>
  <c r="K51" i="37"/>
  <c r="AW50" i="37"/>
  <c r="AY50" i="37" s="1"/>
  <c r="AV50" i="37"/>
  <c r="AX50" i="37" s="1"/>
  <c r="AS50" i="37"/>
  <c r="AU50" i="37" s="1"/>
  <c r="AR50" i="37"/>
  <c r="AT50" i="37" s="1"/>
  <c r="AH50" i="37"/>
  <c r="L50" i="37"/>
  <c r="K50" i="37"/>
  <c r="AW49" i="37"/>
  <c r="AY49" i="37" s="1"/>
  <c r="AV49" i="37"/>
  <c r="AX49" i="37" s="1"/>
  <c r="AS49" i="37"/>
  <c r="AU49" i="37" s="1"/>
  <c r="AR49" i="37"/>
  <c r="AT49" i="37" s="1"/>
  <c r="AH49" i="37"/>
  <c r="L49" i="37"/>
  <c r="K49" i="37"/>
  <c r="AW48" i="37"/>
  <c r="AY48" i="37" s="1"/>
  <c r="AV48" i="37"/>
  <c r="AX48" i="37" s="1"/>
  <c r="AS48" i="37"/>
  <c r="AU48" i="37" s="1"/>
  <c r="AR48" i="37"/>
  <c r="AT48" i="37" s="1"/>
  <c r="AH48" i="37"/>
  <c r="L48" i="37"/>
  <c r="K48" i="37"/>
  <c r="AW47" i="37"/>
  <c r="AY47" i="37" s="1"/>
  <c r="AV47" i="37"/>
  <c r="AX47" i="37" s="1"/>
  <c r="AS47" i="37"/>
  <c r="AU47" i="37" s="1"/>
  <c r="AR47" i="37"/>
  <c r="AT47" i="37" s="1"/>
  <c r="AH47" i="37"/>
  <c r="L47" i="37"/>
  <c r="K47" i="37"/>
  <c r="AW46" i="37"/>
  <c r="AY46" i="37" s="1"/>
  <c r="AV46" i="37"/>
  <c r="AX46" i="37" s="1"/>
  <c r="AS46" i="37"/>
  <c r="AU46" i="37" s="1"/>
  <c r="AR46" i="37"/>
  <c r="AT46" i="37" s="1"/>
  <c r="AH46" i="37"/>
  <c r="L46" i="37"/>
  <c r="K46" i="37"/>
  <c r="AW45" i="37"/>
  <c r="AY45" i="37" s="1"/>
  <c r="AV45" i="37"/>
  <c r="AX45" i="37" s="1"/>
  <c r="AS45" i="37"/>
  <c r="AU45" i="37" s="1"/>
  <c r="AR45" i="37"/>
  <c r="AT45" i="37" s="1"/>
  <c r="AH45" i="37"/>
  <c r="L45" i="37"/>
  <c r="K45" i="37"/>
  <c r="AW44" i="37"/>
  <c r="AY44" i="37" s="1"/>
  <c r="AV44" i="37"/>
  <c r="AX44" i="37" s="1"/>
  <c r="AS44" i="37"/>
  <c r="AU44" i="37" s="1"/>
  <c r="AR44" i="37"/>
  <c r="AT44" i="37" s="1"/>
  <c r="AH44" i="37"/>
  <c r="L44" i="37"/>
  <c r="K44" i="37"/>
  <c r="AW43" i="37"/>
  <c r="AY43" i="37" s="1"/>
  <c r="AV43" i="37"/>
  <c r="AX43" i="37" s="1"/>
  <c r="AS43" i="37"/>
  <c r="AU43" i="37" s="1"/>
  <c r="AR43" i="37"/>
  <c r="AT43" i="37" s="1"/>
  <c r="AH43" i="37"/>
  <c r="L43" i="37"/>
  <c r="K43" i="37"/>
  <c r="AW42" i="37"/>
  <c r="AY42" i="37" s="1"/>
  <c r="AV42" i="37"/>
  <c r="AX42" i="37" s="1"/>
  <c r="AS42" i="37"/>
  <c r="AU42" i="37" s="1"/>
  <c r="AR42" i="37"/>
  <c r="AT42" i="37" s="1"/>
  <c r="AH42" i="37"/>
  <c r="L42" i="37"/>
  <c r="K42" i="37"/>
  <c r="AW41" i="37"/>
  <c r="AY41" i="37" s="1"/>
  <c r="AV41" i="37"/>
  <c r="AX41" i="37" s="1"/>
  <c r="AS41" i="37"/>
  <c r="AU41" i="37" s="1"/>
  <c r="AR41" i="37"/>
  <c r="AT41" i="37" s="1"/>
  <c r="AH41" i="37"/>
  <c r="L41" i="37"/>
  <c r="K41" i="37"/>
  <c r="AW40" i="37"/>
  <c r="AY40" i="37" s="1"/>
  <c r="AV40" i="37"/>
  <c r="AX40" i="37" s="1"/>
  <c r="AS40" i="37"/>
  <c r="AU40" i="37" s="1"/>
  <c r="AR40" i="37"/>
  <c r="AT40" i="37" s="1"/>
  <c r="AH40" i="37"/>
  <c r="L40" i="37"/>
  <c r="K40" i="37"/>
  <c r="AW39" i="37"/>
  <c r="AY39" i="37" s="1"/>
  <c r="AV39" i="37"/>
  <c r="AX39" i="37" s="1"/>
  <c r="AS39" i="37"/>
  <c r="AU39" i="37" s="1"/>
  <c r="AR39" i="37"/>
  <c r="AT39" i="37" s="1"/>
  <c r="AH39" i="37"/>
  <c r="L39" i="37"/>
  <c r="K39" i="37"/>
  <c r="AW38" i="37"/>
  <c r="AY38" i="37" s="1"/>
  <c r="AV38" i="37"/>
  <c r="AX38" i="37" s="1"/>
  <c r="AS38" i="37"/>
  <c r="AU38" i="37" s="1"/>
  <c r="AR38" i="37"/>
  <c r="AT38" i="37" s="1"/>
  <c r="AH38" i="37"/>
  <c r="L38" i="37"/>
  <c r="K38" i="37"/>
  <c r="AW37" i="37"/>
  <c r="AY37" i="37" s="1"/>
  <c r="AV37" i="37"/>
  <c r="AX37" i="37" s="1"/>
  <c r="AS37" i="37"/>
  <c r="AU37" i="37" s="1"/>
  <c r="AR37" i="37"/>
  <c r="AT37" i="37" s="1"/>
  <c r="AH37" i="37"/>
  <c r="L37" i="37"/>
  <c r="K37" i="37"/>
  <c r="AW36" i="37"/>
  <c r="AY36" i="37" s="1"/>
  <c r="AV36" i="37"/>
  <c r="AX36" i="37" s="1"/>
  <c r="AS36" i="37"/>
  <c r="AU36" i="37" s="1"/>
  <c r="AR36" i="37"/>
  <c r="AT36" i="37" s="1"/>
  <c r="AH36" i="37"/>
  <c r="L36" i="37"/>
  <c r="K36" i="37"/>
  <c r="AW35" i="37"/>
  <c r="AY35" i="37" s="1"/>
  <c r="AV35" i="37"/>
  <c r="AX35" i="37" s="1"/>
  <c r="AS35" i="37"/>
  <c r="AU35" i="37" s="1"/>
  <c r="AR35" i="37"/>
  <c r="AT35" i="37" s="1"/>
  <c r="AH35" i="37"/>
  <c r="L35" i="37"/>
  <c r="K35" i="37"/>
  <c r="AW34" i="37"/>
  <c r="AY34" i="37" s="1"/>
  <c r="AV34" i="37"/>
  <c r="AX34" i="37" s="1"/>
  <c r="AS34" i="37"/>
  <c r="AU34" i="37" s="1"/>
  <c r="AR34" i="37"/>
  <c r="AT34" i="37" s="1"/>
  <c r="AH34" i="37"/>
  <c r="L34" i="37"/>
  <c r="K34" i="37"/>
  <c r="AW33" i="37"/>
  <c r="AY33" i="37" s="1"/>
  <c r="AV33" i="37"/>
  <c r="AX33" i="37" s="1"/>
  <c r="AS33" i="37"/>
  <c r="AU33" i="37" s="1"/>
  <c r="AR33" i="37"/>
  <c r="AT33" i="37" s="1"/>
  <c r="AH33" i="37"/>
  <c r="L33" i="37"/>
  <c r="K33" i="37"/>
  <c r="AW32" i="37"/>
  <c r="AY32" i="37" s="1"/>
  <c r="AV32" i="37"/>
  <c r="AX32" i="37" s="1"/>
  <c r="AS32" i="37"/>
  <c r="AU32" i="37" s="1"/>
  <c r="AR32" i="37"/>
  <c r="AT32" i="37" s="1"/>
  <c r="AH32" i="37"/>
  <c r="L32" i="37"/>
  <c r="K32" i="37"/>
  <c r="AW31" i="37"/>
  <c r="AY31" i="37" s="1"/>
  <c r="AV31" i="37"/>
  <c r="AX31" i="37" s="1"/>
  <c r="AS31" i="37"/>
  <c r="AU31" i="37" s="1"/>
  <c r="AR31" i="37"/>
  <c r="AT31" i="37" s="1"/>
  <c r="AH31" i="37"/>
  <c r="L31" i="37"/>
  <c r="K31" i="37"/>
  <c r="AW30" i="37"/>
  <c r="AY30" i="37" s="1"/>
  <c r="AV30" i="37"/>
  <c r="AX30" i="37" s="1"/>
  <c r="AU30" i="37"/>
  <c r="AS30" i="37"/>
  <c r="AR30" i="37"/>
  <c r="AT30" i="37" s="1"/>
  <c r="AH30" i="37"/>
  <c r="L30" i="37"/>
  <c r="K30" i="37"/>
  <c r="AW29" i="37"/>
  <c r="AY29" i="37" s="1"/>
  <c r="AV29" i="37"/>
  <c r="AX29" i="37" s="1"/>
  <c r="AS29" i="37"/>
  <c r="AU29" i="37" s="1"/>
  <c r="AR29" i="37"/>
  <c r="AT29" i="37" s="1"/>
  <c r="AH29" i="37"/>
  <c r="L29" i="37"/>
  <c r="K29" i="37"/>
  <c r="AW28" i="37"/>
  <c r="AY28" i="37" s="1"/>
  <c r="AV28" i="37"/>
  <c r="AX28" i="37" s="1"/>
  <c r="AS28" i="37"/>
  <c r="AU28" i="37" s="1"/>
  <c r="AR28" i="37"/>
  <c r="AT28" i="37" s="1"/>
  <c r="AH28" i="37"/>
  <c r="L28" i="37"/>
  <c r="K28" i="37"/>
  <c r="AW27" i="37"/>
  <c r="AY27" i="37" s="1"/>
  <c r="AV27" i="37"/>
  <c r="AX27" i="37" s="1"/>
  <c r="AS27" i="37"/>
  <c r="AU27" i="37" s="1"/>
  <c r="AR27" i="37"/>
  <c r="AT27" i="37" s="1"/>
  <c r="AH27" i="37"/>
  <c r="L27" i="37"/>
  <c r="K27" i="37"/>
  <c r="AW26" i="37"/>
  <c r="AY26" i="37" s="1"/>
  <c r="AV26" i="37"/>
  <c r="AX26" i="37" s="1"/>
  <c r="AS26" i="37"/>
  <c r="AU26" i="37" s="1"/>
  <c r="AR26" i="37"/>
  <c r="AT26" i="37" s="1"/>
  <c r="AH26" i="37"/>
  <c r="L26" i="37"/>
  <c r="K26" i="37"/>
  <c r="AW25" i="37"/>
  <c r="AY25" i="37" s="1"/>
  <c r="AV25" i="37"/>
  <c r="AX25" i="37" s="1"/>
  <c r="AS25" i="37"/>
  <c r="AU25" i="37" s="1"/>
  <c r="AR25" i="37"/>
  <c r="AT25" i="37" s="1"/>
  <c r="AH25" i="37"/>
  <c r="L25" i="37"/>
  <c r="K25" i="37"/>
  <c r="AW24" i="37"/>
  <c r="AY24" i="37" s="1"/>
  <c r="AV24" i="37"/>
  <c r="AX24" i="37" s="1"/>
  <c r="AS24" i="37"/>
  <c r="AU24" i="37" s="1"/>
  <c r="AR24" i="37"/>
  <c r="AT24" i="37" s="1"/>
  <c r="AH24" i="37"/>
  <c r="L24" i="37"/>
  <c r="K24" i="37"/>
  <c r="AW23" i="37"/>
  <c r="AY23" i="37" s="1"/>
  <c r="AV23" i="37"/>
  <c r="AX23" i="37" s="1"/>
  <c r="AS23" i="37"/>
  <c r="AU23" i="37" s="1"/>
  <c r="AR23" i="37"/>
  <c r="AT23" i="37" s="1"/>
  <c r="AH23" i="37"/>
  <c r="L23" i="37"/>
  <c r="K23" i="37"/>
  <c r="AW22" i="37"/>
  <c r="AY22" i="37" s="1"/>
  <c r="AV22" i="37"/>
  <c r="AX22" i="37" s="1"/>
  <c r="AS22" i="37"/>
  <c r="AU22" i="37" s="1"/>
  <c r="AR22" i="37"/>
  <c r="AT22" i="37" s="1"/>
  <c r="AH22" i="37"/>
  <c r="L22" i="37"/>
  <c r="K22" i="37"/>
  <c r="AW21" i="37"/>
  <c r="AY21" i="37" s="1"/>
  <c r="AV21" i="37"/>
  <c r="AX21" i="37" s="1"/>
  <c r="AS21" i="37"/>
  <c r="AU21" i="37" s="1"/>
  <c r="AR21" i="37"/>
  <c r="AT21" i="37" s="1"/>
  <c r="AH21" i="37"/>
  <c r="L21" i="37"/>
  <c r="K21" i="37"/>
  <c r="AW20" i="37"/>
  <c r="AY20" i="37" s="1"/>
  <c r="AV20" i="37"/>
  <c r="AX20" i="37" s="1"/>
  <c r="AS20" i="37"/>
  <c r="AU20" i="37" s="1"/>
  <c r="AR20" i="37"/>
  <c r="AT20" i="37" s="1"/>
  <c r="AH20" i="37"/>
  <c r="L20" i="37"/>
  <c r="K20" i="37"/>
  <c r="AW19" i="37"/>
  <c r="AY19" i="37" s="1"/>
  <c r="AV19" i="37"/>
  <c r="AX19" i="37" s="1"/>
  <c r="AS19" i="37"/>
  <c r="AU19" i="37" s="1"/>
  <c r="AR19" i="37"/>
  <c r="AT19" i="37" s="1"/>
  <c r="AH19" i="37"/>
  <c r="L19" i="37"/>
  <c r="K19" i="37"/>
  <c r="AW18" i="37"/>
  <c r="AY18" i="37" s="1"/>
  <c r="AV18" i="37"/>
  <c r="AX18" i="37" s="1"/>
  <c r="AS18" i="37"/>
  <c r="AU18" i="37" s="1"/>
  <c r="AR18" i="37"/>
  <c r="AT18" i="37" s="1"/>
  <c r="AH18" i="37"/>
  <c r="L18" i="37"/>
  <c r="K18" i="37"/>
  <c r="AW17" i="37"/>
  <c r="AY17" i="37" s="1"/>
  <c r="AV17" i="37"/>
  <c r="AX17" i="37" s="1"/>
  <c r="AS17" i="37"/>
  <c r="AU17" i="37" s="1"/>
  <c r="AR17" i="37"/>
  <c r="AT17" i="37" s="1"/>
  <c r="AH17" i="37"/>
  <c r="L17" i="37"/>
  <c r="K17" i="37"/>
  <c r="AW16" i="37"/>
  <c r="AY16" i="37" s="1"/>
  <c r="AV16" i="37"/>
  <c r="AX16" i="37" s="1"/>
  <c r="AS16" i="37"/>
  <c r="AU16" i="37" s="1"/>
  <c r="AR16" i="37"/>
  <c r="AT16" i="37" s="1"/>
  <c r="AH16" i="37"/>
  <c r="L16" i="37"/>
  <c r="K16" i="37"/>
  <c r="AW15" i="37"/>
  <c r="AY15" i="37" s="1"/>
  <c r="AV15" i="37"/>
  <c r="AX15" i="37" s="1"/>
  <c r="AS15" i="37"/>
  <c r="AU15" i="37" s="1"/>
  <c r="AR15" i="37"/>
  <c r="AT15" i="37" s="1"/>
  <c r="AH15" i="37"/>
  <c r="L15" i="37"/>
  <c r="K15" i="37"/>
  <c r="AW14" i="37"/>
  <c r="AY14" i="37" s="1"/>
  <c r="AV14" i="37"/>
  <c r="AX14" i="37" s="1"/>
  <c r="AS14" i="37"/>
  <c r="AU14" i="37" s="1"/>
  <c r="AR14" i="37"/>
  <c r="AT14" i="37" s="1"/>
  <c r="AH14" i="37"/>
  <c r="L14" i="37"/>
  <c r="K14" i="37"/>
  <c r="AW13" i="37"/>
  <c r="AY13" i="37" s="1"/>
  <c r="AV13" i="37"/>
  <c r="AX13" i="37" s="1"/>
  <c r="AS13" i="37"/>
  <c r="AU13" i="37" s="1"/>
  <c r="AR13" i="37"/>
  <c r="AT13" i="37" s="1"/>
  <c r="AH13" i="37"/>
  <c r="L13" i="37"/>
  <c r="K13" i="37"/>
  <c r="AW12" i="37"/>
  <c r="AY12" i="37" s="1"/>
  <c r="AV12" i="37"/>
  <c r="AX12" i="37" s="1"/>
  <c r="AS12" i="37"/>
  <c r="AU12" i="37" s="1"/>
  <c r="AR12" i="37"/>
  <c r="AT12" i="37" s="1"/>
  <c r="AH12" i="37"/>
  <c r="L12" i="37"/>
  <c r="K12" i="37"/>
  <c r="AW11" i="37"/>
  <c r="AY11" i="37" s="1"/>
  <c r="AV11" i="37"/>
  <c r="AX11" i="37" s="1"/>
  <c r="AS11" i="37"/>
  <c r="AU11" i="37" s="1"/>
  <c r="AR11" i="37"/>
  <c r="AT11" i="37" s="1"/>
  <c r="AH11" i="37"/>
  <c r="L11" i="37"/>
  <c r="K11" i="37"/>
  <c r="AW10" i="37"/>
  <c r="AY10" i="37" s="1"/>
  <c r="AV10" i="37"/>
  <c r="AX10" i="37" s="1"/>
  <c r="AS10" i="37"/>
  <c r="AU10" i="37" s="1"/>
  <c r="AR10" i="37"/>
  <c r="AT10" i="37" s="1"/>
  <c r="AH10" i="37"/>
  <c r="L10" i="37"/>
  <c r="K10" i="37"/>
  <c r="AW9" i="37"/>
  <c r="AY9" i="37" s="1"/>
  <c r="AV9" i="37"/>
  <c r="AX9" i="37" s="1"/>
  <c r="AS9" i="37"/>
  <c r="AU9" i="37" s="1"/>
  <c r="AR9" i="37"/>
  <c r="AT9" i="37" s="1"/>
  <c r="AH9" i="37"/>
  <c r="L9" i="37"/>
  <c r="K9" i="37"/>
  <c r="AW8" i="37"/>
  <c r="AY8" i="37" s="1"/>
  <c r="AV8" i="37"/>
  <c r="AX8" i="37" s="1"/>
  <c r="AS8" i="37"/>
  <c r="AU8" i="37" s="1"/>
  <c r="AR8" i="37"/>
  <c r="AT8" i="37" s="1"/>
  <c r="AH8" i="37"/>
  <c r="L8" i="37"/>
  <c r="K8" i="37"/>
  <c r="AW7" i="37"/>
  <c r="AY7" i="37" s="1"/>
  <c r="AV7" i="37"/>
  <c r="AX7" i="37" s="1"/>
  <c r="AS7" i="37"/>
  <c r="AU7" i="37" s="1"/>
  <c r="AR7" i="37"/>
  <c r="AT7" i="37" s="1"/>
  <c r="AH7" i="37"/>
  <c r="L7" i="37"/>
  <c r="K7" i="37"/>
  <c r="AW6" i="37"/>
  <c r="AY6" i="37" s="1"/>
  <c r="AV6" i="37"/>
  <c r="AX6" i="37" s="1"/>
  <c r="AS6" i="37"/>
  <c r="AU6" i="37" s="1"/>
  <c r="AR6" i="37"/>
  <c r="AT6" i="37" s="1"/>
  <c r="AH6" i="37"/>
  <c r="L6" i="37"/>
  <c r="K6" i="37"/>
  <c r="AW5" i="37"/>
  <c r="AY5" i="37" s="1"/>
  <c r="AV5" i="37"/>
  <c r="AX5" i="37" s="1"/>
  <c r="AS5" i="37"/>
  <c r="AU5" i="37" s="1"/>
  <c r="AR5" i="37"/>
  <c r="AT5" i="37" s="1"/>
  <c r="AH5" i="37"/>
  <c r="L5" i="37"/>
  <c r="K5" i="37"/>
  <c r="AW4" i="37"/>
  <c r="AY4" i="37" s="1"/>
  <c r="AV4" i="37"/>
  <c r="AX4" i="37" s="1"/>
  <c r="AS4" i="37"/>
  <c r="AU4" i="37" s="1"/>
  <c r="AR4" i="37"/>
  <c r="AT4" i="37" s="1"/>
  <c r="AH4" i="37"/>
  <c r="L4" i="37"/>
  <c r="K4" i="37"/>
  <c r="AW3" i="37"/>
  <c r="AY3" i="37" s="1"/>
  <c r="AV3" i="37"/>
  <c r="AX3" i="37" s="1"/>
  <c r="AS3" i="37"/>
  <c r="AU3" i="37" s="1"/>
  <c r="AR3" i="37"/>
  <c r="AT3" i="37" s="1"/>
  <c r="AH3" i="37"/>
  <c r="L3" i="37"/>
  <c r="K3" i="37"/>
  <c r="R116" i="36"/>
  <c r="Q116" i="36"/>
  <c r="P116" i="36"/>
  <c r="O116" i="36"/>
  <c r="N116" i="36"/>
  <c r="M116" i="36"/>
  <c r="L116" i="36"/>
  <c r="K116" i="36"/>
  <c r="J116" i="36"/>
  <c r="I116" i="36"/>
  <c r="H116" i="36"/>
  <c r="G116" i="36"/>
  <c r="F116" i="36"/>
  <c r="E116" i="36"/>
  <c r="R113" i="36"/>
  <c r="Q113" i="36"/>
  <c r="P113" i="36"/>
  <c r="O113" i="36"/>
  <c r="L113" i="36"/>
  <c r="K113" i="36"/>
  <c r="J113" i="36"/>
  <c r="I113" i="36"/>
  <c r="F113" i="36"/>
  <c r="E113" i="36"/>
  <c r="R112" i="36"/>
  <c r="Q112" i="36"/>
  <c r="P112" i="36"/>
  <c r="O112" i="36"/>
  <c r="N112" i="36"/>
  <c r="M112" i="36"/>
  <c r="L112" i="36"/>
  <c r="K112" i="36"/>
  <c r="I112" i="36"/>
  <c r="H112" i="36"/>
  <c r="G112" i="36"/>
  <c r="F112" i="36"/>
  <c r="E112" i="36"/>
  <c r="O111" i="36"/>
  <c r="N111" i="36"/>
  <c r="M111" i="36"/>
  <c r="J111" i="36"/>
  <c r="R110" i="36"/>
  <c r="Q110" i="36"/>
  <c r="P110" i="36"/>
  <c r="O110" i="36"/>
  <c r="N110" i="36"/>
  <c r="M110" i="36"/>
  <c r="L110" i="36"/>
  <c r="K110" i="36"/>
  <c r="J110" i="36"/>
  <c r="I110" i="36"/>
  <c r="H110" i="36"/>
  <c r="G110" i="36"/>
  <c r="F110" i="36"/>
  <c r="E110" i="36"/>
  <c r="R107" i="36"/>
  <c r="R119" i="36" s="1"/>
  <c r="Q107" i="36"/>
  <c r="Q119" i="36" s="1"/>
  <c r="P107" i="36"/>
  <c r="P119" i="36" s="1"/>
  <c r="L107" i="36"/>
  <c r="L119" i="36" s="1"/>
  <c r="K107" i="36"/>
  <c r="K119" i="36" s="1"/>
  <c r="J107" i="36"/>
  <c r="J119" i="36" s="1"/>
  <c r="I107" i="36"/>
  <c r="I119" i="36" s="1"/>
  <c r="H107" i="36"/>
  <c r="F107" i="36"/>
  <c r="F119" i="36" s="1"/>
  <c r="E107" i="36"/>
  <c r="R106" i="36"/>
  <c r="R118" i="36" s="1"/>
  <c r="Q106" i="36"/>
  <c r="Q118" i="36" s="1"/>
  <c r="P106" i="36"/>
  <c r="P118" i="36" s="1"/>
  <c r="O106" i="36"/>
  <c r="O118" i="36" s="1"/>
  <c r="N106" i="36"/>
  <c r="N118" i="36" s="1"/>
  <c r="M106" i="36"/>
  <c r="M118" i="36" s="1"/>
  <c r="L106" i="36"/>
  <c r="L118" i="36" s="1"/>
  <c r="K106" i="36"/>
  <c r="K118" i="36" s="1"/>
  <c r="I106" i="36"/>
  <c r="I118" i="36" s="1"/>
  <c r="H106" i="36"/>
  <c r="H118" i="36" s="1"/>
  <c r="G106" i="36"/>
  <c r="G118" i="36" s="1"/>
  <c r="F106" i="36"/>
  <c r="F118" i="36" s="1"/>
  <c r="E106" i="36"/>
  <c r="T106" i="36" s="1"/>
  <c r="D106" i="36"/>
  <c r="Q105" i="36"/>
  <c r="P105" i="36"/>
  <c r="O105" i="36"/>
  <c r="O117" i="36" s="1"/>
  <c r="N105" i="36"/>
  <c r="N117" i="36" s="1"/>
  <c r="M105" i="36"/>
  <c r="M117" i="36" s="1"/>
  <c r="J105" i="36"/>
  <c r="J117" i="36" s="1"/>
  <c r="I105" i="36"/>
  <c r="H105" i="36"/>
  <c r="E105" i="36"/>
  <c r="D105" i="36"/>
  <c r="R104" i="36"/>
  <c r="Q104" i="36"/>
  <c r="P104" i="36"/>
  <c r="O104" i="36"/>
  <c r="N104" i="36"/>
  <c r="M104" i="36"/>
  <c r="L104" i="36"/>
  <c r="K104" i="36"/>
  <c r="J104" i="36"/>
  <c r="I104" i="36"/>
  <c r="H104" i="36"/>
  <c r="G104" i="36"/>
  <c r="F104" i="36"/>
  <c r="E104" i="36"/>
  <c r="R99" i="36"/>
  <c r="Q99" i="36"/>
  <c r="P99" i="36"/>
  <c r="L99" i="36"/>
  <c r="K99" i="36"/>
  <c r="J99" i="36"/>
  <c r="I99" i="36"/>
  <c r="F99" i="36"/>
  <c r="E99" i="36"/>
  <c r="R98" i="36"/>
  <c r="Q98" i="36"/>
  <c r="P98" i="36"/>
  <c r="O98" i="36"/>
  <c r="N98" i="36"/>
  <c r="M98" i="36"/>
  <c r="L98" i="36"/>
  <c r="K98" i="36"/>
  <c r="I98" i="36"/>
  <c r="H98" i="36"/>
  <c r="G98" i="36"/>
  <c r="F98" i="36"/>
  <c r="E98" i="36"/>
  <c r="O97" i="36"/>
  <c r="N97" i="36"/>
  <c r="M97" i="36"/>
  <c r="J97" i="36"/>
  <c r="R96" i="36"/>
  <c r="Q96" i="36"/>
  <c r="P96" i="36"/>
  <c r="O96" i="36"/>
  <c r="N96" i="36"/>
  <c r="M96" i="36"/>
  <c r="L96" i="36"/>
  <c r="K96" i="36"/>
  <c r="J96" i="36"/>
  <c r="I96" i="36"/>
  <c r="H96" i="36"/>
  <c r="G96" i="36"/>
  <c r="F96" i="36"/>
  <c r="E96" i="36"/>
  <c r="O93" i="36"/>
  <c r="O94" i="36" s="1"/>
  <c r="N93" i="36"/>
  <c r="N94" i="36" s="1"/>
  <c r="M93" i="36"/>
  <c r="M94" i="36" s="1"/>
  <c r="H93" i="36"/>
  <c r="G93" i="36"/>
  <c r="G99" i="36" s="1"/>
  <c r="D93" i="36"/>
  <c r="J92" i="36"/>
  <c r="D92" i="36"/>
  <c r="R91" i="36"/>
  <c r="R94" i="36" s="1"/>
  <c r="Q91" i="36"/>
  <c r="Q94" i="36" s="1"/>
  <c r="P91" i="36"/>
  <c r="P94" i="36" s="1"/>
  <c r="L91" i="36"/>
  <c r="L94" i="36" s="1"/>
  <c r="K91" i="36"/>
  <c r="K94" i="36" s="1"/>
  <c r="I91" i="36"/>
  <c r="I94" i="36" s="1"/>
  <c r="H91" i="36"/>
  <c r="G91" i="36"/>
  <c r="F91" i="36"/>
  <c r="F94" i="36" s="1"/>
  <c r="E91" i="36"/>
  <c r="E94" i="36" s="1"/>
  <c r="D91" i="36"/>
  <c r="R90" i="36"/>
  <c r="Q90" i="36"/>
  <c r="P90" i="36"/>
  <c r="O90" i="36"/>
  <c r="N90" i="36"/>
  <c r="M90" i="36"/>
  <c r="L90" i="36"/>
  <c r="K90" i="36"/>
  <c r="J90" i="36"/>
  <c r="I90" i="36"/>
  <c r="H90" i="36"/>
  <c r="G90" i="36"/>
  <c r="F90" i="36"/>
  <c r="E90" i="36"/>
  <c r="Q88" i="36"/>
  <c r="P88" i="36"/>
  <c r="I88" i="36"/>
  <c r="H88" i="36"/>
  <c r="E88" i="36"/>
  <c r="O87" i="36"/>
  <c r="O88" i="36" s="1"/>
  <c r="N87" i="36"/>
  <c r="N88" i="36" s="1"/>
  <c r="M87" i="36"/>
  <c r="H87" i="36"/>
  <c r="G87" i="36"/>
  <c r="D87" i="36"/>
  <c r="T86" i="36"/>
  <c r="J86" i="36"/>
  <c r="J88" i="36" s="1"/>
  <c r="D86" i="36"/>
  <c r="R85" i="36"/>
  <c r="R88" i="36" s="1"/>
  <c r="Q85" i="36"/>
  <c r="P85" i="36"/>
  <c r="L85" i="36"/>
  <c r="K85" i="36"/>
  <c r="I85" i="36"/>
  <c r="H85" i="36"/>
  <c r="G85" i="36"/>
  <c r="F85" i="36"/>
  <c r="F88" i="36" s="1"/>
  <c r="E85" i="36"/>
  <c r="D85" i="36"/>
  <c r="R84" i="36"/>
  <c r="Q84" i="36"/>
  <c r="P84" i="36"/>
  <c r="O84" i="36"/>
  <c r="N84" i="36"/>
  <c r="M84" i="36"/>
  <c r="L84" i="36"/>
  <c r="K84" i="36"/>
  <c r="J84" i="36"/>
  <c r="I84" i="36"/>
  <c r="H84" i="36"/>
  <c r="G84" i="36"/>
  <c r="F84" i="36"/>
  <c r="E84" i="36"/>
  <c r="R80" i="36"/>
  <c r="Q80" i="36"/>
  <c r="P80" i="36"/>
  <c r="L80" i="36"/>
  <c r="K80" i="36"/>
  <c r="J80" i="36"/>
  <c r="I80" i="36"/>
  <c r="F80" i="36"/>
  <c r="E80" i="36"/>
  <c r="R79" i="36"/>
  <c r="Q79" i="36"/>
  <c r="P79" i="36"/>
  <c r="O79" i="36"/>
  <c r="N79" i="36"/>
  <c r="M79" i="36"/>
  <c r="L79" i="36"/>
  <c r="K79" i="36"/>
  <c r="I79" i="36"/>
  <c r="H79" i="36"/>
  <c r="G79" i="36"/>
  <c r="F79" i="36"/>
  <c r="E79" i="36"/>
  <c r="O78" i="36"/>
  <c r="N78" i="36"/>
  <c r="M78" i="36"/>
  <c r="J78" i="36"/>
  <c r="O74" i="36"/>
  <c r="O75" i="36" s="1"/>
  <c r="N74" i="36"/>
  <c r="N75" i="36" s="1"/>
  <c r="M74" i="36"/>
  <c r="H74" i="36"/>
  <c r="H80" i="36" s="1"/>
  <c r="G74" i="36"/>
  <c r="D74" i="36"/>
  <c r="J73" i="36"/>
  <c r="D73" i="36"/>
  <c r="D79" i="36" s="1"/>
  <c r="R72" i="36"/>
  <c r="R75" i="36" s="1"/>
  <c r="Q72" i="36"/>
  <c r="P72" i="36"/>
  <c r="L72" i="36"/>
  <c r="K72" i="36"/>
  <c r="I72" i="36"/>
  <c r="H72" i="36"/>
  <c r="G72" i="36"/>
  <c r="F72" i="36"/>
  <c r="F75" i="36" s="1"/>
  <c r="E72" i="36"/>
  <c r="D72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Q69" i="36"/>
  <c r="P69" i="36"/>
  <c r="L69" i="36"/>
  <c r="I69" i="36"/>
  <c r="H69" i="36"/>
  <c r="E69" i="36"/>
  <c r="D69" i="36"/>
  <c r="O68" i="36"/>
  <c r="O107" i="36" s="1"/>
  <c r="N68" i="36"/>
  <c r="M68" i="36"/>
  <c r="M107" i="36" s="1"/>
  <c r="H68" i="36"/>
  <c r="G68" i="36"/>
  <c r="G107" i="36" s="1"/>
  <c r="D68" i="36"/>
  <c r="D107" i="36" s="1"/>
  <c r="T67" i="36"/>
  <c r="J67" i="36"/>
  <c r="J106" i="36" s="1"/>
  <c r="D67" i="36"/>
  <c r="R66" i="36"/>
  <c r="Q66" i="36"/>
  <c r="P66" i="36"/>
  <c r="L66" i="36"/>
  <c r="L105" i="36" s="1"/>
  <c r="K66" i="36"/>
  <c r="I66" i="36"/>
  <c r="H66" i="36"/>
  <c r="G66" i="36"/>
  <c r="F66" i="36"/>
  <c r="T66" i="36" s="1"/>
  <c r="E66" i="36"/>
  <c r="D66" i="36"/>
  <c r="AW60" i="36"/>
  <c r="AY60" i="36" s="1"/>
  <c r="AV60" i="36"/>
  <c r="AX60" i="36" s="1"/>
  <c r="AS60" i="36"/>
  <c r="AU60" i="36" s="1"/>
  <c r="AR60" i="36"/>
  <c r="AT60" i="36" s="1"/>
  <c r="AH60" i="36"/>
  <c r="L60" i="36"/>
  <c r="K60" i="36"/>
  <c r="AW59" i="36"/>
  <c r="AY59" i="36" s="1"/>
  <c r="AV59" i="36"/>
  <c r="AX59" i="36" s="1"/>
  <c r="AS59" i="36"/>
  <c r="AU59" i="36" s="1"/>
  <c r="AR59" i="36"/>
  <c r="AT59" i="36" s="1"/>
  <c r="AH59" i="36"/>
  <c r="L59" i="36"/>
  <c r="K59" i="36"/>
  <c r="AW58" i="36"/>
  <c r="AY58" i="36" s="1"/>
  <c r="AV58" i="36"/>
  <c r="AX58" i="36" s="1"/>
  <c r="AS58" i="36"/>
  <c r="AU58" i="36" s="1"/>
  <c r="AR58" i="36"/>
  <c r="AT58" i="36" s="1"/>
  <c r="AH58" i="36"/>
  <c r="L58" i="36"/>
  <c r="K58" i="36"/>
  <c r="AW57" i="36"/>
  <c r="AY57" i="36" s="1"/>
  <c r="AV57" i="36"/>
  <c r="AX57" i="36" s="1"/>
  <c r="AS57" i="36"/>
  <c r="AU57" i="36" s="1"/>
  <c r="AR57" i="36"/>
  <c r="AT57" i="36" s="1"/>
  <c r="AH57" i="36"/>
  <c r="L57" i="36"/>
  <c r="K57" i="36"/>
  <c r="AW56" i="36"/>
  <c r="AY56" i="36" s="1"/>
  <c r="AV56" i="36"/>
  <c r="AX56" i="36" s="1"/>
  <c r="AS56" i="36"/>
  <c r="AU56" i="36" s="1"/>
  <c r="AR56" i="36"/>
  <c r="AT56" i="36" s="1"/>
  <c r="AH56" i="36"/>
  <c r="L56" i="36"/>
  <c r="K56" i="36"/>
  <c r="AW55" i="36"/>
  <c r="AY55" i="36" s="1"/>
  <c r="AV55" i="36"/>
  <c r="AX55" i="36" s="1"/>
  <c r="AT55" i="36"/>
  <c r="AS55" i="36"/>
  <c r="AU55" i="36" s="1"/>
  <c r="AR55" i="36"/>
  <c r="AH55" i="36"/>
  <c r="L55" i="36"/>
  <c r="K55" i="36"/>
  <c r="AW54" i="36"/>
  <c r="AY54" i="36" s="1"/>
  <c r="AV54" i="36"/>
  <c r="AX54" i="36" s="1"/>
  <c r="AS54" i="36"/>
  <c r="AU54" i="36" s="1"/>
  <c r="AR54" i="36"/>
  <c r="AT54" i="36" s="1"/>
  <c r="AH54" i="36"/>
  <c r="L54" i="36"/>
  <c r="K54" i="36"/>
  <c r="AW53" i="36"/>
  <c r="AY53" i="36" s="1"/>
  <c r="AV53" i="36"/>
  <c r="AX53" i="36" s="1"/>
  <c r="AS53" i="36"/>
  <c r="AU53" i="36" s="1"/>
  <c r="AR53" i="36"/>
  <c r="AT53" i="36" s="1"/>
  <c r="AH53" i="36"/>
  <c r="L53" i="36"/>
  <c r="K53" i="36"/>
  <c r="AW52" i="36"/>
  <c r="AY52" i="36" s="1"/>
  <c r="AV52" i="36"/>
  <c r="AX52" i="36" s="1"/>
  <c r="AS52" i="36"/>
  <c r="AU52" i="36" s="1"/>
  <c r="AR52" i="36"/>
  <c r="AT52" i="36" s="1"/>
  <c r="AH52" i="36"/>
  <c r="L52" i="36"/>
  <c r="K52" i="36"/>
  <c r="AW51" i="36"/>
  <c r="AY51" i="36" s="1"/>
  <c r="AV51" i="36"/>
  <c r="AX51" i="36" s="1"/>
  <c r="AS51" i="36"/>
  <c r="AU51" i="36" s="1"/>
  <c r="AR51" i="36"/>
  <c r="AT51" i="36" s="1"/>
  <c r="AH51" i="36"/>
  <c r="L51" i="36"/>
  <c r="K51" i="36"/>
  <c r="AW50" i="36"/>
  <c r="AY50" i="36" s="1"/>
  <c r="AV50" i="36"/>
  <c r="AX50" i="36" s="1"/>
  <c r="AS50" i="36"/>
  <c r="AU50" i="36" s="1"/>
  <c r="AR50" i="36"/>
  <c r="AT50" i="36" s="1"/>
  <c r="AH50" i="36"/>
  <c r="L50" i="36"/>
  <c r="K50" i="36"/>
  <c r="AW49" i="36"/>
  <c r="AY49" i="36" s="1"/>
  <c r="AV49" i="36"/>
  <c r="AX49" i="36" s="1"/>
  <c r="AS49" i="36"/>
  <c r="AU49" i="36" s="1"/>
  <c r="AR49" i="36"/>
  <c r="AT49" i="36" s="1"/>
  <c r="AH49" i="36"/>
  <c r="L49" i="36"/>
  <c r="K49" i="36"/>
  <c r="AW48" i="36"/>
  <c r="AY48" i="36" s="1"/>
  <c r="AV48" i="36"/>
  <c r="AX48" i="36" s="1"/>
  <c r="AS48" i="36"/>
  <c r="AU48" i="36" s="1"/>
  <c r="AR48" i="36"/>
  <c r="AT48" i="36" s="1"/>
  <c r="AH48" i="36"/>
  <c r="L48" i="36"/>
  <c r="K48" i="36"/>
  <c r="AW47" i="36"/>
  <c r="AY47" i="36" s="1"/>
  <c r="AV47" i="36"/>
  <c r="AX47" i="36" s="1"/>
  <c r="AS47" i="36"/>
  <c r="AU47" i="36" s="1"/>
  <c r="AR47" i="36"/>
  <c r="AT47" i="36" s="1"/>
  <c r="AH47" i="36"/>
  <c r="L47" i="36"/>
  <c r="K47" i="36"/>
  <c r="AW46" i="36"/>
  <c r="AY46" i="36" s="1"/>
  <c r="AV46" i="36"/>
  <c r="AX46" i="36" s="1"/>
  <c r="AS46" i="36"/>
  <c r="AU46" i="36" s="1"/>
  <c r="AR46" i="36"/>
  <c r="AT46" i="36" s="1"/>
  <c r="AH46" i="36"/>
  <c r="L46" i="36"/>
  <c r="K46" i="36"/>
  <c r="AW45" i="36"/>
  <c r="AY45" i="36" s="1"/>
  <c r="AV45" i="36"/>
  <c r="AX45" i="36" s="1"/>
  <c r="AS45" i="36"/>
  <c r="AU45" i="36" s="1"/>
  <c r="AR45" i="36"/>
  <c r="AT45" i="36" s="1"/>
  <c r="AH45" i="36"/>
  <c r="L45" i="36"/>
  <c r="K45" i="36"/>
  <c r="AW44" i="36"/>
  <c r="AY44" i="36" s="1"/>
  <c r="AV44" i="36"/>
  <c r="AX44" i="36" s="1"/>
  <c r="AS44" i="36"/>
  <c r="AU44" i="36" s="1"/>
  <c r="AR44" i="36"/>
  <c r="AT44" i="36" s="1"/>
  <c r="AH44" i="36"/>
  <c r="L44" i="36"/>
  <c r="K44" i="36"/>
  <c r="AW43" i="36"/>
  <c r="AY43" i="36" s="1"/>
  <c r="AV43" i="36"/>
  <c r="AX43" i="36" s="1"/>
  <c r="AS43" i="36"/>
  <c r="AU43" i="36" s="1"/>
  <c r="AR43" i="36"/>
  <c r="AT43" i="36" s="1"/>
  <c r="AH43" i="36"/>
  <c r="L43" i="36"/>
  <c r="K43" i="36"/>
  <c r="AW42" i="36"/>
  <c r="AY42" i="36" s="1"/>
  <c r="AV42" i="36"/>
  <c r="AX42" i="36" s="1"/>
  <c r="AS42" i="36"/>
  <c r="AU42" i="36" s="1"/>
  <c r="AR42" i="36"/>
  <c r="AT42" i="36" s="1"/>
  <c r="AH42" i="36"/>
  <c r="L42" i="36"/>
  <c r="K42" i="36"/>
  <c r="AW41" i="36"/>
  <c r="AY41" i="36" s="1"/>
  <c r="AV41" i="36"/>
  <c r="AX41" i="36" s="1"/>
  <c r="AS41" i="36"/>
  <c r="AU41" i="36" s="1"/>
  <c r="AR41" i="36"/>
  <c r="AT41" i="36" s="1"/>
  <c r="AH41" i="36"/>
  <c r="L41" i="36"/>
  <c r="K41" i="36"/>
  <c r="AW40" i="36"/>
  <c r="AY40" i="36" s="1"/>
  <c r="AV40" i="36"/>
  <c r="AX40" i="36" s="1"/>
  <c r="AS40" i="36"/>
  <c r="AU40" i="36" s="1"/>
  <c r="AR40" i="36"/>
  <c r="AT40" i="36" s="1"/>
  <c r="AH40" i="36"/>
  <c r="L40" i="36"/>
  <c r="K40" i="36"/>
  <c r="AW39" i="36"/>
  <c r="AY39" i="36" s="1"/>
  <c r="AV39" i="36"/>
  <c r="AX39" i="36" s="1"/>
  <c r="AS39" i="36"/>
  <c r="AU39" i="36" s="1"/>
  <c r="AR39" i="36"/>
  <c r="AT39" i="36" s="1"/>
  <c r="AH39" i="36"/>
  <c r="L39" i="36"/>
  <c r="K39" i="36"/>
  <c r="AW38" i="36"/>
  <c r="AY38" i="36" s="1"/>
  <c r="AV38" i="36"/>
  <c r="AX38" i="36" s="1"/>
  <c r="AS38" i="36"/>
  <c r="AU38" i="36" s="1"/>
  <c r="AR38" i="36"/>
  <c r="AT38" i="36" s="1"/>
  <c r="AH38" i="36"/>
  <c r="L38" i="36"/>
  <c r="K38" i="36"/>
  <c r="AW37" i="36"/>
  <c r="AY37" i="36" s="1"/>
  <c r="AV37" i="36"/>
  <c r="AX37" i="36" s="1"/>
  <c r="AU37" i="36"/>
  <c r="AS37" i="36"/>
  <c r="AR37" i="36"/>
  <c r="AT37" i="36" s="1"/>
  <c r="AH37" i="36"/>
  <c r="L37" i="36"/>
  <c r="K37" i="36"/>
  <c r="AW36" i="36"/>
  <c r="AY36" i="36" s="1"/>
  <c r="AV36" i="36"/>
  <c r="AX36" i="36" s="1"/>
  <c r="AS36" i="36"/>
  <c r="AU36" i="36" s="1"/>
  <c r="AR36" i="36"/>
  <c r="AT36" i="36" s="1"/>
  <c r="AH36" i="36"/>
  <c r="L36" i="36"/>
  <c r="K36" i="36"/>
  <c r="AW35" i="36"/>
  <c r="AY35" i="36" s="1"/>
  <c r="AV35" i="36"/>
  <c r="AX35" i="36" s="1"/>
  <c r="AT35" i="36"/>
  <c r="AS35" i="36"/>
  <c r="AU35" i="36" s="1"/>
  <c r="AR35" i="36"/>
  <c r="AH35" i="36"/>
  <c r="L35" i="36"/>
  <c r="K35" i="36"/>
  <c r="AW34" i="36"/>
  <c r="AY34" i="36" s="1"/>
  <c r="AV34" i="36"/>
  <c r="AX34" i="36" s="1"/>
  <c r="AS34" i="36"/>
  <c r="AU34" i="36" s="1"/>
  <c r="AR34" i="36"/>
  <c r="AT34" i="36" s="1"/>
  <c r="AH34" i="36"/>
  <c r="L34" i="36"/>
  <c r="K34" i="36"/>
  <c r="AY33" i="36"/>
  <c r="AW33" i="36"/>
  <c r="AV33" i="36"/>
  <c r="AX33" i="36" s="1"/>
  <c r="AS33" i="36"/>
  <c r="AU33" i="36" s="1"/>
  <c r="AR33" i="36"/>
  <c r="AT33" i="36" s="1"/>
  <c r="AH33" i="36"/>
  <c r="L33" i="36"/>
  <c r="K33" i="36"/>
  <c r="AW32" i="36"/>
  <c r="AY32" i="36" s="1"/>
  <c r="AV32" i="36"/>
  <c r="AX32" i="36" s="1"/>
  <c r="AS32" i="36"/>
  <c r="AU32" i="36" s="1"/>
  <c r="AR32" i="36"/>
  <c r="AT32" i="36" s="1"/>
  <c r="AH32" i="36"/>
  <c r="L32" i="36"/>
  <c r="K32" i="36"/>
  <c r="AW31" i="36"/>
  <c r="AY31" i="36" s="1"/>
  <c r="AV31" i="36"/>
  <c r="AX31" i="36" s="1"/>
  <c r="AS31" i="36"/>
  <c r="AU31" i="36" s="1"/>
  <c r="AR31" i="36"/>
  <c r="AT31" i="36" s="1"/>
  <c r="AH31" i="36"/>
  <c r="L31" i="36"/>
  <c r="K31" i="36"/>
  <c r="AW30" i="36"/>
  <c r="AY30" i="36" s="1"/>
  <c r="AV30" i="36"/>
  <c r="AX30" i="36" s="1"/>
  <c r="AS30" i="36"/>
  <c r="AU30" i="36" s="1"/>
  <c r="AR30" i="36"/>
  <c r="AT30" i="36" s="1"/>
  <c r="AH30" i="36"/>
  <c r="L30" i="36"/>
  <c r="K30" i="36"/>
  <c r="AY29" i="36"/>
  <c r="AW29" i="36"/>
  <c r="AV29" i="36"/>
  <c r="AX29" i="36" s="1"/>
  <c r="AS29" i="36"/>
  <c r="AU29" i="36" s="1"/>
  <c r="AR29" i="36"/>
  <c r="AT29" i="36" s="1"/>
  <c r="AH29" i="36"/>
  <c r="L29" i="36"/>
  <c r="K29" i="36"/>
  <c r="AW28" i="36"/>
  <c r="AY28" i="36" s="1"/>
  <c r="AV28" i="36"/>
  <c r="AX28" i="36" s="1"/>
  <c r="AS28" i="36"/>
  <c r="AU28" i="36" s="1"/>
  <c r="AR28" i="36"/>
  <c r="AT28" i="36" s="1"/>
  <c r="AH28" i="36"/>
  <c r="L28" i="36"/>
  <c r="K28" i="36"/>
  <c r="AW27" i="36"/>
  <c r="AY27" i="36" s="1"/>
  <c r="AV27" i="36"/>
  <c r="AX27" i="36" s="1"/>
  <c r="AS27" i="36"/>
  <c r="AU27" i="36" s="1"/>
  <c r="AR27" i="36"/>
  <c r="AT27" i="36" s="1"/>
  <c r="AH27" i="36"/>
  <c r="L27" i="36"/>
  <c r="K27" i="36"/>
  <c r="AW26" i="36"/>
  <c r="AY26" i="36" s="1"/>
  <c r="AV26" i="36"/>
  <c r="AX26" i="36" s="1"/>
  <c r="AS26" i="36"/>
  <c r="AU26" i="36" s="1"/>
  <c r="AR26" i="36"/>
  <c r="AT26" i="36" s="1"/>
  <c r="AH26" i="36"/>
  <c r="L26" i="36"/>
  <c r="K26" i="36"/>
  <c r="AW25" i="36"/>
  <c r="AY25" i="36" s="1"/>
  <c r="AV25" i="36"/>
  <c r="AX25" i="36" s="1"/>
  <c r="AS25" i="36"/>
  <c r="AU25" i="36" s="1"/>
  <c r="AR25" i="36"/>
  <c r="AT25" i="36" s="1"/>
  <c r="AH25" i="36"/>
  <c r="L25" i="36"/>
  <c r="K25" i="36"/>
  <c r="AW24" i="36"/>
  <c r="AY24" i="36" s="1"/>
  <c r="AV24" i="36"/>
  <c r="AX24" i="36" s="1"/>
  <c r="AT24" i="36"/>
  <c r="AS24" i="36"/>
  <c r="AU24" i="36" s="1"/>
  <c r="AR24" i="36"/>
  <c r="AH24" i="36"/>
  <c r="L24" i="36"/>
  <c r="K24" i="36"/>
  <c r="AW23" i="36"/>
  <c r="AY23" i="36" s="1"/>
  <c r="AV23" i="36"/>
  <c r="AX23" i="36" s="1"/>
  <c r="AT23" i="36"/>
  <c r="AS23" i="36"/>
  <c r="AU23" i="36" s="1"/>
  <c r="AR23" i="36"/>
  <c r="AH23" i="36"/>
  <c r="L23" i="36"/>
  <c r="K23" i="36"/>
  <c r="AW22" i="36"/>
  <c r="AY22" i="36" s="1"/>
  <c r="AV22" i="36"/>
  <c r="AX22" i="36" s="1"/>
  <c r="AS22" i="36"/>
  <c r="AU22" i="36" s="1"/>
  <c r="AR22" i="36"/>
  <c r="AT22" i="36" s="1"/>
  <c r="AH22" i="36"/>
  <c r="L22" i="36"/>
  <c r="K22" i="36"/>
  <c r="AW21" i="36"/>
  <c r="AY21" i="36" s="1"/>
  <c r="AV21" i="36"/>
  <c r="AX21" i="36" s="1"/>
  <c r="AS21" i="36"/>
  <c r="AU21" i="36" s="1"/>
  <c r="AR21" i="36"/>
  <c r="AT21" i="36" s="1"/>
  <c r="AH21" i="36"/>
  <c r="L21" i="36"/>
  <c r="K21" i="36"/>
  <c r="AW20" i="36"/>
  <c r="AY20" i="36" s="1"/>
  <c r="AV20" i="36"/>
  <c r="AX20" i="36" s="1"/>
  <c r="AS20" i="36"/>
  <c r="AU20" i="36" s="1"/>
  <c r="AR20" i="36"/>
  <c r="AT20" i="36" s="1"/>
  <c r="AH20" i="36"/>
  <c r="L20" i="36"/>
  <c r="K20" i="36"/>
  <c r="AW19" i="36"/>
  <c r="AY19" i="36" s="1"/>
  <c r="AV19" i="36"/>
  <c r="AX19" i="36" s="1"/>
  <c r="AS19" i="36"/>
  <c r="AU19" i="36" s="1"/>
  <c r="AR19" i="36"/>
  <c r="AT19" i="36" s="1"/>
  <c r="AH19" i="36"/>
  <c r="L19" i="36"/>
  <c r="K19" i="36"/>
  <c r="AW18" i="36"/>
  <c r="AY18" i="36" s="1"/>
  <c r="AV18" i="36"/>
  <c r="AX18" i="36" s="1"/>
  <c r="AS18" i="36"/>
  <c r="AU18" i="36" s="1"/>
  <c r="AR18" i="36"/>
  <c r="AT18" i="36" s="1"/>
  <c r="AH18" i="36"/>
  <c r="L18" i="36"/>
  <c r="K18" i="36"/>
  <c r="AW17" i="36"/>
  <c r="AY17" i="36" s="1"/>
  <c r="AV17" i="36"/>
  <c r="AX17" i="36" s="1"/>
  <c r="AS17" i="36"/>
  <c r="AU17" i="36" s="1"/>
  <c r="AR17" i="36"/>
  <c r="AT17" i="36" s="1"/>
  <c r="AH17" i="36"/>
  <c r="L17" i="36"/>
  <c r="K17" i="36"/>
  <c r="AW16" i="36"/>
  <c r="AY16" i="36" s="1"/>
  <c r="AV16" i="36"/>
  <c r="AX16" i="36" s="1"/>
  <c r="AS16" i="36"/>
  <c r="AU16" i="36" s="1"/>
  <c r="AR16" i="36"/>
  <c r="AT16" i="36" s="1"/>
  <c r="AH16" i="36"/>
  <c r="L16" i="36"/>
  <c r="K16" i="36"/>
  <c r="AW15" i="36"/>
  <c r="AY15" i="36" s="1"/>
  <c r="AV15" i="36"/>
  <c r="AX15" i="36" s="1"/>
  <c r="AS15" i="36"/>
  <c r="AU15" i="36" s="1"/>
  <c r="AR15" i="36"/>
  <c r="AT15" i="36" s="1"/>
  <c r="AH15" i="36"/>
  <c r="L15" i="36"/>
  <c r="K15" i="36"/>
  <c r="AW14" i="36"/>
  <c r="AY14" i="36" s="1"/>
  <c r="AV14" i="36"/>
  <c r="AX14" i="36" s="1"/>
  <c r="AS14" i="36"/>
  <c r="AU14" i="36" s="1"/>
  <c r="AR14" i="36"/>
  <c r="AT14" i="36" s="1"/>
  <c r="AH14" i="36"/>
  <c r="L14" i="36"/>
  <c r="K14" i="36"/>
  <c r="AW13" i="36"/>
  <c r="AY13" i="36" s="1"/>
  <c r="AV13" i="36"/>
  <c r="AX13" i="36" s="1"/>
  <c r="AS13" i="36"/>
  <c r="AU13" i="36" s="1"/>
  <c r="AR13" i="36"/>
  <c r="AT13" i="36" s="1"/>
  <c r="AH13" i="36"/>
  <c r="L13" i="36"/>
  <c r="K13" i="36"/>
  <c r="AW12" i="36"/>
  <c r="AY12" i="36" s="1"/>
  <c r="AV12" i="36"/>
  <c r="AX12" i="36" s="1"/>
  <c r="AS12" i="36"/>
  <c r="AU12" i="36" s="1"/>
  <c r="AR12" i="36"/>
  <c r="AT12" i="36" s="1"/>
  <c r="AH12" i="36"/>
  <c r="L12" i="36"/>
  <c r="K12" i="36"/>
  <c r="AW11" i="36"/>
  <c r="AY11" i="36" s="1"/>
  <c r="AV11" i="36"/>
  <c r="AX11" i="36" s="1"/>
  <c r="AS11" i="36"/>
  <c r="AU11" i="36" s="1"/>
  <c r="AR11" i="36"/>
  <c r="AT11" i="36" s="1"/>
  <c r="AH11" i="36"/>
  <c r="L11" i="36"/>
  <c r="K11" i="36"/>
  <c r="AW10" i="36"/>
  <c r="AY10" i="36" s="1"/>
  <c r="AV10" i="36"/>
  <c r="AX10" i="36" s="1"/>
  <c r="AS10" i="36"/>
  <c r="AU10" i="36" s="1"/>
  <c r="AR10" i="36"/>
  <c r="AT10" i="36" s="1"/>
  <c r="AH10" i="36"/>
  <c r="L10" i="36"/>
  <c r="K10" i="36"/>
  <c r="AW9" i="36"/>
  <c r="AY9" i="36" s="1"/>
  <c r="AV9" i="36"/>
  <c r="AX9" i="36" s="1"/>
  <c r="AS9" i="36"/>
  <c r="AU9" i="36" s="1"/>
  <c r="AR9" i="36"/>
  <c r="AT9" i="36" s="1"/>
  <c r="AH9" i="36"/>
  <c r="L9" i="36"/>
  <c r="K9" i="36"/>
  <c r="AW8" i="36"/>
  <c r="AY8" i="36" s="1"/>
  <c r="AV8" i="36"/>
  <c r="AX8" i="36" s="1"/>
  <c r="AS8" i="36"/>
  <c r="AU8" i="36" s="1"/>
  <c r="AR8" i="36"/>
  <c r="AT8" i="36" s="1"/>
  <c r="AH8" i="36"/>
  <c r="L8" i="36"/>
  <c r="K8" i="36"/>
  <c r="AW7" i="36"/>
  <c r="AY7" i="36" s="1"/>
  <c r="AV7" i="36"/>
  <c r="AX7" i="36" s="1"/>
  <c r="AS7" i="36"/>
  <c r="AU7" i="36" s="1"/>
  <c r="AR7" i="36"/>
  <c r="AT7" i="36" s="1"/>
  <c r="AH7" i="36"/>
  <c r="L7" i="36"/>
  <c r="K7" i="36"/>
  <c r="AW6" i="36"/>
  <c r="AY6" i="36" s="1"/>
  <c r="AV6" i="36"/>
  <c r="AX6" i="36" s="1"/>
  <c r="AS6" i="36"/>
  <c r="AU6" i="36" s="1"/>
  <c r="AR6" i="36"/>
  <c r="AT6" i="36" s="1"/>
  <c r="AH6" i="36"/>
  <c r="L6" i="36"/>
  <c r="K6" i="36"/>
  <c r="AW5" i="36"/>
  <c r="AY5" i="36" s="1"/>
  <c r="AV5" i="36"/>
  <c r="AX5" i="36" s="1"/>
  <c r="AS5" i="36"/>
  <c r="AU5" i="36" s="1"/>
  <c r="AR5" i="36"/>
  <c r="AT5" i="36" s="1"/>
  <c r="AH5" i="36"/>
  <c r="L5" i="36"/>
  <c r="K5" i="36"/>
  <c r="AW4" i="36"/>
  <c r="AY4" i="36" s="1"/>
  <c r="AV4" i="36"/>
  <c r="AX4" i="36" s="1"/>
  <c r="AS4" i="36"/>
  <c r="AU4" i="36" s="1"/>
  <c r="AR4" i="36"/>
  <c r="AT4" i="36" s="1"/>
  <c r="AH4" i="36"/>
  <c r="L4" i="36"/>
  <c r="K4" i="36"/>
  <c r="AW3" i="36"/>
  <c r="AY3" i="36" s="1"/>
  <c r="AV3" i="36"/>
  <c r="AX3" i="36" s="1"/>
  <c r="AS3" i="36"/>
  <c r="AU3" i="36" s="1"/>
  <c r="AR3" i="36"/>
  <c r="AT3" i="36" s="1"/>
  <c r="AH3" i="36"/>
  <c r="L3" i="36"/>
  <c r="K3" i="36"/>
  <c r="L119" i="35"/>
  <c r="E118" i="35"/>
  <c r="R116" i="35"/>
  <c r="Q116" i="35"/>
  <c r="P116" i="35"/>
  <c r="O116" i="35"/>
  <c r="N116" i="35"/>
  <c r="M116" i="35"/>
  <c r="L116" i="35"/>
  <c r="K116" i="35"/>
  <c r="J116" i="35"/>
  <c r="I116" i="35"/>
  <c r="H116" i="35"/>
  <c r="G116" i="35"/>
  <c r="F116" i="35"/>
  <c r="E116" i="35"/>
  <c r="R113" i="35"/>
  <c r="Q113" i="35"/>
  <c r="P113" i="35"/>
  <c r="L113" i="35"/>
  <c r="K113" i="35"/>
  <c r="J113" i="35"/>
  <c r="I113" i="35"/>
  <c r="F113" i="35"/>
  <c r="E113" i="35"/>
  <c r="R112" i="35"/>
  <c r="Q112" i="35"/>
  <c r="P112" i="35"/>
  <c r="O112" i="35"/>
  <c r="N112" i="35"/>
  <c r="M112" i="35"/>
  <c r="L112" i="35"/>
  <c r="K112" i="35"/>
  <c r="I112" i="35"/>
  <c r="H112" i="35"/>
  <c r="G112" i="35"/>
  <c r="F112" i="35"/>
  <c r="E112" i="35"/>
  <c r="O111" i="35"/>
  <c r="N111" i="35"/>
  <c r="M111" i="35"/>
  <c r="J111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E108" i="35"/>
  <c r="R107" i="35"/>
  <c r="Q107" i="35"/>
  <c r="Q119" i="35" s="1"/>
  <c r="P107" i="35"/>
  <c r="P119" i="35" s="1"/>
  <c r="L107" i="35"/>
  <c r="K107" i="35"/>
  <c r="K119" i="35" s="1"/>
  <c r="J107" i="35"/>
  <c r="I107" i="35"/>
  <c r="I119" i="35" s="1"/>
  <c r="H107" i="35"/>
  <c r="F107" i="35"/>
  <c r="F119" i="35" s="1"/>
  <c r="E107" i="35"/>
  <c r="R106" i="35"/>
  <c r="R118" i="35" s="1"/>
  <c r="Q106" i="35"/>
  <c r="Q118" i="35" s="1"/>
  <c r="P106" i="35"/>
  <c r="P118" i="35" s="1"/>
  <c r="O106" i="35"/>
  <c r="N106" i="35"/>
  <c r="N118" i="35" s="1"/>
  <c r="M106" i="35"/>
  <c r="M118" i="35" s="1"/>
  <c r="L106" i="35"/>
  <c r="L118" i="35" s="1"/>
  <c r="K106" i="35"/>
  <c r="I106" i="35"/>
  <c r="I118" i="35" s="1"/>
  <c r="H106" i="35"/>
  <c r="H118" i="35" s="1"/>
  <c r="G106" i="35"/>
  <c r="G118" i="35" s="1"/>
  <c r="F106" i="35"/>
  <c r="F118" i="35" s="1"/>
  <c r="E106" i="35"/>
  <c r="D106" i="35"/>
  <c r="Q105" i="35"/>
  <c r="P105" i="35"/>
  <c r="O105" i="35"/>
  <c r="O117" i="35" s="1"/>
  <c r="N105" i="35"/>
  <c r="N117" i="35" s="1"/>
  <c r="M105" i="35"/>
  <c r="M117" i="35" s="1"/>
  <c r="J105" i="35"/>
  <c r="J117" i="35" s="1"/>
  <c r="I105" i="35"/>
  <c r="H105" i="35"/>
  <c r="H108" i="35" s="1"/>
  <c r="E105" i="35"/>
  <c r="D105" i="35"/>
  <c r="R104" i="35"/>
  <c r="Q104" i="35"/>
  <c r="P104" i="35"/>
  <c r="O104" i="35"/>
  <c r="N104" i="35"/>
  <c r="M104" i="35"/>
  <c r="L104" i="35"/>
  <c r="K104" i="35"/>
  <c r="J104" i="35"/>
  <c r="I104" i="35"/>
  <c r="H104" i="35"/>
  <c r="G104" i="35"/>
  <c r="F104" i="35"/>
  <c r="E104" i="35"/>
  <c r="R99" i="35"/>
  <c r="Q99" i="35"/>
  <c r="P99" i="35"/>
  <c r="L99" i="35"/>
  <c r="K99" i="35"/>
  <c r="J99" i="35"/>
  <c r="I99" i="35"/>
  <c r="F99" i="35"/>
  <c r="E99" i="35"/>
  <c r="R98" i="35"/>
  <c r="Q98" i="35"/>
  <c r="P98" i="35"/>
  <c r="O98" i="35"/>
  <c r="N98" i="35"/>
  <c r="M98" i="35"/>
  <c r="L98" i="35"/>
  <c r="K98" i="35"/>
  <c r="I98" i="35"/>
  <c r="H98" i="35"/>
  <c r="G98" i="35"/>
  <c r="F98" i="35"/>
  <c r="E98" i="35"/>
  <c r="O97" i="35"/>
  <c r="N97" i="35"/>
  <c r="M97" i="35"/>
  <c r="J97" i="35"/>
  <c r="R96" i="35"/>
  <c r="Q96" i="35"/>
  <c r="P96" i="35"/>
  <c r="O96" i="35"/>
  <c r="N96" i="35"/>
  <c r="M96" i="35"/>
  <c r="L96" i="35"/>
  <c r="K96" i="35"/>
  <c r="J96" i="35"/>
  <c r="I96" i="35"/>
  <c r="H96" i="35"/>
  <c r="G96" i="35"/>
  <c r="F96" i="35"/>
  <c r="E96" i="35"/>
  <c r="O93" i="35"/>
  <c r="O94" i="35" s="1"/>
  <c r="O100" i="35" s="1"/>
  <c r="N93" i="35"/>
  <c r="N94" i="35" s="1"/>
  <c r="M93" i="35"/>
  <c r="M94" i="35" s="1"/>
  <c r="H93" i="35"/>
  <c r="G93" i="35"/>
  <c r="D93" i="35"/>
  <c r="J92" i="35"/>
  <c r="J94" i="35" s="1"/>
  <c r="D92" i="35"/>
  <c r="R91" i="35"/>
  <c r="R94" i="35" s="1"/>
  <c r="Q91" i="35"/>
  <c r="Q94" i="35" s="1"/>
  <c r="P91" i="35"/>
  <c r="P94" i="35" s="1"/>
  <c r="L91" i="35"/>
  <c r="L94" i="35" s="1"/>
  <c r="K91" i="35"/>
  <c r="K94" i="35" s="1"/>
  <c r="I91" i="35"/>
  <c r="I94" i="35" s="1"/>
  <c r="H91" i="35"/>
  <c r="H94" i="35" s="1"/>
  <c r="G91" i="35"/>
  <c r="F91" i="35"/>
  <c r="F94" i="35" s="1"/>
  <c r="F100" i="35" s="1"/>
  <c r="E91" i="35"/>
  <c r="E94" i="35" s="1"/>
  <c r="D91" i="35"/>
  <c r="R90" i="35"/>
  <c r="Q90" i="35"/>
  <c r="P90" i="35"/>
  <c r="O90" i="35"/>
  <c r="N90" i="35"/>
  <c r="M90" i="35"/>
  <c r="L90" i="35"/>
  <c r="K90" i="35"/>
  <c r="J90" i="35"/>
  <c r="I90" i="35"/>
  <c r="H90" i="35"/>
  <c r="G90" i="35"/>
  <c r="F90" i="35"/>
  <c r="E90" i="35"/>
  <c r="Q88" i="35"/>
  <c r="P88" i="35"/>
  <c r="I88" i="35"/>
  <c r="H88" i="35"/>
  <c r="E88" i="35"/>
  <c r="O87" i="35"/>
  <c r="O88" i="35" s="1"/>
  <c r="N87" i="35"/>
  <c r="M87" i="35"/>
  <c r="M99" i="35" s="1"/>
  <c r="H87" i="35"/>
  <c r="G87" i="35"/>
  <c r="D87" i="35"/>
  <c r="T86" i="35"/>
  <c r="J86" i="35"/>
  <c r="J88" i="35" s="1"/>
  <c r="D86" i="35"/>
  <c r="R85" i="35"/>
  <c r="R88" i="35" s="1"/>
  <c r="Q85" i="35"/>
  <c r="Q97" i="35" s="1"/>
  <c r="P85" i="35"/>
  <c r="L85" i="35"/>
  <c r="K85" i="35"/>
  <c r="K88" i="35" s="1"/>
  <c r="I85" i="35"/>
  <c r="I97" i="35" s="1"/>
  <c r="H85" i="35"/>
  <c r="G85" i="35"/>
  <c r="G88" i="35" s="1"/>
  <c r="F85" i="35"/>
  <c r="F88" i="35" s="1"/>
  <c r="E85" i="35"/>
  <c r="D85" i="35"/>
  <c r="R84" i="35"/>
  <c r="Q84" i="35"/>
  <c r="P84" i="35"/>
  <c r="O84" i="35"/>
  <c r="N84" i="35"/>
  <c r="M84" i="35"/>
  <c r="L84" i="35"/>
  <c r="K84" i="35"/>
  <c r="J84" i="35"/>
  <c r="I84" i="35"/>
  <c r="H84" i="35"/>
  <c r="G84" i="35"/>
  <c r="F84" i="35"/>
  <c r="E84" i="35"/>
  <c r="R80" i="35"/>
  <c r="Q80" i="35"/>
  <c r="P80" i="35"/>
  <c r="L80" i="35"/>
  <c r="K80" i="35"/>
  <c r="J80" i="35"/>
  <c r="I80" i="35"/>
  <c r="F80" i="35"/>
  <c r="E80" i="35"/>
  <c r="R79" i="35"/>
  <c r="Q79" i="35"/>
  <c r="P79" i="35"/>
  <c r="O79" i="35"/>
  <c r="N79" i="35"/>
  <c r="M79" i="35"/>
  <c r="L79" i="35"/>
  <c r="K79" i="35"/>
  <c r="I79" i="35"/>
  <c r="H79" i="35"/>
  <c r="G79" i="35"/>
  <c r="F79" i="35"/>
  <c r="E79" i="35"/>
  <c r="O78" i="35"/>
  <c r="N78" i="35"/>
  <c r="M78" i="35"/>
  <c r="J78" i="35"/>
  <c r="O74" i="35"/>
  <c r="O75" i="35" s="1"/>
  <c r="N74" i="35"/>
  <c r="M74" i="35"/>
  <c r="M113" i="35" s="1"/>
  <c r="H74" i="35"/>
  <c r="H113" i="35" s="1"/>
  <c r="G74" i="35"/>
  <c r="D74" i="35"/>
  <c r="J73" i="35"/>
  <c r="J75" i="35" s="1"/>
  <c r="D73" i="35"/>
  <c r="D112" i="35" s="1"/>
  <c r="R72" i="35"/>
  <c r="Q72" i="35"/>
  <c r="Q111" i="35" s="1"/>
  <c r="Q114" i="35" s="1"/>
  <c r="P72" i="35"/>
  <c r="P111" i="35" s="1"/>
  <c r="P114" i="35" s="1"/>
  <c r="L72" i="35"/>
  <c r="K72" i="35"/>
  <c r="I72" i="35"/>
  <c r="I111" i="35" s="1"/>
  <c r="I114" i="35" s="1"/>
  <c r="H72" i="35"/>
  <c r="H111" i="35" s="1"/>
  <c r="G72" i="35"/>
  <c r="F72" i="35"/>
  <c r="E72" i="35"/>
  <c r="E111" i="35" s="1"/>
  <c r="E114" i="35" s="1"/>
  <c r="D72" i="35"/>
  <c r="D111" i="35" s="1"/>
  <c r="D117" i="35" s="1"/>
  <c r="R71" i="35"/>
  <c r="Q71" i="35"/>
  <c r="P71" i="35"/>
  <c r="O71" i="35"/>
  <c r="N71" i="35"/>
  <c r="M71" i="35"/>
  <c r="L71" i="35"/>
  <c r="K71" i="35"/>
  <c r="J71" i="35"/>
  <c r="I71" i="35"/>
  <c r="H71" i="35"/>
  <c r="G71" i="35"/>
  <c r="F71" i="35"/>
  <c r="E71" i="35"/>
  <c r="Q69" i="35"/>
  <c r="P69" i="35"/>
  <c r="I69" i="35"/>
  <c r="H69" i="35"/>
  <c r="E69" i="35"/>
  <c r="O68" i="35"/>
  <c r="O107" i="35" s="1"/>
  <c r="N68" i="35"/>
  <c r="M68" i="35"/>
  <c r="H68" i="35"/>
  <c r="G68" i="35"/>
  <c r="G107" i="35" s="1"/>
  <c r="D68" i="35"/>
  <c r="T67" i="35"/>
  <c r="J67" i="35"/>
  <c r="J106" i="35" s="1"/>
  <c r="D67" i="35"/>
  <c r="R66" i="35"/>
  <c r="Q66" i="35"/>
  <c r="P66" i="35"/>
  <c r="L66" i="35"/>
  <c r="K66" i="35"/>
  <c r="I66" i="35"/>
  <c r="H66" i="35"/>
  <c r="G66" i="35"/>
  <c r="F66" i="35"/>
  <c r="T66" i="35" s="1"/>
  <c r="E66" i="35"/>
  <c r="D66" i="35"/>
  <c r="AW60" i="35"/>
  <c r="AY60" i="35" s="1"/>
  <c r="AV60" i="35"/>
  <c r="AX60" i="35" s="1"/>
  <c r="AS60" i="35"/>
  <c r="AU60" i="35" s="1"/>
  <c r="AR60" i="35"/>
  <c r="AT60" i="35" s="1"/>
  <c r="AH60" i="35"/>
  <c r="L60" i="35"/>
  <c r="K60" i="35"/>
  <c r="AW59" i="35"/>
  <c r="AY59" i="35" s="1"/>
  <c r="AV59" i="35"/>
  <c r="AX59" i="35" s="1"/>
  <c r="AS59" i="35"/>
  <c r="AU59" i="35" s="1"/>
  <c r="AR59" i="35"/>
  <c r="AT59" i="35" s="1"/>
  <c r="AH59" i="35"/>
  <c r="L59" i="35"/>
  <c r="K59" i="35"/>
  <c r="AW58" i="35"/>
  <c r="AY58" i="35" s="1"/>
  <c r="AV58" i="35"/>
  <c r="AX58" i="35" s="1"/>
  <c r="AS58" i="35"/>
  <c r="AU58" i="35" s="1"/>
  <c r="AR58" i="35"/>
  <c r="AT58" i="35" s="1"/>
  <c r="AH58" i="35"/>
  <c r="L58" i="35"/>
  <c r="K58" i="35"/>
  <c r="AW57" i="35"/>
  <c r="AY57" i="35" s="1"/>
  <c r="AV57" i="35"/>
  <c r="AX57" i="35" s="1"/>
  <c r="AU57" i="35"/>
  <c r="AS57" i="35"/>
  <c r="AR57" i="35"/>
  <c r="AT57" i="35" s="1"/>
  <c r="AH57" i="35"/>
  <c r="L57" i="35"/>
  <c r="K57" i="35"/>
  <c r="AW56" i="35"/>
  <c r="AY56" i="35" s="1"/>
  <c r="AV56" i="35"/>
  <c r="AX56" i="35" s="1"/>
  <c r="AS56" i="35"/>
  <c r="AU56" i="35" s="1"/>
  <c r="AR56" i="35"/>
  <c r="AT56" i="35" s="1"/>
  <c r="AH56" i="35"/>
  <c r="L56" i="35"/>
  <c r="K56" i="35"/>
  <c r="AW55" i="35"/>
  <c r="AY55" i="35" s="1"/>
  <c r="AV55" i="35"/>
  <c r="AX55" i="35" s="1"/>
  <c r="AS55" i="35"/>
  <c r="AU55" i="35" s="1"/>
  <c r="AR55" i="35"/>
  <c r="AT55" i="35" s="1"/>
  <c r="AH55" i="35"/>
  <c r="L55" i="35"/>
  <c r="K55" i="35"/>
  <c r="AW54" i="35"/>
  <c r="AY54" i="35" s="1"/>
  <c r="AV54" i="35"/>
  <c r="AX54" i="35" s="1"/>
  <c r="AS54" i="35"/>
  <c r="AU54" i="35" s="1"/>
  <c r="AR54" i="35"/>
  <c r="AT54" i="35" s="1"/>
  <c r="AH54" i="35"/>
  <c r="L54" i="35"/>
  <c r="K54" i="35"/>
  <c r="AW53" i="35"/>
  <c r="AY53" i="35" s="1"/>
  <c r="AV53" i="35"/>
  <c r="AX53" i="35" s="1"/>
  <c r="AU53" i="35"/>
  <c r="AS53" i="35"/>
  <c r="AR53" i="35"/>
  <c r="AT53" i="35" s="1"/>
  <c r="AH53" i="35"/>
  <c r="L53" i="35"/>
  <c r="K53" i="35"/>
  <c r="AW52" i="35"/>
  <c r="AY52" i="35" s="1"/>
  <c r="AV52" i="35"/>
  <c r="AX52" i="35" s="1"/>
  <c r="AS52" i="35"/>
  <c r="AU52" i="35" s="1"/>
  <c r="AR52" i="35"/>
  <c r="AT52" i="35" s="1"/>
  <c r="AH52" i="35"/>
  <c r="L52" i="35"/>
  <c r="K52" i="35"/>
  <c r="AW51" i="35"/>
  <c r="AY51" i="35" s="1"/>
  <c r="AV51" i="35"/>
  <c r="AX51" i="35" s="1"/>
  <c r="AS51" i="35"/>
  <c r="AU51" i="35" s="1"/>
  <c r="AR51" i="35"/>
  <c r="AT51" i="35" s="1"/>
  <c r="AH51" i="35"/>
  <c r="L51" i="35"/>
  <c r="K51" i="35"/>
  <c r="AW50" i="35"/>
  <c r="AY50" i="35" s="1"/>
  <c r="AV50" i="35"/>
  <c r="AX50" i="35" s="1"/>
  <c r="AS50" i="35"/>
  <c r="AU50" i="35" s="1"/>
  <c r="AR50" i="35"/>
  <c r="AT50" i="35" s="1"/>
  <c r="AH50" i="35"/>
  <c r="L50" i="35"/>
  <c r="K50" i="35"/>
  <c r="AW49" i="35"/>
  <c r="AY49" i="35" s="1"/>
  <c r="AV49" i="35"/>
  <c r="AX49" i="35" s="1"/>
  <c r="AS49" i="35"/>
  <c r="AU49" i="35" s="1"/>
  <c r="AR49" i="35"/>
  <c r="AT49" i="35" s="1"/>
  <c r="AH49" i="35"/>
  <c r="L49" i="35"/>
  <c r="K49" i="35"/>
  <c r="AW48" i="35"/>
  <c r="AY48" i="35" s="1"/>
  <c r="AV48" i="35"/>
  <c r="AX48" i="35" s="1"/>
  <c r="AS48" i="35"/>
  <c r="AU48" i="35" s="1"/>
  <c r="AR48" i="35"/>
  <c r="AT48" i="35" s="1"/>
  <c r="AH48" i="35"/>
  <c r="L48" i="35"/>
  <c r="K48" i="35"/>
  <c r="AW47" i="35"/>
  <c r="AY47" i="35" s="1"/>
  <c r="AV47" i="35"/>
  <c r="AX47" i="35" s="1"/>
  <c r="AS47" i="35"/>
  <c r="AU47" i="35" s="1"/>
  <c r="AR47" i="35"/>
  <c r="AT47" i="35" s="1"/>
  <c r="AH47" i="35"/>
  <c r="L47" i="35"/>
  <c r="K47" i="35"/>
  <c r="AW46" i="35"/>
  <c r="AY46" i="35" s="1"/>
  <c r="AV46" i="35"/>
  <c r="AX46" i="35" s="1"/>
  <c r="AS46" i="35"/>
  <c r="AU46" i="35" s="1"/>
  <c r="AR46" i="35"/>
  <c r="AT46" i="35" s="1"/>
  <c r="AH46" i="35"/>
  <c r="L46" i="35"/>
  <c r="K46" i="35"/>
  <c r="AW45" i="35"/>
  <c r="AY45" i="35" s="1"/>
  <c r="AV45" i="35"/>
  <c r="AX45" i="35" s="1"/>
  <c r="AS45" i="35"/>
  <c r="AU45" i="35" s="1"/>
  <c r="AR45" i="35"/>
  <c r="AT45" i="35" s="1"/>
  <c r="AH45" i="35"/>
  <c r="L45" i="35"/>
  <c r="K45" i="35"/>
  <c r="AW44" i="35"/>
  <c r="AY44" i="35" s="1"/>
  <c r="AV44" i="35"/>
  <c r="AX44" i="35" s="1"/>
  <c r="AS44" i="35"/>
  <c r="AU44" i="35" s="1"/>
  <c r="AR44" i="35"/>
  <c r="AT44" i="35" s="1"/>
  <c r="AH44" i="35"/>
  <c r="L44" i="35"/>
  <c r="K44" i="35"/>
  <c r="AW43" i="35"/>
  <c r="AY43" i="35" s="1"/>
  <c r="AV43" i="35"/>
  <c r="AX43" i="35" s="1"/>
  <c r="AS43" i="35"/>
  <c r="AU43" i="35" s="1"/>
  <c r="AR43" i="35"/>
  <c r="AT43" i="35" s="1"/>
  <c r="AH43" i="35"/>
  <c r="L43" i="35"/>
  <c r="K43" i="35"/>
  <c r="AW42" i="35"/>
  <c r="AY42" i="35" s="1"/>
  <c r="AV42" i="35"/>
  <c r="AX42" i="35" s="1"/>
  <c r="AS42" i="35"/>
  <c r="AU42" i="35" s="1"/>
  <c r="AR42" i="35"/>
  <c r="AT42" i="35" s="1"/>
  <c r="AH42" i="35"/>
  <c r="L42" i="35"/>
  <c r="K42" i="35"/>
  <c r="AW41" i="35"/>
  <c r="AY41" i="35" s="1"/>
  <c r="AV41" i="35"/>
  <c r="AX41" i="35" s="1"/>
  <c r="AS41" i="35"/>
  <c r="AU41" i="35" s="1"/>
  <c r="AR41" i="35"/>
  <c r="AT41" i="35" s="1"/>
  <c r="AH41" i="35"/>
  <c r="L41" i="35"/>
  <c r="K41" i="35"/>
  <c r="AW40" i="35"/>
  <c r="AY40" i="35" s="1"/>
  <c r="AV40" i="35"/>
  <c r="AX40" i="35" s="1"/>
  <c r="AS40" i="35"/>
  <c r="AU40" i="35" s="1"/>
  <c r="AR40" i="35"/>
  <c r="AT40" i="35" s="1"/>
  <c r="AH40" i="35"/>
  <c r="L40" i="35"/>
  <c r="K40" i="35"/>
  <c r="AW39" i="35"/>
  <c r="AY39" i="35" s="1"/>
  <c r="AV39" i="35"/>
  <c r="AX39" i="35" s="1"/>
  <c r="AS39" i="35"/>
  <c r="AU39" i="35" s="1"/>
  <c r="AR39" i="35"/>
  <c r="AT39" i="35" s="1"/>
  <c r="AH39" i="35"/>
  <c r="L39" i="35"/>
  <c r="K39" i="35"/>
  <c r="AW38" i="35"/>
  <c r="AY38" i="35" s="1"/>
  <c r="AV38" i="35"/>
  <c r="AX38" i="35" s="1"/>
  <c r="AS38" i="35"/>
  <c r="AU38" i="35" s="1"/>
  <c r="AR38" i="35"/>
  <c r="AT38" i="35" s="1"/>
  <c r="AH38" i="35"/>
  <c r="L38" i="35"/>
  <c r="K38" i="35"/>
  <c r="AW37" i="35"/>
  <c r="AY37" i="35" s="1"/>
  <c r="AV37" i="35"/>
  <c r="AX37" i="35" s="1"/>
  <c r="AS37" i="35"/>
  <c r="AU37" i="35" s="1"/>
  <c r="AR37" i="35"/>
  <c r="AT37" i="35" s="1"/>
  <c r="AH37" i="35"/>
  <c r="L37" i="35"/>
  <c r="K37" i="35"/>
  <c r="AW36" i="35"/>
  <c r="AY36" i="35" s="1"/>
  <c r="AV36" i="35"/>
  <c r="AX36" i="35" s="1"/>
  <c r="AS36" i="35"/>
  <c r="AU36" i="35" s="1"/>
  <c r="AR36" i="35"/>
  <c r="AT36" i="35" s="1"/>
  <c r="AH36" i="35"/>
  <c r="L36" i="35"/>
  <c r="K36" i="35"/>
  <c r="AW35" i="35"/>
  <c r="AY35" i="35" s="1"/>
  <c r="AV35" i="35"/>
  <c r="AX35" i="35" s="1"/>
  <c r="AS35" i="35"/>
  <c r="AU35" i="35" s="1"/>
  <c r="AR35" i="35"/>
  <c r="AT35" i="35" s="1"/>
  <c r="AH35" i="35"/>
  <c r="L35" i="35"/>
  <c r="K35" i="35"/>
  <c r="AW34" i="35"/>
  <c r="AY34" i="35" s="1"/>
  <c r="AV34" i="35"/>
  <c r="AX34" i="35" s="1"/>
  <c r="AS34" i="35"/>
  <c r="AU34" i="35" s="1"/>
  <c r="AR34" i="35"/>
  <c r="AT34" i="35" s="1"/>
  <c r="AH34" i="35"/>
  <c r="L34" i="35"/>
  <c r="K34" i="35"/>
  <c r="AW33" i="35"/>
  <c r="AY33" i="35" s="1"/>
  <c r="AV33" i="35"/>
  <c r="AX33" i="35" s="1"/>
  <c r="AS33" i="35"/>
  <c r="AU33" i="35" s="1"/>
  <c r="AR33" i="35"/>
  <c r="AT33" i="35" s="1"/>
  <c r="AH33" i="35"/>
  <c r="L33" i="35"/>
  <c r="K33" i="35"/>
  <c r="AW32" i="35"/>
  <c r="AY32" i="35" s="1"/>
  <c r="AV32" i="35"/>
  <c r="AX32" i="35" s="1"/>
  <c r="AS32" i="35"/>
  <c r="AU32" i="35" s="1"/>
  <c r="AR32" i="35"/>
  <c r="AT32" i="35" s="1"/>
  <c r="AH32" i="35"/>
  <c r="L32" i="35"/>
  <c r="K32" i="35"/>
  <c r="AW31" i="35"/>
  <c r="AY31" i="35" s="1"/>
  <c r="AV31" i="35"/>
  <c r="AX31" i="35" s="1"/>
  <c r="AS31" i="35"/>
  <c r="AU31" i="35" s="1"/>
  <c r="AR31" i="35"/>
  <c r="AT31" i="35" s="1"/>
  <c r="AH31" i="35"/>
  <c r="L31" i="35"/>
  <c r="K31" i="35"/>
  <c r="AW30" i="35"/>
  <c r="AY30" i="35" s="1"/>
  <c r="AV30" i="35"/>
  <c r="AX30" i="35" s="1"/>
  <c r="AS30" i="35"/>
  <c r="AU30" i="35" s="1"/>
  <c r="AR30" i="35"/>
  <c r="AT30" i="35" s="1"/>
  <c r="AH30" i="35"/>
  <c r="L30" i="35"/>
  <c r="K30" i="35"/>
  <c r="AW29" i="35"/>
  <c r="AY29" i="35" s="1"/>
  <c r="AV29" i="35"/>
  <c r="AX29" i="35" s="1"/>
  <c r="AS29" i="35"/>
  <c r="AU29" i="35" s="1"/>
  <c r="AR29" i="35"/>
  <c r="AT29" i="35" s="1"/>
  <c r="AH29" i="35"/>
  <c r="L29" i="35"/>
  <c r="K29" i="35"/>
  <c r="AW28" i="35"/>
  <c r="AY28" i="35" s="1"/>
  <c r="AV28" i="35"/>
  <c r="AX28" i="35" s="1"/>
  <c r="AS28" i="35"/>
  <c r="AU28" i="35" s="1"/>
  <c r="AR28" i="35"/>
  <c r="AT28" i="35" s="1"/>
  <c r="AH28" i="35"/>
  <c r="L28" i="35"/>
  <c r="K28" i="35"/>
  <c r="AW27" i="35"/>
  <c r="AY27" i="35" s="1"/>
  <c r="AV27" i="35"/>
  <c r="AX27" i="35" s="1"/>
  <c r="AS27" i="35"/>
  <c r="AU27" i="35" s="1"/>
  <c r="AR27" i="35"/>
  <c r="AT27" i="35" s="1"/>
  <c r="AH27" i="35"/>
  <c r="L27" i="35"/>
  <c r="K27" i="35"/>
  <c r="AW26" i="35"/>
  <c r="AY26" i="35" s="1"/>
  <c r="AV26" i="35"/>
  <c r="AX26" i="35" s="1"/>
  <c r="AS26" i="35"/>
  <c r="AU26" i="35" s="1"/>
  <c r="AR26" i="35"/>
  <c r="AT26" i="35" s="1"/>
  <c r="AH26" i="35"/>
  <c r="L26" i="35"/>
  <c r="K26" i="35"/>
  <c r="AW25" i="35"/>
  <c r="AY25" i="35" s="1"/>
  <c r="AV25" i="35"/>
  <c r="AX25" i="35" s="1"/>
  <c r="AS25" i="35"/>
  <c r="AU25" i="35" s="1"/>
  <c r="AR25" i="35"/>
  <c r="AT25" i="35" s="1"/>
  <c r="AH25" i="35"/>
  <c r="L25" i="35"/>
  <c r="K25" i="35"/>
  <c r="AW24" i="35"/>
  <c r="AY24" i="35" s="1"/>
  <c r="AV24" i="35"/>
  <c r="AX24" i="35" s="1"/>
  <c r="AS24" i="35"/>
  <c r="AU24" i="35" s="1"/>
  <c r="AR24" i="35"/>
  <c r="AT24" i="35" s="1"/>
  <c r="AH24" i="35"/>
  <c r="L24" i="35"/>
  <c r="K24" i="35"/>
  <c r="AW23" i="35"/>
  <c r="AY23" i="35" s="1"/>
  <c r="AV23" i="35"/>
  <c r="AX23" i="35" s="1"/>
  <c r="AS23" i="35"/>
  <c r="AU23" i="35" s="1"/>
  <c r="AR23" i="35"/>
  <c r="AT23" i="35" s="1"/>
  <c r="AH23" i="35"/>
  <c r="L23" i="35"/>
  <c r="K23" i="35"/>
  <c r="AW22" i="35"/>
  <c r="AY22" i="35" s="1"/>
  <c r="AV22" i="35"/>
  <c r="AX22" i="35" s="1"/>
  <c r="AS22" i="35"/>
  <c r="AU22" i="35" s="1"/>
  <c r="AR22" i="35"/>
  <c r="AT22" i="35" s="1"/>
  <c r="AH22" i="35"/>
  <c r="L22" i="35"/>
  <c r="K22" i="35"/>
  <c r="AW21" i="35"/>
  <c r="AY21" i="35" s="1"/>
  <c r="AV21" i="35"/>
  <c r="AX21" i="35" s="1"/>
  <c r="AS21" i="35"/>
  <c r="AU21" i="35" s="1"/>
  <c r="AR21" i="35"/>
  <c r="AT21" i="35" s="1"/>
  <c r="AH21" i="35"/>
  <c r="L21" i="35"/>
  <c r="K21" i="35"/>
  <c r="AW20" i="35"/>
  <c r="AY20" i="35" s="1"/>
  <c r="AV20" i="35"/>
  <c r="AX20" i="35" s="1"/>
  <c r="AS20" i="35"/>
  <c r="AU20" i="35" s="1"/>
  <c r="AR20" i="35"/>
  <c r="AT20" i="35" s="1"/>
  <c r="AH20" i="35"/>
  <c r="L20" i="35"/>
  <c r="K20" i="35"/>
  <c r="AW19" i="35"/>
  <c r="AY19" i="35" s="1"/>
  <c r="AV19" i="35"/>
  <c r="AX19" i="35" s="1"/>
  <c r="AS19" i="35"/>
  <c r="AU19" i="35" s="1"/>
  <c r="AR19" i="35"/>
  <c r="AT19" i="35" s="1"/>
  <c r="AH19" i="35"/>
  <c r="L19" i="35"/>
  <c r="K19" i="35"/>
  <c r="AW18" i="35"/>
  <c r="AY18" i="35" s="1"/>
  <c r="AV18" i="35"/>
  <c r="AX18" i="35" s="1"/>
  <c r="AS18" i="35"/>
  <c r="AU18" i="35" s="1"/>
  <c r="AR18" i="35"/>
  <c r="AT18" i="35" s="1"/>
  <c r="AH18" i="35"/>
  <c r="L18" i="35"/>
  <c r="K18" i="35"/>
  <c r="AW17" i="35"/>
  <c r="AY17" i="35" s="1"/>
  <c r="AV17" i="35"/>
  <c r="AX17" i="35" s="1"/>
  <c r="AS17" i="35"/>
  <c r="AU17" i="35" s="1"/>
  <c r="AR17" i="35"/>
  <c r="AT17" i="35" s="1"/>
  <c r="AH17" i="35"/>
  <c r="L17" i="35"/>
  <c r="K17" i="35"/>
  <c r="AW16" i="35"/>
  <c r="AY16" i="35" s="1"/>
  <c r="AV16" i="35"/>
  <c r="AX16" i="35" s="1"/>
  <c r="AS16" i="35"/>
  <c r="AU16" i="35" s="1"/>
  <c r="AR16" i="35"/>
  <c r="AT16" i="35" s="1"/>
  <c r="AH16" i="35"/>
  <c r="L16" i="35"/>
  <c r="K16" i="35"/>
  <c r="AW15" i="35"/>
  <c r="AY15" i="35" s="1"/>
  <c r="AV15" i="35"/>
  <c r="AX15" i="35" s="1"/>
  <c r="AS15" i="35"/>
  <c r="AU15" i="35" s="1"/>
  <c r="AR15" i="35"/>
  <c r="AT15" i="35" s="1"/>
  <c r="AH15" i="35"/>
  <c r="L15" i="35"/>
  <c r="K15" i="35"/>
  <c r="AW14" i="35"/>
  <c r="AY14" i="35" s="1"/>
  <c r="AV14" i="35"/>
  <c r="AX14" i="35" s="1"/>
  <c r="AS14" i="35"/>
  <c r="AU14" i="35" s="1"/>
  <c r="AR14" i="35"/>
  <c r="AT14" i="35" s="1"/>
  <c r="AH14" i="35"/>
  <c r="L14" i="35"/>
  <c r="K14" i="35"/>
  <c r="AW13" i="35"/>
  <c r="AY13" i="35" s="1"/>
  <c r="AV13" i="35"/>
  <c r="AX13" i="35" s="1"/>
  <c r="AS13" i="35"/>
  <c r="AU13" i="35" s="1"/>
  <c r="AR13" i="35"/>
  <c r="AT13" i="35" s="1"/>
  <c r="AH13" i="35"/>
  <c r="L13" i="35"/>
  <c r="K13" i="35"/>
  <c r="AW12" i="35"/>
  <c r="AY12" i="35" s="1"/>
  <c r="AV12" i="35"/>
  <c r="AX12" i="35" s="1"/>
  <c r="AU12" i="35"/>
  <c r="AS12" i="35"/>
  <c r="AR12" i="35"/>
  <c r="AT12" i="35" s="1"/>
  <c r="AH12" i="35"/>
  <c r="L12" i="35"/>
  <c r="K12" i="35"/>
  <c r="AW11" i="35"/>
  <c r="AY11" i="35" s="1"/>
  <c r="AV11" i="35"/>
  <c r="AX11" i="35" s="1"/>
  <c r="AS11" i="35"/>
  <c r="AU11" i="35" s="1"/>
  <c r="AR11" i="35"/>
  <c r="AT11" i="35" s="1"/>
  <c r="AH11" i="35"/>
  <c r="L11" i="35"/>
  <c r="K11" i="35"/>
  <c r="AW10" i="35"/>
  <c r="AY10" i="35" s="1"/>
  <c r="AV10" i="35"/>
  <c r="AX10" i="35" s="1"/>
  <c r="AS10" i="35"/>
  <c r="AU10" i="35" s="1"/>
  <c r="AR10" i="35"/>
  <c r="AT10" i="35" s="1"/>
  <c r="AH10" i="35"/>
  <c r="L10" i="35"/>
  <c r="K10" i="35"/>
  <c r="AW9" i="35"/>
  <c r="AY9" i="35" s="1"/>
  <c r="AV9" i="35"/>
  <c r="AX9" i="35" s="1"/>
  <c r="AS9" i="35"/>
  <c r="AU9" i="35" s="1"/>
  <c r="AR9" i="35"/>
  <c r="AT9" i="35" s="1"/>
  <c r="AH9" i="35"/>
  <c r="L9" i="35"/>
  <c r="K9" i="35"/>
  <c r="AW8" i="35"/>
  <c r="AY8" i="35" s="1"/>
  <c r="AV8" i="35"/>
  <c r="AX8" i="35" s="1"/>
  <c r="AS8" i="35"/>
  <c r="AU8" i="35" s="1"/>
  <c r="AR8" i="35"/>
  <c r="AT8" i="35" s="1"/>
  <c r="AH8" i="35"/>
  <c r="L8" i="35"/>
  <c r="K8" i="35"/>
  <c r="AW7" i="35"/>
  <c r="AY7" i="35" s="1"/>
  <c r="AV7" i="35"/>
  <c r="AX7" i="35" s="1"/>
  <c r="AT7" i="35"/>
  <c r="AS7" i="35"/>
  <c r="AU7" i="35" s="1"/>
  <c r="AR7" i="35"/>
  <c r="AH7" i="35"/>
  <c r="L7" i="35"/>
  <c r="K7" i="35"/>
  <c r="AW6" i="35"/>
  <c r="AY6" i="35" s="1"/>
  <c r="AV6" i="35"/>
  <c r="AX6" i="35" s="1"/>
  <c r="AT6" i="35"/>
  <c r="AS6" i="35"/>
  <c r="AU6" i="35" s="1"/>
  <c r="AR6" i="35"/>
  <c r="AH6" i="35"/>
  <c r="L6" i="35"/>
  <c r="K6" i="35"/>
  <c r="AW5" i="35"/>
  <c r="AY5" i="35" s="1"/>
  <c r="AV5" i="35"/>
  <c r="AX5" i="35" s="1"/>
  <c r="AS5" i="35"/>
  <c r="AU5" i="35" s="1"/>
  <c r="AR5" i="35"/>
  <c r="AT5" i="35" s="1"/>
  <c r="AH5" i="35"/>
  <c r="L5" i="35"/>
  <c r="K5" i="35"/>
  <c r="AW4" i="35"/>
  <c r="AY4" i="35" s="1"/>
  <c r="AV4" i="35"/>
  <c r="AX4" i="35" s="1"/>
  <c r="AS4" i="35"/>
  <c r="AU4" i="35" s="1"/>
  <c r="AR4" i="35"/>
  <c r="AT4" i="35" s="1"/>
  <c r="AH4" i="35"/>
  <c r="L4" i="35"/>
  <c r="K4" i="35"/>
  <c r="AW3" i="35"/>
  <c r="AY3" i="35" s="1"/>
  <c r="AV3" i="35"/>
  <c r="AX3" i="35" s="1"/>
  <c r="AS3" i="35"/>
  <c r="AU3" i="35" s="1"/>
  <c r="AR3" i="35"/>
  <c r="AT3" i="35" s="1"/>
  <c r="AH3" i="35"/>
  <c r="L3" i="35"/>
  <c r="K3" i="35"/>
  <c r="L119" i="34"/>
  <c r="E118" i="34"/>
  <c r="R116" i="34"/>
  <c r="Q116" i="34"/>
  <c r="P116" i="34"/>
  <c r="O116" i="34"/>
  <c r="N116" i="34"/>
  <c r="M116" i="34"/>
  <c r="L116" i="34"/>
  <c r="K116" i="34"/>
  <c r="J116" i="34"/>
  <c r="I116" i="34"/>
  <c r="H116" i="34"/>
  <c r="G116" i="34"/>
  <c r="F116" i="34"/>
  <c r="E116" i="34"/>
  <c r="R113" i="34"/>
  <c r="Q113" i="34"/>
  <c r="P113" i="34"/>
  <c r="L113" i="34"/>
  <c r="K113" i="34"/>
  <c r="J113" i="34"/>
  <c r="I113" i="34"/>
  <c r="F113" i="34"/>
  <c r="E113" i="34"/>
  <c r="R112" i="34"/>
  <c r="Q112" i="34"/>
  <c r="P112" i="34"/>
  <c r="O112" i="34"/>
  <c r="N112" i="34"/>
  <c r="M112" i="34"/>
  <c r="L112" i="34"/>
  <c r="K112" i="34"/>
  <c r="I112" i="34"/>
  <c r="H112" i="34"/>
  <c r="G112" i="34"/>
  <c r="F112" i="34"/>
  <c r="E112" i="34"/>
  <c r="O111" i="34"/>
  <c r="N111" i="34"/>
  <c r="M111" i="34"/>
  <c r="J111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H108" i="34"/>
  <c r="R107" i="34"/>
  <c r="Q107" i="34"/>
  <c r="Q119" i="34" s="1"/>
  <c r="P107" i="34"/>
  <c r="P119" i="34" s="1"/>
  <c r="L107" i="34"/>
  <c r="K107" i="34"/>
  <c r="K119" i="34" s="1"/>
  <c r="J107" i="34"/>
  <c r="J119" i="34" s="1"/>
  <c r="I107" i="34"/>
  <c r="I119" i="34" s="1"/>
  <c r="H107" i="34"/>
  <c r="F107" i="34"/>
  <c r="F119" i="34" s="1"/>
  <c r="E107" i="34"/>
  <c r="R106" i="34"/>
  <c r="R118" i="34" s="1"/>
  <c r="Q106" i="34"/>
  <c r="Q118" i="34" s="1"/>
  <c r="P106" i="34"/>
  <c r="P118" i="34" s="1"/>
  <c r="O106" i="34"/>
  <c r="N106" i="34"/>
  <c r="N118" i="34" s="1"/>
  <c r="M106" i="34"/>
  <c r="M118" i="34" s="1"/>
  <c r="L106" i="34"/>
  <c r="L118" i="34" s="1"/>
  <c r="K106" i="34"/>
  <c r="I106" i="34"/>
  <c r="I118" i="34" s="1"/>
  <c r="H106" i="34"/>
  <c r="H118" i="34" s="1"/>
  <c r="G106" i="34"/>
  <c r="F106" i="34"/>
  <c r="F118" i="34" s="1"/>
  <c r="E106" i="34"/>
  <c r="D106" i="34"/>
  <c r="Q105" i="34"/>
  <c r="P105" i="34"/>
  <c r="O105" i="34"/>
  <c r="O117" i="34" s="1"/>
  <c r="N105" i="34"/>
  <c r="N117" i="34" s="1"/>
  <c r="M105" i="34"/>
  <c r="M117" i="34" s="1"/>
  <c r="J105" i="34"/>
  <c r="J117" i="34" s="1"/>
  <c r="I105" i="34"/>
  <c r="H105" i="34"/>
  <c r="E105" i="34"/>
  <c r="D105" i="34"/>
  <c r="R104" i="34"/>
  <c r="Q104" i="34"/>
  <c r="P104" i="34"/>
  <c r="O104" i="34"/>
  <c r="N104" i="34"/>
  <c r="M104" i="34"/>
  <c r="L104" i="34"/>
  <c r="K104" i="34"/>
  <c r="J104" i="34"/>
  <c r="I104" i="34"/>
  <c r="H104" i="34"/>
  <c r="G104" i="34"/>
  <c r="F104" i="34"/>
  <c r="E104" i="34"/>
  <c r="R99" i="34"/>
  <c r="Q99" i="34"/>
  <c r="P99" i="34"/>
  <c r="L99" i="34"/>
  <c r="K99" i="34"/>
  <c r="J99" i="34"/>
  <c r="I99" i="34"/>
  <c r="F99" i="34"/>
  <c r="E99" i="34"/>
  <c r="R98" i="34"/>
  <c r="Q98" i="34"/>
  <c r="P98" i="34"/>
  <c r="O98" i="34"/>
  <c r="N98" i="34"/>
  <c r="M98" i="34"/>
  <c r="L98" i="34"/>
  <c r="K98" i="34"/>
  <c r="I98" i="34"/>
  <c r="H98" i="34"/>
  <c r="G98" i="34"/>
  <c r="F98" i="34"/>
  <c r="E98" i="34"/>
  <c r="O97" i="34"/>
  <c r="N97" i="34"/>
  <c r="M97" i="34"/>
  <c r="J97" i="34"/>
  <c r="R96" i="34"/>
  <c r="Q96" i="34"/>
  <c r="P96" i="34"/>
  <c r="O96" i="34"/>
  <c r="N96" i="34"/>
  <c r="M96" i="34"/>
  <c r="L96" i="34"/>
  <c r="K96" i="34"/>
  <c r="J96" i="34"/>
  <c r="I96" i="34"/>
  <c r="H96" i="34"/>
  <c r="G96" i="34"/>
  <c r="F96" i="34"/>
  <c r="E96" i="34"/>
  <c r="O93" i="34"/>
  <c r="O94" i="34" s="1"/>
  <c r="N93" i="34"/>
  <c r="N94" i="34" s="1"/>
  <c r="M93" i="34"/>
  <c r="M94" i="34" s="1"/>
  <c r="H93" i="34"/>
  <c r="G93" i="34"/>
  <c r="G99" i="34" s="1"/>
  <c r="D93" i="34"/>
  <c r="J92" i="34"/>
  <c r="J94" i="34" s="1"/>
  <c r="D92" i="34"/>
  <c r="R91" i="34"/>
  <c r="R94" i="34" s="1"/>
  <c r="Q91" i="34"/>
  <c r="Q94" i="34" s="1"/>
  <c r="P91" i="34"/>
  <c r="P94" i="34" s="1"/>
  <c r="L91" i="34"/>
  <c r="L94" i="34" s="1"/>
  <c r="K91" i="34"/>
  <c r="K94" i="34" s="1"/>
  <c r="I91" i="34"/>
  <c r="I94" i="34" s="1"/>
  <c r="H91" i="34"/>
  <c r="H94" i="34" s="1"/>
  <c r="G91" i="34"/>
  <c r="G94" i="34" s="1"/>
  <c r="F91" i="34"/>
  <c r="F94" i="34" s="1"/>
  <c r="F100" i="34" s="1"/>
  <c r="E91" i="34"/>
  <c r="E94" i="34" s="1"/>
  <c r="D91" i="34"/>
  <c r="R90" i="34"/>
  <c r="Q90" i="34"/>
  <c r="P90" i="34"/>
  <c r="O90" i="34"/>
  <c r="N90" i="34"/>
  <c r="M90" i="34"/>
  <c r="L90" i="34"/>
  <c r="K90" i="34"/>
  <c r="J90" i="34"/>
  <c r="I90" i="34"/>
  <c r="H90" i="34"/>
  <c r="G90" i="34"/>
  <c r="F90" i="34"/>
  <c r="E90" i="34"/>
  <c r="Q88" i="34"/>
  <c r="Q100" i="34" s="1"/>
  <c r="P88" i="34"/>
  <c r="I88" i="34"/>
  <c r="H88" i="34"/>
  <c r="E88" i="34"/>
  <c r="O87" i="34"/>
  <c r="O88" i="34" s="1"/>
  <c r="N87" i="34"/>
  <c r="M87" i="34"/>
  <c r="H87" i="34"/>
  <c r="H99" i="34" s="1"/>
  <c r="G87" i="34"/>
  <c r="D87" i="34"/>
  <c r="T86" i="34"/>
  <c r="J86" i="34"/>
  <c r="J88" i="34" s="1"/>
  <c r="J100" i="34" s="1"/>
  <c r="D86" i="34"/>
  <c r="R85" i="34"/>
  <c r="R88" i="34" s="1"/>
  <c r="Q85" i="34"/>
  <c r="P85" i="34"/>
  <c r="P97" i="34" s="1"/>
  <c r="L85" i="34"/>
  <c r="K85" i="34"/>
  <c r="K88" i="34" s="1"/>
  <c r="I85" i="34"/>
  <c r="H85" i="34"/>
  <c r="H97" i="34" s="1"/>
  <c r="G85" i="34"/>
  <c r="G88" i="34" s="1"/>
  <c r="F85" i="34"/>
  <c r="F88" i="34" s="1"/>
  <c r="E85" i="34"/>
  <c r="D85" i="34"/>
  <c r="D97" i="34" s="1"/>
  <c r="R84" i="34"/>
  <c r="Q84" i="34"/>
  <c r="P84" i="34"/>
  <c r="O84" i="34"/>
  <c r="N84" i="34"/>
  <c r="M84" i="34"/>
  <c r="L84" i="34"/>
  <c r="K84" i="34"/>
  <c r="J84" i="34"/>
  <c r="I84" i="34"/>
  <c r="H84" i="34"/>
  <c r="G84" i="34"/>
  <c r="F84" i="34"/>
  <c r="E84" i="34"/>
  <c r="R80" i="34"/>
  <c r="Q80" i="34"/>
  <c r="P80" i="34"/>
  <c r="L80" i="34"/>
  <c r="K80" i="34"/>
  <c r="J80" i="34"/>
  <c r="I80" i="34"/>
  <c r="F80" i="34"/>
  <c r="E80" i="34"/>
  <c r="R79" i="34"/>
  <c r="Q79" i="34"/>
  <c r="P79" i="34"/>
  <c r="O79" i="34"/>
  <c r="N79" i="34"/>
  <c r="M79" i="34"/>
  <c r="L79" i="34"/>
  <c r="K79" i="34"/>
  <c r="I79" i="34"/>
  <c r="H79" i="34"/>
  <c r="G79" i="34"/>
  <c r="F79" i="34"/>
  <c r="E79" i="34"/>
  <c r="O78" i="34"/>
  <c r="N78" i="34"/>
  <c r="M78" i="34"/>
  <c r="J78" i="34"/>
  <c r="O74" i="34"/>
  <c r="O75" i="34" s="1"/>
  <c r="N74" i="34"/>
  <c r="N75" i="34" s="1"/>
  <c r="M74" i="34"/>
  <c r="H74" i="34"/>
  <c r="H113" i="34" s="1"/>
  <c r="G74" i="34"/>
  <c r="G113" i="34" s="1"/>
  <c r="D74" i="34"/>
  <c r="J73" i="34"/>
  <c r="J75" i="34" s="1"/>
  <c r="D73" i="34"/>
  <c r="D112" i="34" s="1"/>
  <c r="R72" i="34"/>
  <c r="R75" i="34" s="1"/>
  <c r="Q72" i="34"/>
  <c r="Q78" i="34" s="1"/>
  <c r="P72" i="34"/>
  <c r="P111" i="34" s="1"/>
  <c r="P114" i="34" s="1"/>
  <c r="L72" i="34"/>
  <c r="K72" i="34"/>
  <c r="K75" i="34" s="1"/>
  <c r="I72" i="34"/>
  <c r="I75" i="34" s="1"/>
  <c r="H72" i="34"/>
  <c r="H111" i="34" s="1"/>
  <c r="H114" i="34" s="1"/>
  <c r="G72" i="34"/>
  <c r="F72" i="34"/>
  <c r="E72" i="34"/>
  <c r="E75" i="34" s="1"/>
  <c r="D72" i="34"/>
  <c r="D111" i="34" s="1"/>
  <c r="R71" i="34"/>
  <c r="Q71" i="34"/>
  <c r="P71" i="34"/>
  <c r="O71" i="34"/>
  <c r="N71" i="34"/>
  <c r="M71" i="34"/>
  <c r="L71" i="34"/>
  <c r="K71" i="34"/>
  <c r="J71" i="34"/>
  <c r="I71" i="34"/>
  <c r="H71" i="34"/>
  <c r="G71" i="34"/>
  <c r="F71" i="34"/>
  <c r="E71" i="34"/>
  <c r="Q69" i="34"/>
  <c r="P69" i="34"/>
  <c r="M69" i="34"/>
  <c r="I69" i="34"/>
  <c r="H69" i="34"/>
  <c r="E69" i="34"/>
  <c r="O68" i="34"/>
  <c r="O107" i="34" s="1"/>
  <c r="N68" i="34"/>
  <c r="M68" i="34"/>
  <c r="H68" i="34"/>
  <c r="G68" i="34"/>
  <c r="G107" i="34" s="1"/>
  <c r="D68" i="34"/>
  <c r="T67" i="34"/>
  <c r="J67" i="34"/>
  <c r="J106" i="34" s="1"/>
  <c r="D67" i="34"/>
  <c r="R66" i="34"/>
  <c r="Q66" i="34"/>
  <c r="P66" i="34"/>
  <c r="L66" i="34"/>
  <c r="K66" i="34"/>
  <c r="I66" i="34"/>
  <c r="H66" i="34"/>
  <c r="G66" i="34"/>
  <c r="F66" i="34"/>
  <c r="E66" i="34"/>
  <c r="D66" i="34"/>
  <c r="AW60" i="34"/>
  <c r="AY60" i="34" s="1"/>
  <c r="AV60" i="34"/>
  <c r="AX60" i="34" s="1"/>
  <c r="AS60" i="34"/>
  <c r="AU60" i="34" s="1"/>
  <c r="AR60" i="34"/>
  <c r="AT60" i="34" s="1"/>
  <c r="AH60" i="34"/>
  <c r="L60" i="34"/>
  <c r="K60" i="34"/>
  <c r="AW59" i="34"/>
  <c r="AY59" i="34" s="1"/>
  <c r="AV59" i="34"/>
  <c r="AX59" i="34" s="1"/>
  <c r="AS59" i="34"/>
  <c r="AU59" i="34" s="1"/>
  <c r="AR59" i="34"/>
  <c r="AT59" i="34" s="1"/>
  <c r="AH59" i="34"/>
  <c r="L59" i="34"/>
  <c r="K59" i="34"/>
  <c r="AW58" i="34"/>
  <c r="AY58" i="34" s="1"/>
  <c r="AV58" i="34"/>
  <c r="AX58" i="34" s="1"/>
  <c r="AS58" i="34"/>
  <c r="AU58" i="34" s="1"/>
  <c r="AR58" i="34"/>
  <c r="AT58" i="34" s="1"/>
  <c r="AH58" i="34"/>
  <c r="L58" i="34"/>
  <c r="K58" i="34"/>
  <c r="AW57" i="34"/>
  <c r="AY57" i="34" s="1"/>
  <c r="AV57" i="34"/>
  <c r="AX57" i="34" s="1"/>
  <c r="AS57" i="34"/>
  <c r="AU57" i="34" s="1"/>
  <c r="AR57" i="34"/>
  <c r="AT57" i="34" s="1"/>
  <c r="AH57" i="34"/>
  <c r="L57" i="34"/>
  <c r="K57" i="34"/>
  <c r="AW56" i="34"/>
  <c r="AY56" i="34" s="1"/>
  <c r="AV56" i="34"/>
  <c r="AX56" i="34" s="1"/>
  <c r="AS56" i="34"/>
  <c r="AU56" i="34" s="1"/>
  <c r="AR56" i="34"/>
  <c r="AT56" i="34" s="1"/>
  <c r="AH56" i="34"/>
  <c r="L56" i="34"/>
  <c r="K56" i="34"/>
  <c r="AW55" i="34"/>
  <c r="AY55" i="34" s="1"/>
  <c r="AV55" i="34"/>
  <c r="AX55" i="34" s="1"/>
  <c r="AS55" i="34"/>
  <c r="AU55" i="34" s="1"/>
  <c r="AR55" i="34"/>
  <c r="AT55" i="34" s="1"/>
  <c r="AH55" i="34"/>
  <c r="L55" i="34"/>
  <c r="K55" i="34"/>
  <c r="AW54" i="34"/>
  <c r="AY54" i="34" s="1"/>
  <c r="AV54" i="34"/>
  <c r="AX54" i="34" s="1"/>
  <c r="AS54" i="34"/>
  <c r="AU54" i="34" s="1"/>
  <c r="AR54" i="34"/>
  <c r="AT54" i="34" s="1"/>
  <c r="AH54" i="34"/>
  <c r="L54" i="34"/>
  <c r="K54" i="34"/>
  <c r="AW53" i="34"/>
  <c r="AY53" i="34" s="1"/>
  <c r="AV53" i="34"/>
  <c r="AX53" i="34" s="1"/>
  <c r="AS53" i="34"/>
  <c r="AU53" i="34" s="1"/>
  <c r="AR53" i="34"/>
  <c r="AT53" i="34" s="1"/>
  <c r="AH53" i="34"/>
  <c r="L53" i="34"/>
  <c r="K53" i="34"/>
  <c r="AW52" i="34"/>
  <c r="AY52" i="34" s="1"/>
  <c r="AV52" i="34"/>
  <c r="AX52" i="34" s="1"/>
  <c r="AS52" i="34"/>
  <c r="AU52" i="34" s="1"/>
  <c r="AR52" i="34"/>
  <c r="AT52" i="34" s="1"/>
  <c r="AH52" i="34"/>
  <c r="L52" i="34"/>
  <c r="K52" i="34"/>
  <c r="AW51" i="34"/>
  <c r="AY51" i="34" s="1"/>
  <c r="AV51" i="34"/>
  <c r="AX51" i="34" s="1"/>
  <c r="AS51" i="34"/>
  <c r="AU51" i="34" s="1"/>
  <c r="AR51" i="34"/>
  <c r="AT51" i="34" s="1"/>
  <c r="AH51" i="34"/>
  <c r="L51" i="34"/>
  <c r="K51" i="34"/>
  <c r="AW50" i="34"/>
  <c r="AY50" i="34" s="1"/>
  <c r="AV50" i="34"/>
  <c r="AX50" i="34" s="1"/>
  <c r="AS50" i="34"/>
  <c r="AU50" i="34" s="1"/>
  <c r="AR50" i="34"/>
  <c r="AT50" i="34" s="1"/>
  <c r="AH50" i="34"/>
  <c r="L50" i="34"/>
  <c r="K50" i="34"/>
  <c r="AW49" i="34"/>
  <c r="AY49" i="34" s="1"/>
  <c r="AV49" i="34"/>
  <c r="AX49" i="34" s="1"/>
  <c r="AS49" i="34"/>
  <c r="AU49" i="34" s="1"/>
  <c r="AR49" i="34"/>
  <c r="AT49" i="34" s="1"/>
  <c r="AH49" i="34"/>
  <c r="L49" i="34"/>
  <c r="K49" i="34"/>
  <c r="AW48" i="34"/>
  <c r="AY48" i="34" s="1"/>
  <c r="AV48" i="34"/>
  <c r="AX48" i="34" s="1"/>
  <c r="AS48" i="34"/>
  <c r="AU48" i="34" s="1"/>
  <c r="AR48" i="34"/>
  <c r="AT48" i="34" s="1"/>
  <c r="AH48" i="34"/>
  <c r="L48" i="34"/>
  <c r="K48" i="34"/>
  <c r="AY47" i="34"/>
  <c r="AW47" i="34"/>
  <c r="AV47" i="34"/>
  <c r="AX47" i="34" s="1"/>
  <c r="AU47" i="34"/>
  <c r="AS47" i="34"/>
  <c r="AR47" i="34"/>
  <c r="AT47" i="34" s="1"/>
  <c r="AH47" i="34"/>
  <c r="L47" i="34"/>
  <c r="K47" i="34"/>
  <c r="AW46" i="34"/>
  <c r="AY46" i="34" s="1"/>
  <c r="AV46" i="34"/>
  <c r="AX46" i="34" s="1"/>
  <c r="AS46" i="34"/>
  <c r="AU46" i="34" s="1"/>
  <c r="AR46" i="34"/>
  <c r="AT46" i="34" s="1"/>
  <c r="AH46" i="34"/>
  <c r="L46" i="34"/>
  <c r="K46" i="34"/>
  <c r="AW45" i="34"/>
  <c r="AY45" i="34" s="1"/>
  <c r="AV45" i="34"/>
  <c r="AX45" i="34" s="1"/>
  <c r="AS45" i="34"/>
  <c r="AU45" i="34" s="1"/>
  <c r="AR45" i="34"/>
  <c r="AT45" i="34" s="1"/>
  <c r="AH45" i="34"/>
  <c r="L45" i="34"/>
  <c r="K45" i="34"/>
  <c r="AW44" i="34"/>
  <c r="AY44" i="34" s="1"/>
  <c r="AV44" i="34"/>
  <c r="AX44" i="34" s="1"/>
  <c r="AS44" i="34"/>
  <c r="AU44" i="34" s="1"/>
  <c r="AR44" i="34"/>
  <c r="AT44" i="34" s="1"/>
  <c r="AH44" i="34"/>
  <c r="L44" i="34"/>
  <c r="K44" i="34"/>
  <c r="AW43" i="34"/>
  <c r="AY43" i="34" s="1"/>
  <c r="AV43" i="34"/>
  <c r="AX43" i="34" s="1"/>
  <c r="AU43" i="34"/>
  <c r="AS43" i="34"/>
  <c r="AR43" i="34"/>
  <c r="AT43" i="34" s="1"/>
  <c r="AH43" i="34"/>
  <c r="L43" i="34"/>
  <c r="K43" i="34"/>
  <c r="AW42" i="34"/>
  <c r="AY42" i="34" s="1"/>
  <c r="AV42" i="34"/>
  <c r="AX42" i="34" s="1"/>
  <c r="AS42" i="34"/>
  <c r="AU42" i="34" s="1"/>
  <c r="AR42" i="34"/>
  <c r="AT42" i="34" s="1"/>
  <c r="AH42" i="34"/>
  <c r="L42" i="34"/>
  <c r="K42" i="34"/>
  <c r="AW41" i="34"/>
  <c r="AY41" i="34" s="1"/>
  <c r="AV41" i="34"/>
  <c r="AX41" i="34" s="1"/>
  <c r="AS41" i="34"/>
  <c r="AU41" i="34" s="1"/>
  <c r="AR41" i="34"/>
  <c r="AT41" i="34" s="1"/>
  <c r="AH41" i="34"/>
  <c r="L41" i="34"/>
  <c r="K41" i="34"/>
  <c r="AW40" i="34"/>
  <c r="AY40" i="34" s="1"/>
  <c r="AV40" i="34"/>
  <c r="AX40" i="34" s="1"/>
  <c r="AS40" i="34"/>
  <c r="AU40" i="34" s="1"/>
  <c r="AR40" i="34"/>
  <c r="AT40" i="34" s="1"/>
  <c r="AH40" i="34"/>
  <c r="L40" i="34"/>
  <c r="K40" i="34"/>
  <c r="AW39" i="34"/>
  <c r="AY39" i="34" s="1"/>
  <c r="AV39" i="34"/>
  <c r="AX39" i="34" s="1"/>
  <c r="AS39" i="34"/>
  <c r="AU39" i="34" s="1"/>
  <c r="AR39" i="34"/>
  <c r="AT39" i="34" s="1"/>
  <c r="AH39" i="34"/>
  <c r="L39" i="34"/>
  <c r="K39" i="34"/>
  <c r="AW38" i="34"/>
  <c r="AY38" i="34" s="1"/>
  <c r="AV38" i="34"/>
  <c r="AX38" i="34" s="1"/>
  <c r="AS38" i="34"/>
  <c r="AU38" i="34" s="1"/>
  <c r="AR38" i="34"/>
  <c r="AT38" i="34" s="1"/>
  <c r="AH38" i="34"/>
  <c r="L38" i="34"/>
  <c r="K38" i="34"/>
  <c r="AW37" i="34"/>
  <c r="AY37" i="34" s="1"/>
  <c r="AV37" i="34"/>
  <c r="AX37" i="34" s="1"/>
  <c r="AS37" i="34"/>
  <c r="AU37" i="34" s="1"/>
  <c r="AR37" i="34"/>
  <c r="AT37" i="34" s="1"/>
  <c r="AH37" i="34"/>
  <c r="L37" i="34"/>
  <c r="K37" i="34"/>
  <c r="AW36" i="34"/>
  <c r="AY36" i="34" s="1"/>
  <c r="AV36" i="34"/>
  <c r="AX36" i="34" s="1"/>
  <c r="AS36" i="34"/>
  <c r="AU36" i="34" s="1"/>
  <c r="AR36" i="34"/>
  <c r="AT36" i="34" s="1"/>
  <c r="AH36" i="34"/>
  <c r="L36" i="34"/>
  <c r="K36" i="34"/>
  <c r="AY35" i="34"/>
  <c r="AW35" i="34"/>
  <c r="AV35" i="34"/>
  <c r="AX35" i="34" s="1"/>
  <c r="AU35" i="34"/>
  <c r="AS35" i="34"/>
  <c r="AR35" i="34"/>
  <c r="AT35" i="34" s="1"/>
  <c r="AH35" i="34"/>
  <c r="L35" i="34"/>
  <c r="K35" i="34"/>
  <c r="AW34" i="34"/>
  <c r="AY34" i="34" s="1"/>
  <c r="AV34" i="34"/>
  <c r="AX34" i="34" s="1"/>
  <c r="AS34" i="34"/>
  <c r="AU34" i="34" s="1"/>
  <c r="AR34" i="34"/>
  <c r="AT34" i="34" s="1"/>
  <c r="AH34" i="34"/>
  <c r="L34" i="34"/>
  <c r="K34" i="34"/>
  <c r="AW33" i="34"/>
  <c r="AY33" i="34" s="1"/>
  <c r="AV33" i="34"/>
  <c r="AX33" i="34" s="1"/>
  <c r="AS33" i="34"/>
  <c r="AU33" i="34" s="1"/>
  <c r="AR33" i="34"/>
  <c r="AT33" i="34" s="1"/>
  <c r="AH33" i="34"/>
  <c r="L33" i="34"/>
  <c r="K33" i="34"/>
  <c r="AY32" i="34"/>
  <c r="AW32" i="34"/>
  <c r="AV32" i="34"/>
  <c r="AX32" i="34" s="1"/>
  <c r="AS32" i="34"/>
  <c r="AU32" i="34" s="1"/>
  <c r="AR32" i="34"/>
  <c r="AT32" i="34" s="1"/>
  <c r="AH32" i="34"/>
  <c r="L32" i="34"/>
  <c r="K32" i="34"/>
  <c r="AY31" i="34"/>
  <c r="AW31" i="34"/>
  <c r="AV31" i="34"/>
  <c r="AX31" i="34" s="1"/>
  <c r="AS31" i="34"/>
  <c r="AU31" i="34" s="1"/>
  <c r="AR31" i="34"/>
  <c r="AT31" i="34" s="1"/>
  <c r="AH31" i="34"/>
  <c r="L31" i="34"/>
  <c r="K31" i="34"/>
  <c r="AW30" i="34"/>
  <c r="AY30" i="34" s="1"/>
  <c r="AV30" i="34"/>
  <c r="AX30" i="34" s="1"/>
  <c r="AS30" i="34"/>
  <c r="AU30" i="34" s="1"/>
  <c r="AR30" i="34"/>
  <c r="AT30" i="34" s="1"/>
  <c r="AH30" i="34"/>
  <c r="L30" i="34"/>
  <c r="K30" i="34"/>
  <c r="AW29" i="34"/>
  <c r="AY29" i="34" s="1"/>
  <c r="AV29" i="34"/>
  <c r="AX29" i="34" s="1"/>
  <c r="AS29" i="34"/>
  <c r="AU29" i="34" s="1"/>
  <c r="AR29" i="34"/>
  <c r="AT29" i="34" s="1"/>
  <c r="AH29" i="34"/>
  <c r="L29" i="34"/>
  <c r="K29" i="34"/>
  <c r="AW28" i="34"/>
  <c r="AY28" i="34" s="1"/>
  <c r="AV28" i="34"/>
  <c r="AX28" i="34" s="1"/>
  <c r="AS28" i="34"/>
  <c r="AU28" i="34" s="1"/>
  <c r="AR28" i="34"/>
  <c r="AT28" i="34" s="1"/>
  <c r="AH28" i="34"/>
  <c r="L28" i="34"/>
  <c r="K28" i="34"/>
  <c r="AW27" i="34"/>
  <c r="AY27" i="34" s="1"/>
  <c r="AV27" i="34"/>
  <c r="AX27" i="34" s="1"/>
  <c r="AT27" i="34"/>
  <c r="AS27" i="34"/>
  <c r="AU27" i="34" s="1"/>
  <c r="AR27" i="34"/>
  <c r="AH27" i="34"/>
  <c r="L27" i="34"/>
  <c r="K27" i="34"/>
  <c r="AW26" i="34"/>
  <c r="AY26" i="34" s="1"/>
  <c r="AV26" i="34"/>
  <c r="AX26" i="34" s="1"/>
  <c r="AS26" i="34"/>
  <c r="AU26" i="34" s="1"/>
  <c r="AR26" i="34"/>
  <c r="AT26" i="34" s="1"/>
  <c r="AH26" i="34"/>
  <c r="L26" i="34"/>
  <c r="K26" i="34"/>
  <c r="AW25" i="34"/>
  <c r="AY25" i="34" s="1"/>
  <c r="AV25" i="34"/>
  <c r="AX25" i="34" s="1"/>
  <c r="AS25" i="34"/>
  <c r="AU25" i="34" s="1"/>
  <c r="AR25" i="34"/>
  <c r="AT25" i="34" s="1"/>
  <c r="AH25" i="34"/>
  <c r="L25" i="34"/>
  <c r="K25" i="34"/>
  <c r="AW24" i="34"/>
  <c r="AY24" i="34" s="1"/>
  <c r="AV24" i="34"/>
  <c r="AX24" i="34" s="1"/>
  <c r="AS24" i="34"/>
  <c r="AU24" i="34" s="1"/>
  <c r="AR24" i="34"/>
  <c r="AT24" i="34" s="1"/>
  <c r="AH24" i="34"/>
  <c r="L24" i="34"/>
  <c r="K24" i="34"/>
  <c r="AW23" i="34"/>
  <c r="AY23" i="34" s="1"/>
  <c r="AV23" i="34"/>
  <c r="AX23" i="34" s="1"/>
  <c r="AS23" i="34"/>
  <c r="AU23" i="34" s="1"/>
  <c r="AR23" i="34"/>
  <c r="AT23" i="34" s="1"/>
  <c r="AH23" i="34"/>
  <c r="L23" i="34"/>
  <c r="K23" i="34"/>
  <c r="AW22" i="34"/>
  <c r="AY22" i="34" s="1"/>
  <c r="AV22" i="34"/>
  <c r="AX22" i="34" s="1"/>
  <c r="AS22" i="34"/>
  <c r="AU22" i="34" s="1"/>
  <c r="AR22" i="34"/>
  <c r="AT22" i="34" s="1"/>
  <c r="AH22" i="34"/>
  <c r="L22" i="34"/>
  <c r="K22" i="34"/>
  <c r="AW21" i="34"/>
  <c r="AY21" i="34" s="1"/>
  <c r="AV21" i="34"/>
  <c r="AX21" i="34" s="1"/>
  <c r="AS21" i="34"/>
  <c r="AU21" i="34" s="1"/>
  <c r="AR21" i="34"/>
  <c r="AT21" i="34" s="1"/>
  <c r="AH21" i="34"/>
  <c r="L21" i="34"/>
  <c r="K21" i="34"/>
  <c r="AW20" i="34"/>
  <c r="AY20" i="34" s="1"/>
  <c r="AV20" i="34"/>
  <c r="AX20" i="34" s="1"/>
  <c r="AS20" i="34"/>
  <c r="AU20" i="34" s="1"/>
  <c r="AR20" i="34"/>
  <c r="AT20" i="34" s="1"/>
  <c r="AH20" i="34"/>
  <c r="L20" i="34"/>
  <c r="K20" i="34"/>
  <c r="AW19" i="34"/>
  <c r="AY19" i="34" s="1"/>
  <c r="AV19" i="34"/>
  <c r="AX19" i="34" s="1"/>
  <c r="AS19" i="34"/>
  <c r="AU19" i="34" s="1"/>
  <c r="AR19" i="34"/>
  <c r="AT19" i="34" s="1"/>
  <c r="AH19" i="34"/>
  <c r="L19" i="34"/>
  <c r="K19" i="34"/>
  <c r="AW18" i="34"/>
  <c r="AY18" i="34" s="1"/>
  <c r="AV18" i="34"/>
  <c r="AX18" i="34" s="1"/>
  <c r="AS18" i="34"/>
  <c r="AU18" i="34" s="1"/>
  <c r="AR18" i="34"/>
  <c r="AT18" i="34" s="1"/>
  <c r="AH18" i="34"/>
  <c r="L18" i="34"/>
  <c r="K18" i="34"/>
  <c r="AW17" i="34"/>
  <c r="AY17" i="34" s="1"/>
  <c r="AV17" i="34"/>
  <c r="AX17" i="34" s="1"/>
  <c r="AS17" i="34"/>
  <c r="AU17" i="34" s="1"/>
  <c r="AR17" i="34"/>
  <c r="AT17" i="34" s="1"/>
  <c r="AH17" i="34"/>
  <c r="L17" i="34"/>
  <c r="K17" i="34"/>
  <c r="AW16" i="34"/>
  <c r="AY16" i="34" s="1"/>
  <c r="AV16" i="34"/>
  <c r="AX16" i="34" s="1"/>
  <c r="AS16" i="34"/>
  <c r="AU16" i="34" s="1"/>
  <c r="AR16" i="34"/>
  <c r="AT16" i="34" s="1"/>
  <c r="AH16" i="34"/>
  <c r="L16" i="34"/>
  <c r="K16" i="34"/>
  <c r="AW15" i="34"/>
  <c r="AY15" i="34" s="1"/>
  <c r="AV15" i="34"/>
  <c r="AX15" i="34" s="1"/>
  <c r="AS15" i="34"/>
  <c r="AU15" i="34" s="1"/>
  <c r="AR15" i="34"/>
  <c r="AT15" i="34" s="1"/>
  <c r="AH15" i="34"/>
  <c r="L15" i="34"/>
  <c r="K15" i="34"/>
  <c r="AW14" i="34"/>
  <c r="AY14" i="34" s="1"/>
  <c r="AV14" i="34"/>
  <c r="AX14" i="34" s="1"/>
  <c r="AS14" i="34"/>
  <c r="AU14" i="34" s="1"/>
  <c r="AR14" i="34"/>
  <c r="AT14" i="34" s="1"/>
  <c r="AH14" i="34"/>
  <c r="L14" i="34"/>
  <c r="K14" i="34"/>
  <c r="AW13" i="34"/>
  <c r="AY13" i="34" s="1"/>
  <c r="AV13" i="34"/>
  <c r="AX13" i="34" s="1"/>
  <c r="AS13" i="34"/>
  <c r="AU13" i="34" s="1"/>
  <c r="AR13" i="34"/>
  <c r="AT13" i="34" s="1"/>
  <c r="AH13" i="34"/>
  <c r="L13" i="34"/>
  <c r="K13" i="34"/>
  <c r="AW12" i="34"/>
  <c r="AY12" i="34" s="1"/>
  <c r="AV12" i="34"/>
  <c r="AX12" i="34" s="1"/>
  <c r="AS12" i="34"/>
  <c r="AU12" i="34" s="1"/>
  <c r="AR12" i="34"/>
  <c r="AT12" i="34" s="1"/>
  <c r="AH12" i="34"/>
  <c r="L12" i="34"/>
  <c r="K12" i="34"/>
  <c r="AW11" i="34"/>
  <c r="AY11" i="34" s="1"/>
  <c r="AV11" i="34"/>
  <c r="AX11" i="34" s="1"/>
  <c r="AU11" i="34"/>
  <c r="AS11" i="34"/>
  <c r="AR11" i="34"/>
  <c r="AT11" i="34" s="1"/>
  <c r="AH11" i="34"/>
  <c r="L11" i="34"/>
  <c r="K11" i="34"/>
  <c r="AW10" i="34"/>
  <c r="AY10" i="34" s="1"/>
  <c r="AV10" i="34"/>
  <c r="AX10" i="34" s="1"/>
  <c r="AS10" i="34"/>
  <c r="AU10" i="34" s="1"/>
  <c r="AR10" i="34"/>
  <c r="AT10" i="34" s="1"/>
  <c r="AH10" i="34"/>
  <c r="L10" i="34"/>
  <c r="K10" i="34"/>
  <c r="AW9" i="34"/>
  <c r="AY9" i="34" s="1"/>
  <c r="AV9" i="34"/>
  <c r="AX9" i="34" s="1"/>
  <c r="AS9" i="34"/>
  <c r="AU9" i="34" s="1"/>
  <c r="AR9" i="34"/>
  <c r="AT9" i="34" s="1"/>
  <c r="AH9" i="34"/>
  <c r="L9" i="34"/>
  <c r="K9" i="34"/>
  <c r="AW8" i="34"/>
  <c r="AY8" i="34" s="1"/>
  <c r="AV8" i="34"/>
  <c r="AX8" i="34" s="1"/>
  <c r="AS8" i="34"/>
  <c r="AU8" i="34" s="1"/>
  <c r="AR8" i="34"/>
  <c r="AT8" i="34" s="1"/>
  <c r="AH8" i="34"/>
  <c r="L8" i="34"/>
  <c r="K8" i="34"/>
  <c r="AY7" i="34"/>
  <c r="AW7" i="34"/>
  <c r="AV7" i="34"/>
  <c r="AX7" i="34" s="1"/>
  <c r="AS7" i="34"/>
  <c r="AU7" i="34" s="1"/>
  <c r="AR7" i="34"/>
  <c r="AT7" i="34" s="1"/>
  <c r="AH7" i="34"/>
  <c r="L7" i="34"/>
  <c r="K7" i="34"/>
  <c r="AW6" i="34"/>
  <c r="AY6" i="34" s="1"/>
  <c r="AV6" i="34"/>
  <c r="AX6" i="34" s="1"/>
  <c r="AS6" i="34"/>
  <c r="AU6" i="34" s="1"/>
  <c r="AR6" i="34"/>
  <c r="AT6" i="34" s="1"/>
  <c r="AH6" i="34"/>
  <c r="L6" i="34"/>
  <c r="K6" i="34"/>
  <c r="AW5" i="34"/>
  <c r="AY5" i="34" s="1"/>
  <c r="AV5" i="34"/>
  <c r="AX5" i="34" s="1"/>
  <c r="AS5" i="34"/>
  <c r="AU5" i="34" s="1"/>
  <c r="AR5" i="34"/>
  <c r="AT5" i="34" s="1"/>
  <c r="AH5" i="34"/>
  <c r="L5" i="34"/>
  <c r="K5" i="34"/>
  <c r="AW4" i="34"/>
  <c r="AY4" i="34" s="1"/>
  <c r="AV4" i="34"/>
  <c r="AX4" i="34" s="1"/>
  <c r="AS4" i="34"/>
  <c r="AU4" i="34" s="1"/>
  <c r="AR4" i="34"/>
  <c r="AT4" i="34" s="1"/>
  <c r="AH4" i="34"/>
  <c r="L4" i="34"/>
  <c r="K4" i="34"/>
  <c r="AW3" i="34"/>
  <c r="AY3" i="34" s="1"/>
  <c r="AV3" i="34"/>
  <c r="AX3" i="34" s="1"/>
  <c r="AS3" i="34"/>
  <c r="AU3" i="34" s="1"/>
  <c r="AR3" i="34"/>
  <c r="AT3" i="34" s="1"/>
  <c r="AH3" i="34"/>
  <c r="L3" i="34"/>
  <c r="K3" i="34"/>
  <c r="L119" i="33"/>
  <c r="E118" i="33"/>
  <c r="R116" i="33"/>
  <c r="Q116" i="33"/>
  <c r="P116" i="33"/>
  <c r="O116" i="33"/>
  <c r="N116" i="33"/>
  <c r="M116" i="33"/>
  <c r="L116" i="33"/>
  <c r="K116" i="33"/>
  <c r="J116" i="33"/>
  <c r="I116" i="33"/>
  <c r="H116" i="33"/>
  <c r="G116" i="33"/>
  <c r="F116" i="33"/>
  <c r="E116" i="33"/>
  <c r="R113" i="33"/>
  <c r="Q113" i="33"/>
  <c r="P113" i="33"/>
  <c r="L113" i="33"/>
  <c r="K113" i="33"/>
  <c r="J113" i="33"/>
  <c r="I113" i="33"/>
  <c r="F113" i="33"/>
  <c r="E113" i="33"/>
  <c r="R112" i="33"/>
  <c r="Q112" i="33"/>
  <c r="P112" i="33"/>
  <c r="O112" i="33"/>
  <c r="N112" i="33"/>
  <c r="M112" i="33"/>
  <c r="L112" i="33"/>
  <c r="K112" i="33"/>
  <c r="I112" i="33"/>
  <c r="H112" i="33"/>
  <c r="G112" i="33"/>
  <c r="F112" i="33"/>
  <c r="E112" i="33"/>
  <c r="O111" i="33"/>
  <c r="N111" i="33"/>
  <c r="M111" i="33"/>
  <c r="J111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R107" i="33"/>
  <c r="Q107" i="33"/>
  <c r="Q119" i="33" s="1"/>
  <c r="P107" i="33"/>
  <c r="P119" i="33" s="1"/>
  <c r="L107" i="33"/>
  <c r="K107" i="33"/>
  <c r="K119" i="33" s="1"/>
  <c r="J107" i="33"/>
  <c r="J119" i="33" s="1"/>
  <c r="I107" i="33"/>
  <c r="I119" i="33" s="1"/>
  <c r="H107" i="33"/>
  <c r="F107" i="33"/>
  <c r="F119" i="33" s="1"/>
  <c r="E107" i="33"/>
  <c r="R106" i="33"/>
  <c r="R118" i="33" s="1"/>
  <c r="Q106" i="33"/>
  <c r="Q118" i="33" s="1"/>
  <c r="P106" i="33"/>
  <c r="P118" i="33" s="1"/>
  <c r="O106" i="33"/>
  <c r="N106" i="33"/>
  <c r="N118" i="33" s="1"/>
  <c r="M106" i="33"/>
  <c r="M118" i="33" s="1"/>
  <c r="L106" i="33"/>
  <c r="L118" i="33" s="1"/>
  <c r="K106" i="33"/>
  <c r="I106" i="33"/>
  <c r="I118" i="33" s="1"/>
  <c r="H106" i="33"/>
  <c r="H118" i="33" s="1"/>
  <c r="G106" i="33"/>
  <c r="G118" i="33" s="1"/>
  <c r="F106" i="33"/>
  <c r="F118" i="33" s="1"/>
  <c r="E106" i="33"/>
  <c r="D106" i="33"/>
  <c r="Q105" i="33"/>
  <c r="P105" i="33"/>
  <c r="O105" i="33"/>
  <c r="O117" i="33" s="1"/>
  <c r="N105" i="33"/>
  <c r="N117" i="33" s="1"/>
  <c r="M105" i="33"/>
  <c r="M117" i="33" s="1"/>
  <c r="J105" i="33"/>
  <c r="I105" i="33"/>
  <c r="H105" i="33"/>
  <c r="E105" i="33"/>
  <c r="D105" i="33"/>
  <c r="R104" i="33"/>
  <c r="Q104" i="33"/>
  <c r="P104" i="33"/>
  <c r="O104" i="33"/>
  <c r="N104" i="33"/>
  <c r="M104" i="33"/>
  <c r="L104" i="33"/>
  <c r="K104" i="33"/>
  <c r="J104" i="33"/>
  <c r="I104" i="33"/>
  <c r="H104" i="33"/>
  <c r="G104" i="33"/>
  <c r="F104" i="33"/>
  <c r="E104" i="33"/>
  <c r="R99" i="33"/>
  <c r="Q99" i="33"/>
  <c r="P99" i="33"/>
  <c r="L99" i="33"/>
  <c r="K99" i="33"/>
  <c r="J99" i="33"/>
  <c r="I99" i="33"/>
  <c r="F99" i="33"/>
  <c r="E99" i="33"/>
  <c r="R98" i="33"/>
  <c r="Q98" i="33"/>
  <c r="P98" i="33"/>
  <c r="O98" i="33"/>
  <c r="N98" i="33"/>
  <c r="M98" i="33"/>
  <c r="L98" i="33"/>
  <c r="K98" i="33"/>
  <c r="I98" i="33"/>
  <c r="H98" i="33"/>
  <c r="G98" i="33"/>
  <c r="F98" i="33"/>
  <c r="E98" i="33"/>
  <c r="O97" i="33"/>
  <c r="N97" i="33"/>
  <c r="M97" i="33"/>
  <c r="J97" i="33"/>
  <c r="R96" i="33"/>
  <c r="Q96" i="33"/>
  <c r="P96" i="33"/>
  <c r="O96" i="33"/>
  <c r="N96" i="33"/>
  <c r="M96" i="33"/>
  <c r="L96" i="33"/>
  <c r="K96" i="33"/>
  <c r="J96" i="33"/>
  <c r="I96" i="33"/>
  <c r="H96" i="33"/>
  <c r="G96" i="33"/>
  <c r="F96" i="33"/>
  <c r="E96" i="33"/>
  <c r="O93" i="33"/>
  <c r="N93" i="33"/>
  <c r="N94" i="33" s="1"/>
  <c r="M93" i="33"/>
  <c r="M94" i="33" s="1"/>
  <c r="H93" i="33"/>
  <c r="G93" i="33"/>
  <c r="D93" i="33"/>
  <c r="J92" i="33"/>
  <c r="J94" i="33" s="1"/>
  <c r="D92" i="33"/>
  <c r="R91" i="33"/>
  <c r="R94" i="33" s="1"/>
  <c r="Q91" i="33"/>
  <c r="Q94" i="33" s="1"/>
  <c r="P91" i="33"/>
  <c r="P94" i="33" s="1"/>
  <c r="L91" i="33"/>
  <c r="L94" i="33" s="1"/>
  <c r="K91" i="33"/>
  <c r="K94" i="33" s="1"/>
  <c r="I91" i="33"/>
  <c r="I94" i="33" s="1"/>
  <c r="H91" i="33"/>
  <c r="H94" i="33" s="1"/>
  <c r="G91" i="33"/>
  <c r="F91" i="33"/>
  <c r="F94" i="33" s="1"/>
  <c r="F100" i="33" s="1"/>
  <c r="E91" i="33"/>
  <c r="E94" i="33" s="1"/>
  <c r="D91" i="33"/>
  <c r="R90" i="33"/>
  <c r="Q90" i="33"/>
  <c r="P90" i="33"/>
  <c r="O90" i="33"/>
  <c r="N90" i="33"/>
  <c r="M90" i="33"/>
  <c r="L90" i="33"/>
  <c r="K90" i="33"/>
  <c r="J90" i="33"/>
  <c r="I90" i="33"/>
  <c r="H90" i="33"/>
  <c r="G90" i="33"/>
  <c r="F90" i="33"/>
  <c r="E90" i="33"/>
  <c r="Q88" i="33"/>
  <c r="Q100" i="33" s="1"/>
  <c r="P88" i="33"/>
  <c r="I88" i="33"/>
  <c r="H88" i="33"/>
  <c r="E88" i="33"/>
  <c r="O87" i="33"/>
  <c r="O88" i="33" s="1"/>
  <c r="N87" i="33"/>
  <c r="M87" i="33"/>
  <c r="H87" i="33"/>
  <c r="G87" i="33"/>
  <c r="D87" i="33"/>
  <c r="T86" i="33"/>
  <c r="J86" i="33"/>
  <c r="J88" i="33" s="1"/>
  <c r="D86" i="33"/>
  <c r="R85" i="33"/>
  <c r="R88" i="33" s="1"/>
  <c r="Q85" i="33"/>
  <c r="P85" i="33"/>
  <c r="L85" i="33"/>
  <c r="K85" i="33"/>
  <c r="K88" i="33" s="1"/>
  <c r="I85" i="33"/>
  <c r="H85" i="33"/>
  <c r="G85" i="33"/>
  <c r="G88" i="33" s="1"/>
  <c r="F85" i="33"/>
  <c r="F88" i="33" s="1"/>
  <c r="E85" i="33"/>
  <c r="D85" i="33"/>
  <c r="R84" i="33"/>
  <c r="Q84" i="33"/>
  <c r="P84" i="33"/>
  <c r="O84" i="33"/>
  <c r="N84" i="33"/>
  <c r="M84" i="33"/>
  <c r="L84" i="33"/>
  <c r="K84" i="33"/>
  <c r="J84" i="33"/>
  <c r="I84" i="33"/>
  <c r="H84" i="33"/>
  <c r="G84" i="33"/>
  <c r="F84" i="33"/>
  <c r="E84" i="33"/>
  <c r="R80" i="33"/>
  <c r="Q80" i="33"/>
  <c r="P80" i="33"/>
  <c r="L80" i="33"/>
  <c r="K80" i="33"/>
  <c r="J80" i="33"/>
  <c r="I80" i="33"/>
  <c r="F80" i="33"/>
  <c r="E80" i="33"/>
  <c r="R79" i="33"/>
  <c r="Q79" i="33"/>
  <c r="P79" i="33"/>
  <c r="O79" i="33"/>
  <c r="N79" i="33"/>
  <c r="M79" i="33"/>
  <c r="L79" i="33"/>
  <c r="K79" i="33"/>
  <c r="I79" i="33"/>
  <c r="H79" i="33"/>
  <c r="G79" i="33"/>
  <c r="F79" i="33"/>
  <c r="E79" i="33"/>
  <c r="O78" i="33"/>
  <c r="N78" i="33"/>
  <c r="M78" i="33"/>
  <c r="J78" i="33"/>
  <c r="O74" i="33"/>
  <c r="O75" i="33" s="1"/>
  <c r="N74" i="33"/>
  <c r="N75" i="33" s="1"/>
  <c r="M74" i="33"/>
  <c r="M113" i="33" s="1"/>
  <c r="H74" i="33"/>
  <c r="G74" i="33"/>
  <c r="G113" i="33" s="1"/>
  <c r="D74" i="33"/>
  <c r="J73" i="33"/>
  <c r="J75" i="33" s="1"/>
  <c r="D73" i="33"/>
  <c r="R72" i="33"/>
  <c r="R75" i="33" s="1"/>
  <c r="Q72" i="33"/>
  <c r="Q111" i="33" s="1"/>
  <c r="Q114" i="33" s="1"/>
  <c r="P72" i="33"/>
  <c r="P78" i="33" s="1"/>
  <c r="L72" i="33"/>
  <c r="K72" i="33"/>
  <c r="K75" i="33" s="1"/>
  <c r="I72" i="33"/>
  <c r="I111" i="33" s="1"/>
  <c r="I114" i="33" s="1"/>
  <c r="H72" i="33"/>
  <c r="G72" i="33"/>
  <c r="F72" i="33"/>
  <c r="F75" i="33" s="1"/>
  <c r="E72" i="33"/>
  <c r="E111" i="33" s="1"/>
  <c r="E114" i="33" s="1"/>
  <c r="D72" i="33"/>
  <c r="D111" i="33" s="1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Q69" i="33"/>
  <c r="P69" i="33"/>
  <c r="M69" i="33"/>
  <c r="I69" i="33"/>
  <c r="H69" i="33"/>
  <c r="E69" i="33"/>
  <c r="O68" i="33"/>
  <c r="O107" i="33" s="1"/>
  <c r="N68" i="33"/>
  <c r="M68" i="33"/>
  <c r="H68" i="33"/>
  <c r="G68" i="33"/>
  <c r="G107" i="33" s="1"/>
  <c r="D68" i="33"/>
  <c r="T67" i="33"/>
  <c r="J67" i="33"/>
  <c r="J106" i="33" s="1"/>
  <c r="D67" i="33"/>
  <c r="R66" i="33"/>
  <c r="Q66" i="33"/>
  <c r="P66" i="33"/>
  <c r="L66" i="33"/>
  <c r="K66" i="33"/>
  <c r="I66" i="33"/>
  <c r="H66" i="33"/>
  <c r="G66" i="33"/>
  <c r="F66" i="33"/>
  <c r="E66" i="33"/>
  <c r="D66" i="33"/>
  <c r="AW60" i="33"/>
  <c r="AY60" i="33" s="1"/>
  <c r="AV60" i="33"/>
  <c r="AX60" i="33" s="1"/>
  <c r="AS60" i="33"/>
  <c r="AU60" i="33" s="1"/>
  <c r="AR60" i="33"/>
  <c r="AT60" i="33" s="1"/>
  <c r="AH60" i="33"/>
  <c r="L60" i="33"/>
  <c r="K60" i="33"/>
  <c r="AW59" i="33"/>
  <c r="AY59" i="33" s="1"/>
  <c r="AV59" i="33"/>
  <c r="AX59" i="33" s="1"/>
  <c r="AS59" i="33"/>
  <c r="AU59" i="33" s="1"/>
  <c r="AR59" i="33"/>
  <c r="AT59" i="33" s="1"/>
  <c r="AH59" i="33"/>
  <c r="L59" i="33"/>
  <c r="K59" i="33"/>
  <c r="AW58" i="33"/>
  <c r="AY58" i="33" s="1"/>
  <c r="AV58" i="33"/>
  <c r="AX58" i="33" s="1"/>
  <c r="AS58" i="33"/>
  <c r="AU58" i="33" s="1"/>
  <c r="AR58" i="33"/>
  <c r="AT58" i="33" s="1"/>
  <c r="AH58" i="33"/>
  <c r="L58" i="33"/>
  <c r="K58" i="33"/>
  <c r="AW57" i="33"/>
  <c r="AY57" i="33" s="1"/>
  <c r="AV57" i="33"/>
  <c r="AX57" i="33" s="1"/>
  <c r="AS57" i="33"/>
  <c r="AU57" i="33" s="1"/>
  <c r="AR57" i="33"/>
  <c r="AT57" i="33" s="1"/>
  <c r="AH57" i="33"/>
  <c r="L57" i="33"/>
  <c r="K57" i="33"/>
  <c r="AW56" i="33"/>
  <c r="AY56" i="33" s="1"/>
  <c r="AV56" i="33"/>
  <c r="AX56" i="33" s="1"/>
  <c r="AS56" i="33"/>
  <c r="AU56" i="33" s="1"/>
  <c r="AR56" i="33"/>
  <c r="AT56" i="33" s="1"/>
  <c r="AH56" i="33"/>
  <c r="L56" i="33"/>
  <c r="K56" i="33"/>
  <c r="AW55" i="33"/>
  <c r="AY55" i="33" s="1"/>
  <c r="AV55" i="33"/>
  <c r="AX55" i="33" s="1"/>
  <c r="AS55" i="33"/>
  <c r="AU55" i="33" s="1"/>
  <c r="AR55" i="33"/>
  <c r="AT55" i="33" s="1"/>
  <c r="AH55" i="33"/>
  <c r="L55" i="33"/>
  <c r="K55" i="33"/>
  <c r="AW54" i="33"/>
  <c r="AY54" i="33" s="1"/>
  <c r="AV54" i="33"/>
  <c r="AX54" i="33" s="1"/>
  <c r="AS54" i="33"/>
  <c r="AU54" i="33" s="1"/>
  <c r="AR54" i="33"/>
  <c r="AT54" i="33" s="1"/>
  <c r="AH54" i="33"/>
  <c r="L54" i="33"/>
  <c r="K54" i="33"/>
  <c r="AW53" i="33"/>
  <c r="AY53" i="33" s="1"/>
  <c r="AV53" i="33"/>
  <c r="AX53" i="33" s="1"/>
  <c r="AU53" i="33"/>
  <c r="AS53" i="33"/>
  <c r="AR53" i="33"/>
  <c r="AT53" i="33" s="1"/>
  <c r="AH53" i="33"/>
  <c r="L53" i="33"/>
  <c r="K53" i="33"/>
  <c r="AW52" i="33"/>
  <c r="AY52" i="33" s="1"/>
  <c r="AV52" i="33"/>
  <c r="AX52" i="33" s="1"/>
  <c r="AS52" i="33"/>
  <c r="AU52" i="33" s="1"/>
  <c r="AR52" i="33"/>
  <c r="AT52" i="33" s="1"/>
  <c r="AH52" i="33"/>
  <c r="L52" i="33"/>
  <c r="K52" i="33"/>
  <c r="AW51" i="33"/>
  <c r="AY51" i="33" s="1"/>
  <c r="AV51" i="33"/>
  <c r="AX51" i="33" s="1"/>
  <c r="AS51" i="33"/>
  <c r="AU51" i="33" s="1"/>
  <c r="AR51" i="33"/>
  <c r="AT51" i="33" s="1"/>
  <c r="AH51" i="33"/>
  <c r="L51" i="33"/>
  <c r="K51" i="33"/>
  <c r="AW50" i="33"/>
  <c r="AY50" i="33" s="1"/>
  <c r="AV50" i="33"/>
  <c r="AX50" i="33" s="1"/>
  <c r="AS50" i="33"/>
  <c r="AU50" i="33" s="1"/>
  <c r="AR50" i="33"/>
  <c r="AT50" i="33" s="1"/>
  <c r="AH50" i="33"/>
  <c r="L50" i="33"/>
  <c r="K50" i="33"/>
  <c r="AW49" i="33"/>
  <c r="AY49" i="33" s="1"/>
  <c r="AV49" i="33"/>
  <c r="AX49" i="33" s="1"/>
  <c r="AS49" i="33"/>
  <c r="AU49" i="33" s="1"/>
  <c r="AR49" i="33"/>
  <c r="AT49" i="33" s="1"/>
  <c r="AH49" i="33"/>
  <c r="L49" i="33"/>
  <c r="K49" i="33"/>
  <c r="AW48" i="33"/>
  <c r="AY48" i="33" s="1"/>
  <c r="AV48" i="33"/>
  <c r="AX48" i="33" s="1"/>
  <c r="AU48" i="33"/>
  <c r="AS48" i="33"/>
  <c r="AR48" i="33"/>
  <c r="AT48" i="33" s="1"/>
  <c r="AH48" i="33"/>
  <c r="L48" i="33"/>
  <c r="K48" i="33"/>
  <c r="AW47" i="33"/>
  <c r="AY47" i="33" s="1"/>
  <c r="AV47" i="33"/>
  <c r="AX47" i="33" s="1"/>
  <c r="AS47" i="33"/>
  <c r="AU47" i="33" s="1"/>
  <c r="AR47" i="33"/>
  <c r="AT47" i="33" s="1"/>
  <c r="AH47" i="33"/>
  <c r="L47" i="33"/>
  <c r="K47" i="33"/>
  <c r="AW46" i="33"/>
  <c r="AY46" i="33" s="1"/>
  <c r="AV46" i="33"/>
  <c r="AX46" i="33" s="1"/>
  <c r="AS46" i="33"/>
  <c r="AU46" i="33" s="1"/>
  <c r="AR46" i="33"/>
  <c r="AT46" i="33" s="1"/>
  <c r="AH46" i="33"/>
  <c r="L46" i="33"/>
  <c r="K46" i="33"/>
  <c r="AW45" i="33"/>
  <c r="AY45" i="33" s="1"/>
  <c r="AV45" i="33"/>
  <c r="AX45" i="33" s="1"/>
  <c r="AS45" i="33"/>
  <c r="AU45" i="33" s="1"/>
  <c r="AR45" i="33"/>
  <c r="AT45" i="33" s="1"/>
  <c r="AH45" i="33"/>
  <c r="L45" i="33"/>
  <c r="K45" i="33"/>
  <c r="AW44" i="33"/>
  <c r="AY44" i="33" s="1"/>
  <c r="AV44" i="33"/>
  <c r="AX44" i="33" s="1"/>
  <c r="AS44" i="33"/>
  <c r="AU44" i="33" s="1"/>
  <c r="AR44" i="33"/>
  <c r="AT44" i="33" s="1"/>
  <c r="AH44" i="33"/>
  <c r="L44" i="33"/>
  <c r="K44" i="33"/>
  <c r="AW43" i="33"/>
  <c r="AY43" i="33" s="1"/>
  <c r="AV43" i="33"/>
  <c r="AX43" i="33" s="1"/>
  <c r="AS43" i="33"/>
  <c r="AU43" i="33" s="1"/>
  <c r="AR43" i="33"/>
  <c r="AT43" i="33" s="1"/>
  <c r="AH43" i="33"/>
  <c r="L43" i="33"/>
  <c r="K43" i="33"/>
  <c r="AW42" i="33"/>
  <c r="AY42" i="33" s="1"/>
  <c r="AV42" i="33"/>
  <c r="AX42" i="33" s="1"/>
  <c r="AS42" i="33"/>
  <c r="AU42" i="33" s="1"/>
  <c r="AR42" i="33"/>
  <c r="AT42" i="33" s="1"/>
  <c r="AH42" i="33"/>
  <c r="L42" i="33"/>
  <c r="K42" i="33"/>
  <c r="AW41" i="33"/>
  <c r="AY41" i="33" s="1"/>
  <c r="AV41" i="33"/>
  <c r="AX41" i="33" s="1"/>
  <c r="AS41" i="33"/>
  <c r="AU41" i="33" s="1"/>
  <c r="AR41" i="33"/>
  <c r="AT41" i="33" s="1"/>
  <c r="AH41" i="33"/>
  <c r="L41" i="33"/>
  <c r="K41" i="33"/>
  <c r="AW40" i="33"/>
  <c r="AY40" i="33" s="1"/>
  <c r="AV40" i="33"/>
  <c r="AX40" i="33" s="1"/>
  <c r="AU40" i="33"/>
  <c r="AS40" i="33"/>
  <c r="AR40" i="33"/>
  <c r="AT40" i="33" s="1"/>
  <c r="AH40" i="33"/>
  <c r="L40" i="33"/>
  <c r="K40" i="33"/>
  <c r="AW39" i="33"/>
  <c r="AY39" i="33" s="1"/>
  <c r="AV39" i="33"/>
  <c r="AX39" i="33" s="1"/>
  <c r="AS39" i="33"/>
  <c r="AU39" i="33" s="1"/>
  <c r="AR39" i="33"/>
  <c r="AT39" i="33" s="1"/>
  <c r="AH39" i="33"/>
  <c r="L39" i="33"/>
  <c r="K39" i="33"/>
  <c r="AW38" i="33"/>
  <c r="AY38" i="33" s="1"/>
  <c r="AV38" i="33"/>
  <c r="AX38" i="33" s="1"/>
  <c r="AS38" i="33"/>
  <c r="AU38" i="33" s="1"/>
  <c r="AR38" i="33"/>
  <c r="AT38" i="33" s="1"/>
  <c r="AH38" i="33"/>
  <c r="L38" i="33"/>
  <c r="K38" i="33"/>
  <c r="AW37" i="33"/>
  <c r="AY37" i="33" s="1"/>
  <c r="AV37" i="33"/>
  <c r="AX37" i="33" s="1"/>
  <c r="AS37" i="33"/>
  <c r="AU37" i="33" s="1"/>
  <c r="AR37" i="33"/>
  <c r="AT37" i="33" s="1"/>
  <c r="AH37" i="33"/>
  <c r="L37" i="33"/>
  <c r="K37" i="33"/>
  <c r="AW36" i="33"/>
  <c r="AY36" i="33" s="1"/>
  <c r="AV36" i="33"/>
  <c r="AX36" i="33" s="1"/>
  <c r="AS36" i="33"/>
  <c r="AU36" i="33" s="1"/>
  <c r="AR36" i="33"/>
  <c r="AT36" i="33" s="1"/>
  <c r="AH36" i="33"/>
  <c r="L36" i="33"/>
  <c r="K36" i="33"/>
  <c r="AW35" i="33"/>
  <c r="AY35" i="33" s="1"/>
  <c r="AV35" i="33"/>
  <c r="AX35" i="33" s="1"/>
  <c r="AS35" i="33"/>
  <c r="AU35" i="33" s="1"/>
  <c r="AR35" i="33"/>
  <c r="AT35" i="33" s="1"/>
  <c r="AH35" i="33"/>
  <c r="L35" i="33"/>
  <c r="K35" i="33"/>
  <c r="AW34" i="33"/>
  <c r="AY34" i="33" s="1"/>
  <c r="AV34" i="33"/>
  <c r="AX34" i="33" s="1"/>
  <c r="AS34" i="33"/>
  <c r="AU34" i="33" s="1"/>
  <c r="AR34" i="33"/>
  <c r="AT34" i="33" s="1"/>
  <c r="AH34" i="33"/>
  <c r="L34" i="33"/>
  <c r="K34" i="33"/>
  <c r="AW33" i="33"/>
  <c r="AY33" i="33" s="1"/>
  <c r="AV33" i="33"/>
  <c r="AX33" i="33" s="1"/>
  <c r="AS33" i="33"/>
  <c r="AU33" i="33" s="1"/>
  <c r="AR33" i="33"/>
  <c r="AT33" i="33" s="1"/>
  <c r="AH33" i="33"/>
  <c r="L33" i="33"/>
  <c r="K33" i="33"/>
  <c r="AW32" i="33"/>
  <c r="AY32" i="33" s="1"/>
  <c r="AV32" i="33"/>
  <c r="AX32" i="33" s="1"/>
  <c r="AU32" i="33"/>
  <c r="AS32" i="33"/>
  <c r="AR32" i="33"/>
  <c r="AT32" i="33" s="1"/>
  <c r="AH32" i="33"/>
  <c r="L32" i="33"/>
  <c r="K32" i="33"/>
  <c r="AW31" i="33"/>
  <c r="AY31" i="33" s="1"/>
  <c r="AV31" i="33"/>
  <c r="AX31" i="33" s="1"/>
  <c r="AS31" i="33"/>
  <c r="AU31" i="33" s="1"/>
  <c r="AR31" i="33"/>
  <c r="AT31" i="33" s="1"/>
  <c r="AH31" i="33"/>
  <c r="L31" i="33"/>
  <c r="K31" i="33"/>
  <c r="AW30" i="33"/>
  <c r="AY30" i="33" s="1"/>
  <c r="AV30" i="33"/>
  <c r="AX30" i="33" s="1"/>
  <c r="AS30" i="33"/>
  <c r="AU30" i="33" s="1"/>
  <c r="AR30" i="33"/>
  <c r="AT30" i="33" s="1"/>
  <c r="AH30" i="33"/>
  <c r="L30" i="33"/>
  <c r="K30" i="33"/>
  <c r="AW29" i="33"/>
  <c r="AY29" i="33" s="1"/>
  <c r="AV29" i="33"/>
  <c r="AX29" i="33" s="1"/>
  <c r="AS29" i="33"/>
  <c r="AU29" i="33" s="1"/>
  <c r="AR29" i="33"/>
  <c r="AT29" i="33" s="1"/>
  <c r="AH29" i="33"/>
  <c r="L29" i="33"/>
  <c r="K29" i="33"/>
  <c r="AW28" i="33"/>
  <c r="AY28" i="33" s="1"/>
  <c r="AV28" i="33"/>
  <c r="AX28" i="33" s="1"/>
  <c r="AS28" i="33"/>
  <c r="AU28" i="33" s="1"/>
  <c r="AR28" i="33"/>
  <c r="AT28" i="33" s="1"/>
  <c r="AH28" i="33"/>
  <c r="L28" i="33"/>
  <c r="K28" i="33"/>
  <c r="AW27" i="33"/>
  <c r="AY27" i="33" s="1"/>
  <c r="AV27" i="33"/>
  <c r="AX27" i="33" s="1"/>
  <c r="AS27" i="33"/>
  <c r="AU27" i="33" s="1"/>
  <c r="AR27" i="33"/>
  <c r="AT27" i="33" s="1"/>
  <c r="AH27" i="33"/>
  <c r="L27" i="33"/>
  <c r="K27" i="33"/>
  <c r="AW26" i="33"/>
  <c r="AY26" i="33" s="1"/>
  <c r="AV26" i="33"/>
  <c r="AX26" i="33" s="1"/>
  <c r="AS26" i="33"/>
  <c r="AU26" i="33" s="1"/>
  <c r="AR26" i="33"/>
  <c r="AT26" i="33" s="1"/>
  <c r="AH26" i="33"/>
  <c r="L26" i="33"/>
  <c r="K26" i="33"/>
  <c r="AW25" i="33"/>
  <c r="AY25" i="33" s="1"/>
  <c r="AV25" i="33"/>
  <c r="AX25" i="33" s="1"/>
  <c r="AS25" i="33"/>
  <c r="AU25" i="33" s="1"/>
  <c r="AR25" i="33"/>
  <c r="AT25" i="33" s="1"/>
  <c r="AH25" i="33"/>
  <c r="L25" i="33"/>
  <c r="K25" i="33"/>
  <c r="AW24" i="33"/>
  <c r="AY24" i="33" s="1"/>
  <c r="AV24" i="33"/>
  <c r="AX24" i="33" s="1"/>
  <c r="AU24" i="33"/>
  <c r="AS24" i="33"/>
  <c r="AR24" i="33"/>
  <c r="AT24" i="33" s="1"/>
  <c r="AH24" i="33"/>
  <c r="L24" i="33"/>
  <c r="K24" i="33"/>
  <c r="AW23" i="33"/>
  <c r="AY23" i="33" s="1"/>
  <c r="AV23" i="33"/>
  <c r="AX23" i="33" s="1"/>
  <c r="AS23" i="33"/>
  <c r="AU23" i="33" s="1"/>
  <c r="AR23" i="33"/>
  <c r="AT23" i="33" s="1"/>
  <c r="AH23" i="33"/>
  <c r="L23" i="33"/>
  <c r="K23" i="33"/>
  <c r="AW22" i="33"/>
  <c r="AY22" i="33" s="1"/>
  <c r="AV22" i="33"/>
  <c r="AX22" i="33" s="1"/>
  <c r="AS22" i="33"/>
  <c r="AU22" i="33" s="1"/>
  <c r="AR22" i="33"/>
  <c r="AT22" i="33" s="1"/>
  <c r="AH22" i="33"/>
  <c r="L22" i="33"/>
  <c r="K22" i="33"/>
  <c r="AW21" i="33"/>
  <c r="AY21" i="33" s="1"/>
  <c r="AV21" i="33"/>
  <c r="AX21" i="33" s="1"/>
  <c r="AS21" i="33"/>
  <c r="AU21" i="33" s="1"/>
  <c r="AR21" i="33"/>
  <c r="AT21" i="33" s="1"/>
  <c r="AH21" i="33"/>
  <c r="L21" i="33"/>
  <c r="K21" i="33"/>
  <c r="AW20" i="33"/>
  <c r="AY20" i="33" s="1"/>
  <c r="AV20" i="33"/>
  <c r="AX20" i="33" s="1"/>
  <c r="AS20" i="33"/>
  <c r="AU20" i="33" s="1"/>
  <c r="AR20" i="33"/>
  <c r="AT20" i="33" s="1"/>
  <c r="AH20" i="33"/>
  <c r="L20" i="33"/>
  <c r="K20" i="33"/>
  <c r="AW19" i="33"/>
  <c r="AY19" i="33" s="1"/>
  <c r="AV19" i="33"/>
  <c r="AX19" i="33" s="1"/>
  <c r="AS19" i="33"/>
  <c r="AU19" i="33" s="1"/>
  <c r="AR19" i="33"/>
  <c r="AT19" i="33" s="1"/>
  <c r="AH19" i="33"/>
  <c r="L19" i="33"/>
  <c r="K19" i="33"/>
  <c r="AW18" i="33"/>
  <c r="AY18" i="33" s="1"/>
  <c r="AV18" i="33"/>
  <c r="AX18" i="33" s="1"/>
  <c r="AS18" i="33"/>
  <c r="AU18" i="33" s="1"/>
  <c r="AR18" i="33"/>
  <c r="AT18" i="33" s="1"/>
  <c r="AH18" i="33"/>
  <c r="L18" i="33"/>
  <c r="K18" i="33"/>
  <c r="AW17" i="33"/>
  <c r="AY17" i="33" s="1"/>
  <c r="AV17" i="33"/>
  <c r="AX17" i="33" s="1"/>
  <c r="AS17" i="33"/>
  <c r="AU17" i="33" s="1"/>
  <c r="AR17" i="33"/>
  <c r="AT17" i="33" s="1"/>
  <c r="AH17" i="33"/>
  <c r="L17" i="33"/>
  <c r="K17" i="33"/>
  <c r="AW16" i="33"/>
  <c r="AY16" i="33" s="1"/>
  <c r="AV16" i="33"/>
  <c r="AX16" i="33" s="1"/>
  <c r="AU16" i="33"/>
  <c r="AS16" i="33"/>
  <c r="AR16" i="33"/>
  <c r="AT16" i="33" s="1"/>
  <c r="AH16" i="33"/>
  <c r="L16" i="33"/>
  <c r="K16" i="33"/>
  <c r="AW15" i="33"/>
  <c r="AY15" i="33" s="1"/>
  <c r="AV15" i="33"/>
  <c r="AX15" i="33" s="1"/>
  <c r="AS15" i="33"/>
  <c r="AU15" i="33" s="1"/>
  <c r="AR15" i="33"/>
  <c r="AT15" i="33" s="1"/>
  <c r="AH15" i="33"/>
  <c r="L15" i="33"/>
  <c r="K15" i="33"/>
  <c r="AW14" i="33"/>
  <c r="AY14" i="33" s="1"/>
  <c r="AV14" i="33"/>
  <c r="AX14" i="33" s="1"/>
  <c r="AS14" i="33"/>
  <c r="AU14" i="33" s="1"/>
  <c r="AR14" i="33"/>
  <c r="AT14" i="33" s="1"/>
  <c r="AH14" i="33"/>
  <c r="L14" i="33"/>
  <c r="K14" i="33"/>
  <c r="AW13" i="33"/>
  <c r="AY13" i="33" s="1"/>
  <c r="AV13" i="33"/>
  <c r="AX13" i="33" s="1"/>
  <c r="AS13" i="33"/>
  <c r="AU13" i="33" s="1"/>
  <c r="AR13" i="33"/>
  <c r="AT13" i="33" s="1"/>
  <c r="AH13" i="33"/>
  <c r="L13" i="33"/>
  <c r="K13" i="33"/>
  <c r="AW12" i="33"/>
  <c r="AY12" i="33" s="1"/>
  <c r="AV12" i="33"/>
  <c r="AX12" i="33" s="1"/>
  <c r="AS12" i="33"/>
  <c r="AU12" i="33" s="1"/>
  <c r="AR12" i="33"/>
  <c r="AT12" i="33" s="1"/>
  <c r="AH12" i="33"/>
  <c r="L12" i="33"/>
  <c r="K12" i="33"/>
  <c r="AW11" i="33"/>
  <c r="AY11" i="33" s="1"/>
  <c r="AV11" i="33"/>
  <c r="AX11" i="33" s="1"/>
  <c r="AS11" i="33"/>
  <c r="AU11" i="33" s="1"/>
  <c r="AR11" i="33"/>
  <c r="AT11" i="33" s="1"/>
  <c r="AH11" i="33"/>
  <c r="L11" i="33"/>
  <c r="K11" i="33"/>
  <c r="AW10" i="33"/>
  <c r="AY10" i="33" s="1"/>
  <c r="AV10" i="33"/>
  <c r="AX10" i="33" s="1"/>
  <c r="AS10" i="33"/>
  <c r="AU10" i="33" s="1"/>
  <c r="AR10" i="33"/>
  <c r="AT10" i="33" s="1"/>
  <c r="AH10" i="33"/>
  <c r="L10" i="33"/>
  <c r="K10" i="33"/>
  <c r="AW9" i="33"/>
  <c r="AY9" i="33" s="1"/>
  <c r="AV9" i="33"/>
  <c r="AX9" i="33" s="1"/>
  <c r="AS9" i="33"/>
  <c r="AU9" i="33" s="1"/>
  <c r="AR9" i="33"/>
  <c r="AT9" i="33" s="1"/>
  <c r="AH9" i="33"/>
  <c r="L9" i="33"/>
  <c r="K9" i="33"/>
  <c r="AW8" i="33"/>
  <c r="AY8" i="33" s="1"/>
  <c r="AV8" i="33"/>
  <c r="AX8" i="33" s="1"/>
  <c r="AU8" i="33"/>
  <c r="AS8" i="33"/>
  <c r="AR8" i="33"/>
  <c r="AT8" i="33" s="1"/>
  <c r="AH8" i="33"/>
  <c r="L8" i="33"/>
  <c r="K8" i="33"/>
  <c r="AW7" i="33"/>
  <c r="AY7" i="33" s="1"/>
  <c r="AV7" i="33"/>
  <c r="AX7" i="33" s="1"/>
  <c r="AS7" i="33"/>
  <c r="AU7" i="33" s="1"/>
  <c r="AR7" i="33"/>
  <c r="AT7" i="33" s="1"/>
  <c r="AH7" i="33"/>
  <c r="L7" i="33"/>
  <c r="K7" i="33"/>
  <c r="AW6" i="33"/>
  <c r="AY6" i="33" s="1"/>
  <c r="AV6" i="33"/>
  <c r="AX6" i="33" s="1"/>
  <c r="AS6" i="33"/>
  <c r="AU6" i="33" s="1"/>
  <c r="AR6" i="33"/>
  <c r="AT6" i="33" s="1"/>
  <c r="AH6" i="33"/>
  <c r="L6" i="33"/>
  <c r="K6" i="33"/>
  <c r="AW5" i="33"/>
  <c r="AY5" i="33" s="1"/>
  <c r="AV5" i="33"/>
  <c r="AX5" i="33" s="1"/>
  <c r="AS5" i="33"/>
  <c r="AU5" i="33" s="1"/>
  <c r="AR5" i="33"/>
  <c r="AT5" i="33" s="1"/>
  <c r="AH5" i="33"/>
  <c r="L5" i="33"/>
  <c r="K5" i="33"/>
  <c r="AW4" i="33"/>
  <c r="AY4" i="33" s="1"/>
  <c r="AV4" i="33"/>
  <c r="AX4" i="33" s="1"/>
  <c r="AS4" i="33"/>
  <c r="AU4" i="33" s="1"/>
  <c r="AR4" i="33"/>
  <c r="AT4" i="33" s="1"/>
  <c r="AH4" i="33"/>
  <c r="L4" i="33"/>
  <c r="K4" i="33"/>
  <c r="AW3" i="33"/>
  <c r="AY3" i="33" s="1"/>
  <c r="AV3" i="33"/>
  <c r="AX3" i="33" s="1"/>
  <c r="AS3" i="33"/>
  <c r="AU3" i="33" s="1"/>
  <c r="AR3" i="33"/>
  <c r="AT3" i="33" s="1"/>
  <c r="AH3" i="33"/>
  <c r="L3" i="33"/>
  <c r="K3" i="33"/>
  <c r="R116" i="32"/>
  <c r="Q116" i="32"/>
  <c r="P116" i="32"/>
  <c r="O116" i="32"/>
  <c r="N116" i="32"/>
  <c r="M116" i="32"/>
  <c r="L116" i="32"/>
  <c r="K116" i="32"/>
  <c r="J116" i="32"/>
  <c r="I116" i="32"/>
  <c r="H116" i="32"/>
  <c r="G116" i="32"/>
  <c r="F116" i="32"/>
  <c r="E116" i="32"/>
  <c r="R113" i="32"/>
  <c r="Q113" i="32"/>
  <c r="P113" i="32"/>
  <c r="L113" i="32"/>
  <c r="K113" i="32"/>
  <c r="J113" i="32"/>
  <c r="I113" i="32"/>
  <c r="F113" i="32"/>
  <c r="E113" i="32"/>
  <c r="R112" i="32"/>
  <c r="Q112" i="32"/>
  <c r="P112" i="32"/>
  <c r="O112" i="32"/>
  <c r="N112" i="32"/>
  <c r="M112" i="32"/>
  <c r="L112" i="32"/>
  <c r="K112" i="32"/>
  <c r="I112" i="32"/>
  <c r="H112" i="32"/>
  <c r="G112" i="32"/>
  <c r="F112" i="32"/>
  <c r="E112" i="32"/>
  <c r="O111" i="32"/>
  <c r="N111" i="32"/>
  <c r="M111" i="32"/>
  <c r="J111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R107" i="32"/>
  <c r="R119" i="32" s="1"/>
  <c r="Q107" i="32"/>
  <c r="Q119" i="32" s="1"/>
  <c r="P107" i="32"/>
  <c r="P119" i="32" s="1"/>
  <c r="L107" i="32"/>
  <c r="L119" i="32" s="1"/>
  <c r="K107" i="32"/>
  <c r="K119" i="32" s="1"/>
  <c r="J107" i="32"/>
  <c r="J119" i="32" s="1"/>
  <c r="I107" i="32"/>
  <c r="I119" i="32" s="1"/>
  <c r="H107" i="32"/>
  <c r="F107" i="32"/>
  <c r="F119" i="32" s="1"/>
  <c r="E107" i="32"/>
  <c r="R106" i="32"/>
  <c r="R118" i="32" s="1"/>
  <c r="Q106" i="32"/>
  <c r="Q118" i="32" s="1"/>
  <c r="P106" i="32"/>
  <c r="P118" i="32" s="1"/>
  <c r="O106" i="32"/>
  <c r="O118" i="32" s="1"/>
  <c r="N106" i="32"/>
  <c r="N118" i="32" s="1"/>
  <c r="M106" i="32"/>
  <c r="M118" i="32" s="1"/>
  <c r="L106" i="32"/>
  <c r="L118" i="32" s="1"/>
  <c r="K106" i="32"/>
  <c r="K118" i="32" s="1"/>
  <c r="I106" i="32"/>
  <c r="I118" i="32" s="1"/>
  <c r="H106" i="32"/>
  <c r="H118" i="32" s="1"/>
  <c r="G106" i="32"/>
  <c r="G118" i="32" s="1"/>
  <c r="F106" i="32"/>
  <c r="F118" i="32" s="1"/>
  <c r="E106" i="32"/>
  <c r="D106" i="32"/>
  <c r="P105" i="32"/>
  <c r="O105" i="32"/>
  <c r="O117" i="32" s="1"/>
  <c r="N105" i="32"/>
  <c r="N117" i="32" s="1"/>
  <c r="M105" i="32"/>
  <c r="M117" i="32" s="1"/>
  <c r="L105" i="32"/>
  <c r="J105" i="32"/>
  <c r="J117" i="32" s="1"/>
  <c r="R104" i="32"/>
  <c r="Q104" i="32"/>
  <c r="P104" i="32"/>
  <c r="O104" i="32"/>
  <c r="N104" i="32"/>
  <c r="M104" i="32"/>
  <c r="L104" i="32"/>
  <c r="K104" i="32"/>
  <c r="J104" i="32"/>
  <c r="I104" i="32"/>
  <c r="H104" i="32"/>
  <c r="G104" i="32"/>
  <c r="F104" i="32"/>
  <c r="E104" i="32"/>
  <c r="R99" i="32"/>
  <c r="Q99" i="32"/>
  <c r="P99" i="32"/>
  <c r="L99" i="32"/>
  <c r="K99" i="32"/>
  <c r="J99" i="32"/>
  <c r="I99" i="32"/>
  <c r="F99" i="32"/>
  <c r="E99" i="32"/>
  <c r="R98" i="32"/>
  <c r="Q98" i="32"/>
  <c r="P98" i="32"/>
  <c r="O98" i="32"/>
  <c r="N98" i="32"/>
  <c r="M98" i="32"/>
  <c r="L98" i="32"/>
  <c r="K98" i="32"/>
  <c r="I98" i="32"/>
  <c r="H98" i="32"/>
  <c r="G98" i="32"/>
  <c r="F98" i="32"/>
  <c r="E98" i="32"/>
  <c r="O97" i="32"/>
  <c r="N97" i="32"/>
  <c r="M97" i="32"/>
  <c r="J97" i="32"/>
  <c r="R96" i="32"/>
  <c r="Q96" i="32"/>
  <c r="P96" i="32"/>
  <c r="O96" i="32"/>
  <c r="N96" i="32"/>
  <c r="M96" i="32"/>
  <c r="L96" i="32"/>
  <c r="K96" i="32"/>
  <c r="J96" i="32"/>
  <c r="I96" i="32"/>
  <c r="H96" i="32"/>
  <c r="G96" i="32"/>
  <c r="F96" i="32"/>
  <c r="E96" i="32"/>
  <c r="O93" i="32"/>
  <c r="O94" i="32" s="1"/>
  <c r="N93" i="32"/>
  <c r="N94" i="32" s="1"/>
  <c r="M93" i="32"/>
  <c r="M94" i="32" s="1"/>
  <c r="H93" i="32"/>
  <c r="G93" i="32"/>
  <c r="G99" i="32" s="1"/>
  <c r="D93" i="32"/>
  <c r="J92" i="32"/>
  <c r="J94" i="32" s="1"/>
  <c r="J100" i="32" s="1"/>
  <c r="D92" i="32"/>
  <c r="R91" i="32"/>
  <c r="R94" i="32" s="1"/>
  <c r="Q91" i="32"/>
  <c r="Q94" i="32" s="1"/>
  <c r="P91" i="32"/>
  <c r="P94" i="32" s="1"/>
  <c r="L91" i="32"/>
  <c r="L94" i="32" s="1"/>
  <c r="K91" i="32"/>
  <c r="K94" i="32" s="1"/>
  <c r="I91" i="32"/>
  <c r="I94" i="32" s="1"/>
  <c r="H91" i="32"/>
  <c r="H94" i="32" s="1"/>
  <c r="G91" i="32"/>
  <c r="F91" i="32"/>
  <c r="E91" i="32"/>
  <c r="E94" i="32" s="1"/>
  <c r="D91" i="32"/>
  <c r="R90" i="32"/>
  <c r="Q90" i="32"/>
  <c r="P90" i="32"/>
  <c r="O90" i="32"/>
  <c r="N90" i="32"/>
  <c r="M90" i="32"/>
  <c r="L90" i="32"/>
  <c r="K90" i="32"/>
  <c r="J90" i="32"/>
  <c r="I90" i="32"/>
  <c r="H90" i="32"/>
  <c r="G90" i="32"/>
  <c r="F90" i="32"/>
  <c r="E90" i="32"/>
  <c r="Q88" i="32"/>
  <c r="Q100" i="32" s="1"/>
  <c r="P88" i="32"/>
  <c r="I88" i="32"/>
  <c r="H88" i="32"/>
  <c r="E88" i="32"/>
  <c r="O87" i="32"/>
  <c r="O88" i="32" s="1"/>
  <c r="N87" i="32"/>
  <c r="N88" i="32" s="1"/>
  <c r="M87" i="32"/>
  <c r="H87" i="32"/>
  <c r="G87" i="32"/>
  <c r="T87" i="32" s="1"/>
  <c r="D87" i="32"/>
  <c r="T86" i="32"/>
  <c r="J86" i="32"/>
  <c r="J88" i="32" s="1"/>
  <c r="D86" i="32"/>
  <c r="D98" i="32" s="1"/>
  <c r="R85" i="32"/>
  <c r="R88" i="32" s="1"/>
  <c r="Q85" i="32"/>
  <c r="P85" i="32"/>
  <c r="L85" i="32"/>
  <c r="K85" i="32"/>
  <c r="I85" i="32"/>
  <c r="H85" i="32"/>
  <c r="G85" i="32"/>
  <c r="F85" i="32"/>
  <c r="F88" i="32" s="1"/>
  <c r="E85" i="32"/>
  <c r="D85" i="32"/>
  <c r="R84" i="32"/>
  <c r="Q84" i="32"/>
  <c r="P84" i="32"/>
  <c r="O84" i="32"/>
  <c r="N84" i="32"/>
  <c r="M84" i="32"/>
  <c r="L84" i="32"/>
  <c r="K84" i="32"/>
  <c r="J84" i="32"/>
  <c r="I84" i="32"/>
  <c r="H84" i="32"/>
  <c r="G84" i="32"/>
  <c r="F84" i="32"/>
  <c r="E84" i="32"/>
  <c r="R80" i="32"/>
  <c r="Q80" i="32"/>
  <c r="P80" i="32"/>
  <c r="L80" i="32"/>
  <c r="K80" i="32"/>
  <c r="J80" i="32"/>
  <c r="I80" i="32"/>
  <c r="F80" i="32"/>
  <c r="E80" i="32"/>
  <c r="R79" i="32"/>
  <c r="Q79" i="32"/>
  <c r="P79" i="32"/>
  <c r="O79" i="32"/>
  <c r="N79" i="32"/>
  <c r="M79" i="32"/>
  <c r="L79" i="32"/>
  <c r="K79" i="32"/>
  <c r="I79" i="32"/>
  <c r="H79" i="32"/>
  <c r="G79" i="32"/>
  <c r="F79" i="32"/>
  <c r="E79" i="32"/>
  <c r="Q78" i="32"/>
  <c r="O78" i="32"/>
  <c r="N78" i="32"/>
  <c r="M78" i="32"/>
  <c r="J78" i="32"/>
  <c r="I75" i="32"/>
  <c r="O74" i="32"/>
  <c r="O75" i="32" s="1"/>
  <c r="N74" i="32"/>
  <c r="N75" i="32" s="1"/>
  <c r="M74" i="32"/>
  <c r="H74" i="32"/>
  <c r="H113" i="32" s="1"/>
  <c r="G74" i="32"/>
  <c r="D74" i="32"/>
  <c r="J73" i="32"/>
  <c r="J75" i="32" s="1"/>
  <c r="D73" i="32"/>
  <c r="D112" i="32" s="1"/>
  <c r="D118" i="32" s="1"/>
  <c r="R72" i="32"/>
  <c r="R75" i="32" s="1"/>
  <c r="Q72" i="32"/>
  <c r="Q75" i="32" s="1"/>
  <c r="P72" i="32"/>
  <c r="L72" i="32"/>
  <c r="L111" i="32" s="1"/>
  <c r="L114" i="32" s="1"/>
  <c r="K72" i="32"/>
  <c r="I72" i="32"/>
  <c r="H72" i="32"/>
  <c r="G72" i="32"/>
  <c r="F72" i="32"/>
  <c r="F75" i="32" s="1"/>
  <c r="E72" i="32"/>
  <c r="E78" i="32" s="1"/>
  <c r="D72" i="32"/>
  <c r="D111" i="32" s="1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Q69" i="32"/>
  <c r="P69" i="32"/>
  <c r="M69" i="32"/>
  <c r="J69" i="32"/>
  <c r="I69" i="32"/>
  <c r="H69" i="32"/>
  <c r="E69" i="32"/>
  <c r="D69" i="32"/>
  <c r="O68" i="32"/>
  <c r="O107" i="32" s="1"/>
  <c r="N68" i="32"/>
  <c r="M68" i="32"/>
  <c r="M107" i="32" s="1"/>
  <c r="H68" i="32"/>
  <c r="G68" i="32"/>
  <c r="G107" i="32" s="1"/>
  <c r="D68" i="32"/>
  <c r="D107" i="32" s="1"/>
  <c r="T67" i="32"/>
  <c r="J67" i="32"/>
  <c r="J106" i="32" s="1"/>
  <c r="D67" i="32"/>
  <c r="R66" i="32"/>
  <c r="Q66" i="32"/>
  <c r="Q105" i="32" s="1"/>
  <c r="P66" i="32"/>
  <c r="L66" i="32"/>
  <c r="K66" i="32"/>
  <c r="I66" i="32"/>
  <c r="I105" i="32" s="1"/>
  <c r="H66" i="32"/>
  <c r="G66" i="32"/>
  <c r="F66" i="32"/>
  <c r="E66" i="32"/>
  <c r="E105" i="32" s="1"/>
  <c r="D66" i="32"/>
  <c r="D105" i="32" s="1"/>
  <c r="AW60" i="32"/>
  <c r="AY60" i="32" s="1"/>
  <c r="AV60" i="32"/>
  <c r="AX60" i="32" s="1"/>
  <c r="AS60" i="32"/>
  <c r="AU60" i="32" s="1"/>
  <c r="AR60" i="32"/>
  <c r="AT60" i="32" s="1"/>
  <c r="AH60" i="32"/>
  <c r="L60" i="32"/>
  <c r="K60" i="32"/>
  <c r="AW59" i="32"/>
  <c r="AY59" i="32" s="1"/>
  <c r="AV59" i="32"/>
  <c r="AX59" i="32" s="1"/>
  <c r="AS59" i="32"/>
  <c r="AU59" i="32" s="1"/>
  <c r="AR59" i="32"/>
  <c r="AT59" i="32" s="1"/>
  <c r="AH59" i="32"/>
  <c r="L59" i="32"/>
  <c r="K59" i="32"/>
  <c r="AW58" i="32"/>
  <c r="AY58" i="32" s="1"/>
  <c r="AV58" i="32"/>
  <c r="AX58" i="32" s="1"/>
  <c r="AS58" i="32"/>
  <c r="AU58" i="32" s="1"/>
  <c r="AR58" i="32"/>
  <c r="AT58" i="32" s="1"/>
  <c r="AH58" i="32"/>
  <c r="L58" i="32"/>
  <c r="K58" i="32"/>
  <c r="AW57" i="32"/>
  <c r="AY57" i="32" s="1"/>
  <c r="AV57" i="32"/>
  <c r="AX57" i="32" s="1"/>
  <c r="AS57" i="32"/>
  <c r="AU57" i="32" s="1"/>
  <c r="AR57" i="32"/>
  <c r="AT57" i="32" s="1"/>
  <c r="AH57" i="32"/>
  <c r="L57" i="32"/>
  <c r="K57" i="32"/>
  <c r="AW56" i="32"/>
  <c r="AY56" i="32" s="1"/>
  <c r="AV56" i="32"/>
  <c r="AX56" i="32" s="1"/>
  <c r="AS56" i="32"/>
  <c r="AU56" i="32" s="1"/>
  <c r="AR56" i="32"/>
  <c r="AT56" i="32" s="1"/>
  <c r="AH56" i="32"/>
  <c r="L56" i="32"/>
  <c r="K56" i="32"/>
  <c r="AW55" i="32"/>
  <c r="AY55" i="32" s="1"/>
  <c r="AV55" i="32"/>
  <c r="AX55" i="32" s="1"/>
  <c r="AS55" i="32"/>
  <c r="AU55" i="32" s="1"/>
  <c r="AR55" i="32"/>
  <c r="AT55" i="32" s="1"/>
  <c r="AH55" i="32"/>
  <c r="L55" i="32"/>
  <c r="K55" i="32"/>
  <c r="AW54" i="32"/>
  <c r="AY54" i="32" s="1"/>
  <c r="AV54" i="32"/>
  <c r="AX54" i="32" s="1"/>
  <c r="AS54" i="32"/>
  <c r="AU54" i="32" s="1"/>
  <c r="AR54" i="32"/>
  <c r="AT54" i="32" s="1"/>
  <c r="AH54" i="32"/>
  <c r="L54" i="32"/>
  <c r="K54" i="32"/>
  <c r="AW53" i="32"/>
  <c r="AY53" i="32" s="1"/>
  <c r="AV53" i="32"/>
  <c r="AX53" i="32" s="1"/>
  <c r="AS53" i="32"/>
  <c r="AU53" i="32" s="1"/>
  <c r="AR53" i="32"/>
  <c r="AT53" i="32" s="1"/>
  <c r="AH53" i="32"/>
  <c r="L53" i="32"/>
  <c r="K53" i="32"/>
  <c r="AW52" i="32"/>
  <c r="AY52" i="32" s="1"/>
  <c r="AV52" i="32"/>
  <c r="AX52" i="32" s="1"/>
  <c r="AS52" i="32"/>
  <c r="AU52" i="32" s="1"/>
  <c r="AR52" i="32"/>
  <c r="AT52" i="32" s="1"/>
  <c r="AH52" i="32"/>
  <c r="L52" i="32"/>
  <c r="K52" i="32"/>
  <c r="AW51" i="32"/>
  <c r="AY51" i="32" s="1"/>
  <c r="AV51" i="32"/>
  <c r="AX51" i="32" s="1"/>
  <c r="AS51" i="32"/>
  <c r="AU51" i="32" s="1"/>
  <c r="AR51" i="32"/>
  <c r="AT51" i="32" s="1"/>
  <c r="AH51" i="32"/>
  <c r="L51" i="32"/>
  <c r="K51" i="32"/>
  <c r="AW50" i="32"/>
  <c r="AY50" i="32" s="1"/>
  <c r="AV50" i="32"/>
  <c r="AX50" i="32" s="1"/>
  <c r="AS50" i="32"/>
  <c r="AU50" i="32" s="1"/>
  <c r="AR50" i="32"/>
  <c r="AT50" i="32" s="1"/>
  <c r="AH50" i="32"/>
  <c r="L50" i="32"/>
  <c r="K50" i="32"/>
  <c r="AW49" i="32"/>
  <c r="AY49" i="32" s="1"/>
  <c r="AV49" i="32"/>
  <c r="AX49" i="32" s="1"/>
  <c r="AS49" i="32"/>
  <c r="AU49" i="32" s="1"/>
  <c r="AR49" i="32"/>
  <c r="AT49" i="32" s="1"/>
  <c r="AH49" i="32"/>
  <c r="L49" i="32"/>
  <c r="K49" i="32"/>
  <c r="AW48" i="32"/>
  <c r="AY48" i="32" s="1"/>
  <c r="AV48" i="32"/>
  <c r="AX48" i="32" s="1"/>
  <c r="AS48" i="32"/>
  <c r="AU48" i="32" s="1"/>
  <c r="AR48" i="32"/>
  <c r="AT48" i="32" s="1"/>
  <c r="AH48" i="32"/>
  <c r="L48" i="32"/>
  <c r="K48" i="32"/>
  <c r="AW47" i="32"/>
  <c r="AY47" i="32" s="1"/>
  <c r="AV47" i="32"/>
  <c r="AX47" i="32" s="1"/>
  <c r="AS47" i="32"/>
  <c r="AU47" i="32" s="1"/>
  <c r="AR47" i="32"/>
  <c r="AT47" i="32" s="1"/>
  <c r="AH47" i="32"/>
  <c r="L47" i="32"/>
  <c r="K47" i="32"/>
  <c r="AW46" i="32"/>
  <c r="AY46" i="32" s="1"/>
  <c r="AV46" i="32"/>
  <c r="AX46" i="32" s="1"/>
  <c r="AS46" i="32"/>
  <c r="AU46" i="32" s="1"/>
  <c r="AR46" i="32"/>
  <c r="AT46" i="32" s="1"/>
  <c r="AH46" i="32"/>
  <c r="L46" i="32"/>
  <c r="K46" i="32"/>
  <c r="AW45" i="32"/>
  <c r="AY45" i="32" s="1"/>
  <c r="AV45" i="32"/>
  <c r="AX45" i="32" s="1"/>
  <c r="AS45" i="32"/>
  <c r="AU45" i="32" s="1"/>
  <c r="AR45" i="32"/>
  <c r="AT45" i="32" s="1"/>
  <c r="AH45" i="32"/>
  <c r="L45" i="32"/>
  <c r="K45" i="32"/>
  <c r="AW44" i="32"/>
  <c r="AY44" i="32" s="1"/>
  <c r="AV44" i="32"/>
  <c r="AX44" i="32" s="1"/>
  <c r="AS44" i="32"/>
  <c r="AU44" i="32" s="1"/>
  <c r="AR44" i="32"/>
  <c r="AT44" i="32" s="1"/>
  <c r="AH44" i="32"/>
  <c r="L44" i="32"/>
  <c r="K44" i="32"/>
  <c r="AW43" i="32"/>
  <c r="AY43" i="32" s="1"/>
  <c r="AV43" i="32"/>
  <c r="AX43" i="32" s="1"/>
  <c r="AS43" i="32"/>
  <c r="AU43" i="32" s="1"/>
  <c r="AR43" i="32"/>
  <c r="AT43" i="32" s="1"/>
  <c r="AH43" i="32"/>
  <c r="L43" i="32"/>
  <c r="K43" i="32"/>
  <c r="AW42" i="32"/>
  <c r="AY42" i="32" s="1"/>
  <c r="AV42" i="32"/>
  <c r="AX42" i="32" s="1"/>
  <c r="AS42" i="32"/>
  <c r="AU42" i="32" s="1"/>
  <c r="AR42" i="32"/>
  <c r="AT42" i="32" s="1"/>
  <c r="AH42" i="32"/>
  <c r="L42" i="32"/>
  <c r="K42" i="32"/>
  <c r="AW41" i="32"/>
  <c r="AY41" i="32" s="1"/>
  <c r="AV41" i="32"/>
  <c r="AX41" i="32" s="1"/>
  <c r="AT41" i="32"/>
  <c r="AS41" i="32"/>
  <c r="AU41" i="32" s="1"/>
  <c r="AR41" i="32"/>
  <c r="AH41" i="32"/>
  <c r="L41" i="32"/>
  <c r="K41" i="32"/>
  <c r="AW40" i="32"/>
  <c r="AY40" i="32" s="1"/>
  <c r="AV40" i="32"/>
  <c r="AX40" i="32" s="1"/>
  <c r="AT40" i="32"/>
  <c r="AS40" i="32"/>
  <c r="AU40" i="32" s="1"/>
  <c r="AR40" i="32"/>
  <c r="AH40" i="32"/>
  <c r="L40" i="32"/>
  <c r="K40" i="32"/>
  <c r="AW39" i="32"/>
  <c r="AY39" i="32" s="1"/>
  <c r="AV39" i="32"/>
  <c r="AX39" i="32" s="1"/>
  <c r="AS39" i="32"/>
  <c r="AU39" i="32" s="1"/>
  <c r="AR39" i="32"/>
  <c r="AT39" i="32" s="1"/>
  <c r="AH39" i="32"/>
  <c r="L39" i="32"/>
  <c r="K39" i="32"/>
  <c r="AW38" i="32"/>
  <c r="AY38" i="32" s="1"/>
  <c r="AV38" i="32"/>
  <c r="AX38" i="32" s="1"/>
  <c r="AS38" i="32"/>
  <c r="AU38" i="32" s="1"/>
  <c r="AR38" i="32"/>
  <c r="AT38" i="32" s="1"/>
  <c r="AH38" i="32"/>
  <c r="L38" i="32"/>
  <c r="K38" i="32"/>
  <c r="AW37" i="32"/>
  <c r="AY37" i="32" s="1"/>
  <c r="AV37" i="32"/>
  <c r="AX37" i="32" s="1"/>
  <c r="AS37" i="32"/>
  <c r="AU37" i="32" s="1"/>
  <c r="AR37" i="32"/>
  <c r="AT37" i="32" s="1"/>
  <c r="AH37" i="32"/>
  <c r="L37" i="32"/>
  <c r="K37" i="32"/>
  <c r="AW36" i="32"/>
  <c r="AY36" i="32" s="1"/>
  <c r="AV36" i="32"/>
  <c r="AX36" i="32" s="1"/>
  <c r="AS36" i="32"/>
  <c r="AU36" i="32" s="1"/>
  <c r="AR36" i="32"/>
  <c r="AT36" i="32" s="1"/>
  <c r="AH36" i="32"/>
  <c r="L36" i="32"/>
  <c r="K36" i="32"/>
  <c r="AW35" i="32"/>
  <c r="AY35" i="32" s="1"/>
  <c r="AV35" i="32"/>
  <c r="AX35" i="32" s="1"/>
  <c r="AS35" i="32"/>
  <c r="AU35" i="32" s="1"/>
  <c r="AR35" i="32"/>
  <c r="AT35" i="32" s="1"/>
  <c r="AH35" i="32"/>
  <c r="L35" i="32"/>
  <c r="K35" i="32"/>
  <c r="AW34" i="32"/>
  <c r="AY34" i="32" s="1"/>
  <c r="AV34" i="32"/>
  <c r="AX34" i="32" s="1"/>
  <c r="AS34" i="32"/>
  <c r="AU34" i="32" s="1"/>
  <c r="AR34" i="32"/>
  <c r="AT34" i="32" s="1"/>
  <c r="AH34" i="32"/>
  <c r="L34" i="32"/>
  <c r="K34" i="32"/>
  <c r="AW33" i="32"/>
  <c r="AY33" i="32" s="1"/>
  <c r="AV33" i="32"/>
  <c r="AX33" i="32" s="1"/>
  <c r="AS33" i="32"/>
  <c r="AU33" i="32" s="1"/>
  <c r="AR33" i="32"/>
  <c r="AT33" i="32" s="1"/>
  <c r="AH33" i="32"/>
  <c r="L33" i="32"/>
  <c r="K33" i="32"/>
  <c r="AW32" i="32"/>
  <c r="AY32" i="32" s="1"/>
  <c r="AV32" i="32"/>
  <c r="AX32" i="32" s="1"/>
  <c r="AS32" i="32"/>
  <c r="AU32" i="32" s="1"/>
  <c r="AR32" i="32"/>
  <c r="AT32" i="32" s="1"/>
  <c r="AH32" i="32"/>
  <c r="L32" i="32"/>
  <c r="K32" i="32"/>
  <c r="AW31" i="32"/>
  <c r="AY31" i="32" s="1"/>
  <c r="AV31" i="32"/>
  <c r="AX31" i="32" s="1"/>
  <c r="AS31" i="32"/>
  <c r="AU31" i="32" s="1"/>
  <c r="AR31" i="32"/>
  <c r="AT31" i="32" s="1"/>
  <c r="AH31" i="32"/>
  <c r="L31" i="32"/>
  <c r="K31" i="32"/>
  <c r="AW30" i="32"/>
  <c r="AY30" i="32" s="1"/>
  <c r="AV30" i="32"/>
  <c r="AX30" i="32" s="1"/>
  <c r="AS30" i="32"/>
  <c r="AU30" i="32" s="1"/>
  <c r="AR30" i="32"/>
  <c r="AT30" i="32" s="1"/>
  <c r="AH30" i="32"/>
  <c r="L30" i="32"/>
  <c r="K30" i="32"/>
  <c r="AW29" i="32"/>
  <c r="AY29" i="32" s="1"/>
  <c r="AV29" i="32"/>
  <c r="AX29" i="32" s="1"/>
  <c r="AT29" i="32"/>
  <c r="AS29" i="32"/>
  <c r="AU29" i="32" s="1"/>
  <c r="AR29" i="32"/>
  <c r="AH29" i="32"/>
  <c r="L29" i="32"/>
  <c r="K29" i="32"/>
  <c r="AW28" i="32"/>
  <c r="AY28" i="32" s="1"/>
  <c r="AV28" i="32"/>
  <c r="AX28" i="32" s="1"/>
  <c r="AT28" i="32"/>
  <c r="AS28" i="32"/>
  <c r="AU28" i="32" s="1"/>
  <c r="AR28" i="32"/>
  <c r="AH28" i="32"/>
  <c r="L28" i="32"/>
  <c r="K28" i="32"/>
  <c r="AW27" i="32"/>
  <c r="AY27" i="32" s="1"/>
  <c r="AV27" i="32"/>
  <c r="AX27" i="32" s="1"/>
  <c r="AS27" i="32"/>
  <c r="AU27" i="32" s="1"/>
  <c r="AR27" i="32"/>
  <c r="AT27" i="32" s="1"/>
  <c r="AH27" i="32"/>
  <c r="L27" i="32"/>
  <c r="K27" i="32"/>
  <c r="AW26" i="32"/>
  <c r="AY26" i="32" s="1"/>
  <c r="AV26" i="32"/>
  <c r="AX26" i="32" s="1"/>
  <c r="AS26" i="32"/>
  <c r="AU26" i="32" s="1"/>
  <c r="AR26" i="32"/>
  <c r="AT26" i="32" s="1"/>
  <c r="AH26" i="32"/>
  <c r="L26" i="32"/>
  <c r="K26" i="32"/>
  <c r="AW25" i="32"/>
  <c r="AY25" i="32" s="1"/>
  <c r="AV25" i="32"/>
  <c r="AX25" i="32" s="1"/>
  <c r="AS25" i="32"/>
  <c r="AU25" i="32" s="1"/>
  <c r="AR25" i="32"/>
  <c r="AT25" i="32" s="1"/>
  <c r="AH25" i="32"/>
  <c r="L25" i="32"/>
  <c r="K25" i="32"/>
  <c r="AW24" i="32"/>
  <c r="AY24" i="32" s="1"/>
  <c r="AV24" i="32"/>
  <c r="AX24" i="32" s="1"/>
  <c r="AS24" i="32"/>
  <c r="AU24" i="32" s="1"/>
  <c r="AR24" i="32"/>
  <c r="AT24" i="32" s="1"/>
  <c r="AH24" i="32"/>
  <c r="L24" i="32"/>
  <c r="K24" i="32"/>
  <c r="AW23" i="32"/>
  <c r="AY23" i="32" s="1"/>
  <c r="AV23" i="32"/>
  <c r="AX23" i="32" s="1"/>
  <c r="AS23" i="32"/>
  <c r="AU23" i="32" s="1"/>
  <c r="AR23" i="32"/>
  <c r="AT23" i="32" s="1"/>
  <c r="AH23" i="32"/>
  <c r="L23" i="32"/>
  <c r="K23" i="32"/>
  <c r="AW22" i="32"/>
  <c r="AY22" i="32" s="1"/>
  <c r="AV22" i="32"/>
  <c r="AX22" i="32" s="1"/>
  <c r="AS22" i="32"/>
  <c r="AU22" i="32" s="1"/>
  <c r="AR22" i="32"/>
  <c r="AT22" i="32" s="1"/>
  <c r="AH22" i="32"/>
  <c r="L22" i="32"/>
  <c r="K22" i="32"/>
  <c r="AW21" i="32"/>
  <c r="AY21" i="32" s="1"/>
  <c r="AV21" i="32"/>
  <c r="AX21" i="32" s="1"/>
  <c r="AU21" i="32"/>
  <c r="AS21" i="32"/>
  <c r="AR21" i="32"/>
  <c r="AT21" i="32" s="1"/>
  <c r="AH21" i="32"/>
  <c r="L21" i="32"/>
  <c r="K21" i="32"/>
  <c r="AW20" i="32"/>
  <c r="AY20" i="32" s="1"/>
  <c r="AV20" i="32"/>
  <c r="AX20" i="32" s="1"/>
  <c r="AS20" i="32"/>
  <c r="AU20" i="32" s="1"/>
  <c r="AR20" i="32"/>
  <c r="AT20" i="32" s="1"/>
  <c r="AH20" i="32"/>
  <c r="L20" i="32"/>
  <c r="K20" i="32"/>
  <c r="AW19" i="32"/>
  <c r="AY19" i="32" s="1"/>
  <c r="AV19" i="32"/>
  <c r="AX19" i="32" s="1"/>
  <c r="AS19" i="32"/>
  <c r="AU19" i="32" s="1"/>
  <c r="AR19" i="32"/>
  <c r="AT19" i="32" s="1"/>
  <c r="AH19" i="32"/>
  <c r="L19" i="32"/>
  <c r="K19" i="32"/>
  <c r="AW18" i="32"/>
  <c r="AY18" i="32" s="1"/>
  <c r="AV18" i="32"/>
  <c r="AX18" i="32" s="1"/>
  <c r="AS18" i="32"/>
  <c r="AU18" i="32" s="1"/>
  <c r="AR18" i="32"/>
  <c r="AT18" i="32" s="1"/>
  <c r="AH18" i="32"/>
  <c r="L18" i="32"/>
  <c r="K18" i="32"/>
  <c r="AW17" i="32"/>
  <c r="AY17" i="32" s="1"/>
  <c r="AV17" i="32"/>
  <c r="AX17" i="32" s="1"/>
  <c r="AS17" i="32"/>
  <c r="AU17" i="32" s="1"/>
  <c r="AR17" i="32"/>
  <c r="AT17" i="32" s="1"/>
  <c r="AH17" i="32"/>
  <c r="L17" i="32"/>
  <c r="K17" i="32"/>
  <c r="AW16" i="32"/>
  <c r="AY16" i="32" s="1"/>
  <c r="AV16" i="32"/>
  <c r="AX16" i="32" s="1"/>
  <c r="AS16" i="32"/>
  <c r="AU16" i="32" s="1"/>
  <c r="AR16" i="32"/>
  <c r="AT16" i="32" s="1"/>
  <c r="AH16" i="32"/>
  <c r="L16" i="32"/>
  <c r="K16" i="32"/>
  <c r="AW15" i="32"/>
  <c r="AY15" i="32" s="1"/>
  <c r="AV15" i="32"/>
  <c r="AX15" i="32" s="1"/>
  <c r="AS15" i="32"/>
  <c r="AU15" i="32" s="1"/>
  <c r="AR15" i="32"/>
  <c r="AT15" i="32" s="1"/>
  <c r="AH15" i="32"/>
  <c r="L15" i="32"/>
  <c r="K15" i="32"/>
  <c r="AW14" i="32"/>
  <c r="AY14" i="32" s="1"/>
  <c r="AV14" i="32"/>
  <c r="AX14" i="32" s="1"/>
  <c r="AS14" i="32"/>
  <c r="AU14" i="32" s="1"/>
  <c r="AR14" i="32"/>
  <c r="AT14" i="32" s="1"/>
  <c r="AH14" i="32"/>
  <c r="L14" i="32"/>
  <c r="K14" i="32"/>
  <c r="AY13" i="32"/>
  <c r="AW13" i="32"/>
  <c r="AV13" i="32"/>
  <c r="AX13" i="32" s="1"/>
  <c r="AU13" i="32"/>
  <c r="AT13" i="32"/>
  <c r="AS13" i="32"/>
  <c r="AR13" i="32"/>
  <c r="AH13" i="32"/>
  <c r="L13" i="32"/>
  <c r="K13" i="32"/>
  <c r="AW12" i="32"/>
  <c r="AY12" i="32" s="1"/>
  <c r="AV12" i="32"/>
  <c r="AX12" i="32" s="1"/>
  <c r="AS12" i="32"/>
  <c r="AU12" i="32" s="1"/>
  <c r="AR12" i="32"/>
  <c r="AT12" i="32" s="1"/>
  <c r="AH12" i="32"/>
  <c r="L12" i="32"/>
  <c r="K12" i="32"/>
  <c r="AW11" i="32"/>
  <c r="AY11" i="32" s="1"/>
  <c r="AV11" i="32"/>
  <c r="AX11" i="32" s="1"/>
  <c r="AS11" i="32"/>
  <c r="AU11" i="32" s="1"/>
  <c r="AR11" i="32"/>
  <c r="AT11" i="32" s="1"/>
  <c r="AH11" i="32"/>
  <c r="L11" i="32"/>
  <c r="K11" i="32"/>
  <c r="AW10" i="32"/>
  <c r="AY10" i="32" s="1"/>
  <c r="AV10" i="32"/>
  <c r="AX10" i="32" s="1"/>
  <c r="AS10" i="32"/>
  <c r="AU10" i="32" s="1"/>
  <c r="AR10" i="32"/>
  <c r="AT10" i="32" s="1"/>
  <c r="AH10" i="32"/>
  <c r="L10" i="32"/>
  <c r="K10" i="32"/>
  <c r="AW9" i="32"/>
  <c r="AY9" i="32" s="1"/>
  <c r="AV9" i="32"/>
  <c r="AX9" i="32" s="1"/>
  <c r="AS9" i="32"/>
  <c r="AU9" i="32" s="1"/>
  <c r="AR9" i="32"/>
  <c r="AT9" i="32" s="1"/>
  <c r="AH9" i="32"/>
  <c r="L9" i="32"/>
  <c r="K9" i="32"/>
  <c r="AW8" i="32"/>
  <c r="AY8" i="32" s="1"/>
  <c r="AV8" i="32"/>
  <c r="AX8" i="32" s="1"/>
  <c r="AS8" i="32"/>
  <c r="AU8" i="32" s="1"/>
  <c r="AR8" i="32"/>
  <c r="AT8" i="32" s="1"/>
  <c r="AH8" i="32"/>
  <c r="L8" i="32"/>
  <c r="K8" i="32"/>
  <c r="AW7" i="32"/>
  <c r="AY7" i="32" s="1"/>
  <c r="AV7" i="32"/>
  <c r="AX7" i="32" s="1"/>
  <c r="AS7" i="32"/>
  <c r="AU7" i="32" s="1"/>
  <c r="AR7" i="32"/>
  <c r="AT7" i="32" s="1"/>
  <c r="AH7" i="32"/>
  <c r="L7" i="32"/>
  <c r="K7" i="32"/>
  <c r="AW6" i="32"/>
  <c r="AY6" i="32" s="1"/>
  <c r="AV6" i="32"/>
  <c r="AX6" i="32" s="1"/>
  <c r="AS6" i="32"/>
  <c r="AU6" i="32" s="1"/>
  <c r="AR6" i="32"/>
  <c r="AT6" i="32" s="1"/>
  <c r="AH6" i="32"/>
  <c r="L6" i="32"/>
  <c r="K6" i="32"/>
  <c r="AW5" i="32"/>
  <c r="AY5" i="32" s="1"/>
  <c r="AV5" i="32"/>
  <c r="AX5" i="32" s="1"/>
  <c r="AT5" i="32"/>
  <c r="AS5" i="32"/>
  <c r="AU5" i="32" s="1"/>
  <c r="AR5" i="32"/>
  <c r="AH5" i="32"/>
  <c r="L5" i="32"/>
  <c r="K5" i="32"/>
  <c r="AW4" i="32"/>
  <c r="AY4" i="32" s="1"/>
  <c r="AV4" i="32"/>
  <c r="AX4" i="32" s="1"/>
  <c r="AT4" i="32"/>
  <c r="AS4" i="32"/>
  <c r="AU4" i="32" s="1"/>
  <c r="AR4" i="32"/>
  <c r="AH4" i="32"/>
  <c r="L4" i="32"/>
  <c r="K4" i="32"/>
  <c r="AW3" i="32"/>
  <c r="AY3" i="32" s="1"/>
  <c r="AV3" i="32"/>
  <c r="AX3" i="32" s="1"/>
  <c r="AS3" i="32"/>
  <c r="AU3" i="32" s="1"/>
  <c r="AR3" i="32"/>
  <c r="AT3" i="32" s="1"/>
  <c r="AH3" i="32"/>
  <c r="L3" i="32"/>
  <c r="K3" i="32"/>
  <c r="L119" i="31"/>
  <c r="E118" i="31"/>
  <c r="R116" i="31"/>
  <c r="Q116" i="31"/>
  <c r="P116" i="31"/>
  <c r="O116" i="31"/>
  <c r="N116" i="31"/>
  <c r="M116" i="31"/>
  <c r="L116" i="31"/>
  <c r="K116" i="31"/>
  <c r="J116" i="31"/>
  <c r="I116" i="31"/>
  <c r="H116" i="31"/>
  <c r="G116" i="31"/>
  <c r="F116" i="31"/>
  <c r="E116" i="31"/>
  <c r="R113" i="31"/>
  <c r="Q113" i="31"/>
  <c r="P113" i="31"/>
  <c r="L113" i="31"/>
  <c r="K113" i="31"/>
  <c r="J113" i="31"/>
  <c r="I113" i="31"/>
  <c r="F113" i="31"/>
  <c r="E113" i="31"/>
  <c r="R112" i="31"/>
  <c r="Q112" i="31"/>
  <c r="P112" i="31"/>
  <c r="O112" i="31"/>
  <c r="N112" i="31"/>
  <c r="M112" i="31"/>
  <c r="L112" i="31"/>
  <c r="K112" i="31"/>
  <c r="I112" i="31"/>
  <c r="H112" i="31"/>
  <c r="G112" i="31"/>
  <c r="F112" i="31"/>
  <c r="E112" i="31"/>
  <c r="O111" i="31"/>
  <c r="N111" i="31"/>
  <c r="M111" i="31"/>
  <c r="J111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R107" i="31"/>
  <c r="Q107" i="31"/>
  <c r="Q119" i="31" s="1"/>
  <c r="P107" i="31"/>
  <c r="P119" i="31" s="1"/>
  <c r="L107" i="31"/>
  <c r="K107" i="31"/>
  <c r="K119" i="31" s="1"/>
  <c r="J107" i="31"/>
  <c r="J119" i="31" s="1"/>
  <c r="I107" i="31"/>
  <c r="I119" i="31" s="1"/>
  <c r="H107" i="31"/>
  <c r="F107" i="31"/>
  <c r="F119" i="31" s="1"/>
  <c r="E107" i="31"/>
  <c r="E119" i="31" s="1"/>
  <c r="R106" i="31"/>
  <c r="R118" i="31" s="1"/>
  <c r="Q106" i="31"/>
  <c r="Q118" i="31" s="1"/>
  <c r="P106" i="31"/>
  <c r="P118" i="31" s="1"/>
  <c r="O106" i="31"/>
  <c r="N106" i="31"/>
  <c r="N118" i="31" s="1"/>
  <c r="M106" i="31"/>
  <c r="M118" i="31" s="1"/>
  <c r="L106" i="31"/>
  <c r="L118" i="31" s="1"/>
  <c r="K106" i="31"/>
  <c r="I106" i="31"/>
  <c r="I118" i="31" s="1"/>
  <c r="H106" i="31"/>
  <c r="H118" i="31" s="1"/>
  <c r="G106" i="31"/>
  <c r="G118" i="31" s="1"/>
  <c r="F106" i="31"/>
  <c r="F118" i="31" s="1"/>
  <c r="E106" i="31"/>
  <c r="D106" i="31"/>
  <c r="Q105" i="31"/>
  <c r="P105" i="31"/>
  <c r="O105" i="31"/>
  <c r="O117" i="31" s="1"/>
  <c r="N105" i="31"/>
  <c r="N117" i="31" s="1"/>
  <c r="M105" i="31"/>
  <c r="M117" i="31" s="1"/>
  <c r="J105" i="31"/>
  <c r="J117" i="31" s="1"/>
  <c r="I105" i="31"/>
  <c r="H105" i="31"/>
  <c r="E105" i="31"/>
  <c r="D105" i="31"/>
  <c r="R104" i="31"/>
  <c r="Q104" i="31"/>
  <c r="P104" i="31"/>
  <c r="O104" i="31"/>
  <c r="N104" i="31"/>
  <c r="M104" i="31"/>
  <c r="L104" i="31"/>
  <c r="K104" i="31"/>
  <c r="J104" i="31"/>
  <c r="I104" i="31"/>
  <c r="H104" i="31"/>
  <c r="G104" i="31"/>
  <c r="F104" i="31"/>
  <c r="E104" i="31"/>
  <c r="R99" i="31"/>
  <c r="Q99" i="31"/>
  <c r="P99" i="31"/>
  <c r="L99" i="31"/>
  <c r="K99" i="31"/>
  <c r="J99" i="31"/>
  <c r="I99" i="31"/>
  <c r="F99" i="31"/>
  <c r="E99" i="31"/>
  <c r="R98" i="31"/>
  <c r="Q98" i="31"/>
  <c r="P98" i="31"/>
  <c r="O98" i="31"/>
  <c r="N98" i="31"/>
  <c r="M98" i="31"/>
  <c r="L98" i="31"/>
  <c r="K98" i="31"/>
  <c r="I98" i="31"/>
  <c r="H98" i="31"/>
  <c r="G98" i="31"/>
  <c r="F98" i="31"/>
  <c r="E98" i="31"/>
  <c r="O97" i="31"/>
  <c r="N97" i="31"/>
  <c r="M97" i="31"/>
  <c r="J97" i="31"/>
  <c r="R96" i="31"/>
  <c r="Q96" i="31"/>
  <c r="P96" i="31"/>
  <c r="O96" i="31"/>
  <c r="N96" i="31"/>
  <c r="M96" i="31"/>
  <c r="L96" i="31"/>
  <c r="K96" i="31"/>
  <c r="J96" i="31"/>
  <c r="I96" i="31"/>
  <c r="H96" i="31"/>
  <c r="G96" i="31"/>
  <c r="F96" i="31"/>
  <c r="E96" i="31"/>
  <c r="O93" i="31"/>
  <c r="O94" i="31" s="1"/>
  <c r="N93" i="31"/>
  <c r="N94" i="31" s="1"/>
  <c r="M93" i="31"/>
  <c r="M94" i="31" s="1"/>
  <c r="H93" i="31"/>
  <c r="G93" i="31"/>
  <c r="G99" i="31" s="1"/>
  <c r="D93" i="31"/>
  <c r="J92" i="31"/>
  <c r="J94" i="31" s="1"/>
  <c r="D92" i="31"/>
  <c r="R91" i="31"/>
  <c r="R94" i="31" s="1"/>
  <c r="R100" i="31" s="1"/>
  <c r="Q91" i="31"/>
  <c r="Q94" i="31" s="1"/>
  <c r="P91" i="31"/>
  <c r="P94" i="31" s="1"/>
  <c r="L91" i="31"/>
  <c r="L94" i="31" s="1"/>
  <c r="K91" i="31"/>
  <c r="K94" i="31" s="1"/>
  <c r="I91" i="31"/>
  <c r="I94" i="31" s="1"/>
  <c r="H91" i="31"/>
  <c r="G91" i="31"/>
  <c r="G94" i="31" s="1"/>
  <c r="F91" i="31"/>
  <c r="F94" i="31" s="1"/>
  <c r="F100" i="31" s="1"/>
  <c r="E91" i="31"/>
  <c r="E94" i="31" s="1"/>
  <c r="D91" i="31"/>
  <c r="R90" i="31"/>
  <c r="Q90" i="31"/>
  <c r="P90" i="31"/>
  <c r="O90" i="31"/>
  <c r="N90" i="31"/>
  <c r="M90" i="31"/>
  <c r="L90" i="31"/>
  <c r="K90" i="31"/>
  <c r="J90" i="31"/>
  <c r="I90" i="31"/>
  <c r="H90" i="31"/>
  <c r="G90" i="31"/>
  <c r="F90" i="31"/>
  <c r="E90" i="31"/>
  <c r="Q88" i="31"/>
  <c r="P88" i="31"/>
  <c r="I88" i="31"/>
  <c r="H88" i="31"/>
  <c r="E88" i="31"/>
  <c r="O87" i="31"/>
  <c r="O88" i="31" s="1"/>
  <c r="O100" i="31" s="1"/>
  <c r="N87" i="31"/>
  <c r="N88" i="31" s="1"/>
  <c r="N100" i="31" s="1"/>
  <c r="M87" i="31"/>
  <c r="H87" i="31"/>
  <c r="G87" i="31"/>
  <c r="D87" i="31"/>
  <c r="D99" i="31" s="1"/>
  <c r="T86" i="31"/>
  <c r="J86" i="31"/>
  <c r="J88" i="31" s="1"/>
  <c r="D86" i="31"/>
  <c r="R85" i="31"/>
  <c r="R88" i="31" s="1"/>
  <c r="Q85" i="31"/>
  <c r="Q97" i="31" s="1"/>
  <c r="P85" i="31"/>
  <c r="L85" i="31"/>
  <c r="K85" i="31"/>
  <c r="K88" i="31" s="1"/>
  <c r="I85" i="31"/>
  <c r="I97" i="31" s="1"/>
  <c r="H85" i="31"/>
  <c r="G85" i="31"/>
  <c r="G88" i="31" s="1"/>
  <c r="F85" i="31"/>
  <c r="F88" i="31" s="1"/>
  <c r="E85" i="31"/>
  <c r="D85" i="31"/>
  <c r="R84" i="31"/>
  <c r="Q84" i="31"/>
  <c r="P84" i="31"/>
  <c r="O84" i="31"/>
  <c r="N84" i="31"/>
  <c r="M84" i="31"/>
  <c r="L84" i="31"/>
  <c r="K84" i="31"/>
  <c r="J84" i="31"/>
  <c r="I84" i="31"/>
  <c r="H84" i="31"/>
  <c r="G84" i="31"/>
  <c r="F84" i="31"/>
  <c r="E84" i="31"/>
  <c r="R80" i="31"/>
  <c r="Q80" i="31"/>
  <c r="P80" i="31"/>
  <c r="L80" i="31"/>
  <c r="K80" i="31"/>
  <c r="J80" i="31"/>
  <c r="I80" i="31"/>
  <c r="F80" i="31"/>
  <c r="E80" i="31"/>
  <c r="R79" i="31"/>
  <c r="Q79" i="31"/>
  <c r="P79" i="31"/>
  <c r="O79" i="31"/>
  <c r="N79" i="31"/>
  <c r="M79" i="31"/>
  <c r="L79" i="31"/>
  <c r="K79" i="31"/>
  <c r="I79" i="31"/>
  <c r="H79" i="31"/>
  <c r="G79" i="31"/>
  <c r="F79" i="31"/>
  <c r="E79" i="31"/>
  <c r="O78" i="31"/>
  <c r="N78" i="31"/>
  <c r="M78" i="31"/>
  <c r="J78" i="31"/>
  <c r="O74" i="31"/>
  <c r="O75" i="31" s="1"/>
  <c r="N74" i="31"/>
  <c r="N75" i="31" s="1"/>
  <c r="M74" i="31"/>
  <c r="H74" i="31"/>
  <c r="G74" i="31"/>
  <c r="G113" i="31" s="1"/>
  <c r="D74" i="31"/>
  <c r="D113" i="31" s="1"/>
  <c r="J73" i="31"/>
  <c r="J75" i="31" s="1"/>
  <c r="D73" i="31"/>
  <c r="R72" i="31"/>
  <c r="R75" i="31" s="1"/>
  <c r="Q72" i="31"/>
  <c r="Q111" i="31" s="1"/>
  <c r="Q114" i="31" s="1"/>
  <c r="P72" i="31"/>
  <c r="L72" i="31"/>
  <c r="K72" i="31"/>
  <c r="K75" i="31" s="1"/>
  <c r="I72" i="31"/>
  <c r="I111" i="31" s="1"/>
  <c r="I114" i="31" s="1"/>
  <c r="H72" i="31"/>
  <c r="G72" i="31"/>
  <c r="G75" i="31" s="1"/>
  <c r="F72" i="31"/>
  <c r="F75" i="31" s="1"/>
  <c r="E72" i="31"/>
  <c r="E111" i="31" s="1"/>
  <c r="E114" i="31" s="1"/>
  <c r="D72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Q69" i="31"/>
  <c r="P69" i="31"/>
  <c r="I69" i="31"/>
  <c r="H69" i="31"/>
  <c r="E69" i="31"/>
  <c r="O68" i="31"/>
  <c r="O107" i="31" s="1"/>
  <c r="N68" i="31"/>
  <c r="M68" i="31"/>
  <c r="M107" i="31" s="1"/>
  <c r="H68" i="31"/>
  <c r="G68" i="31"/>
  <c r="G107" i="31" s="1"/>
  <c r="D68" i="31"/>
  <c r="D107" i="31" s="1"/>
  <c r="T67" i="31"/>
  <c r="J67" i="31"/>
  <c r="J106" i="31" s="1"/>
  <c r="D67" i="31"/>
  <c r="R66" i="31"/>
  <c r="Q66" i="31"/>
  <c r="P66" i="31"/>
  <c r="L66" i="31"/>
  <c r="L105" i="31" s="1"/>
  <c r="K66" i="31"/>
  <c r="I66" i="31"/>
  <c r="H66" i="31"/>
  <c r="G66" i="31"/>
  <c r="F66" i="31"/>
  <c r="T66" i="31" s="1"/>
  <c r="E66" i="31"/>
  <c r="D66" i="31"/>
  <c r="AW60" i="31"/>
  <c r="AY60" i="31" s="1"/>
  <c r="AV60" i="31"/>
  <c r="AX60" i="31" s="1"/>
  <c r="AS60" i="31"/>
  <c r="AU60" i="31" s="1"/>
  <c r="AR60" i="31"/>
  <c r="AT60" i="31" s="1"/>
  <c r="AH60" i="31"/>
  <c r="L60" i="31"/>
  <c r="K60" i="31"/>
  <c r="AW59" i="31"/>
  <c r="AY59" i="31" s="1"/>
  <c r="AV59" i="31"/>
  <c r="AX59" i="31" s="1"/>
  <c r="AS59" i="31"/>
  <c r="AU59" i="31" s="1"/>
  <c r="AR59" i="31"/>
  <c r="AT59" i="31" s="1"/>
  <c r="AH59" i="31"/>
  <c r="L59" i="31"/>
  <c r="K59" i="31"/>
  <c r="AW58" i="31"/>
  <c r="AY58" i="31" s="1"/>
  <c r="AV58" i="31"/>
  <c r="AX58" i="31" s="1"/>
  <c r="AS58" i="31"/>
  <c r="AU58" i="31" s="1"/>
  <c r="AR58" i="31"/>
  <c r="AT58" i="31" s="1"/>
  <c r="AH58" i="31"/>
  <c r="L58" i="31"/>
  <c r="K58" i="31"/>
  <c r="AW57" i="31"/>
  <c r="AY57" i="31" s="1"/>
  <c r="AV57" i="31"/>
  <c r="AX57" i="31" s="1"/>
  <c r="AS57" i="31"/>
  <c r="AU57" i="31" s="1"/>
  <c r="AR57" i="31"/>
  <c r="AT57" i="31" s="1"/>
  <c r="AH57" i="31"/>
  <c r="L57" i="31"/>
  <c r="K57" i="31"/>
  <c r="AY56" i="31"/>
  <c r="AW56" i="31"/>
  <c r="AV56" i="31"/>
  <c r="AX56" i="31" s="1"/>
  <c r="AT56" i="31"/>
  <c r="AS56" i="31"/>
  <c r="AU56" i="31" s="1"/>
  <c r="AR56" i="31"/>
  <c r="AH56" i="31"/>
  <c r="L56" i="31"/>
  <c r="K56" i="31"/>
  <c r="AW55" i="31"/>
  <c r="AY55" i="31" s="1"/>
  <c r="AV55" i="31"/>
  <c r="AX55" i="31" s="1"/>
  <c r="AS55" i="31"/>
  <c r="AU55" i="31" s="1"/>
  <c r="AR55" i="31"/>
  <c r="AT55" i="31" s="1"/>
  <c r="AH55" i="31"/>
  <c r="L55" i="31"/>
  <c r="K55" i="31"/>
  <c r="AW54" i="31"/>
  <c r="AY54" i="31" s="1"/>
  <c r="AV54" i="31"/>
  <c r="AX54" i="31" s="1"/>
  <c r="AS54" i="31"/>
  <c r="AU54" i="31" s="1"/>
  <c r="AR54" i="31"/>
  <c r="AT54" i="31" s="1"/>
  <c r="AH54" i="31"/>
  <c r="L54" i="31"/>
  <c r="K54" i="31"/>
  <c r="AW53" i="31"/>
  <c r="AY53" i="31" s="1"/>
  <c r="AV53" i="31"/>
  <c r="AX53" i="31" s="1"/>
  <c r="AS53" i="31"/>
  <c r="AU53" i="31" s="1"/>
  <c r="AR53" i="31"/>
  <c r="AT53" i="31" s="1"/>
  <c r="AH53" i="31"/>
  <c r="L53" i="31"/>
  <c r="K53" i="31"/>
  <c r="AW52" i="31"/>
  <c r="AY52" i="31" s="1"/>
  <c r="AV52" i="31"/>
  <c r="AX52" i="31" s="1"/>
  <c r="AS52" i="31"/>
  <c r="AU52" i="31" s="1"/>
  <c r="AR52" i="31"/>
  <c r="AT52" i="31" s="1"/>
  <c r="AH52" i="31"/>
  <c r="L52" i="31"/>
  <c r="K52" i="31"/>
  <c r="AW51" i="31"/>
  <c r="AY51" i="31" s="1"/>
  <c r="AV51" i="31"/>
  <c r="AX51" i="31" s="1"/>
  <c r="AS51" i="31"/>
  <c r="AU51" i="31" s="1"/>
  <c r="AR51" i="31"/>
  <c r="AT51" i="31" s="1"/>
  <c r="AH51" i="31"/>
  <c r="L51" i="31"/>
  <c r="K51" i="31"/>
  <c r="AW50" i="31"/>
  <c r="AY50" i="31" s="1"/>
  <c r="AV50" i="31"/>
  <c r="AX50" i="31" s="1"/>
  <c r="AS50" i="31"/>
  <c r="AU50" i="31" s="1"/>
  <c r="AR50" i="31"/>
  <c r="AT50" i="31" s="1"/>
  <c r="AH50" i="31"/>
  <c r="L50" i="31"/>
  <c r="K50" i="31"/>
  <c r="AW49" i="31"/>
  <c r="AY49" i="31" s="1"/>
  <c r="AV49" i="31"/>
  <c r="AX49" i="31" s="1"/>
  <c r="AS49" i="31"/>
  <c r="AU49" i="31" s="1"/>
  <c r="AR49" i="31"/>
  <c r="AT49" i="31" s="1"/>
  <c r="AH49" i="31"/>
  <c r="L49" i="31"/>
  <c r="K49" i="31"/>
  <c r="AW48" i="31"/>
  <c r="AY48" i="31" s="1"/>
  <c r="AV48" i="31"/>
  <c r="AX48" i="31" s="1"/>
  <c r="AU48" i="31"/>
  <c r="AS48" i="31"/>
  <c r="AR48" i="31"/>
  <c r="AT48" i="31" s="1"/>
  <c r="AH48" i="31"/>
  <c r="L48" i="31"/>
  <c r="K48" i="31"/>
  <c r="AW47" i="31"/>
  <c r="AY47" i="31" s="1"/>
  <c r="AV47" i="31"/>
  <c r="AX47" i="31" s="1"/>
  <c r="AS47" i="31"/>
  <c r="AU47" i="31" s="1"/>
  <c r="AR47" i="31"/>
  <c r="AT47" i="31" s="1"/>
  <c r="AH47" i="31"/>
  <c r="L47" i="31"/>
  <c r="K47" i="31"/>
  <c r="AW46" i="31"/>
  <c r="AY46" i="31" s="1"/>
  <c r="AV46" i="31"/>
  <c r="AX46" i="31" s="1"/>
  <c r="AS46" i="31"/>
  <c r="AU46" i="31" s="1"/>
  <c r="AR46" i="31"/>
  <c r="AT46" i="31" s="1"/>
  <c r="AH46" i="31"/>
  <c r="L46" i="31"/>
  <c r="K46" i="31"/>
  <c r="AW45" i="31"/>
  <c r="AY45" i="31" s="1"/>
  <c r="AV45" i="31"/>
  <c r="AX45" i="31" s="1"/>
  <c r="AS45" i="31"/>
  <c r="AU45" i="31" s="1"/>
  <c r="AR45" i="31"/>
  <c r="AT45" i="31" s="1"/>
  <c r="AH45" i="31"/>
  <c r="L45" i="31"/>
  <c r="K45" i="31"/>
  <c r="AW44" i="31"/>
  <c r="AY44" i="31" s="1"/>
  <c r="AV44" i="31"/>
  <c r="AX44" i="31" s="1"/>
  <c r="AS44" i="31"/>
  <c r="AU44" i="31" s="1"/>
  <c r="AR44" i="31"/>
  <c r="AT44" i="31" s="1"/>
  <c r="AH44" i="31"/>
  <c r="L44" i="31"/>
  <c r="K44" i="31"/>
  <c r="AW43" i="31"/>
  <c r="AY43" i="31" s="1"/>
  <c r="AV43" i="31"/>
  <c r="AX43" i="31" s="1"/>
  <c r="AT43" i="31"/>
  <c r="AS43" i="31"/>
  <c r="AU43" i="31" s="1"/>
  <c r="AR43" i="31"/>
  <c r="AH43" i="31"/>
  <c r="L43" i="31"/>
  <c r="K43" i="31"/>
  <c r="AW42" i="31"/>
  <c r="AY42" i="31" s="1"/>
  <c r="AV42" i="31"/>
  <c r="AX42" i="31" s="1"/>
  <c r="AS42" i="31"/>
  <c r="AU42" i="31" s="1"/>
  <c r="AR42" i="31"/>
  <c r="AT42" i="31" s="1"/>
  <c r="AH42" i="31"/>
  <c r="L42" i="31"/>
  <c r="K42" i="31"/>
  <c r="AW41" i="31"/>
  <c r="AY41" i="31" s="1"/>
  <c r="AV41" i="31"/>
  <c r="AX41" i="31" s="1"/>
  <c r="AS41" i="31"/>
  <c r="AU41" i="31" s="1"/>
  <c r="AR41" i="31"/>
  <c r="AT41" i="31" s="1"/>
  <c r="AH41" i="31"/>
  <c r="L41" i="31"/>
  <c r="K41" i="31"/>
  <c r="AW40" i="31"/>
  <c r="AY40" i="31" s="1"/>
  <c r="AV40" i="31"/>
  <c r="AX40" i="31" s="1"/>
  <c r="AU40" i="31"/>
  <c r="AS40" i="31"/>
  <c r="AR40" i="31"/>
  <c r="AT40" i="31" s="1"/>
  <c r="AH40" i="31"/>
  <c r="L40" i="31"/>
  <c r="K40" i="31"/>
  <c r="AW39" i="31"/>
  <c r="AY39" i="31" s="1"/>
  <c r="AV39" i="31"/>
  <c r="AX39" i="31" s="1"/>
  <c r="AS39" i="31"/>
  <c r="AU39" i="31" s="1"/>
  <c r="AR39" i="31"/>
  <c r="AT39" i="31" s="1"/>
  <c r="AH39" i="31"/>
  <c r="L39" i="31"/>
  <c r="K39" i="31"/>
  <c r="AW38" i="31"/>
  <c r="AY38" i="31" s="1"/>
  <c r="AV38" i="31"/>
  <c r="AX38" i="31" s="1"/>
  <c r="AS38" i="31"/>
  <c r="AU38" i="31" s="1"/>
  <c r="AR38" i="31"/>
  <c r="AT38" i="31" s="1"/>
  <c r="AH38" i="31"/>
  <c r="L38" i="31"/>
  <c r="K38" i="31"/>
  <c r="AW37" i="31"/>
  <c r="AY37" i="31" s="1"/>
  <c r="AV37" i="31"/>
  <c r="AX37" i="31" s="1"/>
  <c r="AS37" i="31"/>
  <c r="AU37" i="31" s="1"/>
  <c r="AR37" i="31"/>
  <c r="AT37" i="31" s="1"/>
  <c r="AH37" i="31"/>
  <c r="L37" i="31"/>
  <c r="K37" i="31"/>
  <c r="AW36" i="31"/>
  <c r="AY36" i="31" s="1"/>
  <c r="AV36" i="31"/>
  <c r="AX36" i="31" s="1"/>
  <c r="AS36" i="31"/>
  <c r="AU36" i="31" s="1"/>
  <c r="AR36" i="31"/>
  <c r="AT36" i="31" s="1"/>
  <c r="AH36" i="31"/>
  <c r="L36" i="31"/>
  <c r="K36" i="31"/>
  <c r="AW35" i="31"/>
  <c r="AY35" i="31" s="1"/>
  <c r="AV35" i="31"/>
  <c r="AX35" i="31" s="1"/>
  <c r="AS35" i="31"/>
  <c r="AU35" i="31" s="1"/>
  <c r="AR35" i="31"/>
  <c r="AT35" i="31" s="1"/>
  <c r="AH35" i="31"/>
  <c r="L35" i="31"/>
  <c r="K35" i="31"/>
  <c r="AW34" i="31"/>
  <c r="AY34" i="31" s="1"/>
  <c r="AV34" i="31"/>
  <c r="AX34" i="31" s="1"/>
  <c r="AS34" i="31"/>
  <c r="AU34" i="31" s="1"/>
  <c r="AR34" i="31"/>
  <c r="AT34" i="31" s="1"/>
  <c r="AH34" i="31"/>
  <c r="L34" i="31"/>
  <c r="K34" i="31"/>
  <c r="AW33" i="31"/>
  <c r="AY33" i="31" s="1"/>
  <c r="AV33" i="31"/>
  <c r="AX33" i="31" s="1"/>
  <c r="AS33" i="31"/>
  <c r="AU33" i="31" s="1"/>
  <c r="AR33" i="31"/>
  <c r="AT33" i="31" s="1"/>
  <c r="AH33" i="31"/>
  <c r="L33" i="31"/>
  <c r="K33" i="31"/>
  <c r="AW32" i="31"/>
  <c r="AY32" i="31" s="1"/>
  <c r="AV32" i="31"/>
  <c r="AX32" i="31" s="1"/>
  <c r="AS32" i="31"/>
  <c r="AU32" i="31" s="1"/>
  <c r="AR32" i="31"/>
  <c r="AT32" i="31" s="1"/>
  <c r="AH32" i="31"/>
  <c r="L32" i="31"/>
  <c r="K32" i="31"/>
  <c r="AW31" i="31"/>
  <c r="AY31" i="31" s="1"/>
  <c r="AV31" i="31"/>
  <c r="AX31" i="31" s="1"/>
  <c r="AS31" i="31"/>
  <c r="AU31" i="31" s="1"/>
  <c r="AR31" i="31"/>
  <c r="AT31" i="31" s="1"/>
  <c r="AH31" i="31"/>
  <c r="L31" i="31"/>
  <c r="K31" i="31"/>
  <c r="AW30" i="31"/>
  <c r="AY30" i="31" s="1"/>
  <c r="AV30" i="31"/>
  <c r="AX30" i="31" s="1"/>
  <c r="AS30" i="31"/>
  <c r="AU30" i="31" s="1"/>
  <c r="AR30" i="31"/>
  <c r="AT30" i="31" s="1"/>
  <c r="AH30" i="31"/>
  <c r="L30" i="31"/>
  <c r="K30" i="31"/>
  <c r="AW29" i="31"/>
  <c r="AY29" i="31" s="1"/>
  <c r="AV29" i="31"/>
  <c r="AX29" i="31" s="1"/>
  <c r="AS29" i="31"/>
  <c r="AU29" i="31" s="1"/>
  <c r="AR29" i="31"/>
  <c r="AT29" i="31" s="1"/>
  <c r="AH29" i="31"/>
  <c r="L29" i="31"/>
  <c r="K29" i="31"/>
  <c r="AW28" i="31"/>
  <c r="AY28" i="31" s="1"/>
  <c r="AV28" i="31"/>
  <c r="AX28" i="31" s="1"/>
  <c r="AS28" i="31"/>
  <c r="AU28" i="31" s="1"/>
  <c r="AR28" i="31"/>
  <c r="AT28" i="31" s="1"/>
  <c r="AH28" i="31"/>
  <c r="L28" i="31"/>
  <c r="K28" i="31"/>
  <c r="AW27" i="31"/>
  <c r="AY27" i="31" s="1"/>
  <c r="AV27" i="31"/>
  <c r="AX27" i="31" s="1"/>
  <c r="AS27" i="31"/>
  <c r="AU27" i="31" s="1"/>
  <c r="AR27" i="31"/>
  <c r="AT27" i="31" s="1"/>
  <c r="AH27" i="31"/>
  <c r="L27" i="31"/>
  <c r="K27" i="31"/>
  <c r="AW26" i="31"/>
  <c r="AY26" i="31" s="1"/>
  <c r="AV26" i="31"/>
  <c r="AX26" i="31" s="1"/>
  <c r="AS26" i="31"/>
  <c r="AU26" i="31" s="1"/>
  <c r="AR26" i="31"/>
  <c r="AT26" i="31" s="1"/>
  <c r="AH26" i="31"/>
  <c r="L26" i="31"/>
  <c r="K26" i="31"/>
  <c r="AW25" i="31"/>
  <c r="AY25" i="31" s="1"/>
  <c r="AV25" i="31"/>
  <c r="AX25" i="31" s="1"/>
  <c r="AS25" i="31"/>
  <c r="AU25" i="31" s="1"/>
  <c r="AR25" i="31"/>
  <c r="AT25" i="31" s="1"/>
  <c r="AH25" i="31"/>
  <c r="L25" i="31"/>
  <c r="K25" i="31"/>
  <c r="AW24" i="31"/>
  <c r="AY24" i="31" s="1"/>
  <c r="AV24" i="31"/>
  <c r="AX24" i="31" s="1"/>
  <c r="AU24" i="31"/>
  <c r="AS24" i="31"/>
  <c r="AR24" i="31"/>
  <c r="AT24" i="31" s="1"/>
  <c r="AH24" i="31"/>
  <c r="L24" i="31"/>
  <c r="K24" i="31"/>
  <c r="AW23" i="31"/>
  <c r="AY23" i="31" s="1"/>
  <c r="AV23" i="31"/>
  <c r="AX23" i="31" s="1"/>
  <c r="AS23" i="31"/>
  <c r="AU23" i="31" s="1"/>
  <c r="AR23" i="31"/>
  <c r="AT23" i="31" s="1"/>
  <c r="AH23" i="31"/>
  <c r="L23" i="31"/>
  <c r="K23" i="31"/>
  <c r="AW22" i="31"/>
  <c r="AY22" i="31" s="1"/>
  <c r="AV22" i="31"/>
  <c r="AX22" i="31" s="1"/>
  <c r="AS22" i="31"/>
  <c r="AU22" i="31" s="1"/>
  <c r="AR22" i="31"/>
  <c r="AT22" i="31" s="1"/>
  <c r="AH22" i="31"/>
  <c r="L22" i="31"/>
  <c r="K22" i="31"/>
  <c r="AW21" i="31"/>
  <c r="AY21" i="31" s="1"/>
  <c r="AV21" i="31"/>
  <c r="AX21" i="31" s="1"/>
  <c r="AS21" i="31"/>
  <c r="AU21" i="31" s="1"/>
  <c r="AR21" i="31"/>
  <c r="AT21" i="31" s="1"/>
  <c r="AH21" i="31"/>
  <c r="L21" i="31"/>
  <c r="K21" i="31"/>
  <c r="AW20" i="31"/>
  <c r="AY20" i="31" s="1"/>
  <c r="AV20" i="31"/>
  <c r="AX20" i="31" s="1"/>
  <c r="AS20" i="31"/>
  <c r="AU20" i="31" s="1"/>
  <c r="AR20" i="31"/>
  <c r="AT20" i="31" s="1"/>
  <c r="AH20" i="31"/>
  <c r="L20" i="31"/>
  <c r="K20" i="31"/>
  <c r="AW19" i="31"/>
  <c r="AY19" i="31" s="1"/>
  <c r="AV19" i="31"/>
  <c r="AX19" i="31" s="1"/>
  <c r="AS19" i="31"/>
  <c r="AU19" i="31" s="1"/>
  <c r="AR19" i="31"/>
  <c r="AT19" i="31" s="1"/>
  <c r="AH19" i="31"/>
  <c r="L19" i="31"/>
  <c r="K19" i="31"/>
  <c r="AW18" i="31"/>
  <c r="AY18" i="31" s="1"/>
  <c r="AV18" i="31"/>
  <c r="AX18" i="31" s="1"/>
  <c r="AS18" i="31"/>
  <c r="AU18" i="31" s="1"/>
  <c r="AR18" i="31"/>
  <c r="AT18" i="31" s="1"/>
  <c r="AH18" i="31"/>
  <c r="L18" i="31"/>
  <c r="K18" i="31"/>
  <c r="AW17" i="31"/>
  <c r="AY17" i="31" s="1"/>
  <c r="AV17" i="31"/>
  <c r="AX17" i="31" s="1"/>
  <c r="AS17" i="31"/>
  <c r="AU17" i="31" s="1"/>
  <c r="AR17" i="31"/>
  <c r="AT17" i="31" s="1"/>
  <c r="AH17" i="31"/>
  <c r="L17" i="31"/>
  <c r="K17" i="31"/>
  <c r="AW16" i="31"/>
  <c r="AY16" i="31" s="1"/>
  <c r="AV16" i="31"/>
  <c r="AX16" i="31" s="1"/>
  <c r="AU16" i="31"/>
  <c r="AS16" i="31"/>
  <c r="AR16" i="31"/>
  <c r="AT16" i="31" s="1"/>
  <c r="AH16" i="31"/>
  <c r="L16" i="31"/>
  <c r="K16" i="31"/>
  <c r="AW15" i="31"/>
  <c r="AY15" i="31" s="1"/>
  <c r="AV15" i="31"/>
  <c r="AX15" i="31" s="1"/>
  <c r="AT15" i="31"/>
  <c r="AS15" i="31"/>
  <c r="AU15" i="31" s="1"/>
  <c r="AR15" i="31"/>
  <c r="AH15" i="31"/>
  <c r="L15" i="31"/>
  <c r="K15" i="31"/>
  <c r="AW14" i="31"/>
  <c r="AY14" i="31" s="1"/>
  <c r="AV14" i="31"/>
  <c r="AX14" i="31" s="1"/>
  <c r="AT14" i="31"/>
  <c r="AS14" i="31"/>
  <c r="AU14" i="31" s="1"/>
  <c r="AR14" i="31"/>
  <c r="AH14" i="31"/>
  <c r="L14" i="31"/>
  <c r="K14" i="31"/>
  <c r="AW13" i="31"/>
  <c r="AY13" i="31" s="1"/>
  <c r="AV13" i="31"/>
  <c r="AX13" i="31" s="1"/>
  <c r="AS13" i="31"/>
  <c r="AU13" i="31" s="1"/>
  <c r="AR13" i="31"/>
  <c r="AT13" i="31" s="1"/>
  <c r="AH13" i="31"/>
  <c r="L13" i="31"/>
  <c r="K13" i="31"/>
  <c r="AW12" i="31"/>
  <c r="AY12" i="31" s="1"/>
  <c r="AV12" i="31"/>
  <c r="AX12" i="31" s="1"/>
  <c r="AS12" i="31"/>
  <c r="AU12" i="31" s="1"/>
  <c r="AR12" i="31"/>
  <c r="AT12" i="31" s="1"/>
  <c r="AH12" i="31"/>
  <c r="L12" i="31"/>
  <c r="K12" i="31"/>
  <c r="AW11" i="31"/>
  <c r="AY11" i="31" s="1"/>
  <c r="AV11" i="31"/>
  <c r="AX11" i="31" s="1"/>
  <c r="AS11" i="31"/>
  <c r="AU11" i="31" s="1"/>
  <c r="AR11" i="31"/>
  <c r="AT11" i="31" s="1"/>
  <c r="AH11" i="31"/>
  <c r="L11" i="31"/>
  <c r="K11" i="31"/>
  <c r="AW10" i="31"/>
  <c r="AY10" i="31" s="1"/>
  <c r="AV10" i="31"/>
  <c r="AX10" i="31" s="1"/>
  <c r="AS10" i="31"/>
  <c r="AU10" i="31" s="1"/>
  <c r="AR10" i="31"/>
  <c r="AT10" i="31" s="1"/>
  <c r="AH10" i="31"/>
  <c r="L10" i="31"/>
  <c r="K10" i="31"/>
  <c r="AW9" i="31"/>
  <c r="AY9" i="31" s="1"/>
  <c r="AV9" i="31"/>
  <c r="AX9" i="31" s="1"/>
  <c r="AS9" i="31"/>
  <c r="AU9" i="31" s="1"/>
  <c r="AR9" i="31"/>
  <c r="AT9" i="31" s="1"/>
  <c r="AH9" i="31"/>
  <c r="L9" i="31"/>
  <c r="K9" i="31"/>
  <c r="AW8" i="31"/>
  <c r="AY8" i="31" s="1"/>
  <c r="AV8" i="31"/>
  <c r="AX8" i="31" s="1"/>
  <c r="AS8" i="31"/>
  <c r="AU8" i="31" s="1"/>
  <c r="AR8" i="31"/>
  <c r="AT8" i="31" s="1"/>
  <c r="AH8" i="31"/>
  <c r="L8" i="31"/>
  <c r="K8" i="31"/>
  <c r="AW7" i="31"/>
  <c r="AY7" i="31" s="1"/>
  <c r="AV7" i="31"/>
  <c r="AX7" i="31" s="1"/>
  <c r="AS7" i="31"/>
  <c r="AU7" i="31" s="1"/>
  <c r="AR7" i="31"/>
  <c r="AT7" i="31" s="1"/>
  <c r="AH7" i="31"/>
  <c r="L7" i="31"/>
  <c r="K7" i="31"/>
  <c r="AW6" i="31"/>
  <c r="AY6" i="31" s="1"/>
  <c r="AV6" i="31"/>
  <c r="AX6" i="31" s="1"/>
  <c r="AS6" i="31"/>
  <c r="AU6" i="31" s="1"/>
  <c r="AR6" i="31"/>
  <c r="AT6" i="31" s="1"/>
  <c r="AH6" i="31"/>
  <c r="L6" i="31"/>
  <c r="K6" i="31"/>
  <c r="AW5" i="31"/>
  <c r="AY5" i="31" s="1"/>
  <c r="AV5" i="31"/>
  <c r="AX5" i="31" s="1"/>
  <c r="AS5" i="31"/>
  <c r="AU5" i="31" s="1"/>
  <c r="AR5" i="31"/>
  <c r="AT5" i="31" s="1"/>
  <c r="AH5" i="31"/>
  <c r="L5" i="31"/>
  <c r="K5" i="31"/>
  <c r="AW4" i="31"/>
  <c r="AY4" i="31" s="1"/>
  <c r="AV4" i="31"/>
  <c r="AX4" i="31" s="1"/>
  <c r="AS4" i="31"/>
  <c r="AU4" i="31" s="1"/>
  <c r="AR4" i="31"/>
  <c r="AT4" i="31" s="1"/>
  <c r="AH4" i="31"/>
  <c r="L4" i="31"/>
  <c r="K4" i="31"/>
  <c r="AW3" i="31"/>
  <c r="AY3" i="31" s="1"/>
  <c r="AV3" i="31"/>
  <c r="AX3" i="31" s="1"/>
  <c r="AS3" i="31"/>
  <c r="AU3" i="31" s="1"/>
  <c r="AR3" i="31"/>
  <c r="AT3" i="31" s="1"/>
  <c r="AH3" i="31"/>
  <c r="L3" i="31"/>
  <c r="K3" i="31"/>
  <c r="G85" i="37" l="1"/>
  <c r="P85" i="37"/>
  <c r="D76" i="37"/>
  <c r="D104" i="37"/>
  <c r="H104" i="37"/>
  <c r="N104" i="37"/>
  <c r="E94" i="37"/>
  <c r="I94" i="37"/>
  <c r="Q94" i="37"/>
  <c r="D95" i="37"/>
  <c r="T83" i="37"/>
  <c r="L102" i="37"/>
  <c r="L105" i="37" s="1"/>
  <c r="D66" i="37"/>
  <c r="H75" i="37"/>
  <c r="D85" i="37"/>
  <c r="D97" i="37" s="1"/>
  <c r="F66" i="37"/>
  <c r="J66" i="37"/>
  <c r="N66" i="37"/>
  <c r="L85" i="37"/>
  <c r="N97" i="37"/>
  <c r="D102" i="37"/>
  <c r="P102" i="37"/>
  <c r="E102" i="37"/>
  <c r="G102" i="37"/>
  <c r="I102" i="37"/>
  <c r="I105" i="37" s="1"/>
  <c r="Q102" i="37"/>
  <c r="Q105" i="37" s="1"/>
  <c r="T64" i="37"/>
  <c r="H66" i="37"/>
  <c r="D96" i="37"/>
  <c r="J97" i="37"/>
  <c r="D103" i="37"/>
  <c r="F116" i="37"/>
  <c r="D109" i="37"/>
  <c r="D115" i="37" s="1"/>
  <c r="H96" i="37"/>
  <c r="D91" i="37"/>
  <c r="H91" i="37"/>
  <c r="H97" i="37" s="1"/>
  <c r="G97" i="37"/>
  <c r="L94" i="37"/>
  <c r="T89" i="37"/>
  <c r="H110" i="37"/>
  <c r="H77" i="37"/>
  <c r="D94" i="37"/>
  <c r="H94" i="37"/>
  <c r="D108" i="37"/>
  <c r="H108" i="37"/>
  <c r="P108" i="37"/>
  <c r="P111" i="37" s="1"/>
  <c r="J76" i="37"/>
  <c r="T76" i="37" s="1"/>
  <c r="I111" i="36"/>
  <c r="I114" i="36" s="1"/>
  <c r="Q111" i="36"/>
  <c r="Q114" i="36" s="1"/>
  <c r="G113" i="36"/>
  <c r="G119" i="36" s="1"/>
  <c r="R100" i="36"/>
  <c r="D99" i="36"/>
  <c r="N100" i="36"/>
  <c r="I100" i="36"/>
  <c r="G94" i="36"/>
  <c r="E111" i="36"/>
  <c r="D113" i="36"/>
  <c r="D119" i="36" s="1"/>
  <c r="E75" i="36"/>
  <c r="E81" i="36" s="1"/>
  <c r="M113" i="36"/>
  <c r="M119" i="36" s="1"/>
  <c r="Q75" i="36"/>
  <c r="Q81" i="36" s="1"/>
  <c r="I78" i="36"/>
  <c r="F100" i="36"/>
  <c r="O99" i="36"/>
  <c r="I75" i="35"/>
  <c r="G94" i="35"/>
  <c r="Q78" i="35"/>
  <c r="G113" i="35"/>
  <c r="T113" i="35" s="1"/>
  <c r="H114" i="35"/>
  <c r="D94" i="35"/>
  <c r="E78" i="35"/>
  <c r="D97" i="35"/>
  <c r="H97" i="35"/>
  <c r="P97" i="35"/>
  <c r="H99" i="35"/>
  <c r="T92" i="35"/>
  <c r="O99" i="35"/>
  <c r="M114" i="35"/>
  <c r="J112" i="35"/>
  <c r="T112" i="35" s="1"/>
  <c r="H80" i="35"/>
  <c r="I100" i="35"/>
  <c r="P75" i="35"/>
  <c r="H78" i="35"/>
  <c r="E97" i="35"/>
  <c r="J98" i="35"/>
  <c r="T98" i="35" s="1"/>
  <c r="E117" i="35"/>
  <c r="G119" i="33"/>
  <c r="I75" i="33"/>
  <c r="K100" i="33"/>
  <c r="R100" i="33"/>
  <c r="G94" i="33"/>
  <c r="Q78" i="33"/>
  <c r="Q75" i="33"/>
  <c r="Q81" i="33" s="1"/>
  <c r="E81" i="33"/>
  <c r="I78" i="33"/>
  <c r="O113" i="33"/>
  <c r="O119" i="33" s="1"/>
  <c r="E75" i="33"/>
  <c r="I100" i="33"/>
  <c r="E117" i="33"/>
  <c r="K100" i="34"/>
  <c r="R100" i="34"/>
  <c r="G97" i="34"/>
  <c r="D94" i="34"/>
  <c r="T92" i="34"/>
  <c r="E78" i="34"/>
  <c r="H100" i="34"/>
  <c r="I78" i="34"/>
  <c r="J98" i="34"/>
  <c r="T98" i="34" s="1"/>
  <c r="Q75" i="34"/>
  <c r="Q81" i="34" s="1"/>
  <c r="E81" i="34"/>
  <c r="G94" i="32"/>
  <c r="L97" i="32"/>
  <c r="O100" i="32"/>
  <c r="H97" i="32"/>
  <c r="P97" i="32"/>
  <c r="H99" i="32"/>
  <c r="D79" i="32"/>
  <c r="H80" i="32"/>
  <c r="D94" i="32"/>
  <c r="T74" i="32"/>
  <c r="D97" i="32"/>
  <c r="T92" i="32"/>
  <c r="G100" i="31"/>
  <c r="L97" i="31"/>
  <c r="D98" i="31"/>
  <c r="D94" i="31"/>
  <c r="H94" i="31"/>
  <c r="L111" i="31"/>
  <c r="L114" i="31" s="1"/>
  <c r="D112" i="31"/>
  <c r="D118" i="31" s="1"/>
  <c r="H113" i="31"/>
  <c r="H119" i="31" s="1"/>
  <c r="I78" i="31"/>
  <c r="D119" i="31"/>
  <c r="E75" i="31"/>
  <c r="O119" i="31"/>
  <c r="D111" i="31"/>
  <c r="D117" i="31" s="1"/>
  <c r="H111" i="31"/>
  <c r="P111" i="31"/>
  <c r="P114" i="31" s="1"/>
  <c r="Q75" i="31"/>
  <c r="K100" i="31"/>
  <c r="I117" i="31"/>
  <c r="O113" i="31"/>
  <c r="G97" i="33"/>
  <c r="D110" i="37"/>
  <c r="D116" i="37" s="1"/>
  <c r="D77" i="37"/>
  <c r="E81" i="31"/>
  <c r="Q81" i="31"/>
  <c r="T73" i="31"/>
  <c r="H75" i="31"/>
  <c r="D78" i="31"/>
  <c r="P78" i="31"/>
  <c r="D97" i="31"/>
  <c r="H97" i="31"/>
  <c r="P97" i="31"/>
  <c r="J100" i="31"/>
  <c r="H99" i="31"/>
  <c r="T92" i="31"/>
  <c r="O114" i="31"/>
  <c r="D75" i="32"/>
  <c r="D81" i="32" s="1"/>
  <c r="D94" i="33"/>
  <c r="J112" i="31"/>
  <c r="J114" i="31" s="1"/>
  <c r="N110" i="37"/>
  <c r="N111" i="37" s="1"/>
  <c r="N77" i="37"/>
  <c r="N72" i="37"/>
  <c r="H81" i="31"/>
  <c r="I75" i="31"/>
  <c r="I81" i="31" s="1"/>
  <c r="E78" i="31"/>
  <c r="Q78" i="31"/>
  <c r="E97" i="31"/>
  <c r="H100" i="31"/>
  <c r="J98" i="31"/>
  <c r="T98" i="31" s="1"/>
  <c r="O99" i="31"/>
  <c r="Q117" i="31"/>
  <c r="K111" i="31"/>
  <c r="K114" i="31" s="1"/>
  <c r="R111" i="31"/>
  <c r="R114" i="31" s="1"/>
  <c r="H111" i="32"/>
  <c r="H114" i="32" s="1"/>
  <c r="H75" i="32"/>
  <c r="H81" i="32" s="1"/>
  <c r="P111" i="32"/>
  <c r="P114" i="32" s="1"/>
  <c r="P78" i="32"/>
  <c r="P75" i="32"/>
  <c r="P81" i="32" s="1"/>
  <c r="J112" i="32"/>
  <c r="J114" i="32" s="1"/>
  <c r="T73" i="32"/>
  <c r="E100" i="32"/>
  <c r="G119" i="31"/>
  <c r="P81" i="31"/>
  <c r="P100" i="31"/>
  <c r="P75" i="31"/>
  <c r="H78" i="31"/>
  <c r="D79" i="31"/>
  <c r="H80" i="31"/>
  <c r="T93" i="31"/>
  <c r="H117" i="31"/>
  <c r="T93" i="33"/>
  <c r="G99" i="33"/>
  <c r="O94" i="33"/>
  <c r="O100" i="33" s="1"/>
  <c r="O99" i="33"/>
  <c r="L78" i="32"/>
  <c r="I81" i="32"/>
  <c r="Q81" i="32"/>
  <c r="E111" i="32"/>
  <c r="E114" i="32" s="1"/>
  <c r="I111" i="32"/>
  <c r="I114" i="32" s="1"/>
  <c r="Q111" i="32"/>
  <c r="Q114" i="32" s="1"/>
  <c r="M113" i="32"/>
  <c r="M119" i="32" s="1"/>
  <c r="E75" i="32"/>
  <c r="E81" i="32" s="1"/>
  <c r="M75" i="32"/>
  <c r="M81" i="32" s="1"/>
  <c r="I78" i="32"/>
  <c r="E97" i="32"/>
  <c r="I97" i="32"/>
  <c r="Q97" i="32"/>
  <c r="J98" i="32"/>
  <c r="T98" i="32" s="1"/>
  <c r="N99" i="32"/>
  <c r="H111" i="33"/>
  <c r="H117" i="33" s="1"/>
  <c r="H78" i="33"/>
  <c r="P111" i="33"/>
  <c r="P114" i="33" s="1"/>
  <c r="P75" i="33"/>
  <c r="P81" i="33" s="1"/>
  <c r="H113" i="33"/>
  <c r="H80" i="33"/>
  <c r="D78" i="33"/>
  <c r="G100" i="33"/>
  <c r="D98" i="33"/>
  <c r="P100" i="33"/>
  <c r="P117" i="33"/>
  <c r="F111" i="33"/>
  <c r="F114" i="33" s="1"/>
  <c r="J112" i="33"/>
  <c r="J114" i="33" s="1"/>
  <c r="P81" i="36"/>
  <c r="D111" i="36"/>
  <c r="D117" i="36" s="1"/>
  <c r="D78" i="36"/>
  <c r="H111" i="36"/>
  <c r="H117" i="36" s="1"/>
  <c r="H75" i="36"/>
  <c r="H81" i="36" s="1"/>
  <c r="H78" i="36"/>
  <c r="P111" i="36"/>
  <c r="P114" i="36" s="1"/>
  <c r="P78" i="36"/>
  <c r="J75" i="36"/>
  <c r="T73" i="36"/>
  <c r="J112" i="36"/>
  <c r="T112" i="36" s="1"/>
  <c r="P75" i="36"/>
  <c r="H78" i="32"/>
  <c r="J81" i="32"/>
  <c r="D113" i="32"/>
  <c r="D114" i="32" s="1"/>
  <c r="D99" i="32"/>
  <c r="I100" i="32"/>
  <c r="O99" i="32"/>
  <c r="L117" i="32"/>
  <c r="T112" i="32"/>
  <c r="T73" i="33"/>
  <c r="H75" i="33"/>
  <c r="H81" i="33" s="1"/>
  <c r="E78" i="33"/>
  <c r="D97" i="33"/>
  <c r="H97" i="33"/>
  <c r="P97" i="33"/>
  <c r="J100" i="33"/>
  <c r="H99" i="33"/>
  <c r="E100" i="33"/>
  <c r="T92" i="33"/>
  <c r="J98" i="33"/>
  <c r="T98" i="33" s="1"/>
  <c r="O114" i="33"/>
  <c r="E100" i="34"/>
  <c r="K111" i="34"/>
  <c r="K114" i="34" s="1"/>
  <c r="R111" i="34"/>
  <c r="R114" i="34" s="1"/>
  <c r="N75" i="35"/>
  <c r="N113" i="35"/>
  <c r="P100" i="32"/>
  <c r="H119" i="33"/>
  <c r="K111" i="33"/>
  <c r="K114" i="33" s="1"/>
  <c r="R111" i="33"/>
  <c r="R114" i="33" s="1"/>
  <c r="F75" i="34"/>
  <c r="F111" i="34"/>
  <c r="F114" i="34" s="1"/>
  <c r="F75" i="35"/>
  <c r="F111" i="35"/>
  <c r="F114" i="35" s="1"/>
  <c r="K75" i="35"/>
  <c r="K111" i="35"/>
  <c r="K114" i="35" s="1"/>
  <c r="R75" i="35"/>
  <c r="R111" i="35"/>
  <c r="R114" i="35" s="1"/>
  <c r="H100" i="35"/>
  <c r="G119" i="34"/>
  <c r="P75" i="34"/>
  <c r="P81" i="34" s="1"/>
  <c r="H78" i="34"/>
  <c r="D79" i="34"/>
  <c r="H80" i="34"/>
  <c r="E97" i="34"/>
  <c r="I97" i="34"/>
  <c r="Q97" i="34"/>
  <c r="M99" i="34"/>
  <c r="P117" i="34"/>
  <c r="I81" i="35"/>
  <c r="T74" i="35"/>
  <c r="D79" i="35"/>
  <c r="K100" i="35"/>
  <c r="R100" i="35"/>
  <c r="T93" i="35"/>
  <c r="L97" i="36"/>
  <c r="D98" i="36"/>
  <c r="P100" i="36"/>
  <c r="H94" i="36"/>
  <c r="H100" i="36" s="1"/>
  <c r="J94" i="36"/>
  <c r="J100" i="36" s="1"/>
  <c r="T92" i="36"/>
  <c r="F72" i="37"/>
  <c r="F108" i="37"/>
  <c r="F111" i="37" s="1"/>
  <c r="P97" i="37"/>
  <c r="I100" i="34"/>
  <c r="T93" i="34"/>
  <c r="O99" i="34"/>
  <c r="J112" i="34"/>
  <c r="J114" i="34" s="1"/>
  <c r="O113" i="34"/>
  <c r="G119" i="35"/>
  <c r="P81" i="35"/>
  <c r="E75" i="35"/>
  <c r="Q75" i="35"/>
  <c r="Q81" i="35" s="1"/>
  <c r="I78" i="35"/>
  <c r="G100" i="35"/>
  <c r="D98" i="35"/>
  <c r="P100" i="35"/>
  <c r="H120" i="35"/>
  <c r="D118" i="35"/>
  <c r="H119" i="35"/>
  <c r="E120" i="35"/>
  <c r="O114" i="35"/>
  <c r="O113" i="35"/>
  <c r="J98" i="36"/>
  <c r="T98" i="36" s="1"/>
  <c r="G72" i="37"/>
  <c r="L108" i="37"/>
  <c r="L111" i="37" s="1"/>
  <c r="L117" i="37" s="1"/>
  <c r="L75" i="37"/>
  <c r="L72" i="37"/>
  <c r="L78" i="37" s="1"/>
  <c r="D112" i="33"/>
  <c r="D118" i="33" s="1"/>
  <c r="D79" i="33"/>
  <c r="E97" i="33"/>
  <c r="I97" i="33"/>
  <c r="Q97" i="33"/>
  <c r="M99" i="33"/>
  <c r="H100" i="33"/>
  <c r="M114" i="33"/>
  <c r="H81" i="34"/>
  <c r="E111" i="34"/>
  <c r="I111" i="34"/>
  <c r="I114" i="34" s="1"/>
  <c r="Q111" i="34"/>
  <c r="Q114" i="34" s="1"/>
  <c r="T73" i="34"/>
  <c r="M113" i="34"/>
  <c r="M114" i="34" s="1"/>
  <c r="H75" i="34"/>
  <c r="D78" i="34"/>
  <c r="P78" i="34"/>
  <c r="G100" i="34"/>
  <c r="D98" i="34"/>
  <c r="O100" i="34"/>
  <c r="P100" i="34"/>
  <c r="D118" i="34"/>
  <c r="H119" i="34"/>
  <c r="J118" i="35"/>
  <c r="E81" i="35"/>
  <c r="T73" i="35"/>
  <c r="H75" i="35"/>
  <c r="H81" i="35" s="1"/>
  <c r="D78" i="35"/>
  <c r="P78" i="35"/>
  <c r="E100" i="35"/>
  <c r="G99" i="35"/>
  <c r="T99" i="35" s="1"/>
  <c r="L111" i="36"/>
  <c r="L114" i="36" s="1"/>
  <c r="D112" i="36"/>
  <c r="D118" i="36" s="1"/>
  <c r="H113" i="36"/>
  <c r="H119" i="36" s="1"/>
  <c r="T93" i="36"/>
  <c r="J109" i="37"/>
  <c r="J115" i="37" s="1"/>
  <c r="N96" i="37"/>
  <c r="D97" i="36"/>
  <c r="H97" i="36"/>
  <c r="P97" i="36"/>
  <c r="H99" i="36"/>
  <c r="E100" i="36"/>
  <c r="Q100" i="36"/>
  <c r="O114" i="36"/>
  <c r="J72" i="37"/>
  <c r="J78" i="37" s="1"/>
  <c r="J95" i="37"/>
  <c r="T95" i="37" s="1"/>
  <c r="O119" i="36"/>
  <c r="I75" i="36"/>
  <c r="I81" i="36" s="1"/>
  <c r="E78" i="36"/>
  <c r="Q78" i="36"/>
  <c r="E97" i="36"/>
  <c r="I97" i="36"/>
  <c r="Q97" i="36"/>
  <c r="M99" i="36"/>
  <c r="D94" i="36"/>
  <c r="E108" i="37"/>
  <c r="E111" i="37" s="1"/>
  <c r="I108" i="37"/>
  <c r="I111" i="37" s="1"/>
  <c r="Q108" i="37"/>
  <c r="Q111" i="37" s="1"/>
  <c r="T109" i="37"/>
  <c r="M104" i="37"/>
  <c r="M77" i="37"/>
  <c r="M66" i="37"/>
  <c r="T71" i="37"/>
  <c r="G110" i="37"/>
  <c r="M96" i="37"/>
  <c r="M85" i="37"/>
  <c r="M97" i="37" s="1"/>
  <c r="R102" i="37"/>
  <c r="R75" i="37"/>
  <c r="D72" i="37"/>
  <c r="D78" i="37" s="1"/>
  <c r="D75" i="37"/>
  <c r="P75" i="37"/>
  <c r="F94" i="37"/>
  <c r="P105" i="37"/>
  <c r="R108" i="37"/>
  <c r="R111" i="37" s="1"/>
  <c r="K102" i="37"/>
  <c r="K75" i="37"/>
  <c r="K66" i="37"/>
  <c r="K85" i="37"/>
  <c r="K97" i="37" s="1"/>
  <c r="K94" i="37"/>
  <c r="G104" i="37"/>
  <c r="G77" i="37"/>
  <c r="T65" i="37"/>
  <c r="O104" i="37"/>
  <c r="O77" i="37"/>
  <c r="O66" i="37"/>
  <c r="R66" i="37"/>
  <c r="R78" i="37" s="1"/>
  <c r="M110" i="37"/>
  <c r="M111" i="37" s="1"/>
  <c r="M72" i="37"/>
  <c r="F75" i="37"/>
  <c r="T84" i="37"/>
  <c r="L97" i="37"/>
  <c r="T90" i="37"/>
  <c r="R94" i="37"/>
  <c r="H102" i="37"/>
  <c r="T103" i="37"/>
  <c r="O72" i="37"/>
  <c r="O110" i="37"/>
  <c r="O111" i="37" s="1"/>
  <c r="F105" i="37"/>
  <c r="K72" i="37"/>
  <c r="K108" i="37"/>
  <c r="K111" i="37" s="1"/>
  <c r="H72" i="37"/>
  <c r="P72" i="37"/>
  <c r="P78" i="37" s="1"/>
  <c r="J114" i="37"/>
  <c r="T63" i="37"/>
  <c r="E66" i="37"/>
  <c r="I66" i="37"/>
  <c r="Q66" i="37"/>
  <c r="T69" i="37"/>
  <c r="E72" i="37"/>
  <c r="I72" i="37"/>
  <c r="Q72" i="37"/>
  <c r="E75" i="37"/>
  <c r="I75" i="37"/>
  <c r="Q75" i="37"/>
  <c r="T82" i="37"/>
  <c r="E85" i="37"/>
  <c r="E97" i="37" s="1"/>
  <c r="I85" i="37"/>
  <c r="I97" i="37" s="1"/>
  <c r="Q85" i="37"/>
  <c r="Q97" i="37" s="1"/>
  <c r="T88" i="37"/>
  <c r="G94" i="37"/>
  <c r="G96" i="37"/>
  <c r="O96" i="37"/>
  <c r="G108" i="37"/>
  <c r="E115" i="37"/>
  <c r="E116" i="37"/>
  <c r="J105" i="37"/>
  <c r="N105" i="37"/>
  <c r="G66" i="37"/>
  <c r="G75" i="37"/>
  <c r="L108" i="36"/>
  <c r="K105" i="36"/>
  <c r="K78" i="36"/>
  <c r="K69" i="36"/>
  <c r="M69" i="36"/>
  <c r="G105" i="36"/>
  <c r="G78" i="36"/>
  <c r="G69" i="36"/>
  <c r="N107" i="36"/>
  <c r="N80" i="36"/>
  <c r="N69" i="36"/>
  <c r="N81" i="36" s="1"/>
  <c r="T74" i="36"/>
  <c r="T87" i="36"/>
  <c r="O100" i="36"/>
  <c r="N99" i="36"/>
  <c r="H108" i="36"/>
  <c r="N113" i="36"/>
  <c r="N114" i="36" s="1"/>
  <c r="F105" i="36"/>
  <c r="T105" i="36" s="1"/>
  <c r="T108" i="36" s="1"/>
  <c r="F78" i="36"/>
  <c r="F69" i="36"/>
  <c r="F81" i="36" s="1"/>
  <c r="R105" i="36"/>
  <c r="R78" i="36"/>
  <c r="R69" i="36"/>
  <c r="R81" i="36" s="1"/>
  <c r="G75" i="36"/>
  <c r="G111" i="36"/>
  <c r="T72" i="36"/>
  <c r="G88" i="36"/>
  <c r="G100" i="36" s="1"/>
  <c r="G97" i="36"/>
  <c r="T85" i="36"/>
  <c r="D108" i="36"/>
  <c r="E114" i="36"/>
  <c r="D75" i="36"/>
  <c r="D81" i="36" s="1"/>
  <c r="L75" i="36"/>
  <c r="L81" i="36" s="1"/>
  <c r="D88" i="36"/>
  <c r="L88" i="36"/>
  <c r="L100" i="36" s="1"/>
  <c r="F97" i="36"/>
  <c r="T107" i="36"/>
  <c r="F111" i="36"/>
  <c r="F114" i="36" s="1"/>
  <c r="K75" i="36"/>
  <c r="K111" i="36"/>
  <c r="K114" i="36" s="1"/>
  <c r="M75" i="36"/>
  <c r="L78" i="36"/>
  <c r="D80" i="36"/>
  <c r="M80" i="36"/>
  <c r="K88" i="36"/>
  <c r="K100" i="36" s="1"/>
  <c r="K97" i="36"/>
  <c r="M88" i="36"/>
  <c r="M100" i="36" s="1"/>
  <c r="T91" i="36"/>
  <c r="R97" i="36"/>
  <c r="I117" i="36"/>
  <c r="P108" i="36"/>
  <c r="P120" i="36" s="1"/>
  <c r="R111" i="36"/>
  <c r="R114" i="36" s="1"/>
  <c r="E108" i="36"/>
  <c r="I108" i="36"/>
  <c r="I120" i="36" s="1"/>
  <c r="M108" i="36"/>
  <c r="Q108" i="36"/>
  <c r="E117" i="36"/>
  <c r="E118" i="36"/>
  <c r="E119" i="36"/>
  <c r="J69" i="36"/>
  <c r="J79" i="36"/>
  <c r="T79" i="36" s="1"/>
  <c r="J108" i="36"/>
  <c r="N108" i="36"/>
  <c r="T68" i="36"/>
  <c r="T69" i="36" s="1"/>
  <c r="O69" i="36"/>
  <c r="O81" i="36" s="1"/>
  <c r="G80" i="36"/>
  <c r="O80" i="36"/>
  <c r="O108" i="36"/>
  <c r="O120" i="36" s="1"/>
  <c r="Q117" i="35"/>
  <c r="Q108" i="35"/>
  <c r="Q120" i="35" s="1"/>
  <c r="K105" i="35"/>
  <c r="K78" i="35"/>
  <c r="K69" i="35"/>
  <c r="K81" i="35" s="1"/>
  <c r="R105" i="35"/>
  <c r="R78" i="35"/>
  <c r="R69" i="35"/>
  <c r="L97" i="35"/>
  <c r="L88" i="35"/>
  <c r="L100" i="35" s="1"/>
  <c r="N88" i="35"/>
  <c r="N100" i="35" s="1"/>
  <c r="N99" i="35"/>
  <c r="G105" i="35"/>
  <c r="G78" i="35"/>
  <c r="G69" i="35"/>
  <c r="L105" i="35"/>
  <c r="L78" i="35"/>
  <c r="L69" i="35"/>
  <c r="D107" i="35"/>
  <c r="D80" i="35"/>
  <c r="D69" i="35"/>
  <c r="N107" i="35"/>
  <c r="N119" i="35" s="1"/>
  <c r="N80" i="35"/>
  <c r="N69" i="35"/>
  <c r="T87" i="35"/>
  <c r="I117" i="35"/>
  <c r="I108" i="35"/>
  <c r="I120" i="35" s="1"/>
  <c r="J114" i="35"/>
  <c r="P108" i="35"/>
  <c r="P120" i="35" s="1"/>
  <c r="F105" i="35"/>
  <c r="F78" i="35"/>
  <c r="F69" i="35"/>
  <c r="M107" i="35"/>
  <c r="M119" i="35" s="1"/>
  <c r="M80" i="35"/>
  <c r="T85" i="35"/>
  <c r="T88" i="35" s="1"/>
  <c r="D99" i="35"/>
  <c r="D88" i="35"/>
  <c r="D100" i="35" s="1"/>
  <c r="H117" i="35"/>
  <c r="M69" i="35"/>
  <c r="G75" i="35"/>
  <c r="G111" i="35"/>
  <c r="L111" i="35"/>
  <c r="L114" i="35" s="1"/>
  <c r="L75" i="35"/>
  <c r="T72" i="35"/>
  <c r="D113" i="35"/>
  <c r="D114" i="35" s="1"/>
  <c r="D75" i="35"/>
  <c r="J100" i="35"/>
  <c r="Q100" i="35"/>
  <c r="G97" i="35"/>
  <c r="P117" i="35"/>
  <c r="T107" i="35"/>
  <c r="E119" i="35"/>
  <c r="J119" i="35"/>
  <c r="M108" i="35"/>
  <c r="M120" i="35" s="1"/>
  <c r="N114" i="35"/>
  <c r="O119" i="35"/>
  <c r="K97" i="35"/>
  <c r="R97" i="35"/>
  <c r="T106" i="35"/>
  <c r="R119" i="35"/>
  <c r="M75" i="35"/>
  <c r="M88" i="35"/>
  <c r="M100" i="35" s="1"/>
  <c r="T91" i="35"/>
  <c r="F97" i="35"/>
  <c r="K118" i="35"/>
  <c r="O118" i="35"/>
  <c r="J69" i="35"/>
  <c r="J81" i="35" s="1"/>
  <c r="J79" i="35"/>
  <c r="T79" i="35" s="1"/>
  <c r="J108" i="35"/>
  <c r="N108" i="35"/>
  <c r="T68" i="35"/>
  <c r="T69" i="35" s="1"/>
  <c r="O69" i="35"/>
  <c r="O81" i="35" s="1"/>
  <c r="G80" i="35"/>
  <c r="O80" i="35"/>
  <c r="O108" i="35"/>
  <c r="G75" i="34"/>
  <c r="G111" i="34"/>
  <c r="G114" i="34" s="1"/>
  <c r="L111" i="34"/>
  <c r="L114" i="34" s="1"/>
  <c r="L75" i="34"/>
  <c r="T72" i="34"/>
  <c r="D113" i="34"/>
  <c r="D114" i="34" s="1"/>
  <c r="D75" i="34"/>
  <c r="E119" i="34"/>
  <c r="T74" i="34"/>
  <c r="Q108" i="34"/>
  <c r="G118" i="34"/>
  <c r="P108" i="34"/>
  <c r="P120" i="34" s="1"/>
  <c r="O114" i="34"/>
  <c r="F105" i="34"/>
  <c r="F78" i="34"/>
  <c r="F69" i="34"/>
  <c r="K105" i="34"/>
  <c r="K78" i="34"/>
  <c r="K69" i="34"/>
  <c r="K81" i="34" s="1"/>
  <c r="R105" i="34"/>
  <c r="R78" i="34"/>
  <c r="R69" i="34"/>
  <c r="R81" i="34" s="1"/>
  <c r="M107" i="34"/>
  <c r="M80" i="34"/>
  <c r="L97" i="34"/>
  <c r="L88" i="34"/>
  <c r="L100" i="34" s="1"/>
  <c r="T85" i="34"/>
  <c r="D99" i="34"/>
  <c r="D88" i="34"/>
  <c r="N88" i="34"/>
  <c r="N100" i="34" s="1"/>
  <c r="N99" i="34"/>
  <c r="H117" i="34"/>
  <c r="E108" i="34"/>
  <c r="N113" i="34"/>
  <c r="T113" i="34" s="1"/>
  <c r="D117" i="34"/>
  <c r="G105" i="34"/>
  <c r="G78" i="34"/>
  <c r="G69" i="34"/>
  <c r="G81" i="34" s="1"/>
  <c r="L105" i="34"/>
  <c r="L78" i="34"/>
  <c r="L69" i="34"/>
  <c r="T66" i="34"/>
  <c r="D107" i="34"/>
  <c r="D80" i="34"/>
  <c r="D69" i="34"/>
  <c r="N107" i="34"/>
  <c r="N119" i="34" s="1"/>
  <c r="N80" i="34"/>
  <c r="N69" i="34"/>
  <c r="N81" i="34" s="1"/>
  <c r="I81" i="34"/>
  <c r="T87" i="34"/>
  <c r="I117" i="34"/>
  <c r="I108" i="34"/>
  <c r="I120" i="34" s="1"/>
  <c r="H120" i="34"/>
  <c r="O119" i="34"/>
  <c r="K97" i="34"/>
  <c r="R97" i="34"/>
  <c r="T106" i="34"/>
  <c r="R119" i="34"/>
  <c r="M75" i="34"/>
  <c r="M81" i="34" s="1"/>
  <c r="M88" i="34"/>
  <c r="M100" i="34" s="1"/>
  <c r="T91" i="34"/>
  <c r="F97" i="34"/>
  <c r="K118" i="34"/>
  <c r="O118" i="34"/>
  <c r="J69" i="34"/>
  <c r="J81" i="34" s="1"/>
  <c r="J79" i="34"/>
  <c r="T79" i="34" s="1"/>
  <c r="J108" i="34"/>
  <c r="J120" i="34" s="1"/>
  <c r="N108" i="34"/>
  <c r="T68" i="34"/>
  <c r="O69" i="34"/>
  <c r="O81" i="34" s="1"/>
  <c r="G80" i="34"/>
  <c r="O80" i="34"/>
  <c r="O108" i="34"/>
  <c r="L111" i="33"/>
  <c r="L114" i="33" s="1"/>
  <c r="L75" i="33"/>
  <c r="E119" i="33"/>
  <c r="Q117" i="33"/>
  <c r="Q108" i="33"/>
  <c r="Q120" i="33" s="1"/>
  <c r="F105" i="33"/>
  <c r="F78" i="33"/>
  <c r="F69" i="33"/>
  <c r="F81" i="33" s="1"/>
  <c r="K105" i="33"/>
  <c r="K78" i="33"/>
  <c r="K69" i="33"/>
  <c r="K81" i="33" s="1"/>
  <c r="R105" i="33"/>
  <c r="R78" i="33"/>
  <c r="R69" i="33"/>
  <c r="R81" i="33" s="1"/>
  <c r="M107" i="33"/>
  <c r="M80" i="33"/>
  <c r="L97" i="33"/>
  <c r="L88" i="33"/>
  <c r="L100" i="33" s="1"/>
  <c r="T85" i="33"/>
  <c r="T88" i="33" s="1"/>
  <c r="D99" i="33"/>
  <c r="D88" i="33"/>
  <c r="D100" i="33" s="1"/>
  <c r="N88" i="33"/>
  <c r="N100" i="33" s="1"/>
  <c r="N99" i="33"/>
  <c r="E108" i="33"/>
  <c r="E120" i="33" s="1"/>
  <c r="N113" i="33"/>
  <c r="T113" i="33" s="1"/>
  <c r="D117" i="33"/>
  <c r="G75" i="33"/>
  <c r="G111" i="33"/>
  <c r="G114" i="33" s="1"/>
  <c r="T72" i="33"/>
  <c r="D113" i="33"/>
  <c r="D75" i="33"/>
  <c r="T74" i="33"/>
  <c r="P108" i="33"/>
  <c r="P120" i="33" s="1"/>
  <c r="G105" i="33"/>
  <c r="G78" i="33"/>
  <c r="G69" i="33"/>
  <c r="G81" i="33" s="1"/>
  <c r="L105" i="33"/>
  <c r="L78" i="33"/>
  <c r="L69" i="33"/>
  <c r="T66" i="33"/>
  <c r="D107" i="33"/>
  <c r="D80" i="33"/>
  <c r="D69" i="33"/>
  <c r="D81" i="33" s="1"/>
  <c r="N107" i="33"/>
  <c r="N80" i="33"/>
  <c r="N69" i="33"/>
  <c r="N81" i="33" s="1"/>
  <c r="I81" i="33"/>
  <c r="T87" i="33"/>
  <c r="I117" i="33"/>
  <c r="I108" i="33"/>
  <c r="I120" i="33" s="1"/>
  <c r="H108" i="33"/>
  <c r="K97" i="33"/>
  <c r="R97" i="33"/>
  <c r="J117" i="33"/>
  <c r="T106" i="33"/>
  <c r="R119" i="33"/>
  <c r="M75" i="33"/>
  <c r="M81" i="33" s="1"/>
  <c r="M88" i="33"/>
  <c r="M100" i="33" s="1"/>
  <c r="T91" i="33"/>
  <c r="F97" i="33"/>
  <c r="T105" i="33"/>
  <c r="K118" i="33"/>
  <c r="O118" i="33"/>
  <c r="J69" i="33"/>
  <c r="J81" i="33" s="1"/>
  <c r="J79" i="33"/>
  <c r="T79" i="33" s="1"/>
  <c r="J108" i="33"/>
  <c r="T68" i="33"/>
  <c r="O69" i="33"/>
  <c r="O81" i="33" s="1"/>
  <c r="G80" i="33"/>
  <c r="O80" i="33"/>
  <c r="O108" i="33"/>
  <c r="F94" i="32"/>
  <c r="F100" i="32" s="1"/>
  <c r="T91" i="32"/>
  <c r="F111" i="32"/>
  <c r="F114" i="32" s="1"/>
  <c r="D108" i="32"/>
  <c r="D117" i="32"/>
  <c r="R100" i="32"/>
  <c r="N100" i="32"/>
  <c r="E117" i="32"/>
  <c r="E108" i="32"/>
  <c r="I117" i="32"/>
  <c r="I108" i="32"/>
  <c r="I120" i="32" s="1"/>
  <c r="Q117" i="32"/>
  <c r="Q108" i="32"/>
  <c r="Q120" i="32" s="1"/>
  <c r="P108" i="32"/>
  <c r="R97" i="32"/>
  <c r="H119" i="32"/>
  <c r="L108" i="32"/>
  <c r="L120" i="32" s="1"/>
  <c r="F105" i="32"/>
  <c r="F78" i="32"/>
  <c r="F69" i="32"/>
  <c r="F81" i="32" s="1"/>
  <c r="K105" i="32"/>
  <c r="K78" i="32"/>
  <c r="K69" i="32"/>
  <c r="R105" i="32"/>
  <c r="R78" i="32"/>
  <c r="R69" i="32"/>
  <c r="R81" i="32" s="1"/>
  <c r="L69" i="32"/>
  <c r="K75" i="32"/>
  <c r="K111" i="32"/>
  <c r="K114" i="32" s="1"/>
  <c r="L75" i="32"/>
  <c r="D78" i="32"/>
  <c r="D88" i="32"/>
  <c r="L88" i="32"/>
  <c r="L100" i="32" s="1"/>
  <c r="T93" i="32"/>
  <c r="R111" i="32"/>
  <c r="R114" i="32" s="1"/>
  <c r="G105" i="32"/>
  <c r="G78" i="32"/>
  <c r="G69" i="32"/>
  <c r="T66" i="32"/>
  <c r="T69" i="32" s="1"/>
  <c r="N107" i="32"/>
  <c r="T107" i="32" s="1"/>
  <c r="N80" i="32"/>
  <c r="N69" i="32"/>
  <c r="N81" i="32" s="1"/>
  <c r="G75" i="32"/>
  <c r="G111" i="32"/>
  <c r="T72" i="32"/>
  <c r="D80" i="32"/>
  <c r="M80" i="32"/>
  <c r="K88" i="32"/>
  <c r="K100" i="32" s="1"/>
  <c r="K97" i="32"/>
  <c r="M99" i="32"/>
  <c r="M88" i="32"/>
  <c r="M100" i="32" s="1"/>
  <c r="H105" i="32"/>
  <c r="T106" i="32"/>
  <c r="N113" i="32"/>
  <c r="N114" i="32" s="1"/>
  <c r="G88" i="32"/>
  <c r="G100" i="32" s="1"/>
  <c r="G97" i="32"/>
  <c r="T85" i="32"/>
  <c r="T88" i="32" s="1"/>
  <c r="H100" i="32"/>
  <c r="F97" i="32"/>
  <c r="M108" i="32"/>
  <c r="G113" i="32"/>
  <c r="G119" i="32" s="1"/>
  <c r="O113" i="32"/>
  <c r="O114" i="32" s="1"/>
  <c r="E118" i="32"/>
  <c r="E119" i="32"/>
  <c r="J79" i="32"/>
  <c r="T79" i="32" s="1"/>
  <c r="J108" i="32"/>
  <c r="N108" i="32"/>
  <c r="T68" i="32"/>
  <c r="O69" i="32"/>
  <c r="O81" i="32" s="1"/>
  <c r="G80" i="32"/>
  <c r="O80" i="32"/>
  <c r="O108" i="32"/>
  <c r="L108" i="31"/>
  <c r="L120" i="31" s="1"/>
  <c r="L117" i="31"/>
  <c r="D108" i="31"/>
  <c r="T69" i="31"/>
  <c r="K105" i="31"/>
  <c r="K78" i="31"/>
  <c r="K69" i="31"/>
  <c r="K81" i="31" s="1"/>
  <c r="G97" i="31"/>
  <c r="M108" i="31"/>
  <c r="G105" i="31"/>
  <c r="G78" i="31"/>
  <c r="G69" i="31"/>
  <c r="G81" i="31" s="1"/>
  <c r="N107" i="31"/>
  <c r="N80" i="31"/>
  <c r="N69" i="31"/>
  <c r="N81" i="31" s="1"/>
  <c r="T74" i="31"/>
  <c r="T87" i="31"/>
  <c r="I100" i="31"/>
  <c r="Q100" i="31"/>
  <c r="H108" i="31"/>
  <c r="P108" i="31"/>
  <c r="F111" i="31"/>
  <c r="F114" i="31" s="1"/>
  <c r="E117" i="31"/>
  <c r="R105" i="31"/>
  <c r="R78" i="31"/>
  <c r="R69" i="31"/>
  <c r="R81" i="31" s="1"/>
  <c r="M69" i="31"/>
  <c r="T107" i="31"/>
  <c r="E108" i="31"/>
  <c r="E120" i="31" s="1"/>
  <c r="N113" i="31"/>
  <c r="N114" i="31" s="1"/>
  <c r="D75" i="31"/>
  <c r="L75" i="31"/>
  <c r="D88" i="31"/>
  <c r="D100" i="31" s="1"/>
  <c r="L88" i="31"/>
  <c r="L100" i="31" s="1"/>
  <c r="K97" i="31"/>
  <c r="R97" i="31"/>
  <c r="N99" i="31"/>
  <c r="T106" i="31"/>
  <c r="R119" i="31"/>
  <c r="I108" i="31"/>
  <c r="I120" i="31" s="1"/>
  <c r="Q108" i="31"/>
  <c r="Q120" i="31" s="1"/>
  <c r="G111" i="31"/>
  <c r="G114" i="31" s="1"/>
  <c r="F105" i="31"/>
  <c r="T105" i="31" s="1"/>
  <c r="T108" i="31" s="1"/>
  <c r="F78" i="31"/>
  <c r="F69" i="31"/>
  <c r="F81" i="31" s="1"/>
  <c r="T72" i="31"/>
  <c r="T85" i="31"/>
  <c r="T88" i="31" s="1"/>
  <c r="D69" i="31"/>
  <c r="L69" i="31"/>
  <c r="M113" i="31"/>
  <c r="M119" i="31" s="1"/>
  <c r="M75" i="31"/>
  <c r="L78" i="31"/>
  <c r="D80" i="31"/>
  <c r="M80" i="31"/>
  <c r="M99" i="31"/>
  <c r="E100" i="31"/>
  <c r="M88" i="31"/>
  <c r="M100" i="31" s="1"/>
  <c r="T91" i="31"/>
  <c r="F97" i="31"/>
  <c r="K118" i="31"/>
  <c r="O118" i="31"/>
  <c r="J69" i="31"/>
  <c r="J81" i="31" s="1"/>
  <c r="J79" i="31"/>
  <c r="T79" i="31" s="1"/>
  <c r="J108" i="31"/>
  <c r="N108" i="31"/>
  <c r="T68" i="31"/>
  <c r="O69" i="31"/>
  <c r="O81" i="31" s="1"/>
  <c r="G80" i="31"/>
  <c r="O80" i="31"/>
  <c r="O108" i="31"/>
  <c r="L4" i="4"/>
  <c r="L5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3" i="4"/>
  <c r="K4" i="4"/>
  <c r="K5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3" i="4"/>
  <c r="T102" i="37" l="1"/>
  <c r="E105" i="37"/>
  <c r="J111" i="37"/>
  <c r="J117" i="37" s="1"/>
  <c r="D114" i="37"/>
  <c r="H116" i="37"/>
  <c r="G111" i="37"/>
  <c r="T85" i="37"/>
  <c r="Q117" i="37"/>
  <c r="G105" i="37"/>
  <c r="N78" i="37"/>
  <c r="G78" i="37"/>
  <c r="T115" i="37"/>
  <c r="T94" i="37"/>
  <c r="T66" i="37"/>
  <c r="H78" i="37"/>
  <c r="F78" i="37"/>
  <c r="D105" i="37"/>
  <c r="D111" i="37"/>
  <c r="E114" i="37"/>
  <c r="N117" i="37"/>
  <c r="F117" i="37"/>
  <c r="H111" i="37"/>
  <c r="T77" i="37"/>
  <c r="P114" i="37"/>
  <c r="Q114" i="37"/>
  <c r="N116" i="37"/>
  <c r="F114" i="37"/>
  <c r="T96" i="37"/>
  <c r="P117" i="37"/>
  <c r="J114" i="36"/>
  <c r="J118" i="36"/>
  <c r="T118" i="36" s="1"/>
  <c r="E120" i="36"/>
  <c r="P117" i="36"/>
  <c r="T99" i="36"/>
  <c r="Q120" i="36"/>
  <c r="T94" i="36"/>
  <c r="Q117" i="36"/>
  <c r="G114" i="36"/>
  <c r="L120" i="36"/>
  <c r="T80" i="36"/>
  <c r="J120" i="36"/>
  <c r="L117" i="36"/>
  <c r="M114" i="36"/>
  <c r="M120" i="36" s="1"/>
  <c r="T78" i="36"/>
  <c r="T81" i="36" s="1"/>
  <c r="O120" i="35"/>
  <c r="N120" i="35"/>
  <c r="R81" i="35"/>
  <c r="J120" i="35"/>
  <c r="F81" i="35"/>
  <c r="T78" i="35"/>
  <c r="D114" i="33"/>
  <c r="N119" i="33"/>
  <c r="J120" i="33"/>
  <c r="O120" i="33"/>
  <c r="T80" i="33"/>
  <c r="T112" i="33"/>
  <c r="T80" i="34"/>
  <c r="Q120" i="34"/>
  <c r="T94" i="34"/>
  <c r="D100" i="34"/>
  <c r="T112" i="34"/>
  <c r="D81" i="34"/>
  <c r="L81" i="34"/>
  <c r="Q117" i="34"/>
  <c r="F81" i="34"/>
  <c r="M114" i="32"/>
  <c r="T99" i="32"/>
  <c r="N120" i="32"/>
  <c r="D119" i="32"/>
  <c r="D100" i="32"/>
  <c r="T75" i="31"/>
  <c r="P117" i="31"/>
  <c r="D114" i="31"/>
  <c r="D120" i="31" s="1"/>
  <c r="H114" i="31"/>
  <c r="H120" i="31" s="1"/>
  <c r="D81" i="31"/>
  <c r="O120" i="31"/>
  <c r="T94" i="31"/>
  <c r="P120" i="31"/>
  <c r="T99" i="31"/>
  <c r="N114" i="33"/>
  <c r="T97" i="34"/>
  <c r="T80" i="35"/>
  <c r="T81" i="35" s="1"/>
  <c r="T118" i="35"/>
  <c r="T75" i="35"/>
  <c r="T75" i="36"/>
  <c r="T75" i="37"/>
  <c r="I117" i="37"/>
  <c r="K78" i="37"/>
  <c r="H114" i="33"/>
  <c r="H120" i="33" s="1"/>
  <c r="T97" i="33"/>
  <c r="T80" i="31"/>
  <c r="J120" i="31"/>
  <c r="T80" i="32"/>
  <c r="J120" i="32"/>
  <c r="P117" i="32"/>
  <c r="D120" i="32"/>
  <c r="T94" i="33"/>
  <c r="O120" i="34"/>
  <c r="D119" i="34"/>
  <c r="T99" i="34"/>
  <c r="T78" i="34"/>
  <c r="T97" i="35"/>
  <c r="T100" i="35" s="1"/>
  <c r="N81" i="35"/>
  <c r="J81" i="36"/>
  <c r="T113" i="36"/>
  <c r="T97" i="36"/>
  <c r="T100" i="36" s="1"/>
  <c r="H114" i="36"/>
  <c r="H120" i="36" s="1"/>
  <c r="N119" i="36"/>
  <c r="I114" i="37"/>
  <c r="L114" i="37"/>
  <c r="O116" i="37"/>
  <c r="J118" i="33"/>
  <c r="T112" i="31"/>
  <c r="T75" i="33"/>
  <c r="J118" i="31"/>
  <c r="T118" i="31" s="1"/>
  <c r="T97" i="32"/>
  <c r="T100" i="32" s="1"/>
  <c r="P120" i="32"/>
  <c r="T97" i="31"/>
  <c r="T100" i="31" s="1"/>
  <c r="T78" i="31"/>
  <c r="T81" i="31" s="1"/>
  <c r="T111" i="31"/>
  <c r="T75" i="32"/>
  <c r="K81" i="32"/>
  <c r="T78" i="32"/>
  <c r="T81" i="32" s="1"/>
  <c r="T118" i="33"/>
  <c r="T99" i="33"/>
  <c r="T78" i="33"/>
  <c r="T81" i="33" s="1"/>
  <c r="T111" i="34"/>
  <c r="T114" i="34" s="1"/>
  <c r="T94" i="35"/>
  <c r="D119" i="35"/>
  <c r="G81" i="35"/>
  <c r="N120" i="36"/>
  <c r="T119" i="36"/>
  <c r="D100" i="36"/>
  <c r="D114" i="36"/>
  <c r="D120" i="36" s="1"/>
  <c r="K81" i="36"/>
  <c r="E117" i="37"/>
  <c r="T110" i="37"/>
  <c r="M116" i="37"/>
  <c r="E114" i="34"/>
  <c r="E120" i="34" s="1"/>
  <c r="E117" i="34"/>
  <c r="J118" i="34"/>
  <c r="T118" i="34" s="1"/>
  <c r="J118" i="32"/>
  <c r="T118" i="32" s="1"/>
  <c r="R114" i="37"/>
  <c r="R105" i="37"/>
  <c r="R117" i="37" s="1"/>
  <c r="O105" i="37"/>
  <c r="O117" i="37" s="1"/>
  <c r="M105" i="37"/>
  <c r="M117" i="37" s="1"/>
  <c r="T91" i="37"/>
  <c r="Q78" i="37"/>
  <c r="G114" i="37"/>
  <c r="I78" i="37"/>
  <c r="H105" i="37"/>
  <c r="H117" i="37" s="1"/>
  <c r="H114" i="37"/>
  <c r="T108" i="37"/>
  <c r="O78" i="37"/>
  <c r="K114" i="37"/>
  <c r="K105" i="37"/>
  <c r="K117" i="37" s="1"/>
  <c r="M78" i="37"/>
  <c r="T72" i="37"/>
  <c r="E78" i="37"/>
  <c r="T104" i="37"/>
  <c r="G116" i="37"/>
  <c r="G117" i="36"/>
  <c r="G108" i="36"/>
  <c r="G120" i="36" s="1"/>
  <c r="F117" i="36"/>
  <c r="F108" i="36"/>
  <c r="F120" i="36" s="1"/>
  <c r="K117" i="36"/>
  <c r="K108" i="36"/>
  <c r="K120" i="36" s="1"/>
  <c r="T111" i="36"/>
  <c r="T88" i="36"/>
  <c r="R117" i="36"/>
  <c r="R108" i="36"/>
  <c r="R120" i="36" s="1"/>
  <c r="G81" i="36"/>
  <c r="M81" i="36"/>
  <c r="T119" i="35"/>
  <c r="D108" i="35"/>
  <c r="D120" i="35" s="1"/>
  <c r="L81" i="35"/>
  <c r="R117" i="35"/>
  <c r="R108" i="35"/>
  <c r="R120" i="35" s="1"/>
  <c r="G114" i="35"/>
  <c r="T111" i="35"/>
  <c r="T114" i="35" s="1"/>
  <c r="F117" i="35"/>
  <c r="F108" i="35"/>
  <c r="F120" i="35" s="1"/>
  <c r="D81" i="35"/>
  <c r="G117" i="35"/>
  <c r="G108" i="35"/>
  <c r="M81" i="35"/>
  <c r="K117" i="35"/>
  <c r="K108" i="35"/>
  <c r="K120" i="35" s="1"/>
  <c r="T105" i="35"/>
  <c r="T108" i="35" s="1"/>
  <c r="L108" i="35"/>
  <c r="L120" i="35" s="1"/>
  <c r="L117" i="35"/>
  <c r="T81" i="34"/>
  <c r="L108" i="34"/>
  <c r="L120" i="34" s="1"/>
  <c r="L117" i="34"/>
  <c r="T105" i="34"/>
  <c r="T69" i="34"/>
  <c r="F117" i="34"/>
  <c r="F108" i="34"/>
  <c r="F120" i="34" s="1"/>
  <c r="N114" i="34"/>
  <c r="N120" i="34" s="1"/>
  <c r="T88" i="34"/>
  <c r="M119" i="34"/>
  <c r="T119" i="34" s="1"/>
  <c r="M108" i="34"/>
  <c r="M120" i="34" s="1"/>
  <c r="K117" i="34"/>
  <c r="K108" i="34"/>
  <c r="K120" i="34" s="1"/>
  <c r="D108" i="34"/>
  <c r="D120" i="34" s="1"/>
  <c r="T75" i="34"/>
  <c r="G117" i="34"/>
  <c r="G108" i="34"/>
  <c r="G120" i="34" s="1"/>
  <c r="R117" i="34"/>
  <c r="R108" i="34"/>
  <c r="R120" i="34" s="1"/>
  <c r="T107" i="34"/>
  <c r="R117" i="33"/>
  <c r="R108" i="33"/>
  <c r="R120" i="33" s="1"/>
  <c r="L81" i="33"/>
  <c r="M119" i="33"/>
  <c r="T119" i="33" s="1"/>
  <c r="M108" i="33"/>
  <c r="M120" i="33" s="1"/>
  <c r="G117" i="33"/>
  <c r="G108" i="33"/>
  <c r="G120" i="33" s="1"/>
  <c r="F117" i="33"/>
  <c r="F108" i="33"/>
  <c r="F120" i="33" s="1"/>
  <c r="T69" i="33"/>
  <c r="N108" i="33"/>
  <c r="N120" i="33" s="1"/>
  <c r="T111" i="33"/>
  <c r="T114" i="33" s="1"/>
  <c r="D119" i="33"/>
  <c r="L108" i="33"/>
  <c r="L120" i="33" s="1"/>
  <c r="L117" i="33"/>
  <c r="D108" i="33"/>
  <c r="D120" i="33" s="1"/>
  <c r="K117" i="33"/>
  <c r="K108" i="33"/>
  <c r="K120" i="33" s="1"/>
  <c r="T107" i="33"/>
  <c r="T108" i="33" s="1"/>
  <c r="O120" i="32"/>
  <c r="M120" i="32"/>
  <c r="O119" i="32"/>
  <c r="G81" i="32"/>
  <c r="F117" i="32"/>
  <c r="F108" i="32"/>
  <c r="F120" i="32" s="1"/>
  <c r="T105" i="32"/>
  <c r="T108" i="32" s="1"/>
  <c r="T113" i="32"/>
  <c r="L81" i="32"/>
  <c r="H108" i="32"/>
  <c r="H120" i="32" s="1"/>
  <c r="H117" i="32"/>
  <c r="K117" i="32"/>
  <c r="K108" i="32"/>
  <c r="K120" i="32" s="1"/>
  <c r="T94" i="32"/>
  <c r="G114" i="32"/>
  <c r="N119" i="32"/>
  <c r="T119" i="32" s="1"/>
  <c r="G117" i="32"/>
  <c r="G108" i="32"/>
  <c r="R117" i="32"/>
  <c r="R108" i="32"/>
  <c r="R120" i="32" s="1"/>
  <c r="T111" i="32"/>
  <c r="E120" i="32"/>
  <c r="N119" i="31"/>
  <c r="T119" i="31" s="1"/>
  <c r="K117" i="31"/>
  <c r="K108" i="31"/>
  <c r="K120" i="31" s="1"/>
  <c r="T113" i="31"/>
  <c r="F117" i="31"/>
  <c r="F108" i="31"/>
  <c r="F120" i="31" s="1"/>
  <c r="G117" i="31"/>
  <c r="G108" i="31"/>
  <c r="G120" i="31" s="1"/>
  <c r="L81" i="31"/>
  <c r="R117" i="31"/>
  <c r="R108" i="31"/>
  <c r="R120" i="31" s="1"/>
  <c r="M114" i="31"/>
  <c r="M120" i="31" s="1"/>
  <c r="N120" i="31"/>
  <c r="M81" i="31"/>
  <c r="AR3" i="4"/>
  <c r="AT3" i="4" s="1"/>
  <c r="AS3" i="4"/>
  <c r="AU3" i="4" s="1"/>
  <c r="AV3" i="4"/>
  <c r="AX3" i="4" s="1"/>
  <c r="AW3" i="4"/>
  <c r="AY3" i="4" s="1"/>
  <c r="AR4" i="4"/>
  <c r="AT4" i="4" s="1"/>
  <c r="AS4" i="4"/>
  <c r="AU4" i="4" s="1"/>
  <c r="AV4" i="4"/>
  <c r="AX4" i="4" s="1"/>
  <c r="AW4" i="4"/>
  <c r="AY4" i="4" s="1"/>
  <c r="AR5" i="4"/>
  <c r="AT5" i="4" s="1"/>
  <c r="AS5" i="4"/>
  <c r="AU5" i="4" s="1"/>
  <c r="AV5" i="4"/>
  <c r="AX5" i="4" s="1"/>
  <c r="AW5" i="4"/>
  <c r="AY5" i="4" s="1"/>
  <c r="AR8" i="4"/>
  <c r="AT8" i="4" s="1"/>
  <c r="AS8" i="4"/>
  <c r="AU8" i="4" s="1"/>
  <c r="AV8" i="4"/>
  <c r="AX8" i="4" s="1"/>
  <c r="AW8" i="4"/>
  <c r="AY8" i="4" s="1"/>
  <c r="AR9" i="4"/>
  <c r="AT9" i="4" s="1"/>
  <c r="AS9" i="4"/>
  <c r="AU9" i="4" s="1"/>
  <c r="AV9" i="4"/>
  <c r="AX9" i="4" s="1"/>
  <c r="AW9" i="4"/>
  <c r="AY9" i="4" s="1"/>
  <c r="AR10" i="4"/>
  <c r="AT10" i="4" s="1"/>
  <c r="AS10" i="4"/>
  <c r="AU10" i="4" s="1"/>
  <c r="AV10" i="4"/>
  <c r="AX10" i="4" s="1"/>
  <c r="AW10" i="4"/>
  <c r="AY10" i="4" s="1"/>
  <c r="AR11" i="4"/>
  <c r="AT11" i="4" s="1"/>
  <c r="AS11" i="4"/>
  <c r="AU11" i="4" s="1"/>
  <c r="AV11" i="4"/>
  <c r="AX11" i="4" s="1"/>
  <c r="AW11" i="4"/>
  <c r="AY11" i="4" s="1"/>
  <c r="AR12" i="4"/>
  <c r="AT12" i="4" s="1"/>
  <c r="AS12" i="4"/>
  <c r="AU12" i="4" s="1"/>
  <c r="AV12" i="4"/>
  <c r="AX12" i="4" s="1"/>
  <c r="AW12" i="4"/>
  <c r="AY12" i="4" s="1"/>
  <c r="AR13" i="4"/>
  <c r="AT13" i="4" s="1"/>
  <c r="AS13" i="4"/>
  <c r="AU13" i="4" s="1"/>
  <c r="AV13" i="4"/>
  <c r="AX13" i="4" s="1"/>
  <c r="AW13" i="4"/>
  <c r="AY13" i="4" s="1"/>
  <c r="AR14" i="4"/>
  <c r="AT14" i="4" s="1"/>
  <c r="AS14" i="4"/>
  <c r="AU14" i="4" s="1"/>
  <c r="AV14" i="4"/>
  <c r="AX14" i="4" s="1"/>
  <c r="AW14" i="4"/>
  <c r="AY14" i="4" s="1"/>
  <c r="AR15" i="4"/>
  <c r="AT15" i="4" s="1"/>
  <c r="AS15" i="4"/>
  <c r="AU15" i="4" s="1"/>
  <c r="AV15" i="4"/>
  <c r="AX15" i="4" s="1"/>
  <c r="AW15" i="4"/>
  <c r="AY15" i="4" s="1"/>
  <c r="AR16" i="4"/>
  <c r="AT16" i="4" s="1"/>
  <c r="AS16" i="4"/>
  <c r="AU16" i="4" s="1"/>
  <c r="AV16" i="4"/>
  <c r="AX16" i="4" s="1"/>
  <c r="AW16" i="4"/>
  <c r="AY16" i="4" s="1"/>
  <c r="AR17" i="4"/>
  <c r="AT17" i="4" s="1"/>
  <c r="AS17" i="4"/>
  <c r="AU17" i="4" s="1"/>
  <c r="AV17" i="4"/>
  <c r="AX17" i="4" s="1"/>
  <c r="AW17" i="4"/>
  <c r="AY17" i="4" s="1"/>
  <c r="AR18" i="4"/>
  <c r="AT18" i="4" s="1"/>
  <c r="AS18" i="4"/>
  <c r="AU18" i="4" s="1"/>
  <c r="AV18" i="4"/>
  <c r="AX18" i="4" s="1"/>
  <c r="AW18" i="4"/>
  <c r="AY18" i="4" s="1"/>
  <c r="AR19" i="4"/>
  <c r="AT19" i="4" s="1"/>
  <c r="AS19" i="4"/>
  <c r="AU19" i="4" s="1"/>
  <c r="AV19" i="4"/>
  <c r="AX19" i="4" s="1"/>
  <c r="AW19" i="4"/>
  <c r="AY19" i="4" s="1"/>
  <c r="AR20" i="4"/>
  <c r="AT20" i="4" s="1"/>
  <c r="AS20" i="4"/>
  <c r="AU20" i="4" s="1"/>
  <c r="AV20" i="4"/>
  <c r="AX20" i="4" s="1"/>
  <c r="AW20" i="4"/>
  <c r="AY20" i="4" s="1"/>
  <c r="AR21" i="4"/>
  <c r="AT21" i="4" s="1"/>
  <c r="AS21" i="4"/>
  <c r="AU21" i="4" s="1"/>
  <c r="AV21" i="4"/>
  <c r="AX21" i="4" s="1"/>
  <c r="AW21" i="4"/>
  <c r="AY21" i="4" s="1"/>
  <c r="AR22" i="4"/>
  <c r="AT22" i="4" s="1"/>
  <c r="AS22" i="4"/>
  <c r="AU22" i="4" s="1"/>
  <c r="AV22" i="4"/>
  <c r="AX22" i="4" s="1"/>
  <c r="AW22" i="4"/>
  <c r="AY22" i="4" s="1"/>
  <c r="AR23" i="4"/>
  <c r="AT23" i="4" s="1"/>
  <c r="AS23" i="4"/>
  <c r="AU23" i="4" s="1"/>
  <c r="AV23" i="4"/>
  <c r="AX23" i="4" s="1"/>
  <c r="AW23" i="4"/>
  <c r="AY23" i="4" s="1"/>
  <c r="AR24" i="4"/>
  <c r="AT24" i="4" s="1"/>
  <c r="AS24" i="4"/>
  <c r="AU24" i="4" s="1"/>
  <c r="AV24" i="4"/>
  <c r="AX24" i="4" s="1"/>
  <c r="AW24" i="4"/>
  <c r="AY24" i="4" s="1"/>
  <c r="AR25" i="4"/>
  <c r="AT25" i="4" s="1"/>
  <c r="AS25" i="4"/>
  <c r="AU25" i="4" s="1"/>
  <c r="AV25" i="4"/>
  <c r="AX25" i="4" s="1"/>
  <c r="AW25" i="4"/>
  <c r="AY25" i="4" s="1"/>
  <c r="AR26" i="4"/>
  <c r="AT26" i="4" s="1"/>
  <c r="AS26" i="4"/>
  <c r="AU26" i="4" s="1"/>
  <c r="AV26" i="4"/>
  <c r="AX26" i="4" s="1"/>
  <c r="AW26" i="4"/>
  <c r="AY26" i="4" s="1"/>
  <c r="AR27" i="4"/>
  <c r="AT27" i="4" s="1"/>
  <c r="AS27" i="4"/>
  <c r="AU27" i="4" s="1"/>
  <c r="AV27" i="4"/>
  <c r="AX27" i="4" s="1"/>
  <c r="AW27" i="4"/>
  <c r="AY27" i="4" s="1"/>
  <c r="AR28" i="4"/>
  <c r="AT28" i="4" s="1"/>
  <c r="AS28" i="4"/>
  <c r="AU28" i="4" s="1"/>
  <c r="AV28" i="4"/>
  <c r="AX28" i="4" s="1"/>
  <c r="AW28" i="4"/>
  <c r="AY28" i="4" s="1"/>
  <c r="AR29" i="4"/>
  <c r="AT29" i="4" s="1"/>
  <c r="AS29" i="4"/>
  <c r="AU29" i="4" s="1"/>
  <c r="AV29" i="4"/>
  <c r="AX29" i="4" s="1"/>
  <c r="AW29" i="4"/>
  <c r="AY29" i="4" s="1"/>
  <c r="AR30" i="4"/>
  <c r="AT30" i="4" s="1"/>
  <c r="AS30" i="4"/>
  <c r="AU30" i="4" s="1"/>
  <c r="AV30" i="4"/>
  <c r="AX30" i="4" s="1"/>
  <c r="AW30" i="4"/>
  <c r="AY30" i="4" s="1"/>
  <c r="AR31" i="4"/>
  <c r="AT31" i="4" s="1"/>
  <c r="AS31" i="4"/>
  <c r="AU31" i="4" s="1"/>
  <c r="AV31" i="4"/>
  <c r="AX31" i="4" s="1"/>
  <c r="AW31" i="4"/>
  <c r="AY31" i="4" s="1"/>
  <c r="AR32" i="4"/>
  <c r="AT32" i="4" s="1"/>
  <c r="AS32" i="4"/>
  <c r="AU32" i="4" s="1"/>
  <c r="AV32" i="4"/>
  <c r="AX32" i="4" s="1"/>
  <c r="AW32" i="4"/>
  <c r="AY32" i="4" s="1"/>
  <c r="AR33" i="4"/>
  <c r="AT33" i="4" s="1"/>
  <c r="AS33" i="4"/>
  <c r="AU33" i="4" s="1"/>
  <c r="AV33" i="4"/>
  <c r="AX33" i="4" s="1"/>
  <c r="AW33" i="4"/>
  <c r="AY33" i="4" s="1"/>
  <c r="AR34" i="4"/>
  <c r="AT34" i="4" s="1"/>
  <c r="AS34" i="4"/>
  <c r="AU34" i="4" s="1"/>
  <c r="AV34" i="4"/>
  <c r="AX34" i="4" s="1"/>
  <c r="AW34" i="4"/>
  <c r="AY34" i="4" s="1"/>
  <c r="AR35" i="4"/>
  <c r="AT35" i="4" s="1"/>
  <c r="AS35" i="4"/>
  <c r="AU35" i="4" s="1"/>
  <c r="AV35" i="4"/>
  <c r="AX35" i="4" s="1"/>
  <c r="AW35" i="4"/>
  <c r="AY35" i="4" s="1"/>
  <c r="AR36" i="4"/>
  <c r="AT36" i="4" s="1"/>
  <c r="AS36" i="4"/>
  <c r="AU36" i="4" s="1"/>
  <c r="AV36" i="4"/>
  <c r="AX36" i="4" s="1"/>
  <c r="AW36" i="4"/>
  <c r="AY36" i="4" s="1"/>
  <c r="AR37" i="4"/>
  <c r="AT37" i="4" s="1"/>
  <c r="AS37" i="4"/>
  <c r="AU37" i="4" s="1"/>
  <c r="AV37" i="4"/>
  <c r="AX37" i="4" s="1"/>
  <c r="AW37" i="4"/>
  <c r="AY37" i="4" s="1"/>
  <c r="AR38" i="4"/>
  <c r="AT38" i="4" s="1"/>
  <c r="AS38" i="4"/>
  <c r="AU38" i="4" s="1"/>
  <c r="AV38" i="4"/>
  <c r="AX38" i="4" s="1"/>
  <c r="AW38" i="4"/>
  <c r="AY38" i="4" s="1"/>
  <c r="AR39" i="4"/>
  <c r="AT39" i="4" s="1"/>
  <c r="AS39" i="4"/>
  <c r="AU39" i="4" s="1"/>
  <c r="AV39" i="4"/>
  <c r="AX39" i="4" s="1"/>
  <c r="AW39" i="4"/>
  <c r="AY39" i="4" s="1"/>
  <c r="AR40" i="4"/>
  <c r="AT40" i="4" s="1"/>
  <c r="AS40" i="4"/>
  <c r="AU40" i="4" s="1"/>
  <c r="AV40" i="4"/>
  <c r="AX40" i="4" s="1"/>
  <c r="AW40" i="4"/>
  <c r="AY40" i="4" s="1"/>
  <c r="AR41" i="4"/>
  <c r="AT41" i="4" s="1"/>
  <c r="AS41" i="4"/>
  <c r="AU41" i="4" s="1"/>
  <c r="AV41" i="4"/>
  <c r="AX41" i="4" s="1"/>
  <c r="AW41" i="4"/>
  <c r="AY41" i="4" s="1"/>
  <c r="AR42" i="4"/>
  <c r="AT42" i="4" s="1"/>
  <c r="AS42" i="4"/>
  <c r="AU42" i="4" s="1"/>
  <c r="AV42" i="4"/>
  <c r="AX42" i="4" s="1"/>
  <c r="AW42" i="4"/>
  <c r="AY42" i="4" s="1"/>
  <c r="AR43" i="4"/>
  <c r="AT43" i="4" s="1"/>
  <c r="AS43" i="4"/>
  <c r="AU43" i="4" s="1"/>
  <c r="AV43" i="4"/>
  <c r="AX43" i="4" s="1"/>
  <c r="AW43" i="4"/>
  <c r="AY43" i="4" s="1"/>
  <c r="AR44" i="4"/>
  <c r="AT44" i="4" s="1"/>
  <c r="AS44" i="4"/>
  <c r="AU44" i="4" s="1"/>
  <c r="AV44" i="4"/>
  <c r="AX44" i="4" s="1"/>
  <c r="AW44" i="4"/>
  <c r="AY44" i="4" s="1"/>
  <c r="AR45" i="4"/>
  <c r="AT45" i="4" s="1"/>
  <c r="AS45" i="4"/>
  <c r="AU45" i="4" s="1"/>
  <c r="AV45" i="4"/>
  <c r="AX45" i="4" s="1"/>
  <c r="AW45" i="4"/>
  <c r="AY45" i="4" s="1"/>
  <c r="AR46" i="4"/>
  <c r="AT46" i="4" s="1"/>
  <c r="AS46" i="4"/>
  <c r="AU46" i="4" s="1"/>
  <c r="AV46" i="4"/>
  <c r="AX46" i="4" s="1"/>
  <c r="AW46" i="4"/>
  <c r="AY46" i="4" s="1"/>
  <c r="AR47" i="4"/>
  <c r="AT47" i="4" s="1"/>
  <c r="AS47" i="4"/>
  <c r="AU47" i="4" s="1"/>
  <c r="AV47" i="4"/>
  <c r="AX47" i="4" s="1"/>
  <c r="AW47" i="4"/>
  <c r="AY47" i="4" s="1"/>
  <c r="AR48" i="4"/>
  <c r="AT48" i="4" s="1"/>
  <c r="AS48" i="4"/>
  <c r="AU48" i="4" s="1"/>
  <c r="AV48" i="4"/>
  <c r="AX48" i="4" s="1"/>
  <c r="AW48" i="4"/>
  <c r="AY48" i="4" s="1"/>
  <c r="AR49" i="4"/>
  <c r="AT49" i="4" s="1"/>
  <c r="AS49" i="4"/>
  <c r="AU49" i="4" s="1"/>
  <c r="AV49" i="4"/>
  <c r="AX49" i="4" s="1"/>
  <c r="AW49" i="4"/>
  <c r="AY49" i="4" s="1"/>
  <c r="AR50" i="4"/>
  <c r="AT50" i="4" s="1"/>
  <c r="AS50" i="4"/>
  <c r="AU50" i="4" s="1"/>
  <c r="AV50" i="4"/>
  <c r="AX50" i="4" s="1"/>
  <c r="AW50" i="4"/>
  <c r="AY50" i="4" s="1"/>
  <c r="AR51" i="4"/>
  <c r="AT51" i="4" s="1"/>
  <c r="AS51" i="4"/>
  <c r="AU51" i="4" s="1"/>
  <c r="AV51" i="4"/>
  <c r="AX51" i="4" s="1"/>
  <c r="AW51" i="4"/>
  <c r="AY51" i="4" s="1"/>
  <c r="AR52" i="4"/>
  <c r="AT52" i="4" s="1"/>
  <c r="AS52" i="4"/>
  <c r="AU52" i="4" s="1"/>
  <c r="AV52" i="4"/>
  <c r="AX52" i="4" s="1"/>
  <c r="AW52" i="4"/>
  <c r="AY52" i="4" s="1"/>
  <c r="AR53" i="4"/>
  <c r="AT53" i="4" s="1"/>
  <c r="AS53" i="4"/>
  <c r="AU53" i="4" s="1"/>
  <c r="AV53" i="4"/>
  <c r="AX53" i="4" s="1"/>
  <c r="AW53" i="4"/>
  <c r="AY53" i="4" s="1"/>
  <c r="AR54" i="4"/>
  <c r="AT54" i="4" s="1"/>
  <c r="AS54" i="4"/>
  <c r="AU54" i="4" s="1"/>
  <c r="AV54" i="4"/>
  <c r="AX54" i="4" s="1"/>
  <c r="AW54" i="4"/>
  <c r="AY54" i="4" s="1"/>
  <c r="AR55" i="4"/>
  <c r="AT55" i="4" s="1"/>
  <c r="AS55" i="4"/>
  <c r="AU55" i="4" s="1"/>
  <c r="AV55" i="4"/>
  <c r="AX55" i="4" s="1"/>
  <c r="AW55" i="4"/>
  <c r="AY55" i="4" s="1"/>
  <c r="AR56" i="4"/>
  <c r="AT56" i="4" s="1"/>
  <c r="AS56" i="4"/>
  <c r="AU56" i="4" s="1"/>
  <c r="AV56" i="4"/>
  <c r="AX56" i="4" s="1"/>
  <c r="AW56" i="4"/>
  <c r="AY56" i="4" s="1"/>
  <c r="AR57" i="4"/>
  <c r="AT57" i="4" s="1"/>
  <c r="AS57" i="4"/>
  <c r="AU57" i="4" s="1"/>
  <c r="AV57" i="4"/>
  <c r="AX57" i="4" s="1"/>
  <c r="AW57" i="4"/>
  <c r="AY57" i="4" s="1"/>
  <c r="AR58" i="4"/>
  <c r="AT58" i="4" s="1"/>
  <c r="AS58" i="4"/>
  <c r="AU58" i="4" s="1"/>
  <c r="AV58" i="4"/>
  <c r="AX58" i="4" s="1"/>
  <c r="AW58" i="4"/>
  <c r="AY58" i="4" s="1"/>
  <c r="AR59" i="4"/>
  <c r="AT59" i="4" s="1"/>
  <c r="AS59" i="4"/>
  <c r="AU59" i="4" s="1"/>
  <c r="AV59" i="4"/>
  <c r="AX59" i="4" s="1"/>
  <c r="AW59" i="4"/>
  <c r="AY59" i="4" s="1"/>
  <c r="T97" i="37" l="1"/>
  <c r="T105" i="37"/>
  <c r="D117" i="37"/>
  <c r="G117" i="37"/>
  <c r="T78" i="37"/>
  <c r="T116" i="37"/>
  <c r="T111" i="37"/>
  <c r="T114" i="36"/>
  <c r="T117" i="36"/>
  <c r="T120" i="36" s="1"/>
  <c r="T100" i="33"/>
  <c r="G120" i="32"/>
  <c r="T114" i="32"/>
  <c r="T114" i="31"/>
  <c r="T117" i="31"/>
  <c r="T120" i="31" s="1"/>
  <c r="T117" i="32"/>
  <c r="T120" i="32" s="1"/>
  <c r="T114" i="37"/>
  <c r="T117" i="37" s="1"/>
  <c r="T100" i="34"/>
  <c r="G120" i="35"/>
  <c r="T117" i="35"/>
  <c r="T120" i="35" s="1"/>
  <c r="T117" i="34"/>
  <c r="T120" i="34" s="1"/>
  <c r="T108" i="34"/>
  <c r="T117" i="33"/>
  <c r="T120" i="33" s="1"/>
  <c r="AH4" i="4" l="1"/>
  <c r="AH10" i="4"/>
  <c r="AH14" i="4"/>
  <c r="AH18" i="4"/>
  <c r="AH22" i="4"/>
  <c r="AH26" i="4"/>
  <c r="AH30" i="4"/>
  <c r="AH34" i="4"/>
  <c r="AH38" i="4"/>
  <c r="AH42" i="4"/>
  <c r="AH46" i="4"/>
  <c r="AH50" i="4"/>
  <c r="AH54" i="4"/>
  <c r="AH58" i="4"/>
  <c r="AH3" i="4"/>
  <c r="AH5" i="4"/>
  <c r="AH8" i="4"/>
  <c r="AH9" i="4"/>
  <c r="AH11" i="4"/>
  <c r="AH12" i="4"/>
  <c r="AH13" i="4"/>
  <c r="AH15" i="4"/>
  <c r="AH16" i="4"/>
  <c r="AH17" i="4"/>
  <c r="AH19" i="4"/>
  <c r="AH20" i="4"/>
  <c r="AH21" i="4"/>
  <c r="AH23" i="4"/>
  <c r="AH24" i="4"/>
  <c r="AH25" i="4"/>
  <c r="AH27" i="4"/>
  <c r="AH28" i="4"/>
  <c r="AH29" i="4"/>
  <c r="AH31" i="4"/>
  <c r="AH32" i="4"/>
  <c r="AH33" i="4"/>
  <c r="AH35" i="4"/>
  <c r="AH36" i="4"/>
  <c r="AH37" i="4"/>
  <c r="AH39" i="4"/>
  <c r="AH40" i="4"/>
  <c r="AH41" i="4"/>
  <c r="AH43" i="4"/>
  <c r="AH44" i="4"/>
  <c r="AH45" i="4"/>
  <c r="AH47" i="4"/>
  <c r="AH48" i="4"/>
  <c r="AH49" i="4"/>
  <c r="AH51" i="4"/>
  <c r="AH52" i="4"/>
  <c r="AH53" i="4"/>
  <c r="AH55" i="4"/>
  <c r="AH56" i="4"/>
  <c r="AH57" i="4"/>
  <c r="AH59" i="4"/>
  <c r="D7" i="2" l="1"/>
  <c r="D16" i="2" s="1"/>
  <c r="Q7" i="2"/>
  <c r="M7" i="2"/>
  <c r="J7" i="2"/>
  <c r="C7" i="2"/>
  <c r="C16" i="2" s="1"/>
  <c r="O92" i="4"/>
  <c r="O93" i="4" s="1"/>
  <c r="N92" i="4"/>
  <c r="N93" i="4" s="1"/>
  <c r="M92" i="4"/>
  <c r="M93" i="4" s="1"/>
  <c r="H92" i="4"/>
  <c r="G92" i="4"/>
  <c r="J91" i="4"/>
  <c r="J93" i="4" s="1"/>
  <c r="D91" i="4"/>
  <c r="R90" i="4"/>
  <c r="R93" i="4" s="1"/>
  <c r="Q90" i="4"/>
  <c r="Q93" i="4" s="1"/>
  <c r="P90" i="4"/>
  <c r="P93" i="4" s="1"/>
  <c r="L90" i="4"/>
  <c r="L93" i="4" s="1"/>
  <c r="K90" i="4"/>
  <c r="K93" i="4" s="1"/>
  <c r="I90" i="4"/>
  <c r="I93" i="4" s="1"/>
  <c r="H90" i="4"/>
  <c r="G90" i="4"/>
  <c r="F90" i="4"/>
  <c r="F93" i="4" s="1"/>
  <c r="E90" i="4"/>
  <c r="E93" i="4" s="1"/>
  <c r="D92" i="4"/>
  <c r="D90" i="4"/>
  <c r="O73" i="4"/>
  <c r="O74" i="4" s="1"/>
  <c r="N73" i="4"/>
  <c r="N74" i="4" s="1"/>
  <c r="M73" i="4"/>
  <c r="H73" i="4"/>
  <c r="G73" i="4"/>
  <c r="D73" i="4"/>
  <c r="J72" i="4"/>
  <c r="D72" i="4"/>
  <c r="R71" i="4"/>
  <c r="R74" i="4" s="1"/>
  <c r="Q71" i="4"/>
  <c r="P71" i="4"/>
  <c r="P74" i="4" s="1"/>
  <c r="L71" i="4"/>
  <c r="L74" i="4" s="1"/>
  <c r="K71" i="4"/>
  <c r="K74" i="4" s="1"/>
  <c r="I71" i="4"/>
  <c r="H71" i="4"/>
  <c r="G71" i="4"/>
  <c r="F71" i="4"/>
  <c r="E71" i="4"/>
  <c r="D71" i="4"/>
  <c r="E15" i="6"/>
  <c r="E14" i="6"/>
  <c r="E13" i="6"/>
  <c r="E12" i="6"/>
  <c r="E11" i="6"/>
  <c r="E10" i="6"/>
  <c r="E9" i="6"/>
  <c r="E8" i="6"/>
  <c r="E7" i="6"/>
  <c r="E6" i="6"/>
  <c r="E5" i="6"/>
  <c r="E4" i="6"/>
  <c r="J4" i="3"/>
  <c r="J12" i="3" s="1"/>
  <c r="I4" i="3"/>
  <c r="I12" i="3" s="1"/>
  <c r="G4" i="3"/>
  <c r="E4" i="3"/>
  <c r="R112" i="4"/>
  <c r="Q112" i="4"/>
  <c r="P112" i="4"/>
  <c r="L112" i="4"/>
  <c r="K112" i="4"/>
  <c r="J112" i="4"/>
  <c r="I112" i="4"/>
  <c r="F112" i="4"/>
  <c r="E112" i="4"/>
  <c r="R111" i="4"/>
  <c r="Q111" i="4"/>
  <c r="P111" i="4"/>
  <c r="O111" i="4"/>
  <c r="N111" i="4"/>
  <c r="M111" i="4"/>
  <c r="L111" i="4"/>
  <c r="K111" i="4"/>
  <c r="I111" i="4"/>
  <c r="H111" i="4"/>
  <c r="G111" i="4"/>
  <c r="F111" i="4"/>
  <c r="E111" i="4"/>
  <c r="O110" i="4"/>
  <c r="N110" i="4"/>
  <c r="M110" i="4"/>
  <c r="J110" i="4"/>
  <c r="R106" i="4"/>
  <c r="Q106" i="4"/>
  <c r="P106" i="4"/>
  <c r="L106" i="4"/>
  <c r="K106" i="4"/>
  <c r="J106" i="4"/>
  <c r="I106" i="4"/>
  <c r="F106" i="4"/>
  <c r="E106" i="4"/>
  <c r="R105" i="4"/>
  <c r="Q105" i="4"/>
  <c r="P105" i="4"/>
  <c r="O105" i="4"/>
  <c r="N105" i="4"/>
  <c r="M105" i="4"/>
  <c r="L105" i="4"/>
  <c r="K105" i="4"/>
  <c r="I105" i="4"/>
  <c r="H105" i="4"/>
  <c r="G105" i="4"/>
  <c r="F105" i="4"/>
  <c r="E105" i="4"/>
  <c r="O104" i="4"/>
  <c r="N104" i="4"/>
  <c r="M104" i="4"/>
  <c r="J104" i="4"/>
  <c r="R98" i="4"/>
  <c r="Q98" i="4"/>
  <c r="P98" i="4"/>
  <c r="L98" i="4"/>
  <c r="K98" i="4"/>
  <c r="J98" i="4"/>
  <c r="I98" i="4"/>
  <c r="F98" i="4"/>
  <c r="E98" i="4"/>
  <c r="R97" i="4"/>
  <c r="Q97" i="4"/>
  <c r="P97" i="4"/>
  <c r="O97" i="4"/>
  <c r="N97" i="4"/>
  <c r="M97" i="4"/>
  <c r="L97" i="4"/>
  <c r="K97" i="4"/>
  <c r="I97" i="4"/>
  <c r="H97" i="4"/>
  <c r="G97" i="4"/>
  <c r="F97" i="4"/>
  <c r="E97" i="4"/>
  <c r="O96" i="4"/>
  <c r="N96" i="4"/>
  <c r="M96" i="4"/>
  <c r="J96" i="4"/>
  <c r="O86" i="4"/>
  <c r="O87" i="4" s="1"/>
  <c r="N86" i="4"/>
  <c r="M86" i="4"/>
  <c r="H86" i="4"/>
  <c r="G86" i="4"/>
  <c r="D86" i="4"/>
  <c r="J85" i="4"/>
  <c r="J87" i="4" s="1"/>
  <c r="D85" i="4"/>
  <c r="R84" i="4"/>
  <c r="R87" i="4" s="1"/>
  <c r="Q84" i="4"/>
  <c r="P84" i="4"/>
  <c r="P87" i="4" s="1"/>
  <c r="L84" i="4"/>
  <c r="K84" i="4"/>
  <c r="I84" i="4"/>
  <c r="H84" i="4"/>
  <c r="G84" i="4"/>
  <c r="F84" i="4"/>
  <c r="F87" i="4" s="1"/>
  <c r="E84" i="4"/>
  <c r="D84" i="4"/>
  <c r="R79" i="4"/>
  <c r="Q79" i="4"/>
  <c r="P79" i="4"/>
  <c r="L79" i="4"/>
  <c r="K79" i="4"/>
  <c r="J79" i="4"/>
  <c r="I79" i="4"/>
  <c r="F79" i="4"/>
  <c r="E79" i="4"/>
  <c r="R78" i="4"/>
  <c r="Q78" i="4"/>
  <c r="P78" i="4"/>
  <c r="O78" i="4"/>
  <c r="N78" i="4"/>
  <c r="M78" i="4"/>
  <c r="L78" i="4"/>
  <c r="K78" i="4"/>
  <c r="I78" i="4"/>
  <c r="H78" i="4"/>
  <c r="G78" i="4"/>
  <c r="F78" i="4"/>
  <c r="E78" i="4"/>
  <c r="O77" i="4"/>
  <c r="N77" i="4"/>
  <c r="M77" i="4"/>
  <c r="J77" i="4"/>
  <c r="O67" i="4"/>
  <c r="O68" i="4" s="1"/>
  <c r="N67" i="4"/>
  <c r="N68" i="4" s="1"/>
  <c r="M67" i="4"/>
  <c r="H67" i="4"/>
  <c r="G67" i="4"/>
  <c r="D67" i="4"/>
  <c r="J66" i="4"/>
  <c r="D66" i="4"/>
  <c r="R65" i="4"/>
  <c r="Q65" i="4"/>
  <c r="P65" i="4"/>
  <c r="L65" i="4"/>
  <c r="K65" i="4"/>
  <c r="K68" i="4" s="1"/>
  <c r="I65" i="4"/>
  <c r="H65" i="4"/>
  <c r="G65" i="4"/>
  <c r="F65" i="4"/>
  <c r="E65" i="4"/>
  <c r="D65" i="4"/>
  <c r="Q89" i="4"/>
  <c r="P70" i="4"/>
  <c r="O103" i="4"/>
  <c r="M83" i="4"/>
  <c r="K115" i="4"/>
  <c r="I109" i="4"/>
  <c r="H83" i="4"/>
  <c r="G115" i="4"/>
  <c r="AO12" i="3"/>
  <c r="AB12" i="3"/>
  <c r="AB13" i="3" s="1"/>
  <c r="K11" i="3"/>
  <c r="G11" i="3"/>
  <c r="E10" i="3"/>
  <c r="AA10" i="3"/>
  <c r="Y10" i="3"/>
  <c r="Q10" i="3"/>
  <c r="D10" i="3"/>
  <c r="AA9" i="3"/>
  <c r="Y9" i="3"/>
  <c r="W9" i="3"/>
  <c r="Q9" i="3"/>
  <c r="D9" i="3"/>
  <c r="AA8" i="3"/>
  <c r="Y8" i="3"/>
  <c r="W8" i="3"/>
  <c r="Q8" i="3"/>
  <c r="D8" i="3"/>
  <c r="E7" i="3"/>
  <c r="Q7" i="3"/>
  <c r="Y7" i="3"/>
  <c r="AA6" i="3"/>
  <c r="Y6" i="3"/>
  <c r="W6" i="3"/>
  <c r="Q6" i="3"/>
  <c r="D6" i="3"/>
  <c r="AA5" i="3"/>
  <c r="Q5" i="3"/>
  <c r="D5" i="3"/>
  <c r="X16" i="2"/>
  <c r="B16" i="2"/>
  <c r="Z4" i="3" l="1"/>
  <c r="Z12" i="3" s="1"/>
  <c r="Y5" i="3"/>
  <c r="E5" i="3"/>
  <c r="E12" i="3" s="1"/>
  <c r="E8" i="3"/>
  <c r="H8" i="3" s="1"/>
  <c r="K8" i="3" s="1"/>
  <c r="H5" i="3"/>
  <c r="K5" i="3" s="1"/>
  <c r="W5" i="3"/>
  <c r="E9" i="3"/>
  <c r="T9" i="3" s="1"/>
  <c r="E6" i="3"/>
  <c r="T6" i="3" s="1"/>
  <c r="H10" i="3"/>
  <c r="K10" i="3" s="1"/>
  <c r="W10" i="3"/>
  <c r="T7" i="2"/>
  <c r="T16" i="2" s="1"/>
  <c r="N98" i="4"/>
  <c r="U7" i="2"/>
  <c r="U16" i="2" s="1"/>
  <c r="D78" i="4"/>
  <c r="P77" i="4"/>
  <c r="G117" i="4"/>
  <c r="L117" i="4"/>
  <c r="P117" i="4"/>
  <c r="L118" i="4"/>
  <c r="O116" i="4"/>
  <c r="H117" i="4"/>
  <c r="M117" i="4"/>
  <c r="Q117" i="4"/>
  <c r="I118" i="4"/>
  <c r="P118" i="4"/>
  <c r="D97" i="4"/>
  <c r="D96" i="4"/>
  <c r="K103" i="4"/>
  <c r="Q96" i="4"/>
  <c r="Q95" i="4"/>
  <c r="I96" i="4"/>
  <c r="S7" i="2"/>
  <c r="L96" i="4"/>
  <c r="G77" i="4"/>
  <c r="N106" i="4"/>
  <c r="N107" i="4" s="1"/>
  <c r="G74" i="4"/>
  <c r="O79" i="4"/>
  <c r="H98" i="4"/>
  <c r="R7" i="2"/>
  <c r="AN4" i="3"/>
  <c r="AN12" i="3" s="1"/>
  <c r="D112" i="4"/>
  <c r="J99" i="4"/>
  <c r="R99" i="4"/>
  <c r="P99" i="4"/>
  <c r="F99" i="4"/>
  <c r="E96" i="4"/>
  <c r="D98" i="4"/>
  <c r="L77" i="4"/>
  <c r="H77" i="4"/>
  <c r="D74" i="4"/>
  <c r="D4" i="3" s="1"/>
  <c r="AG4" i="3"/>
  <c r="AG12" i="3" s="1"/>
  <c r="G68" i="4"/>
  <c r="G80" i="4" s="1"/>
  <c r="O80" i="4"/>
  <c r="AH4" i="3"/>
  <c r="AH12" i="3" s="1"/>
  <c r="T73" i="4"/>
  <c r="M116" i="4"/>
  <c r="F117" i="4"/>
  <c r="K117" i="4"/>
  <c r="O117" i="4"/>
  <c r="K118" i="4"/>
  <c r="AE4" i="3"/>
  <c r="AE12" i="3" s="1"/>
  <c r="AI4" i="3"/>
  <c r="AI12" i="3" s="1"/>
  <c r="AM4" i="3"/>
  <c r="AM12" i="3" s="1"/>
  <c r="D68" i="4"/>
  <c r="N80" i="4"/>
  <c r="AC4" i="3"/>
  <c r="AC12" i="3" s="1"/>
  <c r="AC13" i="3" s="1"/>
  <c r="AK4" i="3"/>
  <c r="AK12" i="3" s="1"/>
  <c r="J116" i="4"/>
  <c r="I117" i="4"/>
  <c r="J118" i="4"/>
  <c r="Q118" i="4"/>
  <c r="AD4" i="3"/>
  <c r="AD12" i="3" s="1"/>
  <c r="AL4" i="3"/>
  <c r="AL12" i="3" s="1"/>
  <c r="D79" i="4"/>
  <c r="P68" i="4"/>
  <c r="P80" i="4" s="1"/>
  <c r="L68" i="4"/>
  <c r="L80" i="4" s="1"/>
  <c r="N79" i="4"/>
  <c r="AF4" i="3"/>
  <c r="AF12" i="3" s="1"/>
  <c r="AJ4" i="3"/>
  <c r="AJ12" i="3" s="1"/>
  <c r="G87" i="4"/>
  <c r="G110" i="4"/>
  <c r="L110" i="4"/>
  <c r="L113" i="4" s="1"/>
  <c r="O4" i="3" s="1"/>
  <c r="O12" i="3" s="1"/>
  <c r="D111" i="4"/>
  <c r="D93" i="4"/>
  <c r="H93" i="4"/>
  <c r="F110" i="4"/>
  <c r="F113" i="4" s="1"/>
  <c r="K110" i="4"/>
  <c r="K113" i="4" s="1"/>
  <c r="G112" i="4"/>
  <c r="O112" i="4"/>
  <c r="O113" i="4" s="1"/>
  <c r="G93" i="4"/>
  <c r="K104" i="4"/>
  <c r="R104" i="4"/>
  <c r="R107" i="4" s="1"/>
  <c r="M112" i="4"/>
  <c r="M113" i="4" s="1"/>
  <c r="L87" i="4"/>
  <c r="L99" i="4" s="1"/>
  <c r="F104" i="4"/>
  <c r="G106" i="4"/>
  <c r="O106" i="4"/>
  <c r="D110" i="4"/>
  <c r="H110" i="4"/>
  <c r="P110" i="4"/>
  <c r="P113" i="4" s="1"/>
  <c r="T85" i="4"/>
  <c r="N87" i="4"/>
  <c r="N99" i="4" s="1"/>
  <c r="T91" i="4"/>
  <c r="F96" i="4"/>
  <c r="G104" i="4"/>
  <c r="G116" i="4" s="1"/>
  <c r="L104" i="4"/>
  <c r="L116" i="4" s="1"/>
  <c r="R110" i="4"/>
  <c r="N112" i="4"/>
  <c r="N113" i="4" s="1"/>
  <c r="D104" i="4"/>
  <c r="H104" i="4"/>
  <c r="T92" i="4"/>
  <c r="J97" i="4"/>
  <c r="T97" i="4" s="1"/>
  <c r="D106" i="4"/>
  <c r="D118" i="4" s="1"/>
  <c r="L109" i="4"/>
  <c r="L95" i="4"/>
  <c r="L89" i="4"/>
  <c r="L115" i="4"/>
  <c r="L103" i="4"/>
  <c r="L83" i="4"/>
  <c r="E104" i="4"/>
  <c r="E77" i="4"/>
  <c r="E68" i="4"/>
  <c r="T65" i="4"/>
  <c r="Q104" i="4"/>
  <c r="Q77" i="4"/>
  <c r="Q68" i="4"/>
  <c r="L70" i="4"/>
  <c r="K80" i="4"/>
  <c r="H106" i="4"/>
  <c r="H79" i="4"/>
  <c r="H68" i="4"/>
  <c r="T67" i="4"/>
  <c r="J74" i="4"/>
  <c r="J111" i="4"/>
  <c r="J113" i="4" s="1"/>
  <c r="P4" i="3" s="1"/>
  <c r="P12" i="3" s="1"/>
  <c r="T72" i="4"/>
  <c r="H96" i="4"/>
  <c r="H87" i="4"/>
  <c r="H99" i="4" s="1"/>
  <c r="P96" i="4"/>
  <c r="P104" i="4"/>
  <c r="D87" i="4"/>
  <c r="D99" i="4" s="1"/>
  <c r="H109" i="4"/>
  <c r="H95" i="4"/>
  <c r="H89" i="4"/>
  <c r="H115" i="4"/>
  <c r="H103" i="4"/>
  <c r="P109" i="4"/>
  <c r="P95" i="4"/>
  <c r="P89" i="4"/>
  <c r="P115" i="4"/>
  <c r="P103" i="4"/>
  <c r="P83" i="4"/>
  <c r="I104" i="4"/>
  <c r="I77" i="4"/>
  <c r="I68" i="4"/>
  <c r="H112" i="4"/>
  <c r="H74" i="4"/>
  <c r="J105" i="4"/>
  <c r="T105" i="4" s="1"/>
  <c r="J68" i="4"/>
  <c r="J78" i="4"/>
  <c r="T78" i="4" s="1"/>
  <c r="T66" i="4"/>
  <c r="H70" i="4"/>
  <c r="E110" i="4"/>
  <c r="E74" i="4"/>
  <c r="T71" i="4"/>
  <c r="I110" i="4"/>
  <c r="I113" i="4" s="1"/>
  <c r="I74" i="4"/>
  <c r="Q110" i="4"/>
  <c r="Q113" i="4" s="1"/>
  <c r="Q74" i="4"/>
  <c r="E115" i="4"/>
  <c r="E103" i="4"/>
  <c r="I115" i="4"/>
  <c r="I103" i="4"/>
  <c r="M115" i="4"/>
  <c r="M103" i="4"/>
  <c r="Q115" i="4"/>
  <c r="Q103" i="4"/>
  <c r="M106" i="4"/>
  <c r="M118" i="4" s="1"/>
  <c r="M79" i="4"/>
  <c r="E70" i="4"/>
  <c r="I70" i="4"/>
  <c r="M70" i="4"/>
  <c r="Q70" i="4"/>
  <c r="D77" i="4"/>
  <c r="R77" i="4"/>
  <c r="I83" i="4"/>
  <c r="O83" i="4"/>
  <c r="M98" i="4"/>
  <c r="M87" i="4"/>
  <c r="M99" i="4" s="1"/>
  <c r="E89" i="4"/>
  <c r="E95" i="4"/>
  <c r="M109" i="4"/>
  <c r="F115" i="4"/>
  <c r="F103" i="4"/>
  <c r="F109" i="4"/>
  <c r="F95" i="4"/>
  <c r="F89" i="4"/>
  <c r="F83" i="4"/>
  <c r="J115" i="4"/>
  <c r="J103" i="4"/>
  <c r="J109" i="4"/>
  <c r="J95" i="4"/>
  <c r="J89" i="4"/>
  <c r="J83" i="4"/>
  <c r="N115" i="4"/>
  <c r="N103" i="4"/>
  <c r="N109" i="4"/>
  <c r="N95" i="4"/>
  <c r="N89" i="4"/>
  <c r="N83" i="4"/>
  <c r="R115" i="4"/>
  <c r="R103" i="4"/>
  <c r="R109" i="4"/>
  <c r="R95" i="4"/>
  <c r="R89" i="4"/>
  <c r="R83" i="4"/>
  <c r="M68" i="4"/>
  <c r="F70" i="4"/>
  <c r="J70" i="4"/>
  <c r="N70" i="4"/>
  <c r="R70" i="4"/>
  <c r="M74" i="4"/>
  <c r="G79" i="4"/>
  <c r="E83" i="4"/>
  <c r="K83" i="4"/>
  <c r="K87" i="4"/>
  <c r="K99" i="4" s="1"/>
  <c r="K96" i="4"/>
  <c r="I89" i="4"/>
  <c r="I95" i="4"/>
  <c r="R96" i="4"/>
  <c r="D105" i="4"/>
  <c r="F118" i="4"/>
  <c r="R118" i="4"/>
  <c r="Q109" i="4"/>
  <c r="G109" i="4"/>
  <c r="G95" i="4"/>
  <c r="G89" i="4"/>
  <c r="K109" i="4"/>
  <c r="K95" i="4"/>
  <c r="K89" i="4"/>
  <c r="O109" i="4"/>
  <c r="O95" i="4"/>
  <c r="O89" i="4"/>
  <c r="F68" i="4"/>
  <c r="R68" i="4"/>
  <c r="R80" i="4" s="1"/>
  <c r="G70" i="4"/>
  <c r="K70" i="4"/>
  <c r="O70" i="4"/>
  <c r="F74" i="4"/>
  <c r="F77" i="4"/>
  <c r="K77" i="4"/>
  <c r="G83" i="4"/>
  <c r="Q83" i="4"/>
  <c r="T86" i="4"/>
  <c r="O99" i="4"/>
  <c r="M89" i="4"/>
  <c r="M95" i="4"/>
  <c r="G103" i="4"/>
  <c r="N116" i="4"/>
  <c r="N117" i="4"/>
  <c r="R117" i="4"/>
  <c r="E109" i="4"/>
  <c r="O115" i="4"/>
  <c r="T84" i="4"/>
  <c r="E87" i="4"/>
  <c r="E99" i="4" s="1"/>
  <c r="I87" i="4"/>
  <c r="I99" i="4" s="1"/>
  <c r="Q87" i="4"/>
  <c r="Q99" i="4" s="1"/>
  <c r="T90" i="4"/>
  <c r="G96" i="4"/>
  <c r="G98" i="4"/>
  <c r="O98" i="4"/>
  <c r="E117" i="4"/>
  <c r="E118" i="4"/>
  <c r="G7" i="3"/>
  <c r="T7" i="3"/>
  <c r="S7" i="3"/>
  <c r="T10" i="3"/>
  <c r="S10" i="3"/>
  <c r="G10" i="3"/>
  <c r="R10" i="3" s="1"/>
  <c r="S5" i="3"/>
  <c r="T5" i="3"/>
  <c r="G8" i="3"/>
  <c r="R8" i="3" s="1"/>
  <c r="T8" i="3"/>
  <c r="G9" i="3"/>
  <c r="R9" i="3" s="1"/>
  <c r="S9" i="3"/>
  <c r="H9" i="3"/>
  <c r="K9" i="3" s="1"/>
  <c r="H6" i="3"/>
  <c r="K6" i="3" s="1"/>
  <c r="G6" i="3"/>
  <c r="R6" i="3" s="1"/>
  <c r="H7" i="3"/>
  <c r="K7" i="3" s="1"/>
  <c r="W7" i="3"/>
  <c r="AA7" i="3"/>
  <c r="F4" i="3"/>
  <c r="D7" i="3"/>
  <c r="Z7" i="2"/>
  <c r="M16" i="2"/>
  <c r="N7" i="2"/>
  <c r="V7" i="2"/>
  <c r="F7" i="2"/>
  <c r="G118" i="4" l="1"/>
  <c r="S6" i="3"/>
  <c r="S8" i="3"/>
  <c r="G5" i="3"/>
  <c r="R5" i="3" s="1"/>
  <c r="O118" i="4"/>
  <c r="U4" i="3"/>
  <c r="O107" i="4"/>
  <c r="O119" i="4" s="1"/>
  <c r="R4" i="3"/>
  <c r="O7" i="2"/>
  <c r="G7" i="2"/>
  <c r="L7" i="2"/>
  <c r="G99" i="4"/>
  <c r="F116" i="4"/>
  <c r="AD13" i="3"/>
  <c r="AE13" i="3" s="1"/>
  <c r="AF13" i="3" s="1"/>
  <c r="K116" i="4"/>
  <c r="D12" i="3"/>
  <c r="M80" i="4"/>
  <c r="X4" i="3" s="1"/>
  <c r="V4" i="3"/>
  <c r="R116" i="4"/>
  <c r="F80" i="4"/>
  <c r="N118" i="4"/>
  <c r="I80" i="4"/>
  <c r="D117" i="4"/>
  <c r="T79" i="4"/>
  <c r="G107" i="4"/>
  <c r="L107" i="4"/>
  <c r="L119" i="4" s="1"/>
  <c r="M4" i="3" s="1"/>
  <c r="M12" i="3" s="1"/>
  <c r="K107" i="4"/>
  <c r="K119" i="4" s="1"/>
  <c r="T77" i="4"/>
  <c r="G113" i="4"/>
  <c r="D80" i="4"/>
  <c r="C4" i="3" s="1"/>
  <c r="B4" i="3"/>
  <c r="E7" i="2" s="1"/>
  <c r="T112" i="4"/>
  <c r="H113" i="4"/>
  <c r="H116" i="4"/>
  <c r="D113" i="4"/>
  <c r="T96" i="4"/>
  <c r="F107" i="4"/>
  <c r="F119" i="4" s="1"/>
  <c r="D116" i="4"/>
  <c r="D107" i="4"/>
  <c r="T93" i="4"/>
  <c r="R113" i="4"/>
  <c r="R119" i="4" s="1"/>
  <c r="N119" i="4"/>
  <c r="T111" i="4"/>
  <c r="T106" i="4"/>
  <c r="J117" i="4"/>
  <c r="T117" i="4" s="1"/>
  <c r="J107" i="4"/>
  <c r="J119" i="4" s="1"/>
  <c r="T98" i="4"/>
  <c r="E113" i="4"/>
  <c r="T110" i="4"/>
  <c r="J80" i="4"/>
  <c r="I116" i="4"/>
  <c r="I107" i="4"/>
  <c r="I119" i="4" s="1"/>
  <c r="H80" i="4"/>
  <c r="T68" i="4"/>
  <c r="H118" i="4"/>
  <c r="H107" i="4"/>
  <c r="T74" i="4"/>
  <c r="P116" i="4"/>
  <c r="P107" i="4"/>
  <c r="P119" i="4" s="1"/>
  <c r="Q116" i="4"/>
  <c r="Q107" i="4"/>
  <c r="Q119" i="4" s="1"/>
  <c r="T104" i="4"/>
  <c r="E116" i="4"/>
  <c r="E107" i="4"/>
  <c r="E119" i="4" s="1"/>
  <c r="M107" i="4"/>
  <c r="M119" i="4" s="1"/>
  <c r="T87" i="4"/>
  <c r="Q80" i="4"/>
  <c r="E80" i="4"/>
  <c r="F12" i="3"/>
  <c r="R7" i="3"/>
  <c r="G12" i="3"/>
  <c r="F16" i="2"/>
  <c r="Z16" i="2"/>
  <c r="AA7" i="2"/>
  <c r="AA16" i="2" s="1"/>
  <c r="V16" i="2"/>
  <c r="Y7" i="2"/>
  <c r="Y16" i="2" s="1"/>
  <c r="W7" i="2"/>
  <c r="K7" i="2"/>
  <c r="C12" i="3" l="1"/>
  <c r="H7" i="2"/>
  <c r="I7" i="2" s="1"/>
  <c r="P7" i="2"/>
  <c r="T99" i="4"/>
  <c r="D119" i="4"/>
  <c r="T80" i="4"/>
  <c r="T113" i="4"/>
  <c r="Q4" i="3"/>
  <c r="Y4" i="3"/>
  <c r="Y12" i="3" s="1"/>
  <c r="X12" i="3"/>
  <c r="V12" i="3"/>
  <c r="W4" i="3"/>
  <c r="W12" i="3" s="1"/>
  <c r="G119" i="4"/>
  <c r="H119" i="4"/>
  <c r="N4" i="3"/>
  <c r="N12" i="3" s="1"/>
  <c r="T118" i="4"/>
  <c r="H4" i="3"/>
  <c r="B12" i="3"/>
  <c r="AF14" i="3" s="1"/>
  <c r="T4" i="3"/>
  <c r="S4" i="3"/>
  <c r="AA4" i="3"/>
  <c r="T116" i="4"/>
  <c r="T107" i="4"/>
  <c r="AG13" i="3"/>
  <c r="Q12" i="3"/>
  <c r="R12" i="3"/>
  <c r="AE14" i="3" l="1"/>
  <c r="T119" i="4"/>
  <c r="L4" i="3"/>
  <c r="L12" i="3" s="1"/>
  <c r="E17" i="3"/>
  <c r="AC14" i="3"/>
  <c r="AD14" i="3"/>
  <c r="AA12" i="3"/>
  <c r="S12" i="3"/>
  <c r="AB14" i="3"/>
  <c r="T12" i="3"/>
  <c r="K4" i="3"/>
  <c r="K12" i="3" s="1"/>
  <c r="H12" i="3"/>
  <c r="AG14" i="3"/>
  <c r="AH13" i="3"/>
  <c r="AH14" i="3" l="1"/>
  <c r="AI13" i="3"/>
  <c r="AI14" i="3" l="1"/>
  <c r="AJ13" i="3"/>
  <c r="AJ14" i="3" l="1"/>
  <c r="AK13" i="3"/>
  <c r="AK14" i="3" l="1"/>
  <c r="AL13" i="3"/>
  <c r="AL14" i="3" l="1"/>
  <c r="AM13" i="3"/>
  <c r="AM14" i="3" l="1"/>
  <c r="AN13" i="3"/>
  <c r="AN14" i="3" l="1"/>
  <c r="AO13" i="3"/>
  <c r="AO14" i="3" s="1"/>
</calcChain>
</file>

<file path=xl/sharedStrings.xml><?xml version="1.0" encoding="utf-8"?>
<sst xmlns="http://schemas.openxmlformats.org/spreadsheetml/2006/main" count="1831" uniqueCount="244">
  <si>
    <t>Budget comptable du portefeuille</t>
  </si>
  <si>
    <t>Appuis</t>
  </si>
  <si>
    <t>Budget Définitif</t>
  </si>
  <si>
    <t>Budget</t>
  </si>
  <si>
    <t>Nombre</t>
  </si>
  <si>
    <t>Budget exercice 
décalé</t>
  </si>
  <si>
    <t>en % du portefeuille
 total</t>
  </si>
  <si>
    <t>Dossiers</t>
  </si>
  <si>
    <t>Avancement décalés</t>
  </si>
  <si>
    <t>Budget 31/12</t>
  </si>
  <si>
    <t>en % du portefeuille</t>
  </si>
  <si>
    <t>Avancement 31/12</t>
  </si>
  <si>
    <t>BONI</t>
  </si>
  <si>
    <t>MALI</t>
  </si>
  <si>
    <t>Disponibilités</t>
  </si>
  <si>
    <t>Réalisés</t>
  </si>
  <si>
    <t>Disponibilités après appuis</t>
  </si>
  <si>
    <t>y compris dispo</t>
  </si>
  <si>
    <t>Sur ou sous réalisation</t>
  </si>
  <si>
    <t>Budget validé
 par DT début
 de campagne</t>
  </si>
  <si>
    <t>Montant lettre de mission</t>
  </si>
  <si>
    <t xml:space="preserve">Budget du comptable 
portefeuille </t>
  </si>
  <si>
    <t>Dossiers
total</t>
  </si>
  <si>
    <t xml:space="preserve">Montant </t>
  </si>
  <si>
    <t xml:space="preserve">% </t>
  </si>
  <si>
    <t>%</t>
  </si>
  <si>
    <t>Montant</t>
  </si>
  <si>
    <t>Tps 
restant
nécessaire</t>
  </si>
  <si>
    <t>Tps
restant
nécessaire</t>
  </si>
  <si>
    <t>Heures</t>
  </si>
  <si>
    <t>affectation pic</t>
  </si>
  <si>
    <t>Aurélie</t>
  </si>
  <si>
    <t>Total</t>
  </si>
  <si>
    <t>SIGNATURES</t>
  </si>
  <si>
    <t>Dossiers restant à produire</t>
  </si>
  <si>
    <t>Nombre de dossiers</t>
  </si>
  <si>
    <t>Réalisées</t>
  </si>
  <si>
    <t>Solde</t>
  </si>
  <si>
    <t>Base visa V5</t>
  </si>
  <si>
    <t>Nombre de dossier</t>
  </si>
  <si>
    <t>DECALES</t>
  </si>
  <si>
    <t xml:space="preserve">Avancement </t>
  </si>
  <si>
    <t>NOMBRE total</t>
  </si>
  <si>
    <t>NOMBRE de décalés</t>
  </si>
  <si>
    <t>NOMBRE de dossiers
31 12</t>
  </si>
  <si>
    <t>NOMBRE SIGNE CE JOUR</t>
  </si>
  <si>
    <t>NOMBRE de dossiers décalés</t>
  </si>
  <si>
    <t xml:space="preserve">Nombre de dossiers 31 12 </t>
  </si>
  <si>
    <t>RESTE A SIGNER</t>
  </si>
  <si>
    <t xml:space="preserve">Dossier en attente de visa
SM </t>
  </si>
  <si>
    <t xml:space="preserve">Dossier en attente de visa
FM </t>
  </si>
  <si>
    <t>Reste à signer en déduction des visas en attente dans la base</t>
  </si>
  <si>
    <t>SARL / SAS/
INDIV / ASSO /
EARL / SCEA / ETA</t>
  </si>
  <si>
    <t xml:space="preserve">SCI </t>
  </si>
  <si>
    <t>SARL / SAS/
INDIV / ASSO</t>
  </si>
  <si>
    <t>BNC
/
PROF LIB</t>
  </si>
  <si>
    <t>Avancement% décalés</t>
  </si>
  <si>
    <t>Avancement %
31/12/2019</t>
  </si>
  <si>
    <t>Avancement Total du Portefeuille</t>
  </si>
  <si>
    <t>Avancement y compris dossiers en attente base</t>
  </si>
  <si>
    <t>DELAI MOYEN
en jours
(à titre indicatif)</t>
  </si>
  <si>
    <t>NOMBRE PCR</t>
  </si>
  <si>
    <t>% PCR</t>
  </si>
  <si>
    <t>NOMBRE RA NOS</t>
  </si>
  <si>
    <t>% RA NOS</t>
  </si>
  <si>
    <t>REFUS</t>
  </si>
  <si>
    <t>% REFUS</t>
  </si>
  <si>
    <t>DOSSIERS SIGNES AVANT JUIN</t>
  </si>
  <si>
    <t>DOSSIERS SIGNES EN JUIN</t>
  </si>
  <si>
    <t>DOSSIERS SIGNES EN JUILLET</t>
  </si>
  <si>
    <t>DOSSIERS SIGNES EN AOUT</t>
  </si>
  <si>
    <t>DOSSIERS SIGNES EN SEPTEMBRE</t>
  </si>
  <si>
    <t>DOSSIERS SIGNES EN OCTOBRE</t>
  </si>
  <si>
    <t>DOSSIERS SIGNES EN NOVEMBRE</t>
  </si>
  <si>
    <t>DOSSIERS SIGNES EN DECEMBRE</t>
  </si>
  <si>
    <t>DOSSIERS SIGNES EN  JANVIER</t>
  </si>
  <si>
    <t>DOSSIERS SIGNES EN FEVRIER</t>
  </si>
  <si>
    <t>DOSSIERS SIGNES EN MARS</t>
  </si>
  <si>
    <t>DOSSIERS SIGNES EN AVRIL</t>
  </si>
  <si>
    <t>DOSSIERS SIGNES EN MAI</t>
  </si>
  <si>
    <t>Delphine</t>
  </si>
  <si>
    <t>Frédérique</t>
  </si>
  <si>
    <t>Sébastien</t>
  </si>
  <si>
    <t>Eric</t>
  </si>
  <si>
    <t>Guillaume</t>
  </si>
  <si>
    <t>Marie-Pierre</t>
  </si>
  <si>
    <t>TOTAL</t>
  </si>
  <si>
    <t>CUMUL</t>
  </si>
  <si>
    <t>% AVANCEMENT</t>
  </si>
  <si>
    <t>N° DOSSIER</t>
  </si>
  <si>
    <t>NOM DOSSIER</t>
  </si>
  <si>
    <t>TYPE DE MARCHE</t>
  </si>
  <si>
    <t>DATE DE CLOTURE</t>
  </si>
  <si>
    <t>REGIME JURIDIQUE</t>
  </si>
  <si>
    <t>REGIME IMPOSITION</t>
  </si>
  <si>
    <t>DATE
DE DEPOT</t>
  </si>
  <si>
    <t>DATE SIGNATURE</t>
  </si>
  <si>
    <t>MOIS</t>
  </si>
  <si>
    <t>DELAI</t>
  </si>
  <si>
    <t>PCR</t>
  </si>
  <si>
    <t>RA NOS</t>
  </si>
  <si>
    <t xml:space="preserve">QUI </t>
  </si>
  <si>
    <t>CR</t>
  </si>
  <si>
    <t>CR FAIT PAR LE COMPTABLE</t>
  </si>
  <si>
    <t>Prénom
AAC</t>
  </si>
  <si>
    <t>GRILLE ENJEUX</t>
  </si>
  <si>
    <t>Visa
Validé
enjeu 4 ou attestation enjeu</t>
  </si>
  <si>
    <t>VISA VCOMPTA</t>
  </si>
  <si>
    <t>MOTIF</t>
  </si>
  <si>
    <t>ACS</t>
  </si>
  <si>
    <t>SNC</t>
  </si>
  <si>
    <t>IR</t>
  </si>
  <si>
    <t>SARL</t>
  </si>
  <si>
    <t>COMPTABLE</t>
  </si>
  <si>
    <t>IS</t>
  </si>
  <si>
    <t>EURL</t>
  </si>
  <si>
    <t>INDIVIDUEL</t>
  </si>
  <si>
    <t>CONSEILLER</t>
  </si>
  <si>
    <t>SAS</t>
  </si>
  <si>
    <t>SCI</t>
  </si>
  <si>
    <t>PORTEFEUILLE</t>
  </si>
  <si>
    <t>BNC</t>
  </si>
  <si>
    <t>AGRI</t>
  </si>
  <si>
    <t>TOTAL DOSSIERS</t>
  </si>
  <si>
    <t>Association</t>
  </si>
  <si>
    <t>PROFESSION LIBERALE</t>
  </si>
  <si>
    <t>EARL</t>
  </si>
  <si>
    <t>ETA</t>
  </si>
  <si>
    <t>SCEA</t>
  </si>
  <si>
    <t>GROUPEMENT</t>
  </si>
  <si>
    <t>EIRL</t>
  </si>
  <si>
    <t>AUTRE</t>
  </si>
  <si>
    <t>dossiers déposés</t>
  </si>
  <si>
    <t>Reste à produire</t>
  </si>
  <si>
    <t>Données</t>
  </si>
  <si>
    <t>Année de campagne</t>
  </si>
  <si>
    <t>ASSOCIATION</t>
  </si>
  <si>
    <t>AUTRES</t>
  </si>
  <si>
    <t>DELPHINE</t>
  </si>
  <si>
    <t>FREDERIQUE</t>
  </si>
  <si>
    <t>SEBASTIEN</t>
  </si>
  <si>
    <t>ERIC</t>
  </si>
  <si>
    <t>GUILLAUME</t>
  </si>
  <si>
    <t>AURELIE T</t>
  </si>
  <si>
    <t>MARIE PIERRE</t>
  </si>
  <si>
    <t>AG
SIGNEE</t>
  </si>
  <si>
    <t>COMMENTAIRES</t>
  </si>
  <si>
    <t>Attestation
à faire signer par l'EC</t>
  </si>
  <si>
    <t>AAC</t>
  </si>
  <si>
    <t>AURELIE S</t>
  </si>
  <si>
    <t>PRENOM CONSEILLER</t>
  </si>
  <si>
    <t>THOMAS B</t>
  </si>
  <si>
    <t>KARINE V</t>
  </si>
  <si>
    <t>SYLVIE B</t>
  </si>
  <si>
    <t>OLIVIER F</t>
  </si>
  <si>
    <t>DIAN D</t>
  </si>
  <si>
    <t>HENRI A</t>
  </si>
  <si>
    <t>PCR COMPTABLE €</t>
  </si>
  <si>
    <t>PCR CONSEILLER €</t>
  </si>
  <si>
    <t>RA FAIT PAR LE
COMPTABLE €</t>
  </si>
  <si>
    <t>RA FAITE PAR LE CONSEILLER €</t>
  </si>
  <si>
    <t>POINT DE PILOTAGE €</t>
  </si>
  <si>
    <t>SAISIE PAR UNE AAC €</t>
  </si>
  <si>
    <t>SAISIE PAR LE COMPTABLE €</t>
  </si>
  <si>
    <t>TRAVAUX 
DE REVISION €</t>
  </si>
  <si>
    <t>DECLARATION TVA AAC €</t>
  </si>
  <si>
    <t>DECLARATION TVA COMPTABLE €</t>
  </si>
  <si>
    <t>MONTANT
RESPONSABLE RELATION CLIENT €</t>
  </si>
  <si>
    <t xml:space="preserve">TPS PASSE
COMPTABLE H
</t>
  </si>
  <si>
    <t>TPS PASSE 
AAC H</t>
  </si>
  <si>
    <t>BONI COMPTABLE</t>
  </si>
  <si>
    <t>MALI COMPTABLE</t>
  </si>
  <si>
    <t>BONI AAC</t>
  </si>
  <si>
    <t>MALI AAC</t>
  </si>
  <si>
    <t>Taux Horaire compta</t>
  </si>
  <si>
    <t>Taux Horaire AAC</t>
  </si>
  <si>
    <t>PRENOM DU COMPTABLE</t>
  </si>
  <si>
    <t>YANN L</t>
  </si>
  <si>
    <t>MONTANT TOTAL LETTRE DE MISION €</t>
  </si>
  <si>
    <t>ECART DE SAISE avec LETTRE DE MISSION €</t>
  </si>
  <si>
    <t>NBRE DOSSIER MALI AAC</t>
  </si>
  <si>
    <t>NOMBRE DOSSIER BONI AAC</t>
  </si>
  <si>
    <t>NOMBRE DOSSIER BONI COMPTABLE</t>
  </si>
  <si>
    <t>NOMBRE DE DOSSIER MALI COMPTABLE</t>
  </si>
  <si>
    <t>ABONNE COURT 
ABONNE LONG</t>
  </si>
  <si>
    <t>RECONDUCTION AUTOMATIQUE OS</t>
  </si>
  <si>
    <t>MISE EN PLACE SCAN BY CERFRANCE</t>
  </si>
  <si>
    <t>PRENOM PERSONNE AYANT DEPLOYEE SCAN BY CERFRANCE</t>
  </si>
  <si>
    <t>PICKING</t>
  </si>
  <si>
    <t>SCAN BY CERFRANCE</t>
  </si>
  <si>
    <t>SECRETAIRE</t>
  </si>
  <si>
    <t>MARIE M</t>
  </si>
  <si>
    <t>FABIENNE R</t>
  </si>
  <si>
    <t>LISTES</t>
  </si>
  <si>
    <t>SECRETAIRES AAC COMPTABLES</t>
  </si>
  <si>
    <t>Non car le client souhaite garder le scan</t>
  </si>
  <si>
    <t>Non – Cessation d’activité</t>
  </si>
  <si>
    <t>Non – Arrêt de travaux pour le moment</t>
  </si>
  <si>
    <t>essai1</t>
  </si>
  <si>
    <t>ABONNE COURT</t>
  </si>
  <si>
    <t>OUI</t>
  </si>
  <si>
    <t>Non car pour le moment pas disponible</t>
  </si>
  <si>
    <t>Non car dossier trop volumineux</t>
  </si>
  <si>
    <t>Non car le client fait la saisie sur place</t>
  </si>
  <si>
    <t>ESSAI3</t>
  </si>
  <si>
    <t>NON</t>
  </si>
  <si>
    <t>DECLARATION DE TVA</t>
  </si>
  <si>
    <t>PRENOM REALISATION TVA</t>
  </si>
  <si>
    <t>MENSUELLE</t>
  </si>
  <si>
    <t>X</t>
  </si>
  <si>
    <t>essai2</t>
  </si>
  <si>
    <t>AGOA COMPTABLE €</t>
  </si>
  <si>
    <t>AGOA CONSEILLER €</t>
  </si>
  <si>
    <t>VISA JURIDIQUE €</t>
  </si>
  <si>
    <t>Oui  ( CFC + SCAN BY CERFRANCE)</t>
  </si>
  <si>
    <t>N/C</t>
  </si>
  <si>
    <t>EDI</t>
  </si>
  <si>
    <t>Colonne1</t>
  </si>
  <si>
    <t>SUIVI RSA</t>
  </si>
  <si>
    <t>RSA EN DATE DU</t>
  </si>
  <si>
    <t>DIVERS</t>
  </si>
  <si>
    <t>Réponses</t>
  </si>
  <si>
    <t>A FAIRE</t>
  </si>
  <si>
    <t>A TERMINER</t>
  </si>
  <si>
    <t>N/A</t>
  </si>
  <si>
    <t>AURELIE_T</t>
  </si>
  <si>
    <t>MARIE_PIERRE</t>
  </si>
  <si>
    <t>AUTRE COMPTABLE</t>
  </si>
  <si>
    <t>FEDERIQUE</t>
  </si>
  <si>
    <t>DECLARATION DES REVENUS</t>
  </si>
  <si>
    <t>NOMBRE DE DECLARATION</t>
  </si>
  <si>
    <t>ok</t>
  </si>
  <si>
    <t>aucun</t>
  </si>
  <si>
    <t>Sans</t>
  </si>
  <si>
    <t>860070</t>
  </si>
  <si>
    <t>30</t>
  </si>
  <si>
    <t>20</t>
  </si>
  <si>
    <t>4</t>
  </si>
  <si>
    <t>13/02/2020</t>
  </si>
  <si>
    <t>17/04/2020</t>
  </si>
  <si>
    <t/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</si>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</sst>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dd/mm/yy;@"/>
    <numFmt numFmtId="165" formatCode="000000"/>
    <numFmt numFmtId="166" formatCode="#,##0\ &quot;€&quot;"/>
    <numFmt numFmtId="167" formatCode="_-* #,##0\ &quot;€&quot;_-;\-* #,##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sz val="10"/>
      <name val="Calibri"/>
      <family val="2"/>
    </font>
    <font>
      <sz val="10"/>
      <color indexed="8"/>
      <name val="MS Sans Serif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45B5ED"/>
        <bgColor indexed="64"/>
      </patternFill>
    </fill>
    <fill>
      <patternFill patternType="solid">
        <fgColor rgb="FF3AF6F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0" fontId="5" fillId="0" borderId="0" applyNumberFormat="0" applyFont="0" applyFill="0" applyBorder="0" applyAlignment="0" applyProtection="0"/>
    <xf numFmtId="44" fontId="13" fillId="0" borderId="0" applyFont="0" applyFill="0" applyBorder="0" applyAlignment="0" applyProtection="0"/>
  </cellStyleXfs>
  <cellXfs count="283">
    <xf numFmtId="0" fontId="0" fillId="0" borderId="0" xfId="0"/>
    <xf numFmtId="0" fontId="0" fillId="3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6" borderId="4" xfId="0" applyFill="1" applyBorder="1" applyAlignment="1">
      <alignment horizontal="center" wrapText="1"/>
    </xf>
    <xf numFmtId="0" fontId="0" fillId="6" borderId="4" xfId="0" applyFill="1" applyBorder="1" applyAlignment="1">
      <alignment horizontal="center"/>
    </xf>
    <xf numFmtId="0" fontId="0" fillId="8" borderId="4" xfId="0" applyFill="1" applyBorder="1"/>
    <xf numFmtId="0" fontId="0" fillId="5" borderId="4" xfId="0" applyFill="1" applyBorder="1"/>
    <xf numFmtId="0" fontId="0" fillId="9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wrapText="1"/>
    </xf>
    <xf numFmtId="0" fontId="0" fillId="6" borderId="7" xfId="0" applyFill="1" applyBorder="1" applyAlignment="1"/>
    <xf numFmtId="0" fontId="0" fillId="6" borderId="7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 applyAlignment="1">
      <alignment horizontal="center" wrapText="1"/>
    </xf>
    <xf numFmtId="0" fontId="0" fillId="6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5" xfId="0" applyFill="1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9" borderId="8" xfId="0" applyFill="1" applyBorder="1"/>
    <xf numFmtId="44" fontId="1" fillId="9" borderId="9" xfId="1" applyFont="1" applyFill="1" applyBorder="1"/>
    <xf numFmtId="44" fontId="1" fillId="2" borderId="9" xfId="1" applyFont="1" applyFill="1" applyBorder="1"/>
    <xf numFmtId="0" fontId="0" fillId="2" borderId="9" xfId="0" applyFill="1" applyBorder="1"/>
    <xf numFmtId="0" fontId="0" fillId="6" borderId="9" xfId="0" applyFill="1" applyBorder="1" applyAlignment="1">
      <alignment horizontal="center"/>
    </xf>
    <xf numFmtId="9" fontId="1" fillId="6" borderId="9" xfId="2" applyFont="1" applyFill="1" applyBorder="1" applyAlignment="1">
      <alignment horizontal="center"/>
    </xf>
    <xf numFmtId="0" fontId="1" fillId="6" borderId="9" xfId="2" applyNumberFormat="1" applyFont="1" applyFill="1" applyBorder="1" applyAlignment="1">
      <alignment horizontal="center"/>
    </xf>
    <xf numFmtId="44" fontId="1" fillId="7" borderId="9" xfId="1" applyFont="1" applyFill="1" applyBorder="1" applyAlignment="1">
      <alignment horizontal="center"/>
    </xf>
    <xf numFmtId="9" fontId="1" fillId="7" borderId="9" xfId="2" applyFont="1" applyFill="1" applyBorder="1" applyAlignment="1">
      <alignment horizontal="center"/>
    </xf>
    <xf numFmtId="0" fontId="1" fillId="7" borderId="9" xfId="2" applyNumberFormat="1" applyFont="1" applyFill="1" applyBorder="1" applyAlignment="1">
      <alignment horizontal="center"/>
    </xf>
    <xf numFmtId="0" fontId="0" fillId="6" borderId="9" xfId="0" applyFill="1" applyBorder="1"/>
    <xf numFmtId="9" fontId="1" fillId="6" borderId="10" xfId="2" applyFont="1" applyFill="1" applyBorder="1"/>
    <xf numFmtId="44" fontId="1" fillId="7" borderId="10" xfId="1" applyFont="1" applyFill="1" applyBorder="1"/>
    <xf numFmtId="9" fontId="1" fillId="7" borderId="10" xfId="2" applyFont="1" applyFill="1" applyBorder="1" applyAlignment="1">
      <alignment horizontal="center" vertical="center"/>
    </xf>
    <xf numFmtId="0" fontId="1" fillId="7" borderId="10" xfId="2" applyNumberFormat="1" applyFont="1" applyFill="1" applyBorder="1" applyAlignment="1">
      <alignment horizontal="center" vertical="center"/>
    </xf>
    <xf numFmtId="44" fontId="1" fillId="3" borderId="10" xfId="1" applyFont="1" applyFill="1" applyBorder="1"/>
    <xf numFmtId="44" fontId="1" fillId="8" borderId="9" xfId="1" applyFont="1" applyFill="1" applyBorder="1" applyAlignment="1">
      <alignment horizontal="center"/>
    </xf>
    <xf numFmtId="0" fontId="1" fillId="8" borderId="9" xfId="1" applyNumberFormat="1" applyFont="1" applyFill="1" applyBorder="1" applyAlignment="1">
      <alignment horizontal="center"/>
    </xf>
    <xf numFmtId="44" fontId="1" fillId="5" borderId="9" xfId="1" applyFont="1" applyFill="1" applyBorder="1"/>
    <xf numFmtId="44" fontId="0" fillId="8" borderId="11" xfId="0" applyNumberFormat="1" applyFill="1" applyBorder="1"/>
    <xf numFmtId="0" fontId="0" fillId="9" borderId="12" xfId="0" applyFill="1" applyBorder="1"/>
    <xf numFmtId="44" fontId="1" fillId="9" borderId="4" xfId="1" applyFont="1" applyFill="1" applyBorder="1"/>
    <xf numFmtId="44" fontId="1" fillId="2" borderId="4" xfId="1" applyFont="1" applyFill="1" applyBorder="1"/>
    <xf numFmtId="0" fontId="0" fillId="2" borderId="4" xfId="0" applyFill="1" applyBorder="1"/>
    <xf numFmtId="0" fontId="0" fillId="6" borderId="4" xfId="0" applyFill="1" applyBorder="1"/>
    <xf numFmtId="0" fontId="0" fillId="6" borderId="4" xfId="0" applyNumberFormat="1" applyFill="1" applyBorder="1"/>
    <xf numFmtId="44" fontId="1" fillId="7" borderId="4" xfId="1" applyFont="1" applyFill="1" applyBorder="1"/>
    <xf numFmtId="0" fontId="0" fillId="7" borderId="4" xfId="0" applyNumberFormat="1" applyFill="1" applyBorder="1"/>
    <xf numFmtId="0" fontId="0" fillId="6" borderId="1" xfId="0" applyFill="1" applyBorder="1"/>
    <xf numFmtId="44" fontId="1" fillId="7" borderId="1" xfId="1" applyFont="1" applyFill="1" applyBorder="1"/>
    <xf numFmtId="0" fontId="0" fillId="7" borderId="1" xfId="0" applyFill="1" applyBorder="1"/>
    <xf numFmtId="0" fontId="0" fillId="7" borderId="1" xfId="0" applyNumberFormat="1" applyFill="1" applyBorder="1"/>
    <xf numFmtId="44" fontId="1" fillId="3" borderId="1" xfId="1" applyFont="1" applyFill="1" applyBorder="1"/>
    <xf numFmtId="44" fontId="1" fillId="8" borderId="4" xfId="1" applyFont="1" applyFill="1" applyBorder="1" applyAlignment="1">
      <alignment horizontal="center"/>
    </xf>
    <xf numFmtId="0" fontId="1" fillId="8" borderId="4" xfId="1" applyNumberFormat="1" applyFont="1" applyFill="1" applyBorder="1" applyAlignment="1">
      <alignment horizontal="center"/>
    </xf>
    <xf numFmtId="44" fontId="1" fillId="5" borderId="4" xfId="1" applyFont="1" applyFill="1" applyBorder="1"/>
    <xf numFmtId="0" fontId="0" fillId="5" borderId="13" xfId="0" applyFill="1" applyBorder="1"/>
    <xf numFmtId="0" fontId="0" fillId="9" borderId="14" xfId="0" applyFill="1" applyBorder="1"/>
    <xf numFmtId="44" fontId="1" fillId="9" borderId="7" xfId="1" applyFont="1" applyFill="1" applyBorder="1"/>
    <xf numFmtId="44" fontId="1" fillId="2" borderId="7" xfId="1" applyFont="1" applyFill="1" applyBorder="1"/>
    <xf numFmtId="0" fontId="0" fillId="2" borderId="7" xfId="0" applyFill="1" applyBorder="1"/>
    <xf numFmtId="0" fontId="0" fillId="6" borderId="7" xfId="0" applyFill="1" applyBorder="1"/>
    <xf numFmtId="0" fontId="0" fillId="6" borderId="7" xfId="0" applyNumberFormat="1" applyFill="1" applyBorder="1"/>
    <xf numFmtId="44" fontId="1" fillId="7" borderId="7" xfId="1" applyFont="1" applyFill="1" applyBorder="1"/>
    <xf numFmtId="0" fontId="0" fillId="9" borderId="15" xfId="0" applyFill="1" applyBorder="1"/>
    <xf numFmtId="44" fontId="1" fillId="9" borderId="16" xfId="1" applyFont="1" applyFill="1" applyBorder="1"/>
    <xf numFmtId="44" fontId="1" fillId="2" borderId="16" xfId="1" applyFont="1" applyFill="1" applyBorder="1"/>
    <xf numFmtId="0" fontId="0" fillId="2" borderId="16" xfId="0" applyFill="1" applyBorder="1"/>
    <xf numFmtId="0" fontId="0" fillId="6" borderId="16" xfId="0" applyFill="1" applyBorder="1"/>
    <xf numFmtId="0" fontId="0" fillId="6" borderId="16" xfId="0" applyNumberFormat="1" applyFill="1" applyBorder="1"/>
    <xf numFmtId="44" fontId="1" fillId="7" borderId="16" xfId="1" applyFont="1" applyFill="1" applyBorder="1"/>
    <xf numFmtId="0" fontId="0" fillId="7" borderId="16" xfId="0" applyNumberFormat="1" applyFill="1" applyBorder="1"/>
    <xf numFmtId="0" fontId="0" fillId="6" borderId="17" xfId="0" applyFill="1" applyBorder="1"/>
    <xf numFmtId="44" fontId="1" fillId="7" borderId="17" xfId="1" applyFont="1" applyFill="1" applyBorder="1"/>
    <xf numFmtId="0" fontId="0" fillId="7" borderId="17" xfId="0" applyFill="1" applyBorder="1"/>
    <xf numFmtId="0" fontId="0" fillId="7" borderId="17" xfId="0" applyNumberFormat="1" applyFill="1" applyBorder="1"/>
    <xf numFmtId="44" fontId="1" fillId="3" borderId="17" xfId="1" applyFont="1" applyFill="1" applyBorder="1"/>
    <xf numFmtId="44" fontId="1" fillId="8" borderId="16" xfId="1" applyFont="1" applyFill="1" applyBorder="1" applyAlignment="1">
      <alignment horizontal="center"/>
    </xf>
    <xf numFmtId="0" fontId="1" fillId="8" borderId="16" xfId="1" applyNumberFormat="1" applyFont="1" applyFill="1" applyBorder="1" applyAlignment="1">
      <alignment horizontal="center"/>
    </xf>
    <xf numFmtId="44" fontId="1" fillId="5" borderId="16" xfId="1" applyFont="1" applyFill="1" applyBorder="1"/>
    <xf numFmtId="0" fontId="0" fillId="5" borderId="18" xfId="0" applyFill="1" applyBorder="1"/>
    <xf numFmtId="0" fontId="0" fillId="9" borderId="19" xfId="0" applyFill="1" applyBorder="1"/>
    <xf numFmtId="0" fontId="0" fillId="2" borderId="19" xfId="0" applyFill="1" applyBorder="1"/>
    <xf numFmtId="0" fontId="0" fillId="2" borderId="20" xfId="0" applyFill="1" applyBorder="1"/>
    <xf numFmtId="44" fontId="0" fillId="3" borderId="20" xfId="0" applyNumberFormat="1" applyFill="1" applyBorder="1"/>
    <xf numFmtId="44" fontId="0" fillId="4" borderId="19" xfId="0" applyNumberFormat="1" applyFill="1" applyBorder="1"/>
    <xf numFmtId="44" fontId="0" fillId="5" borderId="19" xfId="0" applyNumberFormat="1" applyFill="1" applyBorder="1"/>
    <xf numFmtId="0" fontId="0" fillId="0" borderId="0" xfId="0" applyAlignment="1"/>
    <xf numFmtId="0" fontId="0" fillId="0" borderId="0" xfId="0" applyFont="1"/>
    <xf numFmtId="0" fontId="0" fillId="0" borderId="0" xfId="0" applyFont="1" applyFill="1"/>
    <xf numFmtId="0" fontId="2" fillId="4" borderId="20" xfId="0" applyFont="1" applyFill="1" applyBorder="1" applyAlignment="1">
      <alignment horizontal="center" vertical="center"/>
    </xf>
    <xf numFmtId="0" fontId="4" fillId="10" borderId="4" xfId="0" applyFont="1" applyFill="1" applyBorder="1" applyAlignment="1"/>
    <xf numFmtId="0" fontId="6" fillId="0" borderId="4" xfId="3" applyFont="1" applyBorder="1" applyAlignment="1">
      <alignment horizontal="center" vertical="center" wrapText="1"/>
    </xf>
    <xf numFmtId="0" fontId="6" fillId="9" borderId="4" xfId="3" applyFont="1" applyFill="1" applyBorder="1" applyAlignment="1">
      <alignment horizontal="center" vertical="center" wrapText="1"/>
    </xf>
    <xf numFmtId="0" fontId="6" fillId="4" borderId="4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10" borderId="4" xfId="3" applyFont="1" applyFill="1" applyBorder="1" applyAlignment="1">
      <alignment horizontal="center" vertical="center" wrapText="1"/>
    </xf>
    <xf numFmtId="0" fontId="6" fillId="6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left" vertical="center" wrapText="1"/>
    </xf>
    <xf numFmtId="0" fontId="6" fillId="9" borderId="4" xfId="3" applyFont="1" applyFill="1" applyBorder="1"/>
    <xf numFmtId="0" fontId="6" fillId="4" borderId="4" xfId="3" applyFont="1" applyFill="1" applyBorder="1"/>
    <xf numFmtId="0" fontId="7" fillId="4" borderId="4" xfId="3" applyFont="1" applyFill="1" applyBorder="1"/>
    <xf numFmtId="0" fontId="0" fillId="11" borderId="4" xfId="0" applyFont="1" applyFill="1" applyBorder="1"/>
    <xf numFmtId="0" fontId="7" fillId="10" borderId="4" xfId="3" applyFont="1" applyFill="1" applyBorder="1"/>
    <xf numFmtId="0" fontId="7" fillId="10" borderId="4" xfId="3" applyFont="1" applyFill="1" applyBorder="1" applyAlignment="1">
      <alignment horizontal="right"/>
    </xf>
    <xf numFmtId="10" fontId="6" fillId="6" borderId="4" xfId="3" applyNumberFormat="1" applyFont="1" applyFill="1" applyBorder="1"/>
    <xf numFmtId="0" fontId="6" fillId="0" borderId="4" xfId="3" applyFont="1" applyBorder="1"/>
    <xf numFmtId="9" fontId="6" fillId="0" borderId="4" xfId="2" applyFont="1" applyBorder="1" applyAlignment="1">
      <alignment horizontal="center" vertical="center"/>
    </xf>
    <xf numFmtId="0" fontId="6" fillId="0" borderId="4" xfId="3" applyFont="1" applyFill="1" applyBorder="1"/>
    <xf numFmtId="0" fontId="6" fillId="11" borderId="4" xfId="3" applyFont="1" applyFill="1" applyBorder="1"/>
    <xf numFmtId="0" fontId="6" fillId="6" borderId="4" xfId="3" applyFont="1" applyFill="1" applyBorder="1"/>
    <xf numFmtId="9" fontId="6" fillId="0" borderId="4" xfId="2" applyFont="1" applyBorder="1"/>
    <xf numFmtId="0" fontId="7" fillId="12" borderId="4" xfId="3" applyFont="1" applyFill="1" applyBorder="1"/>
    <xf numFmtId="10" fontId="7" fillId="12" borderId="4" xfId="3" applyNumberFormat="1" applyFont="1" applyFill="1" applyBorder="1"/>
    <xf numFmtId="9" fontId="7" fillId="12" borderId="4" xfId="2" applyFont="1" applyFill="1" applyBorder="1"/>
    <xf numFmtId="10" fontId="7" fillId="12" borderId="4" xfId="2" applyNumberFormat="1" applyFont="1" applyFill="1" applyBorder="1"/>
    <xf numFmtId="0" fontId="8" fillId="0" borderId="0" xfId="3" applyFont="1"/>
    <xf numFmtId="0" fontId="6" fillId="0" borderId="0" xfId="3" applyFont="1"/>
    <xf numFmtId="0" fontId="6" fillId="0" borderId="4" xfId="0" applyFont="1" applyFill="1" applyBorder="1"/>
    <xf numFmtId="0" fontId="0" fillId="0" borderId="4" xfId="0" applyFont="1" applyBorder="1"/>
    <xf numFmtId="0" fontId="0" fillId="0" borderId="4" xfId="0" applyFont="1" applyFill="1" applyBorder="1"/>
    <xf numFmtId="0" fontId="0" fillId="0" borderId="4" xfId="0" applyBorder="1"/>
    <xf numFmtId="0" fontId="0" fillId="0" borderId="3" xfId="0" applyFont="1" applyFill="1" applyBorder="1"/>
    <xf numFmtId="0" fontId="4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2" xfId="0" applyFont="1" applyFill="1" applyBorder="1" applyAlignment="1"/>
    <xf numFmtId="0" fontId="0" fillId="0" borderId="3" xfId="0" applyFont="1" applyFill="1" applyBorder="1" applyAlignment="1"/>
    <xf numFmtId="0" fontId="0" fillId="0" borderId="2" xfId="0" applyFont="1" applyFill="1" applyBorder="1"/>
    <xf numFmtId="0" fontId="0" fillId="10" borderId="0" xfId="0" applyFont="1" applyFill="1"/>
    <xf numFmtId="0" fontId="0" fillId="10" borderId="4" xfId="0" applyFont="1" applyFill="1" applyBorder="1"/>
    <xf numFmtId="0" fontId="0" fillId="10" borderId="0" xfId="0" applyFont="1" applyFill="1" applyBorder="1"/>
    <xf numFmtId="0" fontId="4" fillId="10" borderId="1" xfId="0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 vertical="center"/>
    </xf>
    <xf numFmtId="0" fontId="6" fillId="10" borderId="4" xfId="0" applyFont="1" applyFill="1" applyBorder="1"/>
    <xf numFmtId="0" fontId="0" fillId="10" borderId="1" xfId="0" applyNumberFormat="1" applyFont="1" applyFill="1" applyBorder="1"/>
    <xf numFmtId="0" fontId="0" fillId="10" borderId="3" xfId="0" applyFont="1" applyFill="1" applyBorder="1"/>
    <xf numFmtId="0" fontId="0" fillId="10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0" fontId="0" fillId="10" borderId="1" xfId="0" applyFont="1" applyFill="1" applyBorder="1"/>
    <xf numFmtId="0" fontId="0" fillId="10" borderId="1" xfId="0" applyFont="1" applyFill="1" applyBorder="1" applyAlignment="1"/>
    <xf numFmtId="0" fontId="0" fillId="10" borderId="2" xfId="0" applyFont="1" applyFill="1" applyBorder="1" applyAlignment="1"/>
    <xf numFmtId="0" fontId="0" fillId="10" borderId="3" xfId="0" applyFont="1" applyFill="1" applyBorder="1" applyAlignment="1"/>
    <xf numFmtId="0" fontId="0" fillId="10" borderId="2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/>
    <xf numFmtId="0" fontId="0" fillId="0" borderId="4" xfId="0" applyFill="1" applyBorder="1"/>
    <xf numFmtId="0" fontId="0" fillId="0" borderId="1" xfId="0" applyNumberFormat="1" applyBorder="1"/>
    <xf numFmtId="0" fontId="0" fillId="0" borderId="1" xfId="0" applyFill="1" applyBorder="1"/>
    <xf numFmtId="0" fontId="0" fillId="0" borderId="0" xfId="0" applyFont="1" applyBorder="1" applyAlignment="1"/>
    <xf numFmtId="0" fontId="6" fillId="0" borderId="4" xfId="0" applyFont="1" applyFill="1" applyBorder="1" applyAlignment="1" applyProtection="1">
      <alignment horizont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9" xfId="0" applyFont="1" applyBorder="1" applyAlignment="1" applyProtection="1">
      <alignment horizontal="center"/>
      <protection locked="0"/>
    </xf>
    <xf numFmtId="0" fontId="6" fillId="0" borderId="3" xfId="0" applyNumberFormat="1" applyFont="1" applyFill="1" applyBorder="1" applyAlignment="1" applyProtection="1">
      <alignment horizontal="center"/>
      <protection locked="0"/>
    </xf>
    <xf numFmtId="14" fontId="6" fillId="0" borderId="4" xfId="0" applyNumberFormat="1" applyFont="1" applyFill="1" applyBorder="1" applyAlignment="1" applyProtection="1">
      <alignment horizont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12" fillId="0" borderId="4" xfId="6" quotePrefix="1" applyNumberFormat="1" applyFont="1" applyFill="1" applyBorder="1" applyAlignment="1" applyProtection="1">
      <alignment horizontal="center" vertical="top"/>
      <protection locked="0"/>
    </xf>
    <xf numFmtId="0" fontId="6" fillId="0" borderId="4" xfId="0" applyFont="1" applyFill="1" applyBorder="1" applyAlignment="1" applyProtection="1">
      <alignment horizontal="center" vertical="top"/>
      <protection locked="0"/>
    </xf>
    <xf numFmtId="0" fontId="0" fillId="0" borderId="4" xfId="0" applyFont="1" applyFill="1" applyBorder="1" applyAlignment="1" applyProtection="1">
      <alignment horizontal="center"/>
      <protection locked="0"/>
    </xf>
    <xf numFmtId="165" fontId="6" fillId="0" borderId="3" xfId="6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alignment horizontal="center"/>
      <protection locked="0"/>
    </xf>
    <xf numFmtId="49" fontId="6" fillId="0" borderId="3" xfId="0" applyNumberFormat="1" applyFont="1" applyFill="1" applyBorder="1" applyAlignment="1" applyProtection="1">
      <alignment horizontal="center"/>
      <protection locked="0"/>
    </xf>
    <xf numFmtId="49" fontId="0" fillId="0" borderId="3" xfId="0" applyNumberFormat="1" applyFont="1" applyFill="1" applyBorder="1" applyAlignment="1" applyProtection="1">
      <alignment horizontal="center"/>
      <protection locked="0"/>
    </xf>
    <xf numFmtId="0" fontId="6" fillId="0" borderId="6" xfId="0" applyNumberFormat="1" applyFont="1" applyFill="1" applyBorder="1" applyAlignment="1" applyProtection="1">
      <alignment horizont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14" fontId="6" fillId="0" borderId="7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14" fontId="6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9" xfId="0" applyFont="1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0" fillId="0" borderId="4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center" vertical="center"/>
      <protection locked="0"/>
    </xf>
    <xf numFmtId="14" fontId="6" fillId="0" borderId="4" xfId="0" applyNumberFormat="1" applyFont="1" applyBorder="1" applyAlignment="1" applyProtection="1">
      <alignment horizontal="center" vertical="center"/>
      <protection locked="0"/>
    </xf>
    <xf numFmtId="14" fontId="6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0" fillId="0" borderId="7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ont="1" applyBorder="1" applyAlignment="1" applyProtection="1">
      <alignment horizontal="center" vertical="center"/>
      <protection locked="0"/>
    </xf>
    <xf numFmtId="14" fontId="0" fillId="0" borderId="7" xfId="0" applyNumberFormat="1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166" fontId="6" fillId="0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4" xfId="0" applyNumberFormat="1" applyFont="1" applyFill="1" applyBorder="1" applyAlignment="1" applyProtection="1">
      <alignment horizontal="center" vertical="center"/>
      <protection locked="0"/>
    </xf>
    <xf numFmtId="166" fontId="11" fillId="0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7" xfId="0" applyNumberFormat="1" applyFont="1" applyFill="1" applyBorder="1" applyAlignment="1" applyProtection="1">
      <alignment horizontal="center" vertical="center"/>
      <protection locked="0"/>
    </xf>
    <xf numFmtId="166" fontId="0" fillId="0" borderId="4" xfId="0" applyNumberFormat="1" applyFont="1" applyBorder="1" applyAlignment="1" applyProtection="1">
      <alignment horizontal="center" vertical="center"/>
      <protection locked="0"/>
    </xf>
    <xf numFmtId="166" fontId="0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4" xfId="7" applyNumberFormat="1" applyFont="1" applyFill="1" applyBorder="1" applyAlignment="1" applyProtection="1">
      <alignment horizontal="center" vertical="center"/>
      <protection locked="0"/>
    </xf>
    <xf numFmtId="167" fontId="0" fillId="0" borderId="4" xfId="7" applyNumberFormat="1" applyFont="1" applyFill="1" applyBorder="1" applyAlignment="1" applyProtection="1">
      <alignment horizontal="center" vertical="center"/>
      <protection locked="0"/>
    </xf>
    <xf numFmtId="167" fontId="11" fillId="0" borderId="4" xfId="7" applyNumberFormat="1" applyFont="1" applyFill="1" applyBorder="1" applyAlignment="1" applyProtection="1">
      <alignment horizontal="center" vertical="center"/>
      <protection locked="0"/>
    </xf>
    <xf numFmtId="167" fontId="0" fillId="0" borderId="7" xfId="7" applyNumberFormat="1" applyFont="1" applyFill="1" applyBorder="1" applyAlignment="1" applyProtection="1">
      <alignment horizontal="center" vertical="center"/>
      <protection locked="0"/>
    </xf>
    <xf numFmtId="167" fontId="0" fillId="0" borderId="4" xfId="7" applyNumberFormat="1" applyFont="1" applyBorder="1" applyAlignment="1" applyProtection="1">
      <alignment horizontal="center" vertical="center"/>
      <protection locked="0"/>
    </xf>
    <xf numFmtId="167" fontId="0" fillId="0" borderId="7" xfId="7" applyNumberFormat="1" applyFont="1" applyBorder="1" applyAlignment="1" applyProtection="1">
      <alignment horizontal="center" vertical="center"/>
      <protection locked="0"/>
    </xf>
    <xf numFmtId="167" fontId="6" fillId="0" borderId="4" xfId="7" applyNumberFormat="1" applyFont="1" applyFill="1" applyBorder="1" applyAlignment="1" applyProtection="1">
      <protection locked="0"/>
    </xf>
    <xf numFmtId="167" fontId="0" fillId="0" borderId="4" xfId="7" applyNumberFormat="1" applyFont="1" applyFill="1" applyBorder="1" applyAlignment="1" applyProtection="1">
      <protection locked="0"/>
    </xf>
    <xf numFmtId="167" fontId="11" fillId="0" borderId="4" xfId="7" applyNumberFormat="1" applyFont="1" applyFill="1" applyBorder="1" applyAlignment="1" applyProtection="1">
      <protection locked="0"/>
    </xf>
    <xf numFmtId="167" fontId="0" fillId="0" borderId="7" xfId="7" applyNumberFormat="1" applyFont="1" applyFill="1" applyBorder="1" applyAlignment="1" applyProtection="1">
      <protection locked="0"/>
    </xf>
    <xf numFmtId="167" fontId="0" fillId="0" borderId="4" xfId="7" applyNumberFormat="1" applyFont="1" applyBorder="1" applyAlignment="1" applyProtection="1">
      <protection locked="0"/>
    </xf>
    <xf numFmtId="167" fontId="0" fillId="0" borderId="7" xfId="7" applyNumberFormat="1" applyFont="1" applyBorder="1" applyAlignment="1" applyProtection="1">
      <protection locked="0"/>
    </xf>
    <xf numFmtId="167" fontId="6" fillId="0" borderId="4" xfId="7" applyNumberFormat="1" applyFont="1" applyFill="1" applyBorder="1" applyAlignment="1" applyProtection="1">
      <alignment horizontal="center" vertical="center"/>
    </xf>
    <xf numFmtId="0" fontId="9" fillId="13" borderId="4" xfId="3" applyFont="1" applyFill="1" applyBorder="1" applyAlignment="1" applyProtection="1">
      <alignment horizontal="center" vertical="center" wrapText="1"/>
    </xf>
    <xf numFmtId="0" fontId="9" fillId="14" borderId="4" xfId="3" applyFont="1" applyFill="1" applyBorder="1" applyAlignment="1" applyProtection="1">
      <alignment horizontal="center" vertical="center" wrapText="1"/>
    </xf>
    <xf numFmtId="0" fontId="9" fillId="14" borderId="21" xfId="3" applyFont="1" applyFill="1" applyBorder="1" applyAlignment="1" applyProtection="1">
      <alignment horizontal="center" vertical="center" wrapText="1"/>
    </xf>
    <xf numFmtId="0" fontId="9" fillId="13" borderId="4" xfId="4" applyFont="1" applyFill="1" applyBorder="1" applyAlignment="1" applyProtection="1">
      <alignment horizontal="center" vertical="center" wrapText="1"/>
    </xf>
    <xf numFmtId="0" fontId="9" fillId="13" borderId="4" xfId="3" applyNumberFormat="1" applyFont="1" applyFill="1" applyBorder="1" applyAlignment="1" applyProtection="1">
      <alignment horizontal="center" vertical="center" wrapText="1"/>
    </xf>
    <xf numFmtId="0" fontId="9" fillId="13" borderId="4" xfId="5" applyNumberFormat="1" applyFont="1" applyFill="1" applyBorder="1" applyAlignment="1" applyProtection="1">
      <alignment horizontal="center" vertical="center" wrapText="1"/>
    </xf>
    <xf numFmtId="164" fontId="9" fillId="13" borderId="4" xfId="3" applyNumberFormat="1" applyFont="1" applyFill="1" applyBorder="1" applyAlignment="1" applyProtection="1">
      <alignment horizontal="center" vertical="center" wrapText="1"/>
    </xf>
    <xf numFmtId="0" fontId="9" fillId="15" borderId="21" xfId="3" applyFont="1" applyFill="1" applyBorder="1" applyAlignment="1" applyProtection="1">
      <alignment horizontal="center" vertical="center" wrapText="1"/>
    </xf>
    <xf numFmtId="0" fontId="6" fillId="15" borderId="3" xfId="3" applyFont="1" applyFill="1" applyBorder="1" applyAlignment="1" applyProtection="1">
      <alignment horizontal="center" vertical="center" wrapText="1"/>
    </xf>
    <xf numFmtId="0" fontId="6" fillId="15" borderId="4" xfId="3" applyFont="1" applyFill="1" applyBorder="1" applyAlignment="1" applyProtection="1">
      <alignment horizontal="center" vertical="center" wrapText="1"/>
    </xf>
    <xf numFmtId="0" fontId="9" fillId="15" borderId="4" xfId="4" applyFont="1" applyFill="1" applyBorder="1" applyAlignment="1" applyProtection="1">
      <alignment horizontal="center" vertical="center" wrapText="1"/>
    </xf>
    <xf numFmtId="0" fontId="9" fillId="15" borderId="4" xfId="5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16" borderId="4" xfId="0" applyFont="1" applyFill="1" applyBorder="1"/>
    <xf numFmtId="0" fontId="4" fillId="10" borderId="4" xfId="0" applyFont="1" applyFill="1" applyBorder="1" applyAlignment="1">
      <alignment horizontal="center"/>
    </xf>
    <xf numFmtId="0" fontId="0" fillId="0" borderId="0" xfId="0"/>
    <xf numFmtId="0" fontId="15" fillId="0" borderId="0" xfId="0" applyFont="1" applyFill="1" applyAlignment="1"/>
    <xf numFmtId="0" fontId="14" fillId="0" borderId="0" xfId="0" applyFont="1" applyFill="1" applyAlignment="1"/>
    <xf numFmtId="0" fontId="0" fillId="0" borderId="19" xfId="0" applyBorder="1"/>
    <xf numFmtId="0" fontId="0" fillId="0" borderId="21" xfId="0" applyFill="1" applyBorder="1"/>
    <xf numFmtId="0" fontId="6" fillId="0" borderId="7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5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0" fillId="7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16" fontId="4" fillId="10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10" borderId="7" xfId="0" applyFont="1" applyFill="1" applyBorder="1" applyAlignment="1">
      <alignment horizontal="center" vertical="center"/>
    </xf>
    <xf numFmtId="0" fontId="0" fillId="0" borderId="0" xfId="0"/>
    <xf numFmtId="16" fontId="0" fillId="0" borderId="0" xfId="0" applyNumberFormat="1"/>
    <xf numFmtId="0" fontId="0" fillId="0" borderId="7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16" fontId="0" fillId="0" borderId="7" xfId="0" applyNumberFormat="1" applyFont="1" applyFill="1" applyBorder="1" applyAlignment="1">
      <alignment horizontal="center" vertical="center"/>
    </xf>
  </cellXfs>
  <cellStyles count="8">
    <cellStyle name="Monétaire" xfId="7" builtinId="4"/>
    <cellStyle name="Monétaire 2" xfId="1"/>
    <cellStyle name="Normal" xfId="0" builtinId="0"/>
    <cellStyle name="Normal 16" xfId="3"/>
    <cellStyle name="Normal 2" xfId="6"/>
    <cellStyle name="Normal 2 6" xfId="5"/>
    <cellStyle name="Normal 3" xfId="4"/>
    <cellStyle name="Pourcentage 2" xfId="2"/>
  </cellStyles>
  <dxfs count="59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5B5ED"/>
      <color rgb="FF3AF6F6"/>
      <color rgb="FFFFD72D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809625</xdr:colOff>
      <xdr:row>16</xdr:row>
      <xdr:rowOff>66675</xdr:rowOff>
    </xdr:from>
    <xdr:to>
      <xdr:col>13</xdr:col>
      <xdr:colOff>2228850</xdr:colOff>
      <xdr:row>19</xdr:row>
      <xdr:rowOff>95250</xdr:rowOff>
    </xdr:to>
    <xdr:sp macro="[0]!OuvreFormulaire" textlink="">
      <xdr:nvSpPr>
        <xdr:cNvPr id="2" name="Rectangle à coins arrondis 1"/>
        <xdr:cNvSpPr/>
      </xdr:nvSpPr>
      <xdr:spPr>
        <a:xfrm>
          <a:off x="14068425" y="3114675"/>
          <a:ext cx="2295525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695325</xdr:colOff>
      <xdr:row>8</xdr:row>
      <xdr:rowOff>57150</xdr:rowOff>
    </xdr:from>
    <xdr:to>
      <xdr:col>5</xdr:col>
      <xdr:colOff>219075</xdr:colOff>
      <xdr:row>10</xdr:row>
      <xdr:rowOff>38100</xdr:rowOff>
    </xdr:to>
    <xdr:sp macro="[0]!Recherche_Modif" textlink="">
      <xdr:nvSpPr>
        <xdr:cNvPr id="2" name="ZoneTexte 1"/>
        <xdr:cNvSpPr txBox="1"/>
      </xdr:nvSpPr>
      <xdr:spPr>
        <a:xfrm>
          <a:off x="2219325" y="1581150"/>
          <a:ext cx="1809750" cy="3619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 - Modification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72331" y="0"/>
          <a:ext cx="1224000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4" name="Rectangle avec coins arrondis du même côté 3"/>
        <xdr:cNvSpPr/>
      </xdr:nvSpPr>
      <xdr:spPr>
        <a:xfrm>
          <a:off x="35719" y="0"/>
          <a:ext cx="1607343" cy="440531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5" name="Rectangle avec coins arrondis du même côté 4"/>
        <xdr:cNvSpPr/>
      </xdr:nvSpPr>
      <xdr:spPr>
        <a:xfrm>
          <a:off x="3095625" y="0"/>
          <a:ext cx="1666875" cy="440531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4904471" y="0"/>
          <a:ext cx="3877235" cy="437029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9" name="Rectangle avec coins arrondis du même côté 8"/>
        <xdr:cNvSpPr/>
      </xdr:nvSpPr>
      <xdr:spPr>
        <a:xfrm>
          <a:off x="13704794" y="0"/>
          <a:ext cx="1601040" cy="437029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3" name="Flèche gauche 2"/>
        <xdr:cNvSpPr/>
      </xdr:nvSpPr>
      <xdr:spPr>
        <a:xfrm>
          <a:off x="65285471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10" name="Rectangle avec coins arrondis du même côté 9"/>
        <xdr:cNvSpPr/>
      </xdr:nvSpPr>
      <xdr:spPr>
        <a:xfrm>
          <a:off x="6241676" y="0"/>
          <a:ext cx="1243853" cy="437029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11" name="Flèche droite 10"/>
        <xdr:cNvSpPr/>
      </xdr:nvSpPr>
      <xdr:spPr>
        <a:xfrm>
          <a:off x="7138147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2" name="Rectangle avec coins arrondis du même côté 11"/>
        <xdr:cNvSpPr/>
      </xdr:nvSpPr>
      <xdr:spPr>
        <a:xfrm>
          <a:off x="7530353" y="0"/>
          <a:ext cx="1230303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6" name="Rectangle avec coins arrondis du même côté 15"/>
        <xdr:cNvSpPr/>
      </xdr:nvSpPr>
      <xdr:spPr>
        <a:xfrm>
          <a:off x="4784912" y="0"/>
          <a:ext cx="1434353" cy="437029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7" name="Flèche droite 16"/>
        <xdr:cNvSpPr/>
      </xdr:nvSpPr>
      <xdr:spPr>
        <a:xfrm>
          <a:off x="5950323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21" name="Rectangle avec coins arrondis du même côté 20"/>
        <xdr:cNvSpPr/>
      </xdr:nvSpPr>
      <xdr:spPr>
        <a:xfrm>
          <a:off x="68792912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22" name="Flèche gauche 21"/>
        <xdr:cNvSpPr/>
      </xdr:nvSpPr>
      <xdr:spPr>
        <a:xfrm>
          <a:off x="68882559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134471</xdr:colOff>
      <xdr:row>0</xdr:row>
      <xdr:rowOff>78441</xdr:rowOff>
    </xdr:from>
    <xdr:to>
      <xdr:col>6</xdr:col>
      <xdr:colOff>1277471</xdr:colOff>
      <xdr:row>0</xdr:row>
      <xdr:rowOff>392206</xdr:rowOff>
    </xdr:to>
    <xdr:sp macro="[0]!OuvreFormulaire" textlink="">
      <xdr:nvSpPr>
        <xdr:cNvPr id="7" name="Rectangle à coins arrondis 6"/>
        <xdr:cNvSpPr/>
      </xdr:nvSpPr>
      <xdr:spPr>
        <a:xfrm>
          <a:off x="8875059" y="78441"/>
          <a:ext cx="1143000" cy="3137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Saisie Visa test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0</xdr:colOff>
      <xdr:row>0</xdr:row>
      <xdr:rowOff>0</xdr:rowOff>
    </xdr:from>
    <xdr:to>
      <xdr:col>61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336176</xdr:colOff>
      <xdr:row>0</xdr:row>
      <xdr:rowOff>0</xdr:rowOff>
    </xdr:from>
    <xdr:to>
      <xdr:col>57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58</xdr:col>
      <xdr:colOff>369795</xdr:colOff>
      <xdr:row>0</xdr:row>
      <xdr:rowOff>112058</xdr:rowOff>
    </xdr:from>
    <xdr:to>
      <xdr:col>58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302559</xdr:colOff>
      <xdr:row>0</xdr:row>
      <xdr:rowOff>0</xdr:rowOff>
    </xdr:from>
    <xdr:to>
      <xdr:col>62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61</xdr:col>
      <xdr:colOff>392206</xdr:colOff>
      <xdr:row>0</xdr:row>
      <xdr:rowOff>100853</xdr:rowOff>
    </xdr:from>
    <xdr:to>
      <xdr:col>61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PORTEFEUILLE_DELPHINE" displayName="PORTEFEUILLE_DELPHINE" ref="A2:BK59" totalsRowShown="0" headerRowDxfId="585" dataDxfId="584" tableBorderDxfId="583" headerRowCellStyle="Normal 16">
  <autoFilter ref="A2:BK59"/>
  <tableColumns count="63">
    <tableColumn id="48" name="PRENOM DU COMPTABLE" dataDxfId="582"/>
    <tableColumn id="1" name="N° DOSSIER" dataDxfId="581"/>
    <tableColumn id="2" name="NOM DOSSIER" dataDxfId="580"/>
    <tableColumn id="3" name="TYPE DE MARCHE" dataDxfId="579"/>
    <tableColumn id="4" name="DATE DE CLOTURE" dataDxfId="578"/>
    <tableColumn id="5" name="REGIME JURIDIQUE" dataDxfId="577"/>
    <tableColumn id="6" name="REGIME IMPOSITION" dataDxfId="576"/>
    <tableColumn id="56" name="DECLARATION DE TVA" dataDxfId="575"/>
    <tableColumn id="7" name="DATE_x000a_DE DEPOT" dataDxfId="574"/>
    <tableColumn id="8" name="DATE SIGNATURE" dataDxfId="573"/>
    <tableColumn id="9" name="MOIS" dataDxfId="572">
      <calculatedColumnFormula>IF(I3="","",MONTH(I3))</calculatedColumnFormula>
    </tableColumn>
    <tableColumn id="10" name="DELAI" dataDxfId="571">
      <calculatedColumnFormula>IF(I3="","",DAYS360(E3,I3))</calculatedColumnFormula>
    </tableColumn>
    <tableColumn id="11" name="PCR" dataDxfId="570"/>
    <tableColumn id="12" name="RA NOS" dataDxfId="569"/>
    <tableColumn id="13" name="QUI " dataDxfId="568"/>
    <tableColumn id="14" name="CR" dataDxfId="567"/>
    <tableColumn id="15" name="CR FAIT PAR LE COMPTABLE" dataDxfId="566"/>
    <tableColumn id="16" name="AG_x000a_SIGNEE" dataDxfId="565"/>
    <tableColumn id="17" name="PCR COMPTABLE €" dataDxfId="564" dataCellStyle="Monétaire"/>
    <tableColumn id="18" name="PCR CONSEILLER €" dataDxfId="563"/>
    <tableColumn id="19" name="RA FAIT PAR LE_x000a_COMPTABLE €" dataDxfId="562" dataCellStyle="Monétaire"/>
    <tableColumn id="41" name="RA FAITE PAR LE CONSEILLER €" dataDxfId="561" dataCellStyle="Monétaire"/>
    <tableColumn id="21" name="POINT DE PILOTAGE €" dataDxfId="560" dataCellStyle="Monétaire"/>
    <tableColumn id="20" name="AGOA COMPTABLE €" dataDxfId="559" dataCellStyle="Monétaire"/>
    <tableColumn id="59" name="AGOA CONSEILLER €" dataDxfId="558" dataCellStyle="Monétaire"/>
    <tableColumn id="60" name="VISA JURIDIQUE €" dataDxfId="557" dataCellStyle="Monétaire"/>
    <tableColumn id="38" name="SAISIE PAR UNE AAC €" dataDxfId="556" dataCellStyle="Monétaire"/>
    <tableColumn id="43" name="SAISIE PAR LE COMPTABLE €" dataDxfId="555" dataCellStyle="Monétaire"/>
    <tableColumn id="39" name="TRAVAUX _x000a_DE REVISION €" dataDxfId="554" dataCellStyle="Monétaire"/>
    <tableColumn id="42" name="DECLARATION TVA AAC €" dataDxfId="553" dataCellStyle="Monétaire"/>
    <tableColumn id="45" name="DECLARATION TVA COMPTABLE €" dataDxfId="552" dataCellStyle="Monétaire"/>
    <tableColumn id="40" name="MONTANT_x000a_RESPONSABLE RELATION CLIENT €" dataDxfId="551" dataCellStyle="Monétaire"/>
    <tableColumn id="33" name="MONTANT TOTAL LETTRE DE MISION €" dataDxfId="550" dataCellStyle="Monétaire">
      <calculatedColumnFormula>SUM(PORTEFEUILLE_DELPHINE[[#This Row],[PCR COMPTABLE €]:[MONTANT
RESPONSABLE RELATION CLIENT €]])</calculatedColumnFormula>
    </tableColumn>
    <tableColumn id="34" name="ECART DE SAISE avec LETTRE DE MISSION €" dataDxfId="549" dataCellStyle="Monétaire">
      <calculatedColumnFormula>SUM(PORTEFEUILLE_DELPHINE[[#This Row],[PCR COMPTABLE €]:[MONTANT
RESPONSABLE RELATION CLIENT €]])-PORTEFEUILLE_DELPHINE[[#This Row],[MONTANT TOTAL LETTRE DE MISION €]]</calculatedColumnFormula>
    </tableColumn>
    <tableColumn id="22" name="Prénom_x000a_AAC" dataDxfId="548"/>
    <tableColumn id="36" name="PRENOM CONSEILLER" dataDxfId="547"/>
    <tableColumn id="57" name="PRENOM REALISATION TVA" dataDxfId="546"/>
    <tableColumn id="63" name="DECLARATION DES REVENUS" dataDxfId="545"/>
    <tableColumn id="61" name="NOMBRE DE DECLARATION" dataDxfId="544"/>
    <tableColumn id="54" name="ABONNE COURT _x000a_ABONNE LONG" dataDxfId="543"/>
    <tableColumn id="55" name="RECONDUCTION AUTOMATIQUE OS" dataDxfId="542"/>
    <tableColumn id="23" name="TPS PASSE_x000a_COMPTABLE H_x000a_" dataDxfId="541"/>
    <tableColumn id="37" name="TPS PASSE _x000a_AAC H" dataDxfId="540"/>
    <tableColumn id="47" name="BONI AAC" dataDxfId="539" dataCellStyle="Monétaire">
      <calculatedColumnFormula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calculatedColumnFormula>
    </tableColumn>
    <tableColumn id="46" name="MALI AAC" dataDxfId="538" dataCellStyle="Monétaire">
      <calculatedColumnFormula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calculatedColumnFormula>
    </tableColumn>
    <tableColumn id="44" name="NOMBRE DOSSIER BONI AAC" dataDxfId="537">
      <calculatedColumnFormula>IF(PORTEFEUILLE_DELPHINE[[#This Row],[BONI AAC]]&lt;&gt;0,1,"")</calculatedColumnFormula>
    </tableColumn>
    <tableColumn id="35" name="NBRE DOSSIER MALI AAC" dataDxfId="536">
      <calculatedColumnFormula>IF(PORTEFEUILLE_DELPHINE[[#This Row],[MALI AAC]]&lt;&gt;0,1,"")</calculatedColumnFormula>
    </tableColumn>
    <tableColumn id="24" name="BONI COMPTABLE" dataDxfId="535" dataCellStyle="Monétaire">
      <calculatedColumnFormula>IF(AP3&lt;&gt;"",IF((AP3*Paramètres!$H$4)-PORTEFEUILLE_DELPHINE[[#This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€]]-(DELPHINE!AP3*Paramètres!$H$4),0),0)</calculatedColumnFormula>
    </tableColumn>
    <tableColumn id="25" name="MALI COMPTABLE" dataDxfId="534" dataCellStyle="Monétaire">
      <calculatedColumnFormula>IF(AP3&lt;&gt;"",IF(((AP3*Paramètres!$H$4)-PORTEFEUILLE_DELPHINE[[#This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calculatedColumnFormula>
    </tableColumn>
    <tableColumn id="53" name="NOMBRE DOSSIER BONI COMPTABLE" dataDxfId="533">
      <calculatedColumnFormula>IF(PORTEFEUILLE_DELPHINE[[#This Row],[BONI COMPTABLE]]&lt;&gt;0,1,"")</calculatedColumnFormula>
    </tableColumn>
    <tableColumn id="52" name="NOMBRE DE DOSSIER MALI COMPTABLE" dataDxfId="532">
      <calculatedColumnFormula>IF(PORTEFEUILLE_DELPHINE[[#This Row],[MALI COMPTABLE]]&lt;&gt;0,1,"")</calculatedColumnFormula>
    </tableColumn>
    <tableColumn id="26" name="GRILLE ENJEUX" dataDxfId="531"/>
    <tableColumn id="27" name="Visa_x000a_Validé_x000a_enjeu 4 ou attestation enjeu" dataDxfId="530"/>
    <tableColumn id="28" name="VISA VCOMPTA" dataDxfId="529"/>
    <tableColumn id="29" name="REFUS" dataDxfId="528"/>
    <tableColumn id="30" name="MOTIF" dataDxfId="527"/>
    <tableColumn id="31" name="COMMENTAIRES" dataDxfId="526"/>
    <tableColumn id="32" name="DIVERS" dataDxfId="525"/>
    <tableColumn id="49" name="MISE EN PLACE SCAN BY CERFRANCE" dataDxfId="524"/>
    <tableColumn id="50" name="PRENOM PERSONNE AYANT DEPLOYEE SCAN BY CERFRANCE" dataDxfId="523"/>
    <tableColumn id="51" name="PICKING" dataDxfId="522"/>
    <tableColumn id="58" name="EDI" dataDxfId="521"/>
    <tableColumn id="62" name="Colonne1" dataDxfId="5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PORTEFEUILLE_FREDERIQUE" displayName="PORTEFEUILLE_FREDERIQUE" ref="A2:BK60" totalsRowShown="0" headerRowDxfId="509" dataDxfId="508" tableBorderDxfId="507" headerRowCellStyle="Normal 16">
  <autoFilter ref="A2:BK60"/>
  <tableColumns count="63">
    <tableColumn id="48" name="PRENOM DU COMPTABLE" dataDxfId="506"/>
    <tableColumn id="1" name="N° DOSSIER" dataDxfId="505"/>
    <tableColumn id="2" name="NOM DOSSIER" dataDxfId="504"/>
    <tableColumn id="3" name="TYPE DE MARCHE" dataDxfId="503"/>
    <tableColumn id="4" name="DATE DE CLOTURE" dataDxfId="502"/>
    <tableColumn id="5" name="REGIME JURIDIQUE" dataDxfId="501"/>
    <tableColumn id="6" name="REGIME IMPOSITION" dataDxfId="500"/>
    <tableColumn id="56" name="DECLARATION DE TVA" dataDxfId="499"/>
    <tableColumn id="7" name="DATE_x000a_DE DEPOT" dataDxfId="498"/>
    <tableColumn id="8" name="DATE SIGNATURE" dataDxfId="497"/>
    <tableColumn id="9" name="MOIS" dataDxfId="496">
      <calculatedColumnFormula>IF(I3="","",MONTH(I3))</calculatedColumnFormula>
    </tableColumn>
    <tableColumn id="10" name="DELAI" dataDxfId="495">
      <calculatedColumnFormula>IF(I3="","",DAYS360(E3,I3))</calculatedColumnFormula>
    </tableColumn>
    <tableColumn id="11" name="PCR" dataDxfId="494"/>
    <tableColumn id="12" name="RA NOS" dataDxfId="493"/>
    <tableColumn id="13" name="QUI " dataDxfId="492"/>
    <tableColumn id="14" name="CR" dataDxfId="491"/>
    <tableColumn id="15" name="CR FAIT PAR LE COMPTABLE" dataDxfId="490"/>
    <tableColumn id="16" name="AG_x000a_SIGNEE" dataDxfId="489"/>
    <tableColumn id="17" name="PCR COMPTABLE €" dataDxfId="488" dataCellStyle="Monétaire"/>
    <tableColumn id="18" name="PCR CONSEILLER €" dataDxfId="487"/>
    <tableColumn id="19" name="RA FAIT PAR LE_x000a_COMPTABLE €" dataDxfId="486" dataCellStyle="Monétaire"/>
    <tableColumn id="41" name="RA FAITE PAR LE CONSEILLER €" dataDxfId="485" dataCellStyle="Monétaire"/>
    <tableColumn id="21" name="POINT DE PILOTAGE €" dataDxfId="484" dataCellStyle="Monétaire"/>
    <tableColumn id="20" name="AGOA COMPTABLE €" dataDxfId="483" dataCellStyle="Monétaire"/>
    <tableColumn id="59" name="AGOA CONSEILLER €" dataDxfId="482" dataCellStyle="Monétaire"/>
    <tableColumn id="60" name="VISA JURIDIQUE €" dataDxfId="481" dataCellStyle="Monétaire"/>
    <tableColumn id="38" name="SAISIE PAR UNE AAC €" dataDxfId="480" dataCellStyle="Monétaire"/>
    <tableColumn id="43" name="SAISIE PAR LE COMPTABLE €" dataDxfId="479" dataCellStyle="Monétaire"/>
    <tableColumn id="39" name="TRAVAUX _x000a_DE REVISION €" dataDxfId="478" dataCellStyle="Monétaire"/>
    <tableColumn id="42" name="DECLARATION TVA AAC €" dataDxfId="477" dataCellStyle="Monétaire"/>
    <tableColumn id="45" name="DECLARATION TVA COMPTABLE €" dataDxfId="476" dataCellStyle="Monétaire"/>
    <tableColumn id="40" name="MONTANT_x000a_RESPONSABLE RELATION CLIENT €" dataDxfId="475" dataCellStyle="Monétaire"/>
    <tableColumn id="33" name="MONTANT TOTAL LETTRE DE MISION €" dataDxfId="474" dataCellStyle="Monétaire">
      <calculatedColumnFormula>SUM(PORTEFEUILLE_FREDERIQUE[[#This Row],[PCR COMPTABLE €]:[MONTANT
RESPONSABLE RELATION CLIENT €]])</calculatedColumnFormula>
    </tableColumn>
    <tableColumn id="34" name="ECART DE SAISE avec LETTRE DE MISSION €" dataDxfId="473" dataCellStyle="Monétaire">
      <calculatedColumnFormula>SUM(PORTEFEUILLE_FREDERIQUE[[#This Row],[PCR COMPTABLE €]:[MONTANT
RESPONSABLE RELATION CLIENT €]])-PORTEFEUILLE_FREDERIQUE[[#This Row],[MONTANT TOTAL LETTRE DE MISION €]]</calculatedColumnFormula>
    </tableColumn>
    <tableColumn id="22" name="Prénom_x000a_AAC" dataDxfId="472"/>
    <tableColumn id="36" name="PRENOM CONSEILLER" dataDxfId="471"/>
    <tableColumn id="57" name="PRENOM REALISATION TVA" dataDxfId="470"/>
    <tableColumn id="63" name="DECLARATION DES REVENUS" dataDxfId="469"/>
    <tableColumn id="61" name="NOMBRE DE DECLARATION" dataDxfId="468"/>
    <tableColumn id="54" name="ABONNE COURT _x000a_ABONNE LONG" dataDxfId="467"/>
    <tableColumn id="55" name="RECONDUCTION AUTOMATIQUE OS" dataDxfId="466"/>
    <tableColumn id="23" name="TPS PASSE_x000a_COMPTABLE H_x000a_" dataDxfId="465"/>
    <tableColumn id="37" name="TPS PASSE _x000a_AAC H" dataDxfId="464"/>
    <tableColumn id="47" name="BONI AAC" dataDxfId="463" dataCellStyle="Monétaire">
      <calculatedColumnFormula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calculatedColumnFormula>
    </tableColumn>
    <tableColumn id="46" name="MALI AAC" dataDxfId="462" dataCellStyle="Monétaire">
      <calculatedColumnFormula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calculatedColumnFormula>
    </tableColumn>
    <tableColumn id="44" name="NOMBRE DOSSIER BONI AAC" dataDxfId="461">
      <calculatedColumnFormula>IF(PORTEFEUILLE_FREDERIQUE[[#This Row],[BONI AAC]]&lt;&gt;0,1,"")</calculatedColumnFormula>
    </tableColumn>
    <tableColumn id="35" name="NBRE DOSSIER MALI AAC" dataDxfId="460">
      <calculatedColumnFormula>IF(PORTEFEUILLE_FREDERIQUE[[#This Row],[MALI AAC]]&lt;&gt;0,1,"")</calculatedColumnFormula>
    </tableColumn>
    <tableColumn id="24" name="BONI COMPTABLE" dataDxfId="459" dataCellStyle="Monétaire">
      <calculatedColumnFormula>IF(AP3&lt;&gt;"",IF((AP3*Paramètres!$H$4)-PORTEFEUILLE_FREDERIQUE[[#This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€]]-(DELPHINE!AP3*Paramètres!$H$4),0),0)</calculatedColumnFormula>
    </tableColumn>
    <tableColumn id="25" name="MALI COMPTABLE" dataDxfId="458" dataCellStyle="Monétaire">
      <calculatedColumnFormula>IF(AP3&lt;&gt;"",IF(((AP3*Paramètres!$H$4)-PORTEFEUILLE_FREDERIQUE[[#This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calculatedColumnFormula>
    </tableColumn>
    <tableColumn id="53" name="NOMBRE DOSSIER BONI COMPTABLE" dataDxfId="457">
      <calculatedColumnFormula>IF(PORTEFEUILLE_FREDERIQUE[[#This Row],[BONI COMPTABLE]]&lt;&gt;0,1,"")</calculatedColumnFormula>
    </tableColumn>
    <tableColumn id="52" name="NOMBRE DE DOSSIER MALI COMPTABLE" dataDxfId="456">
      <calculatedColumnFormula>IF(PORTEFEUILLE_FREDERIQUE[[#This Row],[MALI COMPTABLE]]&lt;&gt;0,1,"")</calculatedColumnFormula>
    </tableColumn>
    <tableColumn id="26" name="GRILLE ENJEUX" dataDxfId="455"/>
    <tableColumn id="27" name="Visa_x000a_Validé_x000a_enjeu 4 ou attestation enjeu" dataDxfId="454"/>
    <tableColumn id="28" name="VISA VCOMPTA" dataDxfId="453"/>
    <tableColumn id="29" name="REFUS" dataDxfId="452"/>
    <tableColumn id="30" name="MOTIF" dataDxfId="451"/>
    <tableColumn id="31" name="COMMENTAIRES" dataDxfId="450"/>
    <tableColumn id="32" name="Attestation_x000a_à faire signer par l'EC" dataDxfId="449"/>
    <tableColumn id="49" name="MISE EN PLACE SCAN BY CERFRANCE" dataDxfId="448"/>
    <tableColumn id="50" name="PRENOM PERSONNE AYANT DEPLOYEE SCAN BY CERFRANCE" dataDxfId="447"/>
    <tableColumn id="51" name="PICKING" dataDxfId="446"/>
    <tableColumn id="58" name="EDI" dataDxfId="445"/>
    <tableColumn id="62" name="Colonne1" dataDxfId="4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PORTEFEUILLE_AURELIE_T" displayName="PORTEFEUILLE_AURELIE_T" ref="A2:BK60" totalsRowShown="0" headerRowDxfId="433" dataDxfId="432" tableBorderDxfId="431" headerRowCellStyle="Normal 16">
  <autoFilter ref="A2:BK60"/>
  <tableColumns count="63">
    <tableColumn id="48" name="PRENOM DU COMPTABLE" dataDxfId="430"/>
    <tableColumn id="1" name="N° DOSSIER" dataDxfId="429"/>
    <tableColumn id="2" name="NOM DOSSIER" dataDxfId="428"/>
    <tableColumn id="3" name="TYPE DE MARCHE" dataDxfId="427"/>
    <tableColumn id="4" name="DATE DE CLOTURE" dataDxfId="426"/>
    <tableColumn id="5" name="REGIME JURIDIQUE" dataDxfId="425"/>
    <tableColumn id="6" name="REGIME IMPOSITION" dataDxfId="424"/>
    <tableColumn id="56" name="DECLARATION DE TVA" dataDxfId="423"/>
    <tableColumn id="7" name="DATE_x000a_DE DEPOT" dataDxfId="422"/>
    <tableColumn id="8" name="DATE SIGNATURE" dataDxfId="421"/>
    <tableColumn id="9" name="MOIS" dataDxfId="420">
      <calculatedColumnFormula>IF(I3="","",MONTH(I3))</calculatedColumnFormula>
    </tableColumn>
    <tableColumn id="10" name="DELAI" dataDxfId="419">
      <calculatedColumnFormula>IF(I3="","",DAYS360(E3,I3))</calculatedColumnFormula>
    </tableColumn>
    <tableColumn id="11" name="PCR" dataDxfId="418"/>
    <tableColumn id="12" name="RA NOS" dataDxfId="417"/>
    <tableColumn id="13" name="QUI " dataDxfId="416"/>
    <tableColumn id="14" name="CR" dataDxfId="415"/>
    <tableColumn id="15" name="CR FAIT PAR LE COMPTABLE" dataDxfId="414"/>
    <tableColumn id="16" name="AG_x000a_SIGNEE" dataDxfId="413"/>
    <tableColumn id="17" name="PCR COMPTABLE €" dataDxfId="412" dataCellStyle="Monétaire"/>
    <tableColumn id="18" name="PCR CONSEILLER €" dataDxfId="411"/>
    <tableColumn id="19" name="RA FAIT PAR LE_x000a_COMPTABLE €" dataDxfId="410" dataCellStyle="Monétaire"/>
    <tableColumn id="41" name="RA FAITE PAR LE CONSEILLER €" dataDxfId="409" dataCellStyle="Monétaire"/>
    <tableColumn id="21" name="POINT DE PILOTAGE €" dataDxfId="408" dataCellStyle="Monétaire"/>
    <tableColumn id="20" name="AGOA COMPTABLE €" dataDxfId="407" dataCellStyle="Monétaire"/>
    <tableColumn id="59" name="AGOA CONSEILLER €" dataDxfId="406" dataCellStyle="Monétaire"/>
    <tableColumn id="60" name="VISA JURIDIQUE €" dataDxfId="405" dataCellStyle="Monétaire"/>
    <tableColumn id="38" name="SAISIE PAR UNE AAC €" dataDxfId="404" dataCellStyle="Monétaire"/>
    <tableColumn id="43" name="SAISIE PAR LE COMPTABLE €" dataDxfId="403" dataCellStyle="Monétaire"/>
    <tableColumn id="39" name="TRAVAUX _x000a_DE REVISION €" dataDxfId="402" dataCellStyle="Monétaire"/>
    <tableColumn id="42" name="DECLARATION TVA AAC €" dataDxfId="401" dataCellStyle="Monétaire"/>
    <tableColumn id="45" name="DECLARATION TVA COMPTABLE €" dataDxfId="400" dataCellStyle="Monétaire"/>
    <tableColumn id="40" name="MONTANT_x000a_RESPONSABLE RELATION CLIENT €" dataDxfId="399" dataCellStyle="Monétaire"/>
    <tableColumn id="33" name="MONTANT TOTAL LETTRE DE MISION €" dataDxfId="398" dataCellStyle="Monétaire">
      <calculatedColumnFormula>SUM(PORTEFEUILLE_AURELIE_T[[#This Row],[PCR COMPTABLE €]:[MONTANT
RESPONSABLE RELATION CLIENT €]])</calculatedColumnFormula>
    </tableColumn>
    <tableColumn id="34" name="ECART DE SAISE avec LETTRE DE MISSION €" dataDxfId="397" dataCellStyle="Monétaire">
      <calculatedColumnFormula>SUM(PORTEFEUILLE_AURELIE_T[[#This Row],[PCR COMPTABLE €]:[MONTANT
RESPONSABLE RELATION CLIENT €]])-PORTEFEUILLE_AURELIE_T[[#This Row],[MONTANT TOTAL LETTRE DE MISION €]]</calculatedColumnFormula>
    </tableColumn>
    <tableColumn id="22" name="Prénom_x000a_AAC" dataDxfId="396"/>
    <tableColumn id="36" name="PRENOM CONSEILLER" dataDxfId="395"/>
    <tableColumn id="57" name="PRENOM REALISATION TVA" dataDxfId="394"/>
    <tableColumn id="63" name="DECLARATION DES REVENUS" dataDxfId="393"/>
    <tableColumn id="61" name="NOMBRE DE DECLARATION" dataDxfId="392"/>
    <tableColumn id="54" name="ABONNE COURT _x000a_ABONNE LONG" dataDxfId="391"/>
    <tableColumn id="55" name="RECONDUCTION AUTOMATIQUE OS" dataDxfId="390"/>
    <tableColumn id="23" name="TPS PASSE_x000a_COMPTABLE H_x000a_" dataDxfId="389"/>
    <tableColumn id="37" name="TPS PASSE _x000a_AAC H" dataDxfId="388"/>
    <tableColumn id="47" name="BONI AAC" dataDxfId="387" dataCellStyle="Monétaire">
      <calculatedColumnFormula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calculatedColumnFormula>
    </tableColumn>
    <tableColumn id="46" name="MALI AAC" dataDxfId="386" dataCellStyle="Monétaire">
      <calculatedColumnFormula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calculatedColumnFormula>
    </tableColumn>
    <tableColumn id="44" name="NOMBRE DOSSIER BONI AAC" dataDxfId="385">
      <calculatedColumnFormula>IF(PORTEFEUILLE_AURELIE_T[[#This Row],[BONI AAC]]&lt;&gt;0,1,"")</calculatedColumnFormula>
    </tableColumn>
    <tableColumn id="35" name="NBRE DOSSIER MALI AAC" dataDxfId="384">
      <calculatedColumnFormula>IF(PORTEFEUILLE_AURELIE_T[[#This Row],[MALI AAC]]&lt;&gt;0,1,"")</calculatedColumnFormula>
    </tableColumn>
    <tableColumn id="24" name="BONI COMPTABLE" dataDxfId="383" dataCellStyle="Monétaire">
      <calculatedColumnFormula>IF(AP3&lt;&gt;"",IF((AP3*Paramètres!$H$4)-PORTEFEUILLE_AURELIE_T[[#This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€]]-(DELPHINE!AP3*Paramètres!$H$4),0),0)</calculatedColumnFormula>
    </tableColumn>
    <tableColumn id="25" name="MALI COMPTABLE" dataDxfId="382" dataCellStyle="Monétaire">
      <calculatedColumnFormula>IF(AP3&lt;&gt;"",IF(((AP3*Paramètres!$H$4)-PORTEFEUILLE_AURELIE_T[[#This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calculatedColumnFormula>
    </tableColumn>
    <tableColumn id="53" name="NOMBRE DOSSIER BONI COMPTABLE" dataDxfId="381">
      <calculatedColumnFormula>IF(PORTEFEUILLE_AURELIE_T[[#This Row],[BONI COMPTABLE]]&lt;&gt;0,1,"")</calculatedColumnFormula>
    </tableColumn>
    <tableColumn id="52" name="NOMBRE DE DOSSIER MALI COMPTABLE" dataDxfId="380">
      <calculatedColumnFormula>IF(PORTEFEUILLE_AURELIE_T[[#This Row],[MALI COMPTABLE]]&lt;&gt;0,1,"")</calculatedColumnFormula>
    </tableColumn>
    <tableColumn id="26" name="GRILLE ENJEUX" dataDxfId="379"/>
    <tableColumn id="27" name="Visa_x000a_Validé_x000a_enjeu 4 ou attestation enjeu" dataDxfId="378"/>
    <tableColumn id="28" name="VISA VCOMPTA" dataDxfId="377"/>
    <tableColumn id="29" name="REFUS" dataDxfId="376"/>
    <tableColumn id="30" name="MOTIF" dataDxfId="375"/>
    <tableColumn id="31" name="COMMENTAIRES" dataDxfId="374"/>
    <tableColumn id="32" name="Attestation_x000a_à faire signer par l'EC" dataDxfId="373"/>
    <tableColumn id="49" name="MISE EN PLACE SCAN BY CERFRANCE" dataDxfId="372"/>
    <tableColumn id="50" name="PRENOM PERSONNE AYANT DEPLOYEE SCAN BY CERFRANCE" dataDxfId="371"/>
    <tableColumn id="51" name="PICKING" dataDxfId="370"/>
    <tableColumn id="58" name="EDI" dataDxfId="369"/>
    <tableColumn id="62" name="Colonne1" dataDxfId="36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2" name="PORTEFEUILLE_ERIC" displayName="PORTEFEUILLE_ERIC" ref="A2:BK60" totalsRowShown="0" headerRowDxfId="357" dataDxfId="356" tableBorderDxfId="355" headerRowCellStyle="Normal 16">
  <autoFilter ref="A2:BK60"/>
  <tableColumns count="63">
    <tableColumn id="48" name="PRENOM DU COMPTABLE" dataDxfId="354"/>
    <tableColumn id="1" name="N° DOSSIER" dataDxfId="353"/>
    <tableColumn id="2" name="NOM DOSSIER" dataDxfId="352"/>
    <tableColumn id="3" name="TYPE DE MARCHE" dataDxfId="351"/>
    <tableColumn id="4" name="DATE DE CLOTURE" dataDxfId="350"/>
    <tableColumn id="5" name="REGIME JURIDIQUE" dataDxfId="349"/>
    <tableColumn id="6" name="REGIME IMPOSITION" dataDxfId="348"/>
    <tableColumn id="56" name="DECLARATION DE TVA" dataDxfId="347"/>
    <tableColumn id="7" name="DATE_x000a_DE DEPOT" dataDxfId="346"/>
    <tableColumn id="8" name="DATE SIGNATURE" dataDxfId="345"/>
    <tableColumn id="9" name="MOIS" dataDxfId="344">
      <calculatedColumnFormula>IF(I3="","",MONTH(I3))</calculatedColumnFormula>
    </tableColumn>
    <tableColumn id="10" name="DELAI" dataDxfId="343">
      <calculatedColumnFormula>IF(I3="","",DAYS360(E3,I3))</calculatedColumnFormula>
    </tableColumn>
    <tableColumn id="11" name="PCR" dataDxfId="342"/>
    <tableColumn id="12" name="RA NOS" dataDxfId="341"/>
    <tableColumn id="13" name="QUI " dataDxfId="340"/>
    <tableColumn id="14" name="CR" dataDxfId="339"/>
    <tableColumn id="15" name="CR FAIT PAR LE COMPTABLE" dataDxfId="338"/>
    <tableColumn id="16" name="AG_x000a_SIGNEE" dataDxfId="337"/>
    <tableColumn id="17" name="PCR COMPTABLE €" dataDxfId="336" dataCellStyle="Monétaire"/>
    <tableColumn id="18" name="PCR CONSEILLER €" dataDxfId="335"/>
    <tableColumn id="19" name="RA FAIT PAR LE_x000a_COMPTABLE €" dataDxfId="334" dataCellStyle="Monétaire"/>
    <tableColumn id="41" name="RA FAITE PAR LE CONSEILLER €" dataDxfId="333" dataCellStyle="Monétaire"/>
    <tableColumn id="21" name="POINT DE PILOTAGE €" dataDxfId="332" dataCellStyle="Monétaire"/>
    <tableColumn id="20" name="AGOA COMPTABLE €" dataDxfId="331" dataCellStyle="Monétaire"/>
    <tableColumn id="59" name="AGOA CONSEILLER €" dataDxfId="330" dataCellStyle="Monétaire"/>
    <tableColumn id="60" name="VISA JURIDIQUE €" dataDxfId="329" dataCellStyle="Monétaire"/>
    <tableColumn id="38" name="SAISIE PAR UNE AAC €" dataDxfId="328" dataCellStyle="Monétaire"/>
    <tableColumn id="43" name="SAISIE PAR LE COMPTABLE €" dataDxfId="327" dataCellStyle="Monétaire"/>
    <tableColumn id="39" name="TRAVAUX _x000a_DE REVISION €" dataDxfId="326" dataCellStyle="Monétaire"/>
    <tableColumn id="42" name="DECLARATION TVA AAC €" dataDxfId="325" dataCellStyle="Monétaire"/>
    <tableColumn id="45" name="DECLARATION TVA COMPTABLE €" dataDxfId="324" dataCellStyle="Monétaire"/>
    <tableColumn id="40" name="MONTANT_x000a_RESPONSABLE RELATION CLIENT €" dataDxfId="323" dataCellStyle="Monétaire"/>
    <tableColumn id="33" name="MONTANT TOTAL LETTRE DE MISION €" dataDxfId="322" dataCellStyle="Monétaire">
      <calculatedColumnFormula>SUM(PORTEFEUILLE_ERIC[[#This Row],[PCR COMPTABLE €]:[MONTANT
RESPONSABLE RELATION CLIENT €]])</calculatedColumnFormula>
    </tableColumn>
    <tableColumn id="34" name="ECART DE SAISE avec LETTRE DE MISSION €" dataDxfId="321" dataCellStyle="Monétaire">
      <calculatedColumnFormula>SUM(PORTEFEUILLE_ERIC[[#This Row],[PCR COMPTABLE €]:[MONTANT
RESPONSABLE RELATION CLIENT €]])-PORTEFEUILLE_ERIC[[#This Row],[MONTANT TOTAL LETTRE DE MISION €]]</calculatedColumnFormula>
    </tableColumn>
    <tableColumn id="22" name="Prénom_x000a_AAC" dataDxfId="320"/>
    <tableColumn id="36" name="PRENOM CONSEILLER" dataDxfId="319"/>
    <tableColumn id="57" name="PRENOM REALISATION TVA" dataDxfId="318"/>
    <tableColumn id="63" name="DECLARATION DES REVENUS" dataDxfId="317"/>
    <tableColumn id="61" name="NOMBRE DE DECLARATION" dataDxfId="316"/>
    <tableColumn id="54" name="ABONNE COURT _x000a_ABONNE LONG" dataDxfId="315"/>
    <tableColumn id="55" name="RECONDUCTION AUTOMATIQUE OS" dataDxfId="314"/>
    <tableColumn id="23" name="TPS PASSE_x000a_COMPTABLE H_x000a_" dataDxfId="313"/>
    <tableColumn id="37" name="TPS PASSE _x000a_AAC H" dataDxfId="312"/>
    <tableColumn id="47" name="BONI AAC" dataDxfId="311" dataCellStyle="Monétaire">
      <calculatedColumnFormula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calculatedColumnFormula>
    </tableColumn>
    <tableColumn id="46" name="MALI AAC" dataDxfId="310" dataCellStyle="Monétaire">
      <calculatedColumnFormula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calculatedColumnFormula>
    </tableColumn>
    <tableColumn id="44" name="NOMBRE DOSSIER BONI AAC" dataDxfId="309">
      <calculatedColumnFormula>IF(PORTEFEUILLE_ERIC[[#This Row],[BONI AAC]]&lt;&gt;0,1,"")</calculatedColumnFormula>
    </tableColumn>
    <tableColumn id="35" name="NBRE DOSSIER MALI AAC" dataDxfId="308">
      <calculatedColumnFormula>IF(PORTEFEUILLE_ERIC[[#This Row],[MALI AAC]]&lt;&gt;0,1,"")</calculatedColumnFormula>
    </tableColumn>
    <tableColumn id="24" name="BONI COMPTABLE" dataDxfId="307" dataCellStyle="Monétaire">
      <calculatedColumnFormula>IF(AP3&lt;&gt;"",IF((AP3*Paramètres!$H$4)-PORTEFEUILLE_ERIC[[#This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€]]-(DELPHINE!AP3*Paramètres!$H$4),0),0)</calculatedColumnFormula>
    </tableColumn>
    <tableColumn id="25" name="MALI COMPTABLE" dataDxfId="306" dataCellStyle="Monétaire">
      <calculatedColumnFormula>IF(AP3&lt;&gt;"",IF(((AP3*Paramètres!$H$4)-PORTEFEUILLE_ERIC[[#This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calculatedColumnFormula>
    </tableColumn>
    <tableColumn id="53" name="NOMBRE DOSSIER BONI COMPTABLE" dataDxfId="305">
      <calculatedColumnFormula>IF(PORTEFEUILLE_ERIC[[#This Row],[BONI COMPTABLE]]&lt;&gt;0,1,"")</calculatedColumnFormula>
    </tableColumn>
    <tableColumn id="52" name="NOMBRE DE DOSSIER MALI COMPTABLE" dataDxfId="304">
      <calculatedColumnFormula>IF(PORTEFEUILLE_ERIC[[#This Row],[MALI COMPTABLE]]&lt;&gt;0,1,"")</calculatedColumnFormula>
    </tableColumn>
    <tableColumn id="26" name="GRILLE ENJEUX" dataDxfId="303"/>
    <tableColumn id="27" name="Visa_x000a_Validé_x000a_enjeu 4 ou attestation enjeu" dataDxfId="302"/>
    <tableColumn id="28" name="VISA VCOMPTA" dataDxfId="301"/>
    <tableColumn id="29" name="REFUS" dataDxfId="300"/>
    <tableColumn id="30" name="MOTIF" dataDxfId="299"/>
    <tableColumn id="31" name="COMMENTAIRES" dataDxfId="298"/>
    <tableColumn id="32" name="Attestation_x000a_à faire signer par l'EC" dataDxfId="297"/>
    <tableColumn id="49" name="MISE EN PLACE SCAN BY CERFRANCE" dataDxfId="296"/>
    <tableColumn id="50" name="PRENOM PERSONNE AYANT DEPLOYEE SCAN BY CERFRANCE" dataDxfId="295"/>
    <tableColumn id="51" name="PICKING" dataDxfId="294"/>
    <tableColumn id="58" name="EDI" dataDxfId="293"/>
    <tableColumn id="62" name="Colonne1" dataDxfId="29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PORTEFEUILLE_MARIE_PIERRE" displayName="PORTEFEUILLE_MARIE_PIERRE" ref="A2:BK60" totalsRowShown="0" headerRowDxfId="281" dataDxfId="280" tableBorderDxfId="279" headerRowCellStyle="Normal 16">
  <autoFilter ref="A2:BK60"/>
  <tableColumns count="63">
    <tableColumn id="48" name="PRENOM DU COMPTABLE" dataDxfId="278"/>
    <tableColumn id="1" name="N° DOSSIER" dataDxfId="277"/>
    <tableColumn id="2" name="NOM DOSSIER" dataDxfId="276"/>
    <tableColumn id="3" name="TYPE DE MARCHE" dataDxfId="275"/>
    <tableColumn id="4" name="DATE DE CLOTURE" dataDxfId="274"/>
    <tableColumn id="5" name="REGIME JURIDIQUE" dataDxfId="273"/>
    <tableColumn id="6" name="REGIME IMPOSITION" dataDxfId="272"/>
    <tableColumn id="56" name="DECLARATION DE TVA" dataDxfId="271"/>
    <tableColumn id="7" name="DATE_x000a_DE DEPOT" dataDxfId="270"/>
    <tableColumn id="8" name="DATE SIGNATURE" dataDxfId="269"/>
    <tableColumn id="9" name="MOIS" dataDxfId="268">
      <calculatedColumnFormula>IF(I3="","",MONTH(I3))</calculatedColumnFormula>
    </tableColumn>
    <tableColumn id="10" name="DELAI" dataDxfId="267">
      <calculatedColumnFormula>IF(I3="","",DAYS360(E3,I3))</calculatedColumnFormula>
    </tableColumn>
    <tableColumn id="11" name="PCR" dataDxfId="266"/>
    <tableColumn id="12" name="RA NOS" dataDxfId="265"/>
    <tableColumn id="13" name="QUI " dataDxfId="264"/>
    <tableColumn id="14" name="CR" dataDxfId="263"/>
    <tableColumn id="15" name="CR FAIT PAR LE COMPTABLE" dataDxfId="262"/>
    <tableColumn id="16" name="AG_x000a_SIGNEE" dataDxfId="261"/>
    <tableColumn id="17" name="PCR COMPTABLE €" dataDxfId="260" dataCellStyle="Monétaire"/>
    <tableColumn id="18" name="PCR CONSEILLER €" dataDxfId="259"/>
    <tableColumn id="19" name="RA FAIT PAR LE_x000a_COMPTABLE €" dataDxfId="258" dataCellStyle="Monétaire"/>
    <tableColumn id="41" name="RA FAITE PAR LE CONSEILLER €" dataDxfId="257" dataCellStyle="Monétaire"/>
    <tableColumn id="21" name="POINT DE PILOTAGE €" dataDxfId="256" dataCellStyle="Monétaire"/>
    <tableColumn id="20" name="AGOA COMPTABLE €" dataDxfId="255" dataCellStyle="Monétaire"/>
    <tableColumn id="59" name="AGOA CONSEILLER €" dataDxfId="254" dataCellStyle="Monétaire"/>
    <tableColumn id="60" name="VISA JURIDIQUE €" dataDxfId="253" dataCellStyle="Monétaire"/>
    <tableColumn id="38" name="SAISIE PAR UNE AAC €" dataDxfId="252" dataCellStyle="Monétaire"/>
    <tableColumn id="43" name="SAISIE PAR LE COMPTABLE €" dataDxfId="251" dataCellStyle="Monétaire"/>
    <tableColumn id="39" name="TRAVAUX _x000a_DE REVISION €" dataDxfId="250" dataCellStyle="Monétaire"/>
    <tableColumn id="42" name="DECLARATION TVA AAC €" dataDxfId="249" dataCellStyle="Monétaire"/>
    <tableColumn id="45" name="DECLARATION TVA COMPTABLE €" dataDxfId="248" dataCellStyle="Monétaire"/>
    <tableColumn id="40" name="MONTANT_x000a_RESPONSABLE RELATION CLIENT €" dataDxfId="247" dataCellStyle="Monétaire"/>
    <tableColumn id="33" name="MONTANT TOTAL LETTRE DE MISION €" dataDxfId="246" dataCellStyle="Monétaire">
      <calculatedColumnFormula>SUM(PORTEFEUILLE_MARIE_PIERRE[[#This Row],[PCR COMPTABLE €]:[MONTANT
RESPONSABLE RELATION CLIENT €]])</calculatedColumnFormula>
    </tableColumn>
    <tableColumn id="34" name="ECART DE SAISE avec LETTRE DE MISSION €" dataDxfId="245" dataCellStyle="Monétaire">
      <calculatedColumnFormula>SUM(PORTEFEUILLE_MARIE_PIERRE[[#This Row],[PCR COMPTABLE €]:[MONTANT
RESPONSABLE RELATION CLIENT €]])-PORTEFEUILLE_MARIE_PIERRE[[#This Row],[MONTANT TOTAL LETTRE DE MISION €]]</calculatedColumnFormula>
    </tableColumn>
    <tableColumn id="22" name="Prénom_x000a_AAC" dataDxfId="244"/>
    <tableColumn id="36" name="PRENOM CONSEILLER" dataDxfId="243"/>
    <tableColumn id="57" name="PRENOM REALISATION TVA" dataDxfId="242"/>
    <tableColumn id="63" name="DECLARATION DES REVENUS" dataDxfId="241"/>
    <tableColumn id="61" name="NOMBRE DE DECLARATION" dataDxfId="240"/>
    <tableColumn id="54" name="ABONNE COURT _x000a_ABONNE LONG" dataDxfId="239"/>
    <tableColumn id="55" name="RECONDUCTION AUTOMATIQUE OS" dataDxfId="238"/>
    <tableColumn id="23" name="TPS PASSE_x000a_COMPTABLE H_x000a_" dataDxfId="237"/>
    <tableColumn id="37" name="TPS PASSE _x000a_AAC H" dataDxfId="236"/>
    <tableColumn id="47" name="BONI AAC" dataDxfId="235" dataCellStyle="Monétaire">
      <calculatedColumnFormula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calculatedColumnFormula>
    </tableColumn>
    <tableColumn id="46" name="MALI AAC" dataDxfId="234" dataCellStyle="Monétaire">
      <calculatedColumnFormula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calculatedColumnFormula>
    </tableColumn>
    <tableColumn id="44" name="NOMBRE DOSSIER BONI AAC" dataDxfId="233">
      <calculatedColumnFormula>IF(PORTEFEUILLE_MARIE_PIERRE[[#This Row],[BONI AAC]]&lt;&gt;0,1,"")</calculatedColumnFormula>
    </tableColumn>
    <tableColumn id="35" name="NBRE DOSSIER MALI AAC" dataDxfId="232">
      <calculatedColumnFormula>IF(PORTEFEUILLE_MARIE_PIERRE[[#This Row],[MALI AAC]]&lt;&gt;0,1,"")</calculatedColumnFormula>
    </tableColumn>
    <tableColumn id="24" name="BONI COMPTABLE" dataDxfId="231" dataCellStyle="Monétaire">
      <calculatedColumnFormula>IF(AP3&lt;&gt;"",IF((AP3*Paramètres!$H$4)-PORTEFEUILLE_MARIE_PIERRE[[#This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€]]-(DELPHINE!AP3*Paramètres!$H$4),0),0)</calculatedColumnFormula>
    </tableColumn>
    <tableColumn id="25" name="MALI COMPTABLE" dataDxfId="230" dataCellStyle="Monétaire">
      <calculatedColumnFormula>IF(AP3&lt;&gt;"",IF(((AP3*Paramètres!$H$4)-PORTEFEUILLE_MARIE_PIERRE[[#This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calculatedColumnFormula>
    </tableColumn>
    <tableColumn id="53" name="NOMBRE DOSSIER BONI COMPTABLE" dataDxfId="229">
      <calculatedColumnFormula>IF(PORTEFEUILLE_MARIE_PIERRE[[#This Row],[BONI COMPTABLE]]&lt;&gt;0,1,"")</calculatedColumnFormula>
    </tableColumn>
    <tableColumn id="52" name="NOMBRE DE DOSSIER MALI COMPTABLE" dataDxfId="228">
      <calculatedColumnFormula>IF(PORTEFEUILLE_MARIE_PIERRE[[#This Row],[MALI COMPTABLE]]&lt;&gt;0,1,"")</calculatedColumnFormula>
    </tableColumn>
    <tableColumn id="26" name="GRILLE ENJEUX" dataDxfId="227"/>
    <tableColumn id="27" name="Visa_x000a_Validé_x000a_enjeu 4 ou attestation enjeu" dataDxfId="226"/>
    <tableColumn id="28" name="VISA VCOMPTA" dataDxfId="225"/>
    <tableColumn id="29" name="REFUS" dataDxfId="224"/>
    <tableColumn id="30" name="MOTIF" dataDxfId="223"/>
    <tableColumn id="31" name="COMMENTAIRES" dataDxfId="222"/>
    <tableColumn id="32" name="Attestation_x000a_à faire signer par l'EC" dataDxfId="221"/>
    <tableColumn id="49" name="MISE EN PLACE SCAN BY CERFRANCE" dataDxfId="220"/>
    <tableColumn id="50" name="PRENOM PERSONNE AYANT DEPLOYEE SCAN BY CERFRANCE" dataDxfId="219"/>
    <tableColumn id="51" name="PICKING" dataDxfId="218"/>
    <tableColumn id="58" name="EDI" dataDxfId="217"/>
    <tableColumn id="62" name="Colonne1" dataDxfId="2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" name="PORTEFEUILLE_GUILLAUME" displayName="PORTEFEUILLE_GUILLAUME" ref="A2:BK60" totalsRowShown="0" headerRowDxfId="209" dataDxfId="208" tableBorderDxfId="207" headerRowCellStyle="Normal 16">
  <autoFilter ref="A2:BK60"/>
  <tableColumns count="63">
    <tableColumn id="48" name="PRENOM DU COMPTABLE" dataDxfId="206"/>
    <tableColumn id="1" name="N° DOSSIER" dataDxfId="205"/>
    <tableColumn id="2" name="NOM DOSSIER" dataDxfId="204"/>
    <tableColumn id="3" name="TYPE DE MARCHE" dataDxfId="203"/>
    <tableColumn id="4" name="DATE DE CLOTURE" dataDxfId="202"/>
    <tableColumn id="5" name="REGIME JURIDIQUE" dataDxfId="201"/>
    <tableColumn id="6" name="REGIME IMPOSITION" dataDxfId="200"/>
    <tableColumn id="56" name="DECLARATION DE TVA" dataDxfId="199"/>
    <tableColumn id="7" name="DATE_x000a_DE DEPOT" dataDxfId="198"/>
    <tableColumn id="8" name="DATE SIGNATURE" dataDxfId="197"/>
    <tableColumn id="9" name="MOIS" dataDxfId="196">
      <calculatedColumnFormula>IF(I3="","",MONTH(I3))</calculatedColumnFormula>
    </tableColumn>
    <tableColumn id="10" name="DELAI" dataDxfId="195">
      <calculatedColumnFormula>IF(I3="","",DAYS360(E3,I3))</calculatedColumnFormula>
    </tableColumn>
    <tableColumn id="11" name="PCR" dataDxfId="194"/>
    <tableColumn id="12" name="RA NOS" dataDxfId="193"/>
    <tableColumn id="13" name="QUI " dataDxfId="192"/>
    <tableColumn id="14" name="CR" dataDxfId="191"/>
    <tableColumn id="15" name="CR FAIT PAR LE COMPTABLE" dataDxfId="190"/>
    <tableColumn id="16" name="AG_x000a_SIGNEE" dataDxfId="189"/>
    <tableColumn id="17" name="PCR COMPTABLE €" dataDxfId="188" dataCellStyle="Monétaire"/>
    <tableColumn id="18" name="PCR CONSEILLER €" dataDxfId="187"/>
    <tableColumn id="19" name="RA FAIT PAR LE_x000a_COMPTABLE €" dataDxfId="186" dataCellStyle="Monétaire"/>
    <tableColumn id="41" name="RA FAITE PAR LE CONSEILLER €" dataDxfId="185" dataCellStyle="Monétaire"/>
    <tableColumn id="21" name="POINT DE PILOTAGE €" dataDxfId="184" dataCellStyle="Monétaire"/>
    <tableColumn id="20" name="AGOA COMPTABLE €" dataDxfId="183" dataCellStyle="Monétaire"/>
    <tableColumn id="59" name="AGOA CONSEILLER €" dataDxfId="182" dataCellStyle="Monétaire"/>
    <tableColumn id="60" name="VISA JURIDIQUE €" dataDxfId="181" dataCellStyle="Monétaire"/>
    <tableColumn id="38" name="SAISIE PAR UNE AAC €" dataDxfId="180" dataCellStyle="Monétaire"/>
    <tableColumn id="43" name="SAISIE PAR LE COMPTABLE €" dataDxfId="179" dataCellStyle="Monétaire"/>
    <tableColumn id="39" name="TRAVAUX _x000a_DE REVISION €" dataDxfId="178" dataCellStyle="Monétaire"/>
    <tableColumn id="42" name="DECLARATION TVA AAC €" dataDxfId="177" dataCellStyle="Monétaire"/>
    <tableColumn id="45" name="DECLARATION TVA COMPTABLE €" dataDxfId="176" dataCellStyle="Monétaire"/>
    <tableColumn id="40" name="MONTANT_x000a_RESPONSABLE RELATION CLIENT €" dataDxfId="175" dataCellStyle="Monétaire"/>
    <tableColumn id="33" name="MONTANT TOTAL LETTRE DE MISION €" dataDxfId="174" dataCellStyle="Monétaire">
      <calculatedColumnFormula>SUM(PORTEFEUILLE_GUILLAUME[[#This Row],[PCR COMPTABLE €]:[MONTANT
RESPONSABLE RELATION CLIENT €]])</calculatedColumnFormula>
    </tableColumn>
    <tableColumn id="34" name="ECART DE SAISE avec LETTRE DE MISSION €" dataDxfId="173" dataCellStyle="Monétaire">
      <calculatedColumnFormula>SUM(PORTEFEUILLE_GUILLAUME[[#This Row],[PCR COMPTABLE €]:[MONTANT
RESPONSABLE RELATION CLIENT €]])-PORTEFEUILLE_GUILLAUME[[#This Row],[MONTANT TOTAL LETTRE DE MISION €]]</calculatedColumnFormula>
    </tableColumn>
    <tableColumn id="22" name="Prénom_x000a_AAC" dataDxfId="172"/>
    <tableColumn id="36" name="PRENOM CONSEILLER" dataDxfId="171"/>
    <tableColumn id="57" name="PRENOM REALISATION TVA" dataDxfId="170"/>
    <tableColumn id="63" name="DECLARATION DES REVENUS" dataDxfId="169"/>
    <tableColumn id="61" name="NOMBRE DE DECLARATION" dataDxfId="168"/>
    <tableColumn id="54" name="ABONNE COURT _x000a_ABONNE LONG" dataDxfId="167"/>
    <tableColumn id="55" name="RECONDUCTION AUTOMATIQUE OS" dataDxfId="166"/>
    <tableColumn id="23" name="TPS PASSE_x000a_COMPTABLE H_x000a_" dataDxfId="165"/>
    <tableColumn id="37" name="TPS PASSE _x000a_AAC H" dataDxfId="164"/>
    <tableColumn id="47" name="BONI AAC" dataDxfId="163" dataCellStyle="Monétaire">
      <calculatedColumnFormula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calculatedColumnFormula>
    </tableColumn>
    <tableColumn id="46" name="MALI AAC" dataDxfId="162" dataCellStyle="Monétaire">
      <calculatedColumnFormula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calculatedColumnFormula>
    </tableColumn>
    <tableColumn id="44" name="NOMBRE DOSSIER BONI AAC" dataDxfId="161">
      <calculatedColumnFormula>IF(PORTEFEUILLE_GUILLAUME[[#This Row],[BONI AAC]]&lt;&gt;0,1,"")</calculatedColumnFormula>
    </tableColumn>
    <tableColumn id="35" name="NBRE DOSSIER MALI AAC" dataDxfId="160">
      <calculatedColumnFormula>IF(PORTEFEUILLE_GUILLAUME[[#This Row],[MALI AAC]]&lt;&gt;0,1,"")</calculatedColumnFormula>
    </tableColumn>
    <tableColumn id="24" name="BONI COMPTABLE" dataDxfId="159" dataCellStyle="Monétaire">
      <calculatedColumnFormula>IF(AP3&lt;&gt;"",IF((AP3*Paramètres!$H$4)-PORTEFEUILLE_GUILLAUME[[#This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€]]-(DELPHINE!AP3*Paramètres!$H$4),0),0)</calculatedColumnFormula>
    </tableColumn>
    <tableColumn id="25" name="MALI COMPTABLE" dataDxfId="158" dataCellStyle="Monétaire">
      <calculatedColumnFormula>IF(AP3&lt;&gt;"",IF(((AP3*Paramètres!$H$4)-PORTEFEUILLE_GUILLAUME[[#This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calculatedColumnFormula>
    </tableColumn>
    <tableColumn id="53" name="NOMBRE DOSSIER BONI COMPTABLE" dataDxfId="157">
      <calculatedColumnFormula>IF(PORTEFEUILLE_GUILLAUME[[#This Row],[BONI COMPTABLE]]&lt;&gt;0,1,"")</calculatedColumnFormula>
    </tableColumn>
    <tableColumn id="52" name="NOMBRE DE DOSSIER MALI COMPTABLE" dataDxfId="156">
      <calculatedColumnFormula>IF(PORTEFEUILLE_GUILLAUME[[#This Row],[MALI COMPTABLE]]&lt;&gt;0,1,"")</calculatedColumnFormula>
    </tableColumn>
    <tableColumn id="26" name="GRILLE ENJEUX" dataDxfId="155"/>
    <tableColumn id="27" name="Visa_x000a_Validé_x000a_enjeu 4 ou attestation enjeu" dataDxfId="154"/>
    <tableColumn id="28" name="VISA VCOMPTA" dataDxfId="153"/>
    <tableColumn id="29" name="REFUS" dataDxfId="152"/>
    <tableColumn id="30" name="MOTIF" dataDxfId="151"/>
    <tableColumn id="31" name="COMMENTAIRES" dataDxfId="150"/>
    <tableColumn id="32" name="Attestation_x000a_à faire signer par l'EC" dataDxfId="149"/>
    <tableColumn id="49" name="MISE EN PLACE SCAN BY CERFRANCE" dataDxfId="148"/>
    <tableColumn id="50" name="PRENOM PERSONNE AYANT DEPLOYEE SCAN BY CERFRANCE" dataDxfId="147"/>
    <tableColumn id="51" name="PICKING" dataDxfId="146"/>
    <tableColumn id="58" name="EDI" dataDxfId="145"/>
    <tableColumn id="62" name="Colonne1" dataDxfId="14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PORTEFEUILLE_SEBASTIEN" displayName="PORTEFEUILLE_SEBASTIEN" ref="A2:BK60" totalsRowShown="0" headerRowDxfId="137" dataDxfId="136" tableBorderDxfId="135" headerRowCellStyle="Normal 16">
  <autoFilter ref="A2:BK60"/>
  <tableColumns count="63">
    <tableColumn id="48" name="PRENOM DU COMPTABLE" dataDxfId="134"/>
    <tableColumn id="1" name="N° DOSSIER" dataDxfId="133"/>
    <tableColumn id="2" name="NOM DOSSIER" dataDxfId="132"/>
    <tableColumn id="3" name="TYPE DE MARCHE" dataDxfId="131"/>
    <tableColumn id="4" name="DATE DE CLOTURE" dataDxfId="130"/>
    <tableColumn id="5" name="REGIME JURIDIQUE" dataDxfId="129"/>
    <tableColumn id="6" name="REGIME IMPOSITION" dataDxfId="128"/>
    <tableColumn id="56" name="DECLARATION DE TVA" dataDxfId="127"/>
    <tableColumn id="7" name="DATE_x000a_DE DEPOT" dataDxfId="126"/>
    <tableColumn id="8" name="DATE SIGNATURE" dataDxfId="125"/>
    <tableColumn id="9" name="MOIS" dataDxfId="124">
      <calculatedColumnFormula>IF(I3="","",MONTH(I3))</calculatedColumnFormula>
    </tableColumn>
    <tableColumn id="10" name="DELAI" dataDxfId="123">
      <calculatedColumnFormula>IF(I3="","",DAYS360(E3,I3))</calculatedColumnFormula>
    </tableColumn>
    <tableColumn id="11" name="PCR" dataDxfId="122"/>
    <tableColumn id="12" name="RA NOS" dataDxfId="121"/>
    <tableColumn id="13" name="QUI " dataDxfId="120"/>
    <tableColumn id="14" name="CR" dataDxfId="119"/>
    <tableColumn id="15" name="CR FAIT PAR LE COMPTABLE" dataDxfId="118"/>
    <tableColumn id="16" name="AG_x000a_SIGNEE" dataDxfId="117"/>
    <tableColumn id="17" name="PCR COMPTABLE €" dataDxfId="116" dataCellStyle="Monétaire"/>
    <tableColumn id="18" name="PCR CONSEILLER €" dataDxfId="115"/>
    <tableColumn id="19" name="RA FAIT PAR LE_x000a_COMPTABLE €" dataDxfId="114" dataCellStyle="Monétaire"/>
    <tableColumn id="41" name="RA FAITE PAR LE CONSEILLER €" dataDxfId="113" dataCellStyle="Monétaire"/>
    <tableColumn id="21" name="POINT DE PILOTAGE €" dataDxfId="112" dataCellStyle="Monétaire"/>
    <tableColumn id="20" name="AGOA COMPTABLE €" dataDxfId="111" dataCellStyle="Monétaire"/>
    <tableColumn id="59" name="AGOA CONSEILLER €" dataDxfId="110" dataCellStyle="Monétaire"/>
    <tableColumn id="60" name="VISA JURIDIQUE €" dataDxfId="109" dataCellStyle="Monétaire"/>
    <tableColumn id="38" name="SAISIE PAR UNE AAC €" dataDxfId="108" dataCellStyle="Monétaire"/>
    <tableColumn id="43" name="SAISIE PAR LE COMPTABLE €" dataDxfId="107" dataCellStyle="Monétaire"/>
    <tableColumn id="39" name="TRAVAUX _x000a_DE REVISION €" dataDxfId="106" dataCellStyle="Monétaire"/>
    <tableColumn id="42" name="DECLARATION TVA AAC €" dataDxfId="105" dataCellStyle="Monétaire"/>
    <tableColumn id="45" name="DECLARATION TVA COMPTABLE €" dataDxfId="104" dataCellStyle="Monétaire"/>
    <tableColumn id="40" name="MONTANT_x000a_RESPONSABLE RELATION CLIENT €" dataDxfId="103" dataCellStyle="Monétaire"/>
    <tableColumn id="33" name="MONTANT TOTAL LETTRE DE MISION €" dataDxfId="102" dataCellStyle="Monétaire">
      <calculatedColumnFormula>SUM(PORTEFEUILLE_SEBASTIEN[[#This Row],[PCR COMPTABLE €]:[MONTANT
RESPONSABLE RELATION CLIENT €]])</calculatedColumnFormula>
    </tableColumn>
    <tableColumn id="34" name="ECART DE SAISE avec LETTRE DE MISSION €" dataDxfId="101" dataCellStyle="Monétaire">
      <calculatedColumnFormula>SUM(PORTEFEUILLE_SEBASTIEN[[#This Row],[PCR COMPTABLE €]:[MONTANT
RESPONSABLE RELATION CLIENT €]])-PORTEFEUILLE_SEBASTIEN[[#This Row],[MONTANT TOTAL LETTRE DE MISION €]]</calculatedColumnFormula>
    </tableColumn>
    <tableColumn id="22" name="Prénom_x000a_AAC" dataDxfId="100"/>
    <tableColumn id="36" name="PRENOM CONSEILLER" dataDxfId="99"/>
    <tableColumn id="57" name="PRENOM REALISATION TVA" dataDxfId="98"/>
    <tableColumn id="63" name="DECLARATION DES REVENUS" dataDxfId="97"/>
    <tableColumn id="61" name="NOMBRE DE DECLARATION" dataDxfId="96"/>
    <tableColumn id="54" name="ABONNE COURT _x000a_ABONNE LONG" dataDxfId="95"/>
    <tableColumn id="55" name="RECONDUCTION AUTOMATIQUE OS" dataDxfId="94"/>
    <tableColumn id="23" name="TPS PASSE_x000a_COMPTABLE H_x000a_" dataDxfId="93"/>
    <tableColumn id="37" name="TPS PASSE _x000a_AAC H" dataDxfId="92"/>
    <tableColumn id="47" name="BONI AAC" dataDxfId="91" dataCellStyle="Monétaire">
      <calculatedColumnFormula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calculatedColumnFormula>
    </tableColumn>
    <tableColumn id="46" name="MALI AAC" dataDxfId="90" dataCellStyle="Monétaire">
      <calculatedColumnFormula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calculatedColumnFormula>
    </tableColumn>
    <tableColumn id="44" name="NOMBRE DOSSIER BONI AAC" dataDxfId="89">
      <calculatedColumnFormula>IF(PORTEFEUILLE_SEBASTIEN[[#This Row],[BONI AAC]]&lt;&gt;0,1,"")</calculatedColumnFormula>
    </tableColumn>
    <tableColumn id="35" name="NBRE DOSSIER MALI AAC" dataDxfId="88">
      <calculatedColumnFormula>IF(PORTEFEUILLE_SEBASTIEN[[#This Row],[MALI AAC]]&lt;&gt;0,1,"")</calculatedColumnFormula>
    </tableColumn>
    <tableColumn id="24" name="BONI COMPTABLE" dataDxfId="87" dataCellStyle="Monétaire">
      <calculatedColumnFormula>IF(AP3&lt;&gt;"",IF((AP3*Paramètres!$H$4)-PORTEFEUILLE_SEBASTIEN[[#This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€]]-(DELPHINE!AP3*Paramètres!$H$4),0),0)</calculatedColumnFormula>
    </tableColumn>
    <tableColumn id="25" name="MALI COMPTABLE" dataDxfId="86" dataCellStyle="Monétaire">
      <calculatedColumnFormula>IF(AP3&lt;&gt;"",IF(((AP3*Paramètres!$H$4)-PORTEFEUILLE_SEBASTIEN[[#This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calculatedColumnFormula>
    </tableColumn>
    <tableColumn id="53" name="NOMBRE DOSSIER BONI COMPTABLE" dataDxfId="85">
      <calculatedColumnFormula>IF(PORTEFEUILLE_SEBASTIEN[[#This Row],[BONI COMPTABLE]]&lt;&gt;0,1,"")</calculatedColumnFormula>
    </tableColumn>
    <tableColumn id="52" name="NOMBRE DE DOSSIER MALI COMPTABLE" dataDxfId="84">
      <calculatedColumnFormula>IF(PORTEFEUILLE_SEBASTIEN[[#This Row],[MALI COMPTABLE]]&lt;&gt;0,1,"")</calculatedColumnFormula>
    </tableColumn>
    <tableColumn id="26" name="GRILLE ENJEUX" dataDxfId="83"/>
    <tableColumn id="27" name="Visa_x000a_Validé_x000a_enjeu 4 ou attestation enjeu" dataDxfId="82"/>
    <tableColumn id="28" name="VISA VCOMPTA" dataDxfId="81"/>
    <tableColumn id="29" name="REFUS" dataDxfId="80"/>
    <tableColumn id="30" name="MOTIF" dataDxfId="79"/>
    <tableColumn id="31" name="COMMENTAIRES" dataDxfId="78"/>
    <tableColumn id="32" name="Attestation_x000a_à faire signer par l'EC" dataDxfId="77"/>
    <tableColumn id="49" name="MISE EN PLACE SCAN BY CERFRANCE" dataDxfId="76"/>
    <tableColumn id="50" name="PRENOM PERSONNE AYANT DEPLOYEE SCAN BY CERFRANCE" dataDxfId="75"/>
    <tableColumn id="51" name="PICKING" dataDxfId="74"/>
    <tableColumn id="58" name="EDI" dataDxfId="73"/>
    <tableColumn id="62" name="Colonne1" dataDxfId="7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5" name="PORTEFEUILLE_AUTRE_COMPTABLE" displayName="PORTEFEUILLE_AUTRE_COMPTABLE" ref="A2:BK57" totalsRowShown="0" headerRowDxfId="65" dataDxfId="64" tableBorderDxfId="63" headerRowCellStyle="Normal 16">
  <autoFilter ref="A2:BK57"/>
  <tableColumns count="63">
    <tableColumn id="48" name="Colonne2" dataDxfId="62"/>
    <tableColumn id="1" name="Colonne3" dataDxfId="61"/>
    <tableColumn id="2" name="Colonne4" dataDxfId="60"/>
    <tableColumn id="3" name="TYPE DE MARCHE" dataDxfId="59"/>
    <tableColumn id="4" name="DATE DE CLOTURE" dataDxfId="58"/>
    <tableColumn id="5" name="REGIME JURIDIQUE" dataDxfId="57"/>
    <tableColumn id="6" name="REGIME IMPOSITION" dataDxfId="56"/>
    <tableColumn id="56" name="DECLARATION DE TVA" dataDxfId="55"/>
    <tableColumn id="7" name="DATE_x000a_DE DEPOT" dataDxfId="54"/>
    <tableColumn id="8" name="DATE SIGNATURE" dataDxfId="53"/>
    <tableColumn id="9" name="MOIS" dataDxfId="52">
      <calculatedColumnFormula>IF(I3="","",MONTH(I3))</calculatedColumnFormula>
    </tableColumn>
    <tableColumn id="10" name="DELAI" dataDxfId="51">
      <calculatedColumnFormula>IF(I3="","",DAYS360(E3,I3))</calculatedColumnFormula>
    </tableColumn>
    <tableColumn id="11" name="PCR" dataDxfId="50"/>
    <tableColumn id="12" name="RA NOS" dataDxfId="49"/>
    <tableColumn id="13" name="QUI " dataDxfId="48"/>
    <tableColumn id="14" name="CR" dataDxfId="47"/>
    <tableColumn id="15" name="CR FAIT PAR LE COMPTABLE" dataDxfId="46"/>
    <tableColumn id="16" name="AG_x000a_SIGNEE" dataDxfId="45"/>
    <tableColumn id="17" name="PCR COMPTABLE €" dataDxfId="44" dataCellStyle="Monétaire"/>
    <tableColumn id="18" name="PCR CONSEILLER €" dataDxfId="43"/>
    <tableColumn id="19" name="RA FAIT PAR LE_x000a_COMPTABLE €" dataDxfId="42" dataCellStyle="Monétaire"/>
    <tableColumn id="41" name="RA FAITE PAR LE CONSEILLER €" dataDxfId="41" dataCellStyle="Monétaire"/>
    <tableColumn id="21" name="POINT DE PILOTAGE €" dataDxfId="40" dataCellStyle="Monétaire"/>
    <tableColumn id="20" name="AGOA COMPTABLE €" dataDxfId="39" dataCellStyle="Monétaire"/>
    <tableColumn id="59" name="AGOA CONSEILLER €" dataDxfId="38" dataCellStyle="Monétaire"/>
    <tableColumn id="60" name="VISA JURIDIQUE €" dataDxfId="37" dataCellStyle="Monétaire"/>
    <tableColumn id="38" name="SAISIE PAR UNE AAC €" dataDxfId="36" dataCellStyle="Monétaire"/>
    <tableColumn id="43" name="SAISIE PAR LE COMPTABLE €" dataDxfId="35" dataCellStyle="Monétaire"/>
    <tableColumn id="39" name="TRAVAUX _x000a_DE REVISION €" dataDxfId="34" dataCellStyle="Monétaire"/>
    <tableColumn id="42" name="DECLARATION TVA AAC €" dataDxfId="33" dataCellStyle="Monétaire"/>
    <tableColumn id="45" name="DECLARATION TVA COMPTABLE €" dataDxfId="32" dataCellStyle="Monétaire"/>
    <tableColumn id="40" name="MONTANT_x000a_RESPONSABLE RELATION CLIENT €" dataDxfId="31" dataCellStyle="Monétaire"/>
    <tableColumn id="33" name="MONTANT TOTAL LETTRE DE MISION €" dataDxfId="30" dataCellStyle="Monétaire">
      <calculatedColumnFormula>SUM(PORTEFEUILLE_AUTRE_COMPTABLE[[#This Row],[PCR COMPTABLE €]:[MONTANT
RESPONSABLE RELATION CLIENT €]])</calculatedColumnFormula>
    </tableColumn>
    <tableColumn id="34" name="ECART DE SAISE avec LETTRE DE MISSION €" dataDxfId="29" dataCellStyle="Monétaire">
      <calculatedColumnFormula>SUM(PORTEFEUILLE_AUTRE_COMPTABLE[[#This Row],[PCR COMPTABLE €]:[MONTANT
RESPONSABLE RELATION CLIENT €]])-PORTEFEUILLE_AUTRE_COMPTABLE[[#This Row],[MONTANT TOTAL LETTRE DE MISION €]]</calculatedColumnFormula>
    </tableColumn>
    <tableColumn id="22" name="Prénom_x000a_AAC" dataDxfId="28"/>
    <tableColumn id="36" name="PRENOM CONSEILLER" dataDxfId="27"/>
    <tableColumn id="57" name="PRENOM REALISATION TVA" dataDxfId="26"/>
    <tableColumn id="63" name="DECLARATION DES REVENUS" dataDxfId="25"/>
    <tableColumn id="61" name="NOMBRE DE DECLARATION" dataDxfId="24"/>
    <tableColumn id="54" name="ABONNE COURT _x000a_ABONNE LONG" dataDxfId="23"/>
    <tableColumn id="55" name="RECONDUCTION AUTOMATIQUE OS" dataDxfId="22"/>
    <tableColumn id="23" name="TPS PASSE_x000a_COMPTABLE H_x000a_" dataDxfId="21"/>
    <tableColumn id="37" name="TPS PASSE _x000a_AAC H" dataDxfId="20"/>
    <tableColumn id="47" name="BONI AAC" dataDxfId="19" dataCellStyle="Monétaire">
      <calculatedColumnFormula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calculatedColumnFormula>
    </tableColumn>
    <tableColumn id="46" name="MALI AAC" dataDxfId="18" dataCellStyle="Monétaire">
      <calculatedColumnFormula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calculatedColumnFormula>
    </tableColumn>
    <tableColumn id="44" name="NOMBRE DOSSIER BONI AAC" dataDxfId="17">
      <calculatedColumnFormula>IF(PORTEFEUILLE_AUTRE_COMPTABLE[[#This Row],[BONI AAC]]&lt;&gt;0,1,"")</calculatedColumnFormula>
    </tableColumn>
    <tableColumn id="35" name="NBRE DOSSIER MALI AAC" dataDxfId="16">
      <calculatedColumnFormula>IF(PORTEFEUILLE_AUTRE_COMPTABLE[[#This Row],[MALI AAC]]&lt;&gt;0,1,"")</calculatedColumnFormula>
    </tableColumn>
    <tableColumn id="24" name="BONI COMPTABLE" dataDxfId="15" dataCellStyle="Monétaire">
      <calculatedColumnFormula>IF(AP3&lt;&gt;"",IF((AP3*Paramètres!$H$4)-PORTEFEUILLE_AUTRE_COMPTABLE[[#This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€]]-(DELPHINE!AP3*Paramètres!$H$4),0),0)</calculatedColumnFormula>
    </tableColumn>
    <tableColumn id="25" name="MALI COMPTABLE" dataDxfId="14" dataCellStyle="Monétaire">
      <calculatedColumnFormula>IF(AP3&lt;&gt;"",IF(((AP3*Paramètres!$H$4)-PORTEFEUILLE_AUTRE_COMPTABLE[[#This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calculatedColumnFormula>
    </tableColumn>
    <tableColumn id="53" name="NOMBRE DOSSIER BONI COMPTABLE" dataDxfId="13">
      <calculatedColumnFormula>IF(PORTEFEUILLE_AUTRE_COMPTABLE[[#This Row],[BONI COMPTABLE]]&lt;&gt;0,1,"")</calculatedColumnFormula>
    </tableColumn>
    <tableColumn id="52" name="NOMBRE DE DOSSIER MALI COMPTABLE" dataDxfId="12">
      <calculatedColumnFormula>IF(PORTEFEUILLE_AUTRE_COMPTABLE[[#This Row],[MALI COMPTABLE]]&lt;&gt;0,1,"")</calculatedColumnFormula>
    </tableColumn>
    <tableColumn id="26" name="GRILLE ENJEUX" dataDxfId="11"/>
    <tableColumn id="27" name="Visa_x000a_Validé_x000a_enjeu 4 ou attestation enjeu" dataDxfId="10"/>
    <tableColumn id="28" name="VISA VCOMPTA" dataDxfId="9"/>
    <tableColumn id="29" name="REFUS" dataDxfId="8"/>
    <tableColumn id="30" name="MOTIF" dataDxfId="7"/>
    <tableColumn id="31" name="COMMENTAIRES" dataDxfId="6"/>
    <tableColumn id="32" name="Attestation_x000a_à faire signer par l'EC" dataDxfId="5"/>
    <tableColumn id="49" name="MISE EN PLACE SCAN BY CERFRANCE" dataDxfId="4"/>
    <tableColumn id="50" name="PRENOM PERSONNE AYANT DEPLOYEE SCAN BY CERFRANCE" dataDxfId="3"/>
    <tableColumn id="51" name="PICKING" dataDxfId="2"/>
    <tableColumn id="58" name="EDI" dataDxfId="1"/>
    <tableColumn id="62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AD20"/>
  <sheetViews>
    <sheetView zoomScale="115" zoomScaleNormal="115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E23" sqref="E23"/>
    </sheetView>
  </sheetViews>
  <sheetFormatPr baseColWidth="10" defaultRowHeight="15" x14ac:dyDescent="0.25"/>
  <cols>
    <col min="2" max="2" width="14" bestFit="1" customWidth="1"/>
    <col min="3" max="3" width="13.140625" customWidth="1"/>
    <col min="4" max="4" width="14.85546875" customWidth="1"/>
    <col min="6" max="6" width="15.140625" bestFit="1" customWidth="1"/>
    <col min="7" max="7" width="19.28515625" bestFit="1" customWidth="1"/>
    <col min="8" max="8" width="8.28515625" bestFit="1" customWidth="1"/>
    <col min="9" max="9" width="4.85546875" bestFit="1" customWidth="1"/>
    <col min="10" max="10" width="13.28515625" customWidth="1"/>
    <col min="11" max="11" width="9.7109375" customWidth="1"/>
    <col min="12" max="12" width="11.85546875" customWidth="1"/>
    <col min="13" max="13" width="12.5703125" bestFit="1" customWidth="1"/>
    <col min="14" max="14" width="19.28515625" bestFit="1" customWidth="1"/>
    <col min="15" max="15" width="8.28515625" bestFit="1" customWidth="1"/>
    <col min="16" max="16" width="4.85546875" bestFit="1" customWidth="1"/>
    <col min="17" max="17" width="12" customWidth="1"/>
    <col min="18" max="18" width="8.28515625" customWidth="1"/>
    <col min="19" max="19" width="11.140625" customWidth="1"/>
    <col min="20" max="21" width="11.7109375" bestFit="1" customWidth="1"/>
    <col min="22" max="22" width="17.28515625" bestFit="1" customWidth="1"/>
    <col min="23" max="23" width="17.28515625" customWidth="1"/>
    <col min="24" max="24" width="13.7109375" bestFit="1" customWidth="1"/>
    <col min="25" max="25" width="25.140625" bestFit="1" customWidth="1"/>
    <col min="26" max="26" width="15.140625" bestFit="1" customWidth="1"/>
    <col min="27" max="27" width="21" bestFit="1" customWidth="1"/>
    <col min="258" max="258" width="14" bestFit="1" customWidth="1"/>
    <col min="259" max="259" width="13.140625" customWidth="1"/>
    <col min="260" max="260" width="14.85546875" customWidth="1"/>
    <col min="262" max="262" width="15.140625" bestFit="1" customWidth="1"/>
    <col min="263" max="263" width="19.28515625" bestFit="1" customWidth="1"/>
    <col min="264" max="264" width="8.28515625" bestFit="1" customWidth="1"/>
    <col min="265" max="265" width="4.85546875" bestFit="1" customWidth="1"/>
    <col min="266" max="266" width="13.28515625" customWidth="1"/>
    <col min="267" max="267" width="9.7109375" customWidth="1"/>
    <col min="268" max="268" width="11.85546875" customWidth="1"/>
    <col min="269" max="269" width="12.5703125" bestFit="1" customWidth="1"/>
    <col min="270" max="270" width="19.28515625" bestFit="1" customWidth="1"/>
    <col min="271" max="271" width="8.28515625" bestFit="1" customWidth="1"/>
    <col min="272" max="272" width="4.85546875" bestFit="1" customWidth="1"/>
    <col min="273" max="273" width="12" customWidth="1"/>
    <col min="274" max="274" width="8.28515625" customWidth="1"/>
    <col min="275" max="275" width="11.140625" customWidth="1"/>
    <col min="276" max="277" width="11.7109375" bestFit="1" customWidth="1"/>
    <col min="278" max="278" width="17.28515625" bestFit="1" customWidth="1"/>
    <col min="279" max="279" width="17.28515625" customWidth="1"/>
    <col min="280" max="280" width="13.7109375" bestFit="1" customWidth="1"/>
    <col min="281" max="281" width="25.140625" bestFit="1" customWidth="1"/>
    <col min="282" max="282" width="15.140625" bestFit="1" customWidth="1"/>
    <col min="283" max="283" width="21" bestFit="1" customWidth="1"/>
    <col min="514" max="514" width="14" bestFit="1" customWidth="1"/>
    <col min="515" max="515" width="13.140625" customWidth="1"/>
    <col min="516" max="516" width="14.85546875" customWidth="1"/>
    <col min="518" max="518" width="15.140625" bestFit="1" customWidth="1"/>
    <col min="519" max="519" width="19.28515625" bestFit="1" customWidth="1"/>
    <col min="520" max="520" width="8.28515625" bestFit="1" customWidth="1"/>
    <col min="521" max="521" width="4.85546875" bestFit="1" customWidth="1"/>
    <col min="522" max="522" width="13.28515625" customWidth="1"/>
    <col min="523" max="523" width="9.7109375" customWidth="1"/>
    <col min="524" max="524" width="11.85546875" customWidth="1"/>
    <col min="525" max="525" width="12.5703125" bestFit="1" customWidth="1"/>
    <col min="526" max="526" width="19.28515625" bestFit="1" customWidth="1"/>
    <col min="527" max="527" width="8.28515625" bestFit="1" customWidth="1"/>
    <col min="528" max="528" width="4.85546875" bestFit="1" customWidth="1"/>
    <col min="529" max="529" width="12" customWidth="1"/>
    <col min="530" max="530" width="8.28515625" customWidth="1"/>
    <col min="531" max="531" width="11.140625" customWidth="1"/>
    <col min="532" max="533" width="11.7109375" bestFit="1" customWidth="1"/>
    <col min="534" max="534" width="17.28515625" bestFit="1" customWidth="1"/>
    <col min="535" max="535" width="17.28515625" customWidth="1"/>
    <col min="536" max="536" width="13.7109375" bestFit="1" customWidth="1"/>
    <col min="537" max="537" width="25.140625" bestFit="1" customWidth="1"/>
    <col min="538" max="538" width="15.140625" bestFit="1" customWidth="1"/>
    <col min="539" max="539" width="21" bestFit="1" customWidth="1"/>
    <col min="770" max="770" width="14" bestFit="1" customWidth="1"/>
    <col min="771" max="771" width="13.140625" customWidth="1"/>
    <col min="772" max="772" width="14.85546875" customWidth="1"/>
    <col min="774" max="774" width="15.140625" bestFit="1" customWidth="1"/>
    <col min="775" max="775" width="19.28515625" bestFit="1" customWidth="1"/>
    <col min="776" max="776" width="8.28515625" bestFit="1" customWidth="1"/>
    <col min="777" max="777" width="4.85546875" bestFit="1" customWidth="1"/>
    <col min="778" max="778" width="13.28515625" customWidth="1"/>
    <col min="779" max="779" width="9.7109375" customWidth="1"/>
    <col min="780" max="780" width="11.85546875" customWidth="1"/>
    <col min="781" max="781" width="12.5703125" bestFit="1" customWidth="1"/>
    <col min="782" max="782" width="19.28515625" bestFit="1" customWidth="1"/>
    <col min="783" max="783" width="8.28515625" bestFit="1" customWidth="1"/>
    <col min="784" max="784" width="4.85546875" bestFit="1" customWidth="1"/>
    <col min="785" max="785" width="12" customWidth="1"/>
    <col min="786" max="786" width="8.28515625" customWidth="1"/>
    <col min="787" max="787" width="11.140625" customWidth="1"/>
    <col min="788" max="789" width="11.7109375" bestFit="1" customWidth="1"/>
    <col min="790" max="790" width="17.28515625" bestFit="1" customWidth="1"/>
    <col min="791" max="791" width="17.28515625" customWidth="1"/>
    <col min="792" max="792" width="13.7109375" bestFit="1" customWidth="1"/>
    <col min="793" max="793" width="25.140625" bestFit="1" customWidth="1"/>
    <col min="794" max="794" width="15.140625" bestFit="1" customWidth="1"/>
    <col min="795" max="795" width="21" bestFit="1" customWidth="1"/>
    <col min="1026" max="1026" width="14" bestFit="1" customWidth="1"/>
    <col min="1027" max="1027" width="13.140625" customWidth="1"/>
    <col min="1028" max="1028" width="14.85546875" customWidth="1"/>
    <col min="1030" max="1030" width="15.140625" bestFit="1" customWidth="1"/>
    <col min="1031" max="1031" width="19.28515625" bestFit="1" customWidth="1"/>
    <col min="1032" max="1032" width="8.28515625" bestFit="1" customWidth="1"/>
    <col min="1033" max="1033" width="4.85546875" bestFit="1" customWidth="1"/>
    <col min="1034" max="1034" width="13.28515625" customWidth="1"/>
    <col min="1035" max="1035" width="9.7109375" customWidth="1"/>
    <col min="1036" max="1036" width="11.85546875" customWidth="1"/>
    <col min="1037" max="1037" width="12.5703125" bestFit="1" customWidth="1"/>
    <col min="1038" max="1038" width="19.28515625" bestFit="1" customWidth="1"/>
    <col min="1039" max="1039" width="8.28515625" bestFit="1" customWidth="1"/>
    <col min="1040" max="1040" width="4.85546875" bestFit="1" customWidth="1"/>
    <col min="1041" max="1041" width="12" customWidth="1"/>
    <col min="1042" max="1042" width="8.28515625" customWidth="1"/>
    <col min="1043" max="1043" width="11.140625" customWidth="1"/>
    <col min="1044" max="1045" width="11.7109375" bestFit="1" customWidth="1"/>
    <col min="1046" max="1046" width="17.28515625" bestFit="1" customWidth="1"/>
    <col min="1047" max="1047" width="17.28515625" customWidth="1"/>
    <col min="1048" max="1048" width="13.7109375" bestFit="1" customWidth="1"/>
    <col min="1049" max="1049" width="25.140625" bestFit="1" customWidth="1"/>
    <col min="1050" max="1050" width="15.140625" bestFit="1" customWidth="1"/>
    <col min="1051" max="1051" width="21" bestFit="1" customWidth="1"/>
    <col min="1282" max="1282" width="14" bestFit="1" customWidth="1"/>
    <col min="1283" max="1283" width="13.140625" customWidth="1"/>
    <col min="1284" max="1284" width="14.85546875" customWidth="1"/>
    <col min="1286" max="1286" width="15.140625" bestFit="1" customWidth="1"/>
    <col min="1287" max="1287" width="19.28515625" bestFit="1" customWidth="1"/>
    <col min="1288" max="1288" width="8.28515625" bestFit="1" customWidth="1"/>
    <col min="1289" max="1289" width="4.85546875" bestFit="1" customWidth="1"/>
    <col min="1290" max="1290" width="13.28515625" customWidth="1"/>
    <col min="1291" max="1291" width="9.7109375" customWidth="1"/>
    <col min="1292" max="1292" width="11.85546875" customWidth="1"/>
    <col min="1293" max="1293" width="12.5703125" bestFit="1" customWidth="1"/>
    <col min="1294" max="1294" width="19.28515625" bestFit="1" customWidth="1"/>
    <col min="1295" max="1295" width="8.28515625" bestFit="1" customWidth="1"/>
    <col min="1296" max="1296" width="4.85546875" bestFit="1" customWidth="1"/>
    <col min="1297" max="1297" width="12" customWidth="1"/>
    <col min="1298" max="1298" width="8.28515625" customWidth="1"/>
    <col min="1299" max="1299" width="11.140625" customWidth="1"/>
    <col min="1300" max="1301" width="11.7109375" bestFit="1" customWidth="1"/>
    <col min="1302" max="1302" width="17.28515625" bestFit="1" customWidth="1"/>
    <col min="1303" max="1303" width="17.28515625" customWidth="1"/>
    <col min="1304" max="1304" width="13.7109375" bestFit="1" customWidth="1"/>
    <col min="1305" max="1305" width="25.140625" bestFit="1" customWidth="1"/>
    <col min="1306" max="1306" width="15.140625" bestFit="1" customWidth="1"/>
    <col min="1307" max="1307" width="21" bestFit="1" customWidth="1"/>
    <col min="1538" max="1538" width="14" bestFit="1" customWidth="1"/>
    <col min="1539" max="1539" width="13.140625" customWidth="1"/>
    <col min="1540" max="1540" width="14.85546875" customWidth="1"/>
    <col min="1542" max="1542" width="15.140625" bestFit="1" customWidth="1"/>
    <col min="1543" max="1543" width="19.28515625" bestFit="1" customWidth="1"/>
    <col min="1544" max="1544" width="8.28515625" bestFit="1" customWidth="1"/>
    <col min="1545" max="1545" width="4.85546875" bestFit="1" customWidth="1"/>
    <col min="1546" max="1546" width="13.28515625" customWidth="1"/>
    <col min="1547" max="1547" width="9.7109375" customWidth="1"/>
    <col min="1548" max="1548" width="11.85546875" customWidth="1"/>
    <col min="1549" max="1549" width="12.5703125" bestFit="1" customWidth="1"/>
    <col min="1550" max="1550" width="19.28515625" bestFit="1" customWidth="1"/>
    <col min="1551" max="1551" width="8.28515625" bestFit="1" customWidth="1"/>
    <col min="1552" max="1552" width="4.85546875" bestFit="1" customWidth="1"/>
    <col min="1553" max="1553" width="12" customWidth="1"/>
    <col min="1554" max="1554" width="8.28515625" customWidth="1"/>
    <col min="1555" max="1555" width="11.140625" customWidth="1"/>
    <col min="1556" max="1557" width="11.7109375" bestFit="1" customWidth="1"/>
    <col min="1558" max="1558" width="17.28515625" bestFit="1" customWidth="1"/>
    <col min="1559" max="1559" width="17.28515625" customWidth="1"/>
    <col min="1560" max="1560" width="13.7109375" bestFit="1" customWidth="1"/>
    <col min="1561" max="1561" width="25.140625" bestFit="1" customWidth="1"/>
    <col min="1562" max="1562" width="15.140625" bestFit="1" customWidth="1"/>
    <col min="1563" max="1563" width="21" bestFit="1" customWidth="1"/>
    <col min="1794" max="1794" width="14" bestFit="1" customWidth="1"/>
    <col min="1795" max="1795" width="13.140625" customWidth="1"/>
    <col min="1796" max="1796" width="14.85546875" customWidth="1"/>
    <col min="1798" max="1798" width="15.140625" bestFit="1" customWidth="1"/>
    <col min="1799" max="1799" width="19.28515625" bestFit="1" customWidth="1"/>
    <col min="1800" max="1800" width="8.28515625" bestFit="1" customWidth="1"/>
    <col min="1801" max="1801" width="4.85546875" bestFit="1" customWidth="1"/>
    <col min="1802" max="1802" width="13.28515625" customWidth="1"/>
    <col min="1803" max="1803" width="9.7109375" customWidth="1"/>
    <col min="1804" max="1804" width="11.85546875" customWidth="1"/>
    <col min="1805" max="1805" width="12.5703125" bestFit="1" customWidth="1"/>
    <col min="1806" max="1806" width="19.28515625" bestFit="1" customWidth="1"/>
    <col min="1807" max="1807" width="8.28515625" bestFit="1" customWidth="1"/>
    <col min="1808" max="1808" width="4.85546875" bestFit="1" customWidth="1"/>
    <col min="1809" max="1809" width="12" customWidth="1"/>
    <col min="1810" max="1810" width="8.28515625" customWidth="1"/>
    <col min="1811" max="1811" width="11.140625" customWidth="1"/>
    <col min="1812" max="1813" width="11.7109375" bestFit="1" customWidth="1"/>
    <col min="1814" max="1814" width="17.28515625" bestFit="1" customWidth="1"/>
    <col min="1815" max="1815" width="17.28515625" customWidth="1"/>
    <col min="1816" max="1816" width="13.7109375" bestFit="1" customWidth="1"/>
    <col min="1817" max="1817" width="25.140625" bestFit="1" customWidth="1"/>
    <col min="1818" max="1818" width="15.140625" bestFit="1" customWidth="1"/>
    <col min="1819" max="1819" width="21" bestFit="1" customWidth="1"/>
    <col min="2050" max="2050" width="14" bestFit="1" customWidth="1"/>
    <col min="2051" max="2051" width="13.140625" customWidth="1"/>
    <col min="2052" max="2052" width="14.85546875" customWidth="1"/>
    <col min="2054" max="2054" width="15.140625" bestFit="1" customWidth="1"/>
    <col min="2055" max="2055" width="19.28515625" bestFit="1" customWidth="1"/>
    <col min="2056" max="2056" width="8.28515625" bestFit="1" customWidth="1"/>
    <col min="2057" max="2057" width="4.85546875" bestFit="1" customWidth="1"/>
    <col min="2058" max="2058" width="13.28515625" customWidth="1"/>
    <col min="2059" max="2059" width="9.7109375" customWidth="1"/>
    <col min="2060" max="2060" width="11.85546875" customWidth="1"/>
    <col min="2061" max="2061" width="12.5703125" bestFit="1" customWidth="1"/>
    <col min="2062" max="2062" width="19.28515625" bestFit="1" customWidth="1"/>
    <col min="2063" max="2063" width="8.28515625" bestFit="1" customWidth="1"/>
    <col min="2064" max="2064" width="4.85546875" bestFit="1" customWidth="1"/>
    <col min="2065" max="2065" width="12" customWidth="1"/>
    <col min="2066" max="2066" width="8.28515625" customWidth="1"/>
    <col min="2067" max="2067" width="11.140625" customWidth="1"/>
    <col min="2068" max="2069" width="11.7109375" bestFit="1" customWidth="1"/>
    <col min="2070" max="2070" width="17.28515625" bestFit="1" customWidth="1"/>
    <col min="2071" max="2071" width="17.28515625" customWidth="1"/>
    <col min="2072" max="2072" width="13.7109375" bestFit="1" customWidth="1"/>
    <col min="2073" max="2073" width="25.140625" bestFit="1" customWidth="1"/>
    <col min="2074" max="2074" width="15.140625" bestFit="1" customWidth="1"/>
    <col min="2075" max="2075" width="21" bestFit="1" customWidth="1"/>
    <col min="2306" max="2306" width="14" bestFit="1" customWidth="1"/>
    <col min="2307" max="2307" width="13.140625" customWidth="1"/>
    <col min="2308" max="2308" width="14.85546875" customWidth="1"/>
    <col min="2310" max="2310" width="15.140625" bestFit="1" customWidth="1"/>
    <col min="2311" max="2311" width="19.28515625" bestFit="1" customWidth="1"/>
    <col min="2312" max="2312" width="8.28515625" bestFit="1" customWidth="1"/>
    <col min="2313" max="2313" width="4.85546875" bestFit="1" customWidth="1"/>
    <col min="2314" max="2314" width="13.28515625" customWidth="1"/>
    <col min="2315" max="2315" width="9.7109375" customWidth="1"/>
    <col min="2316" max="2316" width="11.85546875" customWidth="1"/>
    <col min="2317" max="2317" width="12.5703125" bestFit="1" customWidth="1"/>
    <col min="2318" max="2318" width="19.28515625" bestFit="1" customWidth="1"/>
    <col min="2319" max="2319" width="8.28515625" bestFit="1" customWidth="1"/>
    <col min="2320" max="2320" width="4.85546875" bestFit="1" customWidth="1"/>
    <col min="2321" max="2321" width="12" customWidth="1"/>
    <col min="2322" max="2322" width="8.28515625" customWidth="1"/>
    <col min="2323" max="2323" width="11.140625" customWidth="1"/>
    <col min="2324" max="2325" width="11.7109375" bestFit="1" customWidth="1"/>
    <col min="2326" max="2326" width="17.28515625" bestFit="1" customWidth="1"/>
    <col min="2327" max="2327" width="17.28515625" customWidth="1"/>
    <col min="2328" max="2328" width="13.7109375" bestFit="1" customWidth="1"/>
    <col min="2329" max="2329" width="25.140625" bestFit="1" customWidth="1"/>
    <col min="2330" max="2330" width="15.140625" bestFit="1" customWidth="1"/>
    <col min="2331" max="2331" width="21" bestFit="1" customWidth="1"/>
    <col min="2562" max="2562" width="14" bestFit="1" customWidth="1"/>
    <col min="2563" max="2563" width="13.140625" customWidth="1"/>
    <col min="2564" max="2564" width="14.85546875" customWidth="1"/>
    <col min="2566" max="2566" width="15.140625" bestFit="1" customWidth="1"/>
    <col min="2567" max="2567" width="19.28515625" bestFit="1" customWidth="1"/>
    <col min="2568" max="2568" width="8.28515625" bestFit="1" customWidth="1"/>
    <col min="2569" max="2569" width="4.85546875" bestFit="1" customWidth="1"/>
    <col min="2570" max="2570" width="13.28515625" customWidth="1"/>
    <col min="2571" max="2571" width="9.7109375" customWidth="1"/>
    <col min="2572" max="2572" width="11.85546875" customWidth="1"/>
    <col min="2573" max="2573" width="12.5703125" bestFit="1" customWidth="1"/>
    <col min="2574" max="2574" width="19.28515625" bestFit="1" customWidth="1"/>
    <col min="2575" max="2575" width="8.28515625" bestFit="1" customWidth="1"/>
    <col min="2576" max="2576" width="4.85546875" bestFit="1" customWidth="1"/>
    <col min="2577" max="2577" width="12" customWidth="1"/>
    <col min="2578" max="2578" width="8.28515625" customWidth="1"/>
    <col min="2579" max="2579" width="11.140625" customWidth="1"/>
    <col min="2580" max="2581" width="11.7109375" bestFit="1" customWidth="1"/>
    <col min="2582" max="2582" width="17.28515625" bestFit="1" customWidth="1"/>
    <col min="2583" max="2583" width="17.28515625" customWidth="1"/>
    <col min="2584" max="2584" width="13.7109375" bestFit="1" customWidth="1"/>
    <col min="2585" max="2585" width="25.140625" bestFit="1" customWidth="1"/>
    <col min="2586" max="2586" width="15.140625" bestFit="1" customWidth="1"/>
    <col min="2587" max="2587" width="21" bestFit="1" customWidth="1"/>
    <col min="2818" max="2818" width="14" bestFit="1" customWidth="1"/>
    <col min="2819" max="2819" width="13.140625" customWidth="1"/>
    <col min="2820" max="2820" width="14.85546875" customWidth="1"/>
    <col min="2822" max="2822" width="15.140625" bestFit="1" customWidth="1"/>
    <col min="2823" max="2823" width="19.28515625" bestFit="1" customWidth="1"/>
    <col min="2824" max="2824" width="8.28515625" bestFit="1" customWidth="1"/>
    <col min="2825" max="2825" width="4.85546875" bestFit="1" customWidth="1"/>
    <col min="2826" max="2826" width="13.28515625" customWidth="1"/>
    <col min="2827" max="2827" width="9.7109375" customWidth="1"/>
    <col min="2828" max="2828" width="11.85546875" customWidth="1"/>
    <col min="2829" max="2829" width="12.5703125" bestFit="1" customWidth="1"/>
    <col min="2830" max="2830" width="19.28515625" bestFit="1" customWidth="1"/>
    <col min="2831" max="2831" width="8.28515625" bestFit="1" customWidth="1"/>
    <col min="2832" max="2832" width="4.85546875" bestFit="1" customWidth="1"/>
    <col min="2833" max="2833" width="12" customWidth="1"/>
    <col min="2834" max="2834" width="8.28515625" customWidth="1"/>
    <col min="2835" max="2835" width="11.140625" customWidth="1"/>
    <col min="2836" max="2837" width="11.7109375" bestFit="1" customWidth="1"/>
    <col min="2838" max="2838" width="17.28515625" bestFit="1" customWidth="1"/>
    <col min="2839" max="2839" width="17.28515625" customWidth="1"/>
    <col min="2840" max="2840" width="13.7109375" bestFit="1" customWidth="1"/>
    <col min="2841" max="2841" width="25.140625" bestFit="1" customWidth="1"/>
    <col min="2842" max="2842" width="15.140625" bestFit="1" customWidth="1"/>
    <col min="2843" max="2843" width="21" bestFit="1" customWidth="1"/>
    <col min="3074" max="3074" width="14" bestFit="1" customWidth="1"/>
    <col min="3075" max="3075" width="13.140625" customWidth="1"/>
    <col min="3076" max="3076" width="14.85546875" customWidth="1"/>
    <col min="3078" max="3078" width="15.140625" bestFit="1" customWidth="1"/>
    <col min="3079" max="3079" width="19.28515625" bestFit="1" customWidth="1"/>
    <col min="3080" max="3080" width="8.28515625" bestFit="1" customWidth="1"/>
    <col min="3081" max="3081" width="4.85546875" bestFit="1" customWidth="1"/>
    <col min="3082" max="3082" width="13.28515625" customWidth="1"/>
    <col min="3083" max="3083" width="9.7109375" customWidth="1"/>
    <col min="3084" max="3084" width="11.85546875" customWidth="1"/>
    <col min="3085" max="3085" width="12.5703125" bestFit="1" customWidth="1"/>
    <col min="3086" max="3086" width="19.28515625" bestFit="1" customWidth="1"/>
    <col min="3087" max="3087" width="8.28515625" bestFit="1" customWidth="1"/>
    <col min="3088" max="3088" width="4.85546875" bestFit="1" customWidth="1"/>
    <col min="3089" max="3089" width="12" customWidth="1"/>
    <col min="3090" max="3090" width="8.28515625" customWidth="1"/>
    <col min="3091" max="3091" width="11.140625" customWidth="1"/>
    <col min="3092" max="3093" width="11.7109375" bestFit="1" customWidth="1"/>
    <col min="3094" max="3094" width="17.28515625" bestFit="1" customWidth="1"/>
    <col min="3095" max="3095" width="17.28515625" customWidth="1"/>
    <col min="3096" max="3096" width="13.7109375" bestFit="1" customWidth="1"/>
    <col min="3097" max="3097" width="25.140625" bestFit="1" customWidth="1"/>
    <col min="3098" max="3098" width="15.140625" bestFit="1" customWidth="1"/>
    <col min="3099" max="3099" width="21" bestFit="1" customWidth="1"/>
    <col min="3330" max="3330" width="14" bestFit="1" customWidth="1"/>
    <col min="3331" max="3331" width="13.140625" customWidth="1"/>
    <col min="3332" max="3332" width="14.85546875" customWidth="1"/>
    <col min="3334" max="3334" width="15.140625" bestFit="1" customWidth="1"/>
    <col min="3335" max="3335" width="19.28515625" bestFit="1" customWidth="1"/>
    <col min="3336" max="3336" width="8.28515625" bestFit="1" customWidth="1"/>
    <col min="3337" max="3337" width="4.85546875" bestFit="1" customWidth="1"/>
    <col min="3338" max="3338" width="13.28515625" customWidth="1"/>
    <col min="3339" max="3339" width="9.7109375" customWidth="1"/>
    <col min="3340" max="3340" width="11.85546875" customWidth="1"/>
    <col min="3341" max="3341" width="12.5703125" bestFit="1" customWidth="1"/>
    <col min="3342" max="3342" width="19.28515625" bestFit="1" customWidth="1"/>
    <col min="3343" max="3343" width="8.28515625" bestFit="1" customWidth="1"/>
    <col min="3344" max="3344" width="4.85546875" bestFit="1" customWidth="1"/>
    <col min="3345" max="3345" width="12" customWidth="1"/>
    <col min="3346" max="3346" width="8.28515625" customWidth="1"/>
    <col min="3347" max="3347" width="11.140625" customWidth="1"/>
    <col min="3348" max="3349" width="11.7109375" bestFit="1" customWidth="1"/>
    <col min="3350" max="3350" width="17.28515625" bestFit="1" customWidth="1"/>
    <col min="3351" max="3351" width="17.28515625" customWidth="1"/>
    <col min="3352" max="3352" width="13.7109375" bestFit="1" customWidth="1"/>
    <col min="3353" max="3353" width="25.140625" bestFit="1" customWidth="1"/>
    <col min="3354" max="3354" width="15.140625" bestFit="1" customWidth="1"/>
    <col min="3355" max="3355" width="21" bestFit="1" customWidth="1"/>
    <col min="3586" max="3586" width="14" bestFit="1" customWidth="1"/>
    <col min="3587" max="3587" width="13.140625" customWidth="1"/>
    <col min="3588" max="3588" width="14.85546875" customWidth="1"/>
    <col min="3590" max="3590" width="15.140625" bestFit="1" customWidth="1"/>
    <col min="3591" max="3591" width="19.28515625" bestFit="1" customWidth="1"/>
    <col min="3592" max="3592" width="8.28515625" bestFit="1" customWidth="1"/>
    <col min="3593" max="3593" width="4.85546875" bestFit="1" customWidth="1"/>
    <col min="3594" max="3594" width="13.28515625" customWidth="1"/>
    <col min="3595" max="3595" width="9.7109375" customWidth="1"/>
    <col min="3596" max="3596" width="11.85546875" customWidth="1"/>
    <col min="3597" max="3597" width="12.5703125" bestFit="1" customWidth="1"/>
    <col min="3598" max="3598" width="19.28515625" bestFit="1" customWidth="1"/>
    <col min="3599" max="3599" width="8.28515625" bestFit="1" customWidth="1"/>
    <col min="3600" max="3600" width="4.85546875" bestFit="1" customWidth="1"/>
    <col min="3601" max="3601" width="12" customWidth="1"/>
    <col min="3602" max="3602" width="8.28515625" customWidth="1"/>
    <col min="3603" max="3603" width="11.140625" customWidth="1"/>
    <col min="3604" max="3605" width="11.7109375" bestFit="1" customWidth="1"/>
    <col min="3606" max="3606" width="17.28515625" bestFit="1" customWidth="1"/>
    <col min="3607" max="3607" width="17.28515625" customWidth="1"/>
    <col min="3608" max="3608" width="13.7109375" bestFit="1" customWidth="1"/>
    <col min="3609" max="3609" width="25.140625" bestFit="1" customWidth="1"/>
    <col min="3610" max="3610" width="15.140625" bestFit="1" customWidth="1"/>
    <col min="3611" max="3611" width="21" bestFit="1" customWidth="1"/>
    <col min="3842" max="3842" width="14" bestFit="1" customWidth="1"/>
    <col min="3843" max="3843" width="13.140625" customWidth="1"/>
    <col min="3844" max="3844" width="14.85546875" customWidth="1"/>
    <col min="3846" max="3846" width="15.140625" bestFit="1" customWidth="1"/>
    <col min="3847" max="3847" width="19.28515625" bestFit="1" customWidth="1"/>
    <col min="3848" max="3848" width="8.28515625" bestFit="1" customWidth="1"/>
    <col min="3849" max="3849" width="4.85546875" bestFit="1" customWidth="1"/>
    <col min="3850" max="3850" width="13.28515625" customWidth="1"/>
    <col min="3851" max="3851" width="9.7109375" customWidth="1"/>
    <col min="3852" max="3852" width="11.85546875" customWidth="1"/>
    <col min="3853" max="3853" width="12.5703125" bestFit="1" customWidth="1"/>
    <col min="3854" max="3854" width="19.28515625" bestFit="1" customWidth="1"/>
    <col min="3855" max="3855" width="8.28515625" bestFit="1" customWidth="1"/>
    <col min="3856" max="3856" width="4.85546875" bestFit="1" customWidth="1"/>
    <col min="3857" max="3857" width="12" customWidth="1"/>
    <col min="3858" max="3858" width="8.28515625" customWidth="1"/>
    <col min="3859" max="3859" width="11.140625" customWidth="1"/>
    <col min="3860" max="3861" width="11.7109375" bestFit="1" customWidth="1"/>
    <col min="3862" max="3862" width="17.28515625" bestFit="1" customWidth="1"/>
    <col min="3863" max="3863" width="17.28515625" customWidth="1"/>
    <col min="3864" max="3864" width="13.7109375" bestFit="1" customWidth="1"/>
    <col min="3865" max="3865" width="25.140625" bestFit="1" customWidth="1"/>
    <col min="3866" max="3866" width="15.140625" bestFit="1" customWidth="1"/>
    <col min="3867" max="3867" width="21" bestFit="1" customWidth="1"/>
    <col min="4098" max="4098" width="14" bestFit="1" customWidth="1"/>
    <col min="4099" max="4099" width="13.140625" customWidth="1"/>
    <col min="4100" max="4100" width="14.85546875" customWidth="1"/>
    <col min="4102" max="4102" width="15.140625" bestFit="1" customWidth="1"/>
    <col min="4103" max="4103" width="19.28515625" bestFit="1" customWidth="1"/>
    <col min="4104" max="4104" width="8.28515625" bestFit="1" customWidth="1"/>
    <col min="4105" max="4105" width="4.85546875" bestFit="1" customWidth="1"/>
    <col min="4106" max="4106" width="13.28515625" customWidth="1"/>
    <col min="4107" max="4107" width="9.7109375" customWidth="1"/>
    <col min="4108" max="4108" width="11.85546875" customWidth="1"/>
    <col min="4109" max="4109" width="12.5703125" bestFit="1" customWidth="1"/>
    <col min="4110" max="4110" width="19.28515625" bestFit="1" customWidth="1"/>
    <col min="4111" max="4111" width="8.28515625" bestFit="1" customWidth="1"/>
    <col min="4112" max="4112" width="4.85546875" bestFit="1" customWidth="1"/>
    <col min="4113" max="4113" width="12" customWidth="1"/>
    <col min="4114" max="4114" width="8.28515625" customWidth="1"/>
    <col min="4115" max="4115" width="11.140625" customWidth="1"/>
    <col min="4116" max="4117" width="11.7109375" bestFit="1" customWidth="1"/>
    <col min="4118" max="4118" width="17.28515625" bestFit="1" customWidth="1"/>
    <col min="4119" max="4119" width="17.28515625" customWidth="1"/>
    <col min="4120" max="4120" width="13.7109375" bestFit="1" customWidth="1"/>
    <col min="4121" max="4121" width="25.140625" bestFit="1" customWidth="1"/>
    <col min="4122" max="4122" width="15.140625" bestFit="1" customWidth="1"/>
    <col min="4123" max="4123" width="21" bestFit="1" customWidth="1"/>
    <col min="4354" max="4354" width="14" bestFit="1" customWidth="1"/>
    <col min="4355" max="4355" width="13.140625" customWidth="1"/>
    <col min="4356" max="4356" width="14.85546875" customWidth="1"/>
    <col min="4358" max="4358" width="15.140625" bestFit="1" customWidth="1"/>
    <col min="4359" max="4359" width="19.28515625" bestFit="1" customWidth="1"/>
    <col min="4360" max="4360" width="8.28515625" bestFit="1" customWidth="1"/>
    <col min="4361" max="4361" width="4.85546875" bestFit="1" customWidth="1"/>
    <col min="4362" max="4362" width="13.28515625" customWidth="1"/>
    <col min="4363" max="4363" width="9.7109375" customWidth="1"/>
    <col min="4364" max="4364" width="11.85546875" customWidth="1"/>
    <col min="4365" max="4365" width="12.5703125" bestFit="1" customWidth="1"/>
    <col min="4366" max="4366" width="19.28515625" bestFit="1" customWidth="1"/>
    <col min="4367" max="4367" width="8.28515625" bestFit="1" customWidth="1"/>
    <col min="4368" max="4368" width="4.85546875" bestFit="1" customWidth="1"/>
    <col min="4369" max="4369" width="12" customWidth="1"/>
    <col min="4370" max="4370" width="8.28515625" customWidth="1"/>
    <col min="4371" max="4371" width="11.140625" customWidth="1"/>
    <col min="4372" max="4373" width="11.7109375" bestFit="1" customWidth="1"/>
    <col min="4374" max="4374" width="17.28515625" bestFit="1" customWidth="1"/>
    <col min="4375" max="4375" width="17.28515625" customWidth="1"/>
    <col min="4376" max="4376" width="13.7109375" bestFit="1" customWidth="1"/>
    <col min="4377" max="4377" width="25.140625" bestFit="1" customWidth="1"/>
    <col min="4378" max="4378" width="15.140625" bestFit="1" customWidth="1"/>
    <col min="4379" max="4379" width="21" bestFit="1" customWidth="1"/>
    <col min="4610" max="4610" width="14" bestFit="1" customWidth="1"/>
    <col min="4611" max="4611" width="13.140625" customWidth="1"/>
    <col min="4612" max="4612" width="14.85546875" customWidth="1"/>
    <col min="4614" max="4614" width="15.140625" bestFit="1" customWidth="1"/>
    <col min="4615" max="4615" width="19.28515625" bestFit="1" customWidth="1"/>
    <col min="4616" max="4616" width="8.28515625" bestFit="1" customWidth="1"/>
    <col min="4617" max="4617" width="4.85546875" bestFit="1" customWidth="1"/>
    <col min="4618" max="4618" width="13.28515625" customWidth="1"/>
    <col min="4619" max="4619" width="9.7109375" customWidth="1"/>
    <col min="4620" max="4620" width="11.85546875" customWidth="1"/>
    <col min="4621" max="4621" width="12.5703125" bestFit="1" customWidth="1"/>
    <col min="4622" max="4622" width="19.28515625" bestFit="1" customWidth="1"/>
    <col min="4623" max="4623" width="8.28515625" bestFit="1" customWidth="1"/>
    <col min="4624" max="4624" width="4.85546875" bestFit="1" customWidth="1"/>
    <col min="4625" max="4625" width="12" customWidth="1"/>
    <col min="4626" max="4626" width="8.28515625" customWidth="1"/>
    <col min="4627" max="4627" width="11.140625" customWidth="1"/>
    <col min="4628" max="4629" width="11.7109375" bestFit="1" customWidth="1"/>
    <col min="4630" max="4630" width="17.28515625" bestFit="1" customWidth="1"/>
    <col min="4631" max="4631" width="17.28515625" customWidth="1"/>
    <col min="4632" max="4632" width="13.7109375" bestFit="1" customWidth="1"/>
    <col min="4633" max="4633" width="25.140625" bestFit="1" customWidth="1"/>
    <col min="4634" max="4634" width="15.140625" bestFit="1" customWidth="1"/>
    <col min="4635" max="4635" width="21" bestFit="1" customWidth="1"/>
    <col min="4866" max="4866" width="14" bestFit="1" customWidth="1"/>
    <col min="4867" max="4867" width="13.140625" customWidth="1"/>
    <col min="4868" max="4868" width="14.85546875" customWidth="1"/>
    <col min="4870" max="4870" width="15.140625" bestFit="1" customWidth="1"/>
    <col min="4871" max="4871" width="19.28515625" bestFit="1" customWidth="1"/>
    <col min="4872" max="4872" width="8.28515625" bestFit="1" customWidth="1"/>
    <col min="4873" max="4873" width="4.85546875" bestFit="1" customWidth="1"/>
    <col min="4874" max="4874" width="13.28515625" customWidth="1"/>
    <col min="4875" max="4875" width="9.7109375" customWidth="1"/>
    <col min="4876" max="4876" width="11.85546875" customWidth="1"/>
    <col min="4877" max="4877" width="12.5703125" bestFit="1" customWidth="1"/>
    <col min="4878" max="4878" width="19.28515625" bestFit="1" customWidth="1"/>
    <col min="4879" max="4879" width="8.28515625" bestFit="1" customWidth="1"/>
    <col min="4880" max="4880" width="4.85546875" bestFit="1" customWidth="1"/>
    <col min="4881" max="4881" width="12" customWidth="1"/>
    <col min="4882" max="4882" width="8.28515625" customWidth="1"/>
    <col min="4883" max="4883" width="11.140625" customWidth="1"/>
    <col min="4884" max="4885" width="11.7109375" bestFit="1" customWidth="1"/>
    <col min="4886" max="4886" width="17.28515625" bestFit="1" customWidth="1"/>
    <col min="4887" max="4887" width="17.28515625" customWidth="1"/>
    <col min="4888" max="4888" width="13.7109375" bestFit="1" customWidth="1"/>
    <col min="4889" max="4889" width="25.140625" bestFit="1" customWidth="1"/>
    <col min="4890" max="4890" width="15.140625" bestFit="1" customWidth="1"/>
    <col min="4891" max="4891" width="21" bestFit="1" customWidth="1"/>
    <col min="5122" max="5122" width="14" bestFit="1" customWidth="1"/>
    <col min="5123" max="5123" width="13.140625" customWidth="1"/>
    <col min="5124" max="5124" width="14.85546875" customWidth="1"/>
    <col min="5126" max="5126" width="15.140625" bestFit="1" customWidth="1"/>
    <col min="5127" max="5127" width="19.28515625" bestFit="1" customWidth="1"/>
    <col min="5128" max="5128" width="8.28515625" bestFit="1" customWidth="1"/>
    <col min="5129" max="5129" width="4.85546875" bestFit="1" customWidth="1"/>
    <col min="5130" max="5130" width="13.28515625" customWidth="1"/>
    <col min="5131" max="5131" width="9.7109375" customWidth="1"/>
    <col min="5132" max="5132" width="11.85546875" customWidth="1"/>
    <col min="5133" max="5133" width="12.5703125" bestFit="1" customWidth="1"/>
    <col min="5134" max="5134" width="19.28515625" bestFit="1" customWidth="1"/>
    <col min="5135" max="5135" width="8.28515625" bestFit="1" customWidth="1"/>
    <col min="5136" max="5136" width="4.85546875" bestFit="1" customWidth="1"/>
    <col min="5137" max="5137" width="12" customWidth="1"/>
    <col min="5138" max="5138" width="8.28515625" customWidth="1"/>
    <col min="5139" max="5139" width="11.140625" customWidth="1"/>
    <col min="5140" max="5141" width="11.7109375" bestFit="1" customWidth="1"/>
    <col min="5142" max="5142" width="17.28515625" bestFit="1" customWidth="1"/>
    <col min="5143" max="5143" width="17.28515625" customWidth="1"/>
    <col min="5144" max="5144" width="13.7109375" bestFit="1" customWidth="1"/>
    <col min="5145" max="5145" width="25.140625" bestFit="1" customWidth="1"/>
    <col min="5146" max="5146" width="15.140625" bestFit="1" customWidth="1"/>
    <col min="5147" max="5147" width="21" bestFit="1" customWidth="1"/>
    <col min="5378" max="5378" width="14" bestFit="1" customWidth="1"/>
    <col min="5379" max="5379" width="13.140625" customWidth="1"/>
    <col min="5380" max="5380" width="14.85546875" customWidth="1"/>
    <col min="5382" max="5382" width="15.140625" bestFit="1" customWidth="1"/>
    <col min="5383" max="5383" width="19.28515625" bestFit="1" customWidth="1"/>
    <col min="5384" max="5384" width="8.28515625" bestFit="1" customWidth="1"/>
    <col min="5385" max="5385" width="4.85546875" bestFit="1" customWidth="1"/>
    <col min="5386" max="5386" width="13.28515625" customWidth="1"/>
    <col min="5387" max="5387" width="9.7109375" customWidth="1"/>
    <col min="5388" max="5388" width="11.85546875" customWidth="1"/>
    <col min="5389" max="5389" width="12.5703125" bestFit="1" customWidth="1"/>
    <col min="5390" max="5390" width="19.28515625" bestFit="1" customWidth="1"/>
    <col min="5391" max="5391" width="8.28515625" bestFit="1" customWidth="1"/>
    <col min="5392" max="5392" width="4.85546875" bestFit="1" customWidth="1"/>
    <col min="5393" max="5393" width="12" customWidth="1"/>
    <col min="5394" max="5394" width="8.28515625" customWidth="1"/>
    <col min="5395" max="5395" width="11.140625" customWidth="1"/>
    <col min="5396" max="5397" width="11.7109375" bestFit="1" customWidth="1"/>
    <col min="5398" max="5398" width="17.28515625" bestFit="1" customWidth="1"/>
    <col min="5399" max="5399" width="17.28515625" customWidth="1"/>
    <col min="5400" max="5400" width="13.7109375" bestFit="1" customWidth="1"/>
    <col min="5401" max="5401" width="25.140625" bestFit="1" customWidth="1"/>
    <col min="5402" max="5402" width="15.140625" bestFit="1" customWidth="1"/>
    <col min="5403" max="5403" width="21" bestFit="1" customWidth="1"/>
    <col min="5634" max="5634" width="14" bestFit="1" customWidth="1"/>
    <col min="5635" max="5635" width="13.140625" customWidth="1"/>
    <col min="5636" max="5636" width="14.85546875" customWidth="1"/>
    <col min="5638" max="5638" width="15.140625" bestFit="1" customWidth="1"/>
    <col min="5639" max="5639" width="19.28515625" bestFit="1" customWidth="1"/>
    <col min="5640" max="5640" width="8.28515625" bestFit="1" customWidth="1"/>
    <col min="5641" max="5641" width="4.85546875" bestFit="1" customWidth="1"/>
    <col min="5642" max="5642" width="13.28515625" customWidth="1"/>
    <col min="5643" max="5643" width="9.7109375" customWidth="1"/>
    <col min="5644" max="5644" width="11.85546875" customWidth="1"/>
    <col min="5645" max="5645" width="12.5703125" bestFit="1" customWidth="1"/>
    <col min="5646" max="5646" width="19.28515625" bestFit="1" customWidth="1"/>
    <col min="5647" max="5647" width="8.28515625" bestFit="1" customWidth="1"/>
    <col min="5648" max="5648" width="4.85546875" bestFit="1" customWidth="1"/>
    <col min="5649" max="5649" width="12" customWidth="1"/>
    <col min="5650" max="5650" width="8.28515625" customWidth="1"/>
    <col min="5651" max="5651" width="11.140625" customWidth="1"/>
    <col min="5652" max="5653" width="11.7109375" bestFit="1" customWidth="1"/>
    <col min="5654" max="5654" width="17.28515625" bestFit="1" customWidth="1"/>
    <col min="5655" max="5655" width="17.28515625" customWidth="1"/>
    <col min="5656" max="5656" width="13.7109375" bestFit="1" customWidth="1"/>
    <col min="5657" max="5657" width="25.140625" bestFit="1" customWidth="1"/>
    <col min="5658" max="5658" width="15.140625" bestFit="1" customWidth="1"/>
    <col min="5659" max="5659" width="21" bestFit="1" customWidth="1"/>
    <col min="5890" max="5890" width="14" bestFit="1" customWidth="1"/>
    <col min="5891" max="5891" width="13.140625" customWidth="1"/>
    <col min="5892" max="5892" width="14.85546875" customWidth="1"/>
    <col min="5894" max="5894" width="15.140625" bestFit="1" customWidth="1"/>
    <col min="5895" max="5895" width="19.28515625" bestFit="1" customWidth="1"/>
    <col min="5896" max="5896" width="8.28515625" bestFit="1" customWidth="1"/>
    <col min="5897" max="5897" width="4.85546875" bestFit="1" customWidth="1"/>
    <col min="5898" max="5898" width="13.28515625" customWidth="1"/>
    <col min="5899" max="5899" width="9.7109375" customWidth="1"/>
    <col min="5900" max="5900" width="11.85546875" customWidth="1"/>
    <col min="5901" max="5901" width="12.5703125" bestFit="1" customWidth="1"/>
    <col min="5902" max="5902" width="19.28515625" bestFit="1" customWidth="1"/>
    <col min="5903" max="5903" width="8.28515625" bestFit="1" customWidth="1"/>
    <col min="5904" max="5904" width="4.85546875" bestFit="1" customWidth="1"/>
    <col min="5905" max="5905" width="12" customWidth="1"/>
    <col min="5906" max="5906" width="8.28515625" customWidth="1"/>
    <col min="5907" max="5907" width="11.140625" customWidth="1"/>
    <col min="5908" max="5909" width="11.7109375" bestFit="1" customWidth="1"/>
    <col min="5910" max="5910" width="17.28515625" bestFit="1" customWidth="1"/>
    <col min="5911" max="5911" width="17.28515625" customWidth="1"/>
    <col min="5912" max="5912" width="13.7109375" bestFit="1" customWidth="1"/>
    <col min="5913" max="5913" width="25.140625" bestFit="1" customWidth="1"/>
    <col min="5914" max="5914" width="15.140625" bestFit="1" customWidth="1"/>
    <col min="5915" max="5915" width="21" bestFit="1" customWidth="1"/>
    <col min="6146" max="6146" width="14" bestFit="1" customWidth="1"/>
    <col min="6147" max="6147" width="13.140625" customWidth="1"/>
    <col min="6148" max="6148" width="14.85546875" customWidth="1"/>
    <col min="6150" max="6150" width="15.140625" bestFit="1" customWidth="1"/>
    <col min="6151" max="6151" width="19.28515625" bestFit="1" customWidth="1"/>
    <col min="6152" max="6152" width="8.28515625" bestFit="1" customWidth="1"/>
    <col min="6153" max="6153" width="4.85546875" bestFit="1" customWidth="1"/>
    <col min="6154" max="6154" width="13.28515625" customWidth="1"/>
    <col min="6155" max="6155" width="9.7109375" customWidth="1"/>
    <col min="6156" max="6156" width="11.85546875" customWidth="1"/>
    <col min="6157" max="6157" width="12.5703125" bestFit="1" customWidth="1"/>
    <col min="6158" max="6158" width="19.28515625" bestFit="1" customWidth="1"/>
    <col min="6159" max="6159" width="8.28515625" bestFit="1" customWidth="1"/>
    <col min="6160" max="6160" width="4.85546875" bestFit="1" customWidth="1"/>
    <col min="6161" max="6161" width="12" customWidth="1"/>
    <col min="6162" max="6162" width="8.28515625" customWidth="1"/>
    <col min="6163" max="6163" width="11.140625" customWidth="1"/>
    <col min="6164" max="6165" width="11.7109375" bestFit="1" customWidth="1"/>
    <col min="6166" max="6166" width="17.28515625" bestFit="1" customWidth="1"/>
    <col min="6167" max="6167" width="17.28515625" customWidth="1"/>
    <col min="6168" max="6168" width="13.7109375" bestFit="1" customWidth="1"/>
    <col min="6169" max="6169" width="25.140625" bestFit="1" customWidth="1"/>
    <col min="6170" max="6170" width="15.140625" bestFit="1" customWidth="1"/>
    <col min="6171" max="6171" width="21" bestFit="1" customWidth="1"/>
    <col min="6402" max="6402" width="14" bestFit="1" customWidth="1"/>
    <col min="6403" max="6403" width="13.140625" customWidth="1"/>
    <col min="6404" max="6404" width="14.85546875" customWidth="1"/>
    <col min="6406" max="6406" width="15.140625" bestFit="1" customWidth="1"/>
    <col min="6407" max="6407" width="19.28515625" bestFit="1" customWidth="1"/>
    <col min="6408" max="6408" width="8.28515625" bestFit="1" customWidth="1"/>
    <col min="6409" max="6409" width="4.85546875" bestFit="1" customWidth="1"/>
    <col min="6410" max="6410" width="13.28515625" customWidth="1"/>
    <col min="6411" max="6411" width="9.7109375" customWidth="1"/>
    <col min="6412" max="6412" width="11.85546875" customWidth="1"/>
    <col min="6413" max="6413" width="12.5703125" bestFit="1" customWidth="1"/>
    <col min="6414" max="6414" width="19.28515625" bestFit="1" customWidth="1"/>
    <col min="6415" max="6415" width="8.28515625" bestFit="1" customWidth="1"/>
    <col min="6416" max="6416" width="4.85546875" bestFit="1" customWidth="1"/>
    <col min="6417" max="6417" width="12" customWidth="1"/>
    <col min="6418" max="6418" width="8.28515625" customWidth="1"/>
    <col min="6419" max="6419" width="11.140625" customWidth="1"/>
    <col min="6420" max="6421" width="11.7109375" bestFit="1" customWidth="1"/>
    <col min="6422" max="6422" width="17.28515625" bestFit="1" customWidth="1"/>
    <col min="6423" max="6423" width="17.28515625" customWidth="1"/>
    <col min="6424" max="6424" width="13.7109375" bestFit="1" customWidth="1"/>
    <col min="6425" max="6425" width="25.140625" bestFit="1" customWidth="1"/>
    <col min="6426" max="6426" width="15.140625" bestFit="1" customWidth="1"/>
    <col min="6427" max="6427" width="21" bestFit="1" customWidth="1"/>
    <col min="6658" max="6658" width="14" bestFit="1" customWidth="1"/>
    <col min="6659" max="6659" width="13.140625" customWidth="1"/>
    <col min="6660" max="6660" width="14.85546875" customWidth="1"/>
    <col min="6662" max="6662" width="15.140625" bestFit="1" customWidth="1"/>
    <col min="6663" max="6663" width="19.28515625" bestFit="1" customWidth="1"/>
    <col min="6664" max="6664" width="8.28515625" bestFit="1" customWidth="1"/>
    <col min="6665" max="6665" width="4.85546875" bestFit="1" customWidth="1"/>
    <col min="6666" max="6666" width="13.28515625" customWidth="1"/>
    <col min="6667" max="6667" width="9.7109375" customWidth="1"/>
    <col min="6668" max="6668" width="11.85546875" customWidth="1"/>
    <col min="6669" max="6669" width="12.5703125" bestFit="1" customWidth="1"/>
    <col min="6670" max="6670" width="19.28515625" bestFit="1" customWidth="1"/>
    <col min="6671" max="6671" width="8.28515625" bestFit="1" customWidth="1"/>
    <col min="6672" max="6672" width="4.85546875" bestFit="1" customWidth="1"/>
    <col min="6673" max="6673" width="12" customWidth="1"/>
    <col min="6674" max="6674" width="8.28515625" customWidth="1"/>
    <col min="6675" max="6675" width="11.140625" customWidth="1"/>
    <col min="6676" max="6677" width="11.7109375" bestFit="1" customWidth="1"/>
    <col min="6678" max="6678" width="17.28515625" bestFit="1" customWidth="1"/>
    <col min="6679" max="6679" width="17.28515625" customWidth="1"/>
    <col min="6680" max="6680" width="13.7109375" bestFit="1" customWidth="1"/>
    <col min="6681" max="6681" width="25.140625" bestFit="1" customWidth="1"/>
    <col min="6682" max="6682" width="15.140625" bestFit="1" customWidth="1"/>
    <col min="6683" max="6683" width="21" bestFit="1" customWidth="1"/>
    <col min="6914" max="6914" width="14" bestFit="1" customWidth="1"/>
    <col min="6915" max="6915" width="13.140625" customWidth="1"/>
    <col min="6916" max="6916" width="14.85546875" customWidth="1"/>
    <col min="6918" max="6918" width="15.140625" bestFit="1" customWidth="1"/>
    <col min="6919" max="6919" width="19.28515625" bestFit="1" customWidth="1"/>
    <col min="6920" max="6920" width="8.28515625" bestFit="1" customWidth="1"/>
    <col min="6921" max="6921" width="4.85546875" bestFit="1" customWidth="1"/>
    <col min="6922" max="6922" width="13.28515625" customWidth="1"/>
    <col min="6923" max="6923" width="9.7109375" customWidth="1"/>
    <col min="6924" max="6924" width="11.85546875" customWidth="1"/>
    <col min="6925" max="6925" width="12.5703125" bestFit="1" customWidth="1"/>
    <col min="6926" max="6926" width="19.28515625" bestFit="1" customWidth="1"/>
    <col min="6927" max="6927" width="8.28515625" bestFit="1" customWidth="1"/>
    <col min="6928" max="6928" width="4.85546875" bestFit="1" customWidth="1"/>
    <col min="6929" max="6929" width="12" customWidth="1"/>
    <col min="6930" max="6930" width="8.28515625" customWidth="1"/>
    <col min="6931" max="6931" width="11.140625" customWidth="1"/>
    <col min="6932" max="6933" width="11.7109375" bestFit="1" customWidth="1"/>
    <col min="6934" max="6934" width="17.28515625" bestFit="1" customWidth="1"/>
    <col min="6935" max="6935" width="17.28515625" customWidth="1"/>
    <col min="6936" max="6936" width="13.7109375" bestFit="1" customWidth="1"/>
    <col min="6937" max="6937" width="25.140625" bestFit="1" customWidth="1"/>
    <col min="6938" max="6938" width="15.140625" bestFit="1" customWidth="1"/>
    <col min="6939" max="6939" width="21" bestFit="1" customWidth="1"/>
    <col min="7170" max="7170" width="14" bestFit="1" customWidth="1"/>
    <col min="7171" max="7171" width="13.140625" customWidth="1"/>
    <col min="7172" max="7172" width="14.85546875" customWidth="1"/>
    <col min="7174" max="7174" width="15.140625" bestFit="1" customWidth="1"/>
    <col min="7175" max="7175" width="19.28515625" bestFit="1" customWidth="1"/>
    <col min="7176" max="7176" width="8.28515625" bestFit="1" customWidth="1"/>
    <col min="7177" max="7177" width="4.85546875" bestFit="1" customWidth="1"/>
    <col min="7178" max="7178" width="13.28515625" customWidth="1"/>
    <col min="7179" max="7179" width="9.7109375" customWidth="1"/>
    <col min="7180" max="7180" width="11.85546875" customWidth="1"/>
    <col min="7181" max="7181" width="12.5703125" bestFit="1" customWidth="1"/>
    <col min="7182" max="7182" width="19.28515625" bestFit="1" customWidth="1"/>
    <col min="7183" max="7183" width="8.28515625" bestFit="1" customWidth="1"/>
    <col min="7184" max="7184" width="4.85546875" bestFit="1" customWidth="1"/>
    <col min="7185" max="7185" width="12" customWidth="1"/>
    <col min="7186" max="7186" width="8.28515625" customWidth="1"/>
    <col min="7187" max="7187" width="11.140625" customWidth="1"/>
    <col min="7188" max="7189" width="11.7109375" bestFit="1" customWidth="1"/>
    <col min="7190" max="7190" width="17.28515625" bestFit="1" customWidth="1"/>
    <col min="7191" max="7191" width="17.28515625" customWidth="1"/>
    <col min="7192" max="7192" width="13.7109375" bestFit="1" customWidth="1"/>
    <col min="7193" max="7193" width="25.140625" bestFit="1" customWidth="1"/>
    <col min="7194" max="7194" width="15.140625" bestFit="1" customWidth="1"/>
    <col min="7195" max="7195" width="21" bestFit="1" customWidth="1"/>
    <col min="7426" max="7426" width="14" bestFit="1" customWidth="1"/>
    <col min="7427" max="7427" width="13.140625" customWidth="1"/>
    <col min="7428" max="7428" width="14.85546875" customWidth="1"/>
    <col min="7430" max="7430" width="15.140625" bestFit="1" customWidth="1"/>
    <col min="7431" max="7431" width="19.28515625" bestFit="1" customWidth="1"/>
    <col min="7432" max="7432" width="8.28515625" bestFit="1" customWidth="1"/>
    <col min="7433" max="7433" width="4.85546875" bestFit="1" customWidth="1"/>
    <col min="7434" max="7434" width="13.28515625" customWidth="1"/>
    <col min="7435" max="7435" width="9.7109375" customWidth="1"/>
    <col min="7436" max="7436" width="11.85546875" customWidth="1"/>
    <col min="7437" max="7437" width="12.5703125" bestFit="1" customWidth="1"/>
    <col min="7438" max="7438" width="19.28515625" bestFit="1" customWidth="1"/>
    <col min="7439" max="7439" width="8.28515625" bestFit="1" customWidth="1"/>
    <col min="7440" max="7440" width="4.85546875" bestFit="1" customWidth="1"/>
    <col min="7441" max="7441" width="12" customWidth="1"/>
    <col min="7442" max="7442" width="8.28515625" customWidth="1"/>
    <col min="7443" max="7443" width="11.140625" customWidth="1"/>
    <col min="7444" max="7445" width="11.7109375" bestFit="1" customWidth="1"/>
    <col min="7446" max="7446" width="17.28515625" bestFit="1" customWidth="1"/>
    <col min="7447" max="7447" width="17.28515625" customWidth="1"/>
    <col min="7448" max="7448" width="13.7109375" bestFit="1" customWidth="1"/>
    <col min="7449" max="7449" width="25.140625" bestFit="1" customWidth="1"/>
    <col min="7450" max="7450" width="15.140625" bestFit="1" customWidth="1"/>
    <col min="7451" max="7451" width="21" bestFit="1" customWidth="1"/>
    <col min="7682" max="7682" width="14" bestFit="1" customWidth="1"/>
    <col min="7683" max="7683" width="13.140625" customWidth="1"/>
    <col min="7684" max="7684" width="14.85546875" customWidth="1"/>
    <col min="7686" max="7686" width="15.140625" bestFit="1" customWidth="1"/>
    <col min="7687" max="7687" width="19.28515625" bestFit="1" customWidth="1"/>
    <col min="7688" max="7688" width="8.28515625" bestFit="1" customWidth="1"/>
    <col min="7689" max="7689" width="4.85546875" bestFit="1" customWidth="1"/>
    <col min="7690" max="7690" width="13.28515625" customWidth="1"/>
    <col min="7691" max="7691" width="9.7109375" customWidth="1"/>
    <col min="7692" max="7692" width="11.85546875" customWidth="1"/>
    <col min="7693" max="7693" width="12.5703125" bestFit="1" customWidth="1"/>
    <col min="7694" max="7694" width="19.28515625" bestFit="1" customWidth="1"/>
    <col min="7695" max="7695" width="8.28515625" bestFit="1" customWidth="1"/>
    <col min="7696" max="7696" width="4.85546875" bestFit="1" customWidth="1"/>
    <col min="7697" max="7697" width="12" customWidth="1"/>
    <col min="7698" max="7698" width="8.28515625" customWidth="1"/>
    <col min="7699" max="7699" width="11.140625" customWidth="1"/>
    <col min="7700" max="7701" width="11.7109375" bestFit="1" customWidth="1"/>
    <col min="7702" max="7702" width="17.28515625" bestFit="1" customWidth="1"/>
    <col min="7703" max="7703" width="17.28515625" customWidth="1"/>
    <col min="7704" max="7704" width="13.7109375" bestFit="1" customWidth="1"/>
    <col min="7705" max="7705" width="25.140625" bestFit="1" customWidth="1"/>
    <col min="7706" max="7706" width="15.140625" bestFit="1" customWidth="1"/>
    <col min="7707" max="7707" width="21" bestFit="1" customWidth="1"/>
    <col min="7938" max="7938" width="14" bestFit="1" customWidth="1"/>
    <col min="7939" max="7939" width="13.140625" customWidth="1"/>
    <col min="7940" max="7940" width="14.85546875" customWidth="1"/>
    <col min="7942" max="7942" width="15.140625" bestFit="1" customWidth="1"/>
    <col min="7943" max="7943" width="19.28515625" bestFit="1" customWidth="1"/>
    <col min="7944" max="7944" width="8.28515625" bestFit="1" customWidth="1"/>
    <col min="7945" max="7945" width="4.85546875" bestFit="1" customWidth="1"/>
    <col min="7946" max="7946" width="13.28515625" customWidth="1"/>
    <col min="7947" max="7947" width="9.7109375" customWidth="1"/>
    <col min="7948" max="7948" width="11.85546875" customWidth="1"/>
    <col min="7949" max="7949" width="12.5703125" bestFit="1" customWidth="1"/>
    <col min="7950" max="7950" width="19.28515625" bestFit="1" customWidth="1"/>
    <col min="7951" max="7951" width="8.28515625" bestFit="1" customWidth="1"/>
    <col min="7952" max="7952" width="4.85546875" bestFit="1" customWidth="1"/>
    <col min="7953" max="7953" width="12" customWidth="1"/>
    <col min="7954" max="7954" width="8.28515625" customWidth="1"/>
    <col min="7955" max="7955" width="11.140625" customWidth="1"/>
    <col min="7956" max="7957" width="11.7109375" bestFit="1" customWidth="1"/>
    <col min="7958" max="7958" width="17.28515625" bestFit="1" customWidth="1"/>
    <col min="7959" max="7959" width="17.28515625" customWidth="1"/>
    <col min="7960" max="7960" width="13.7109375" bestFit="1" customWidth="1"/>
    <col min="7961" max="7961" width="25.140625" bestFit="1" customWidth="1"/>
    <col min="7962" max="7962" width="15.140625" bestFit="1" customWidth="1"/>
    <col min="7963" max="7963" width="21" bestFit="1" customWidth="1"/>
    <col min="8194" max="8194" width="14" bestFit="1" customWidth="1"/>
    <col min="8195" max="8195" width="13.140625" customWidth="1"/>
    <col min="8196" max="8196" width="14.85546875" customWidth="1"/>
    <col min="8198" max="8198" width="15.140625" bestFit="1" customWidth="1"/>
    <col min="8199" max="8199" width="19.28515625" bestFit="1" customWidth="1"/>
    <col min="8200" max="8200" width="8.28515625" bestFit="1" customWidth="1"/>
    <col min="8201" max="8201" width="4.85546875" bestFit="1" customWidth="1"/>
    <col min="8202" max="8202" width="13.28515625" customWidth="1"/>
    <col min="8203" max="8203" width="9.7109375" customWidth="1"/>
    <col min="8204" max="8204" width="11.85546875" customWidth="1"/>
    <col min="8205" max="8205" width="12.5703125" bestFit="1" customWidth="1"/>
    <col min="8206" max="8206" width="19.28515625" bestFit="1" customWidth="1"/>
    <col min="8207" max="8207" width="8.28515625" bestFit="1" customWidth="1"/>
    <col min="8208" max="8208" width="4.85546875" bestFit="1" customWidth="1"/>
    <col min="8209" max="8209" width="12" customWidth="1"/>
    <col min="8210" max="8210" width="8.28515625" customWidth="1"/>
    <col min="8211" max="8211" width="11.140625" customWidth="1"/>
    <col min="8212" max="8213" width="11.7109375" bestFit="1" customWidth="1"/>
    <col min="8214" max="8214" width="17.28515625" bestFit="1" customWidth="1"/>
    <col min="8215" max="8215" width="17.28515625" customWidth="1"/>
    <col min="8216" max="8216" width="13.7109375" bestFit="1" customWidth="1"/>
    <col min="8217" max="8217" width="25.140625" bestFit="1" customWidth="1"/>
    <col min="8218" max="8218" width="15.140625" bestFit="1" customWidth="1"/>
    <col min="8219" max="8219" width="21" bestFit="1" customWidth="1"/>
    <col min="8450" max="8450" width="14" bestFit="1" customWidth="1"/>
    <col min="8451" max="8451" width="13.140625" customWidth="1"/>
    <col min="8452" max="8452" width="14.85546875" customWidth="1"/>
    <col min="8454" max="8454" width="15.140625" bestFit="1" customWidth="1"/>
    <col min="8455" max="8455" width="19.28515625" bestFit="1" customWidth="1"/>
    <col min="8456" max="8456" width="8.28515625" bestFit="1" customWidth="1"/>
    <col min="8457" max="8457" width="4.85546875" bestFit="1" customWidth="1"/>
    <col min="8458" max="8458" width="13.28515625" customWidth="1"/>
    <col min="8459" max="8459" width="9.7109375" customWidth="1"/>
    <col min="8460" max="8460" width="11.85546875" customWidth="1"/>
    <col min="8461" max="8461" width="12.5703125" bestFit="1" customWidth="1"/>
    <col min="8462" max="8462" width="19.28515625" bestFit="1" customWidth="1"/>
    <col min="8463" max="8463" width="8.28515625" bestFit="1" customWidth="1"/>
    <col min="8464" max="8464" width="4.85546875" bestFit="1" customWidth="1"/>
    <col min="8465" max="8465" width="12" customWidth="1"/>
    <col min="8466" max="8466" width="8.28515625" customWidth="1"/>
    <col min="8467" max="8467" width="11.140625" customWidth="1"/>
    <col min="8468" max="8469" width="11.7109375" bestFit="1" customWidth="1"/>
    <col min="8470" max="8470" width="17.28515625" bestFit="1" customWidth="1"/>
    <col min="8471" max="8471" width="17.28515625" customWidth="1"/>
    <col min="8472" max="8472" width="13.7109375" bestFit="1" customWidth="1"/>
    <col min="8473" max="8473" width="25.140625" bestFit="1" customWidth="1"/>
    <col min="8474" max="8474" width="15.140625" bestFit="1" customWidth="1"/>
    <col min="8475" max="8475" width="21" bestFit="1" customWidth="1"/>
    <col min="8706" max="8706" width="14" bestFit="1" customWidth="1"/>
    <col min="8707" max="8707" width="13.140625" customWidth="1"/>
    <col min="8708" max="8708" width="14.85546875" customWidth="1"/>
    <col min="8710" max="8710" width="15.140625" bestFit="1" customWidth="1"/>
    <col min="8711" max="8711" width="19.28515625" bestFit="1" customWidth="1"/>
    <col min="8712" max="8712" width="8.28515625" bestFit="1" customWidth="1"/>
    <col min="8713" max="8713" width="4.85546875" bestFit="1" customWidth="1"/>
    <col min="8714" max="8714" width="13.28515625" customWidth="1"/>
    <col min="8715" max="8715" width="9.7109375" customWidth="1"/>
    <col min="8716" max="8716" width="11.85546875" customWidth="1"/>
    <col min="8717" max="8717" width="12.5703125" bestFit="1" customWidth="1"/>
    <col min="8718" max="8718" width="19.28515625" bestFit="1" customWidth="1"/>
    <col min="8719" max="8719" width="8.28515625" bestFit="1" customWidth="1"/>
    <col min="8720" max="8720" width="4.85546875" bestFit="1" customWidth="1"/>
    <col min="8721" max="8721" width="12" customWidth="1"/>
    <col min="8722" max="8722" width="8.28515625" customWidth="1"/>
    <col min="8723" max="8723" width="11.140625" customWidth="1"/>
    <col min="8724" max="8725" width="11.7109375" bestFit="1" customWidth="1"/>
    <col min="8726" max="8726" width="17.28515625" bestFit="1" customWidth="1"/>
    <col min="8727" max="8727" width="17.28515625" customWidth="1"/>
    <col min="8728" max="8728" width="13.7109375" bestFit="1" customWidth="1"/>
    <col min="8729" max="8729" width="25.140625" bestFit="1" customWidth="1"/>
    <col min="8730" max="8730" width="15.140625" bestFit="1" customWidth="1"/>
    <col min="8731" max="8731" width="21" bestFit="1" customWidth="1"/>
    <col min="8962" max="8962" width="14" bestFit="1" customWidth="1"/>
    <col min="8963" max="8963" width="13.140625" customWidth="1"/>
    <col min="8964" max="8964" width="14.85546875" customWidth="1"/>
    <col min="8966" max="8966" width="15.140625" bestFit="1" customWidth="1"/>
    <col min="8967" max="8967" width="19.28515625" bestFit="1" customWidth="1"/>
    <col min="8968" max="8968" width="8.28515625" bestFit="1" customWidth="1"/>
    <col min="8969" max="8969" width="4.85546875" bestFit="1" customWidth="1"/>
    <col min="8970" max="8970" width="13.28515625" customWidth="1"/>
    <col min="8971" max="8971" width="9.7109375" customWidth="1"/>
    <col min="8972" max="8972" width="11.85546875" customWidth="1"/>
    <col min="8973" max="8973" width="12.5703125" bestFit="1" customWidth="1"/>
    <col min="8974" max="8974" width="19.28515625" bestFit="1" customWidth="1"/>
    <col min="8975" max="8975" width="8.28515625" bestFit="1" customWidth="1"/>
    <col min="8976" max="8976" width="4.85546875" bestFit="1" customWidth="1"/>
    <col min="8977" max="8977" width="12" customWidth="1"/>
    <col min="8978" max="8978" width="8.28515625" customWidth="1"/>
    <col min="8979" max="8979" width="11.140625" customWidth="1"/>
    <col min="8980" max="8981" width="11.7109375" bestFit="1" customWidth="1"/>
    <col min="8982" max="8982" width="17.28515625" bestFit="1" customWidth="1"/>
    <col min="8983" max="8983" width="17.28515625" customWidth="1"/>
    <col min="8984" max="8984" width="13.7109375" bestFit="1" customWidth="1"/>
    <col min="8985" max="8985" width="25.140625" bestFit="1" customWidth="1"/>
    <col min="8986" max="8986" width="15.140625" bestFit="1" customWidth="1"/>
    <col min="8987" max="8987" width="21" bestFit="1" customWidth="1"/>
    <col min="9218" max="9218" width="14" bestFit="1" customWidth="1"/>
    <col min="9219" max="9219" width="13.140625" customWidth="1"/>
    <col min="9220" max="9220" width="14.85546875" customWidth="1"/>
    <col min="9222" max="9222" width="15.140625" bestFit="1" customWidth="1"/>
    <col min="9223" max="9223" width="19.28515625" bestFit="1" customWidth="1"/>
    <col min="9224" max="9224" width="8.28515625" bestFit="1" customWidth="1"/>
    <col min="9225" max="9225" width="4.85546875" bestFit="1" customWidth="1"/>
    <col min="9226" max="9226" width="13.28515625" customWidth="1"/>
    <col min="9227" max="9227" width="9.7109375" customWidth="1"/>
    <col min="9228" max="9228" width="11.85546875" customWidth="1"/>
    <col min="9229" max="9229" width="12.5703125" bestFit="1" customWidth="1"/>
    <col min="9230" max="9230" width="19.28515625" bestFit="1" customWidth="1"/>
    <col min="9231" max="9231" width="8.28515625" bestFit="1" customWidth="1"/>
    <col min="9232" max="9232" width="4.85546875" bestFit="1" customWidth="1"/>
    <col min="9233" max="9233" width="12" customWidth="1"/>
    <col min="9234" max="9234" width="8.28515625" customWidth="1"/>
    <col min="9235" max="9235" width="11.140625" customWidth="1"/>
    <col min="9236" max="9237" width="11.7109375" bestFit="1" customWidth="1"/>
    <col min="9238" max="9238" width="17.28515625" bestFit="1" customWidth="1"/>
    <col min="9239" max="9239" width="17.28515625" customWidth="1"/>
    <col min="9240" max="9240" width="13.7109375" bestFit="1" customWidth="1"/>
    <col min="9241" max="9241" width="25.140625" bestFit="1" customWidth="1"/>
    <col min="9242" max="9242" width="15.140625" bestFit="1" customWidth="1"/>
    <col min="9243" max="9243" width="21" bestFit="1" customWidth="1"/>
    <col min="9474" max="9474" width="14" bestFit="1" customWidth="1"/>
    <col min="9475" max="9475" width="13.140625" customWidth="1"/>
    <col min="9476" max="9476" width="14.85546875" customWidth="1"/>
    <col min="9478" max="9478" width="15.140625" bestFit="1" customWidth="1"/>
    <col min="9479" max="9479" width="19.28515625" bestFit="1" customWidth="1"/>
    <col min="9480" max="9480" width="8.28515625" bestFit="1" customWidth="1"/>
    <col min="9481" max="9481" width="4.85546875" bestFit="1" customWidth="1"/>
    <col min="9482" max="9482" width="13.28515625" customWidth="1"/>
    <col min="9483" max="9483" width="9.7109375" customWidth="1"/>
    <col min="9484" max="9484" width="11.85546875" customWidth="1"/>
    <col min="9485" max="9485" width="12.5703125" bestFit="1" customWidth="1"/>
    <col min="9486" max="9486" width="19.28515625" bestFit="1" customWidth="1"/>
    <col min="9487" max="9487" width="8.28515625" bestFit="1" customWidth="1"/>
    <col min="9488" max="9488" width="4.85546875" bestFit="1" customWidth="1"/>
    <col min="9489" max="9489" width="12" customWidth="1"/>
    <col min="9490" max="9490" width="8.28515625" customWidth="1"/>
    <col min="9491" max="9491" width="11.140625" customWidth="1"/>
    <col min="9492" max="9493" width="11.7109375" bestFit="1" customWidth="1"/>
    <col min="9494" max="9494" width="17.28515625" bestFit="1" customWidth="1"/>
    <col min="9495" max="9495" width="17.28515625" customWidth="1"/>
    <col min="9496" max="9496" width="13.7109375" bestFit="1" customWidth="1"/>
    <col min="9497" max="9497" width="25.140625" bestFit="1" customWidth="1"/>
    <col min="9498" max="9498" width="15.140625" bestFit="1" customWidth="1"/>
    <col min="9499" max="9499" width="21" bestFit="1" customWidth="1"/>
    <col min="9730" max="9730" width="14" bestFit="1" customWidth="1"/>
    <col min="9731" max="9731" width="13.140625" customWidth="1"/>
    <col min="9732" max="9732" width="14.85546875" customWidth="1"/>
    <col min="9734" max="9734" width="15.140625" bestFit="1" customWidth="1"/>
    <col min="9735" max="9735" width="19.28515625" bestFit="1" customWidth="1"/>
    <col min="9736" max="9736" width="8.28515625" bestFit="1" customWidth="1"/>
    <col min="9737" max="9737" width="4.85546875" bestFit="1" customWidth="1"/>
    <col min="9738" max="9738" width="13.28515625" customWidth="1"/>
    <col min="9739" max="9739" width="9.7109375" customWidth="1"/>
    <col min="9740" max="9740" width="11.85546875" customWidth="1"/>
    <col min="9741" max="9741" width="12.5703125" bestFit="1" customWidth="1"/>
    <col min="9742" max="9742" width="19.28515625" bestFit="1" customWidth="1"/>
    <col min="9743" max="9743" width="8.28515625" bestFit="1" customWidth="1"/>
    <col min="9744" max="9744" width="4.85546875" bestFit="1" customWidth="1"/>
    <col min="9745" max="9745" width="12" customWidth="1"/>
    <col min="9746" max="9746" width="8.28515625" customWidth="1"/>
    <col min="9747" max="9747" width="11.140625" customWidth="1"/>
    <col min="9748" max="9749" width="11.7109375" bestFit="1" customWidth="1"/>
    <col min="9750" max="9750" width="17.28515625" bestFit="1" customWidth="1"/>
    <col min="9751" max="9751" width="17.28515625" customWidth="1"/>
    <col min="9752" max="9752" width="13.7109375" bestFit="1" customWidth="1"/>
    <col min="9753" max="9753" width="25.140625" bestFit="1" customWidth="1"/>
    <col min="9754" max="9754" width="15.140625" bestFit="1" customWidth="1"/>
    <col min="9755" max="9755" width="21" bestFit="1" customWidth="1"/>
    <col min="9986" max="9986" width="14" bestFit="1" customWidth="1"/>
    <col min="9987" max="9987" width="13.140625" customWidth="1"/>
    <col min="9988" max="9988" width="14.85546875" customWidth="1"/>
    <col min="9990" max="9990" width="15.140625" bestFit="1" customWidth="1"/>
    <col min="9991" max="9991" width="19.28515625" bestFit="1" customWidth="1"/>
    <col min="9992" max="9992" width="8.28515625" bestFit="1" customWidth="1"/>
    <col min="9993" max="9993" width="4.85546875" bestFit="1" customWidth="1"/>
    <col min="9994" max="9994" width="13.28515625" customWidth="1"/>
    <col min="9995" max="9995" width="9.7109375" customWidth="1"/>
    <col min="9996" max="9996" width="11.85546875" customWidth="1"/>
    <col min="9997" max="9997" width="12.5703125" bestFit="1" customWidth="1"/>
    <col min="9998" max="9998" width="19.28515625" bestFit="1" customWidth="1"/>
    <col min="9999" max="9999" width="8.28515625" bestFit="1" customWidth="1"/>
    <col min="10000" max="10000" width="4.85546875" bestFit="1" customWidth="1"/>
    <col min="10001" max="10001" width="12" customWidth="1"/>
    <col min="10002" max="10002" width="8.28515625" customWidth="1"/>
    <col min="10003" max="10003" width="11.140625" customWidth="1"/>
    <col min="10004" max="10005" width="11.7109375" bestFit="1" customWidth="1"/>
    <col min="10006" max="10006" width="17.28515625" bestFit="1" customWidth="1"/>
    <col min="10007" max="10007" width="17.28515625" customWidth="1"/>
    <col min="10008" max="10008" width="13.7109375" bestFit="1" customWidth="1"/>
    <col min="10009" max="10009" width="25.140625" bestFit="1" customWidth="1"/>
    <col min="10010" max="10010" width="15.140625" bestFit="1" customWidth="1"/>
    <col min="10011" max="10011" width="21" bestFit="1" customWidth="1"/>
    <col min="10242" max="10242" width="14" bestFit="1" customWidth="1"/>
    <col min="10243" max="10243" width="13.140625" customWidth="1"/>
    <col min="10244" max="10244" width="14.85546875" customWidth="1"/>
    <col min="10246" max="10246" width="15.140625" bestFit="1" customWidth="1"/>
    <col min="10247" max="10247" width="19.28515625" bestFit="1" customWidth="1"/>
    <col min="10248" max="10248" width="8.28515625" bestFit="1" customWidth="1"/>
    <col min="10249" max="10249" width="4.85546875" bestFit="1" customWidth="1"/>
    <col min="10250" max="10250" width="13.28515625" customWidth="1"/>
    <col min="10251" max="10251" width="9.7109375" customWidth="1"/>
    <col min="10252" max="10252" width="11.85546875" customWidth="1"/>
    <col min="10253" max="10253" width="12.5703125" bestFit="1" customWidth="1"/>
    <col min="10254" max="10254" width="19.28515625" bestFit="1" customWidth="1"/>
    <col min="10255" max="10255" width="8.28515625" bestFit="1" customWidth="1"/>
    <col min="10256" max="10256" width="4.85546875" bestFit="1" customWidth="1"/>
    <col min="10257" max="10257" width="12" customWidth="1"/>
    <col min="10258" max="10258" width="8.28515625" customWidth="1"/>
    <col min="10259" max="10259" width="11.140625" customWidth="1"/>
    <col min="10260" max="10261" width="11.7109375" bestFit="1" customWidth="1"/>
    <col min="10262" max="10262" width="17.28515625" bestFit="1" customWidth="1"/>
    <col min="10263" max="10263" width="17.28515625" customWidth="1"/>
    <col min="10264" max="10264" width="13.7109375" bestFit="1" customWidth="1"/>
    <col min="10265" max="10265" width="25.140625" bestFit="1" customWidth="1"/>
    <col min="10266" max="10266" width="15.140625" bestFit="1" customWidth="1"/>
    <col min="10267" max="10267" width="21" bestFit="1" customWidth="1"/>
    <col min="10498" max="10498" width="14" bestFit="1" customWidth="1"/>
    <col min="10499" max="10499" width="13.140625" customWidth="1"/>
    <col min="10500" max="10500" width="14.85546875" customWidth="1"/>
    <col min="10502" max="10502" width="15.140625" bestFit="1" customWidth="1"/>
    <col min="10503" max="10503" width="19.28515625" bestFit="1" customWidth="1"/>
    <col min="10504" max="10504" width="8.28515625" bestFit="1" customWidth="1"/>
    <col min="10505" max="10505" width="4.85546875" bestFit="1" customWidth="1"/>
    <col min="10506" max="10506" width="13.28515625" customWidth="1"/>
    <col min="10507" max="10507" width="9.7109375" customWidth="1"/>
    <col min="10508" max="10508" width="11.85546875" customWidth="1"/>
    <col min="10509" max="10509" width="12.5703125" bestFit="1" customWidth="1"/>
    <col min="10510" max="10510" width="19.28515625" bestFit="1" customWidth="1"/>
    <col min="10511" max="10511" width="8.28515625" bestFit="1" customWidth="1"/>
    <col min="10512" max="10512" width="4.85546875" bestFit="1" customWidth="1"/>
    <col min="10513" max="10513" width="12" customWidth="1"/>
    <col min="10514" max="10514" width="8.28515625" customWidth="1"/>
    <col min="10515" max="10515" width="11.140625" customWidth="1"/>
    <col min="10516" max="10517" width="11.7109375" bestFit="1" customWidth="1"/>
    <col min="10518" max="10518" width="17.28515625" bestFit="1" customWidth="1"/>
    <col min="10519" max="10519" width="17.28515625" customWidth="1"/>
    <col min="10520" max="10520" width="13.7109375" bestFit="1" customWidth="1"/>
    <col min="10521" max="10521" width="25.140625" bestFit="1" customWidth="1"/>
    <col min="10522" max="10522" width="15.140625" bestFit="1" customWidth="1"/>
    <col min="10523" max="10523" width="21" bestFit="1" customWidth="1"/>
    <col min="10754" max="10754" width="14" bestFit="1" customWidth="1"/>
    <col min="10755" max="10755" width="13.140625" customWidth="1"/>
    <col min="10756" max="10756" width="14.85546875" customWidth="1"/>
    <col min="10758" max="10758" width="15.140625" bestFit="1" customWidth="1"/>
    <col min="10759" max="10759" width="19.28515625" bestFit="1" customWidth="1"/>
    <col min="10760" max="10760" width="8.28515625" bestFit="1" customWidth="1"/>
    <col min="10761" max="10761" width="4.85546875" bestFit="1" customWidth="1"/>
    <col min="10762" max="10762" width="13.28515625" customWidth="1"/>
    <col min="10763" max="10763" width="9.7109375" customWidth="1"/>
    <col min="10764" max="10764" width="11.85546875" customWidth="1"/>
    <col min="10765" max="10765" width="12.5703125" bestFit="1" customWidth="1"/>
    <col min="10766" max="10766" width="19.28515625" bestFit="1" customWidth="1"/>
    <col min="10767" max="10767" width="8.28515625" bestFit="1" customWidth="1"/>
    <col min="10768" max="10768" width="4.85546875" bestFit="1" customWidth="1"/>
    <col min="10769" max="10769" width="12" customWidth="1"/>
    <col min="10770" max="10770" width="8.28515625" customWidth="1"/>
    <col min="10771" max="10771" width="11.140625" customWidth="1"/>
    <col min="10772" max="10773" width="11.7109375" bestFit="1" customWidth="1"/>
    <col min="10774" max="10774" width="17.28515625" bestFit="1" customWidth="1"/>
    <col min="10775" max="10775" width="17.28515625" customWidth="1"/>
    <col min="10776" max="10776" width="13.7109375" bestFit="1" customWidth="1"/>
    <col min="10777" max="10777" width="25.140625" bestFit="1" customWidth="1"/>
    <col min="10778" max="10778" width="15.140625" bestFit="1" customWidth="1"/>
    <col min="10779" max="10779" width="21" bestFit="1" customWidth="1"/>
    <col min="11010" max="11010" width="14" bestFit="1" customWidth="1"/>
    <col min="11011" max="11011" width="13.140625" customWidth="1"/>
    <col min="11012" max="11012" width="14.85546875" customWidth="1"/>
    <col min="11014" max="11014" width="15.140625" bestFit="1" customWidth="1"/>
    <col min="11015" max="11015" width="19.28515625" bestFit="1" customWidth="1"/>
    <col min="11016" max="11016" width="8.28515625" bestFit="1" customWidth="1"/>
    <col min="11017" max="11017" width="4.85546875" bestFit="1" customWidth="1"/>
    <col min="11018" max="11018" width="13.28515625" customWidth="1"/>
    <col min="11019" max="11019" width="9.7109375" customWidth="1"/>
    <col min="11020" max="11020" width="11.85546875" customWidth="1"/>
    <col min="11021" max="11021" width="12.5703125" bestFit="1" customWidth="1"/>
    <col min="11022" max="11022" width="19.28515625" bestFit="1" customWidth="1"/>
    <col min="11023" max="11023" width="8.28515625" bestFit="1" customWidth="1"/>
    <col min="11024" max="11024" width="4.85546875" bestFit="1" customWidth="1"/>
    <col min="11025" max="11025" width="12" customWidth="1"/>
    <col min="11026" max="11026" width="8.28515625" customWidth="1"/>
    <col min="11027" max="11027" width="11.140625" customWidth="1"/>
    <col min="11028" max="11029" width="11.7109375" bestFit="1" customWidth="1"/>
    <col min="11030" max="11030" width="17.28515625" bestFit="1" customWidth="1"/>
    <col min="11031" max="11031" width="17.28515625" customWidth="1"/>
    <col min="11032" max="11032" width="13.7109375" bestFit="1" customWidth="1"/>
    <col min="11033" max="11033" width="25.140625" bestFit="1" customWidth="1"/>
    <col min="11034" max="11034" width="15.140625" bestFit="1" customWidth="1"/>
    <col min="11035" max="11035" width="21" bestFit="1" customWidth="1"/>
    <col min="11266" max="11266" width="14" bestFit="1" customWidth="1"/>
    <col min="11267" max="11267" width="13.140625" customWidth="1"/>
    <col min="11268" max="11268" width="14.85546875" customWidth="1"/>
    <col min="11270" max="11270" width="15.140625" bestFit="1" customWidth="1"/>
    <col min="11271" max="11271" width="19.28515625" bestFit="1" customWidth="1"/>
    <col min="11272" max="11272" width="8.28515625" bestFit="1" customWidth="1"/>
    <col min="11273" max="11273" width="4.85546875" bestFit="1" customWidth="1"/>
    <col min="11274" max="11274" width="13.28515625" customWidth="1"/>
    <col min="11275" max="11275" width="9.7109375" customWidth="1"/>
    <col min="11276" max="11276" width="11.85546875" customWidth="1"/>
    <col min="11277" max="11277" width="12.5703125" bestFit="1" customWidth="1"/>
    <col min="11278" max="11278" width="19.28515625" bestFit="1" customWidth="1"/>
    <col min="11279" max="11279" width="8.28515625" bestFit="1" customWidth="1"/>
    <col min="11280" max="11280" width="4.85546875" bestFit="1" customWidth="1"/>
    <col min="11281" max="11281" width="12" customWidth="1"/>
    <col min="11282" max="11282" width="8.28515625" customWidth="1"/>
    <col min="11283" max="11283" width="11.140625" customWidth="1"/>
    <col min="11284" max="11285" width="11.7109375" bestFit="1" customWidth="1"/>
    <col min="11286" max="11286" width="17.28515625" bestFit="1" customWidth="1"/>
    <col min="11287" max="11287" width="17.28515625" customWidth="1"/>
    <col min="11288" max="11288" width="13.7109375" bestFit="1" customWidth="1"/>
    <col min="11289" max="11289" width="25.140625" bestFit="1" customWidth="1"/>
    <col min="11290" max="11290" width="15.140625" bestFit="1" customWidth="1"/>
    <col min="11291" max="11291" width="21" bestFit="1" customWidth="1"/>
    <col min="11522" max="11522" width="14" bestFit="1" customWidth="1"/>
    <col min="11523" max="11523" width="13.140625" customWidth="1"/>
    <col min="11524" max="11524" width="14.85546875" customWidth="1"/>
    <col min="11526" max="11526" width="15.140625" bestFit="1" customWidth="1"/>
    <col min="11527" max="11527" width="19.28515625" bestFit="1" customWidth="1"/>
    <col min="11528" max="11528" width="8.28515625" bestFit="1" customWidth="1"/>
    <col min="11529" max="11529" width="4.85546875" bestFit="1" customWidth="1"/>
    <col min="11530" max="11530" width="13.28515625" customWidth="1"/>
    <col min="11531" max="11531" width="9.7109375" customWidth="1"/>
    <col min="11532" max="11532" width="11.85546875" customWidth="1"/>
    <col min="11533" max="11533" width="12.5703125" bestFit="1" customWidth="1"/>
    <col min="11534" max="11534" width="19.28515625" bestFit="1" customWidth="1"/>
    <col min="11535" max="11535" width="8.28515625" bestFit="1" customWidth="1"/>
    <col min="11536" max="11536" width="4.85546875" bestFit="1" customWidth="1"/>
    <col min="11537" max="11537" width="12" customWidth="1"/>
    <col min="11538" max="11538" width="8.28515625" customWidth="1"/>
    <col min="11539" max="11539" width="11.140625" customWidth="1"/>
    <col min="11540" max="11541" width="11.7109375" bestFit="1" customWidth="1"/>
    <col min="11542" max="11542" width="17.28515625" bestFit="1" customWidth="1"/>
    <col min="11543" max="11543" width="17.28515625" customWidth="1"/>
    <col min="11544" max="11544" width="13.7109375" bestFit="1" customWidth="1"/>
    <col min="11545" max="11545" width="25.140625" bestFit="1" customWidth="1"/>
    <col min="11546" max="11546" width="15.140625" bestFit="1" customWidth="1"/>
    <col min="11547" max="11547" width="21" bestFit="1" customWidth="1"/>
    <col min="11778" max="11778" width="14" bestFit="1" customWidth="1"/>
    <col min="11779" max="11779" width="13.140625" customWidth="1"/>
    <col min="11780" max="11780" width="14.85546875" customWidth="1"/>
    <col min="11782" max="11782" width="15.140625" bestFit="1" customWidth="1"/>
    <col min="11783" max="11783" width="19.28515625" bestFit="1" customWidth="1"/>
    <col min="11784" max="11784" width="8.28515625" bestFit="1" customWidth="1"/>
    <col min="11785" max="11785" width="4.85546875" bestFit="1" customWidth="1"/>
    <col min="11786" max="11786" width="13.28515625" customWidth="1"/>
    <col min="11787" max="11787" width="9.7109375" customWidth="1"/>
    <col min="11788" max="11788" width="11.85546875" customWidth="1"/>
    <col min="11789" max="11789" width="12.5703125" bestFit="1" customWidth="1"/>
    <col min="11790" max="11790" width="19.28515625" bestFit="1" customWidth="1"/>
    <col min="11791" max="11791" width="8.28515625" bestFit="1" customWidth="1"/>
    <col min="11792" max="11792" width="4.85546875" bestFit="1" customWidth="1"/>
    <col min="11793" max="11793" width="12" customWidth="1"/>
    <col min="11794" max="11794" width="8.28515625" customWidth="1"/>
    <col min="11795" max="11795" width="11.140625" customWidth="1"/>
    <col min="11796" max="11797" width="11.7109375" bestFit="1" customWidth="1"/>
    <col min="11798" max="11798" width="17.28515625" bestFit="1" customWidth="1"/>
    <col min="11799" max="11799" width="17.28515625" customWidth="1"/>
    <col min="11800" max="11800" width="13.7109375" bestFit="1" customWidth="1"/>
    <col min="11801" max="11801" width="25.140625" bestFit="1" customWidth="1"/>
    <col min="11802" max="11802" width="15.140625" bestFit="1" customWidth="1"/>
    <col min="11803" max="11803" width="21" bestFit="1" customWidth="1"/>
    <col min="12034" max="12034" width="14" bestFit="1" customWidth="1"/>
    <col min="12035" max="12035" width="13.140625" customWidth="1"/>
    <col min="12036" max="12036" width="14.85546875" customWidth="1"/>
    <col min="12038" max="12038" width="15.140625" bestFit="1" customWidth="1"/>
    <col min="12039" max="12039" width="19.28515625" bestFit="1" customWidth="1"/>
    <col min="12040" max="12040" width="8.28515625" bestFit="1" customWidth="1"/>
    <col min="12041" max="12041" width="4.85546875" bestFit="1" customWidth="1"/>
    <col min="12042" max="12042" width="13.28515625" customWidth="1"/>
    <col min="12043" max="12043" width="9.7109375" customWidth="1"/>
    <col min="12044" max="12044" width="11.85546875" customWidth="1"/>
    <col min="12045" max="12045" width="12.5703125" bestFit="1" customWidth="1"/>
    <col min="12046" max="12046" width="19.28515625" bestFit="1" customWidth="1"/>
    <col min="12047" max="12047" width="8.28515625" bestFit="1" customWidth="1"/>
    <col min="12048" max="12048" width="4.85546875" bestFit="1" customWidth="1"/>
    <col min="12049" max="12049" width="12" customWidth="1"/>
    <col min="12050" max="12050" width="8.28515625" customWidth="1"/>
    <col min="12051" max="12051" width="11.140625" customWidth="1"/>
    <col min="12052" max="12053" width="11.7109375" bestFit="1" customWidth="1"/>
    <col min="12054" max="12054" width="17.28515625" bestFit="1" customWidth="1"/>
    <col min="12055" max="12055" width="17.28515625" customWidth="1"/>
    <col min="12056" max="12056" width="13.7109375" bestFit="1" customWidth="1"/>
    <col min="12057" max="12057" width="25.140625" bestFit="1" customWidth="1"/>
    <col min="12058" max="12058" width="15.140625" bestFit="1" customWidth="1"/>
    <col min="12059" max="12059" width="21" bestFit="1" customWidth="1"/>
    <col min="12290" max="12290" width="14" bestFit="1" customWidth="1"/>
    <col min="12291" max="12291" width="13.140625" customWidth="1"/>
    <col min="12292" max="12292" width="14.85546875" customWidth="1"/>
    <col min="12294" max="12294" width="15.140625" bestFit="1" customWidth="1"/>
    <col min="12295" max="12295" width="19.28515625" bestFit="1" customWidth="1"/>
    <col min="12296" max="12296" width="8.28515625" bestFit="1" customWidth="1"/>
    <col min="12297" max="12297" width="4.85546875" bestFit="1" customWidth="1"/>
    <col min="12298" max="12298" width="13.28515625" customWidth="1"/>
    <col min="12299" max="12299" width="9.7109375" customWidth="1"/>
    <col min="12300" max="12300" width="11.85546875" customWidth="1"/>
    <col min="12301" max="12301" width="12.5703125" bestFit="1" customWidth="1"/>
    <col min="12302" max="12302" width="19.28515625" bestFit="1" customWidth="1"/>
    <col min="12303" max="12303" width="8.28515625" bestFit="1" customWidth="1"/>
    <col min="12304" max="12304" width="4.85546875" bestFit="1" customWidth="1"/>
    <col min="12305" max="12305" width="12" customWidth="1"/>
    <col min="12306" max="12306" width="8.28515625" customWidth="1"/>
    <col min="12307" max="12307" width="11.140625" customWidth="1"/>
    <col min="12308" max="12309" width="11.7109375" bestFit="1" customWidth="1"/>
    <col min="12310" max="12310" width="17.28515625" bestFit="1" customWidth="1"/>
    <col min="12311" max="12311" width="17.28515625" customWidth="1"/>
    <col min="12312" max="12312" width="13.7109375" bestFit="1" customWidth="1"/>
    <col min="12313" max="12313" width="25.140625" bestFit="1" customWidth="1"/>
    <col min="12314" max="12314" width="15.140625" bestFit="1" customWidth="1"/>
    <col min="12315" max="12315" width="21" bestFit="1" customWidth="1"/>
    <col min="12546" max="12546" width="14" bestFit="1" customWidth="1"/>
    <col min="12547" max="12547" width="13.140625" customWidth="1"/>
    <col min="12548" max="12548" width="14.85546875" customWidth="1"/>
    <col min="12550" max="12550" width="15.140625" bestFit="1" customWidth="1"/>
    <col min="12551" max="12551" width="19.28515625" bestFit="1" customWidth="1"/>
    <col min="12552" max="12552" width="8.28515625" bestFit="1" customWidth="1"/>
    <col min="12553" max="12553" width="4.85546875" bestFit="1" customWidth="1"/>
    <col min="12554" max="12554" width="13.28515625" customWidth="1"/>
    <col min="12555" max="12555" width="9.7109375" customWidth="1"/>
    <col min="12556" max="12556" width="11.85546875" customWidth="1"/>
    <col min="12557" max="12557" width="12.5703125" bestFit="1" customWidth="1"/>
    <col min="12558" max="12558" width="19.28515625" bestFit="1" customWidth="1"/>
    <col min="12559" max="12559" width="8.28515625" bestFit="1" customWidth="1"/>
    <col min="12560" max="12560" width="4.85546875" bestFit="1" customWidth="1"/>
    <col min="12561" max="12561" width="12" customWidth="1"/>
    <col min="12562" max="12562" width="8.28515625" customWidth="1"/>
    <col min="12563" max="12563" width="11.140625" customWidth="1"/>
    <col min="12564" max="12565" width="11.7109375" bestFit="1" customWidth="1"/>
    <col min="12566" max="12566" width="17.28515625" bestFit="1" customWidth="1"/>
    <col min="12567" max="12567" width="17.28515625" customWidth="1"/>
    <col min="12568" max="12568" width="13.7109375" bestFit="1" customWidth="1"/>
    <col min="12569" max="12569" width="25.140625" bestFit="1" customWidth="1"/>
    <col min="12570" max="12570" width="15.140625" bestFit="1" customWidth="1"/>
    <col min="12571" max="12571" width="21" bestFit="1" customWidth="1"/>
    <col min="12802" max="12802" width="14" bestFit="1" customWidth="1"/>
    <col min="12803" max="12803" width="13.140625" customWidth="1"/>
    <col min="12804" max="12804" width="14.85546875" customWidth="1"/>
    <col min="12806" max="12806" width="15.140625" bestFit="1" customWidth="1"/>
    <col min="12807" max="12807" width="19.28515625" bestFit="1" customWidth="1"/>
    <col min="12808" max="12808" width="8.28515625" bestFit="1" customWidth="1"/>
    <col min="12809" max="12809" width="4.85546875" bestFit="1" customWidth="1"/>
    <col min="12810" max="12810" width="13.28515625" customWidth="1"/>
    <col min="12811" max="12811" width="9.7109375" customWidth="1"/>
    <col min="12812" max="12812" width="11.85546875" customWidth="1"/>
    <col min="12813" max="12813" width="12.5703125" bestFit="1" customWidth="1"/>
    <col min="12814" max="12814" width="19.28515625" bestFit="1" customWidth="1"/>
    <col min="12815" max="12815" width="8.28515625" bestFit="1" customWidth="1"/>
    <col min="12816" max="12816" width="4.85546875" bestFit="1" customWidth="1"/>
    <col min="12817" max="12817" width="12" customWidth="1"/>
    <col min="12818" max="12818" width="8.28515625" customWidth="1"/>
    <col min="12819" max="12819" width="11.140625" customWidth="1"/>
    <col min="12820" max="12821" width="11.7109375" bestFit="1" customWidth="1"/>
    <col min="12822" max="12822" width="17.28515625" bestFit="1" customWidth="1"/>
    <col min="12823" max="12823" width="17.28515625" customWidth="1"/>
    <col min="12824" max="12824" width="13.7109375" bestFit="1" customWidth="1"/>
    <col min="12825" max="12825" width="25.140625" bestFit="1" customWidth="1"/>
    <col min="12826" max="12826" width="15.140625" bestFit="1" customWidth="1"/>
    <col min="12827" max="12827" width="21" bestFit="1" customWidth="1"/>
    <col min="13058" max="13058" width="14" bestFit="1" customWidth="1"/>
    <col min="13059" max="13059" width="13.140625" customWidth="1"/>
    <col min="13060" max="13060" width="14.85546875" customWidth="1"/>
    <col min="13062" max="13062" width="15.140625" bestFit="1" customWidth="1"/>
    <col min="13063" max="13063" width="19.28515625" bestFit="1" customWidth="1"/>
    <col min="13064" max="13064" width="8.28515625" bestFit="1" customWidth="1"/>
    <col min="13065" max="13065" width="4.85546875" bestFit="1" customWidth="1"/>
    <col min="13066" max="13066" width="13.28515625" customWidth="1"/>
    <col min="13067" max="13067" width="9.7109375" customWidth="1"/>
    <col min="13068" max="13068" width="11.85546875" customWidth="1"/>
    <col min="13069" max="13069" width="12.5703125" bestFit="1" customWidth="1"/>
    <col min="13070" max="13070" width="19.28515625" bestFit="1" customWidth="1"/>
    <col min="13071" max="13071" width="8.28515625" bestFit="1" customWidth="1"/>
    <col min="13072" max="13072" width="4.85546875" bestFit="1" customWidth="1"/>
    <col min="13073" max="13073" width="12" customWidth="1"/>
    <col min="13074" max="13074" width="8.28515625" customWidth="1"/>
    <col min="13075" max="13075" width="11.140625" customWidth="1"/>
    <col min="13076" max="13077" width="11.7109375" bestFit="1" customWidth="1"/>
    <col min="13078" max="13078" width="17.28515625" bestFit="1" customWidth="1"/>
    <col min="13079" max="13079" width="17.28515625" customWidth="1"/>
    <col min="13080" max="13080" width="13.7109375" bestFit="1" customWidth="1"/>
    <col min="13081" max="13081" width="25.140625" bestFit="1" customWidth="1"/>
    <col min="13082" max="13082" width="15.140625" bestFit="1" customWidth="1"/>
    <col min="13083" max="13083" width="21" bestFit="1" customWidth="1"/>
    <col min="13314" max="13314" width="14" bestFit="1" customWidth="1"/>
    <col min="13315" max="13315" width="13.140625" customWidth="1"/>
    <col min="13316" max="13316" width="14.85546875" customWidth="1"/>
    <col min="13318" max="13318" width="15.140625" bestFit="1" customWidth="1"/>
    <col min="13319" max="13319" width="19.28515625" bestFit="1" customWidth="1"/>
    <col min="13320" max="13320" width="8.28515625" bestFit="1" customWidth="1"/>
    <col min="13321" max="13321" width="4.85546875" bestFit="1" customWidth="1"/>
    <col min="13322" max="13322" width="13.28515625" customWidth="1"/>
    <col min="13323" max="13323" width="9.7109375" customWidth="1"/>
    <col min="13324" max="13324" width="11.85546875" customWidth="1"/>
    <col min="13325" max="13325" width="12.5703125" bestFit="1" customWidth="1"/>
    <col min="13326" max="13326" width="19.28515625" bestFit="1" customWidth="1"/>
    <col min="13327" max="13327" width="8.28515625" bestFit="1" customWidth="1"/>
    <col min="13328" max="13328" width="4.85546875" bestFit="1" customWidth="1"/>
    <col min="13329" max="13329" width="12" customWidth="1"/>
    <col min="13330" max="13330" width="8.28515625" customWidth="1"/>
    <col min="13331" max="13331" width="11.140625" customWidth="1"/>
    <col min="13332" max="13333" width="11.7109375" bestFit="1" customWidth="1"/>
    <col min="13334" max="13334" width="17.28515625" bestFit="1" customWidth="1"/>
    <col min="13335" max="13335" width="17.28515625" customWidth="1"/>
    <col min="13336" max="13336" width="13.7109375" bestFit="1" customWidth="1"/>
    <col min="13337" max="13337" width="25.140625" bestFit="1" customWidth="1"/>
    <col min="13338" max="13338" width="15.140625" bestFit="1" customWidth="1"/>
    <col min="13339" max="13339" width="21" bestFit="1" customWidth="1"/>
    <col min="13570" max="13570" width="14" bestFit="1" customWidth="1"/>
    <col min="13571" max="13571" width="13.140625" customWidth="1"/>
    <col min="13572" max="13572" width="14.85546875" customWidth="1"/>
    <col min="13574" max="13574" width="15.140625" bestFit="1" customWidth="1"/>
    <col min="13575" max="13575" width="19.28515625" bestFit="1" customWidth="1"/>
    <col min="13576" max="13576" width="8.28515625" bestFit="1" customWidth="1"/>
    <col min="13577" max="13577" width="4.85546875" bestFit="1" customWidth="1"/>
    <col min="13578" max="13578" width="13.28515625" customWidth="1"/>
    <col min="13579" max="13579" width="9.7109375" customWidth="1"/>
    <col min="13580" max="13580" width="11.85546875" customWidth="1"/>
    <col min="13581" max="13581" width="12.5703125" bestFit="1" customWidth="1"/>
    <col min="13582" max="13582" width="19.28515625" bestFit="1" customWidth="1"/>
    <col min="13583" max="13583" width="8.28515625" bestFit="1" customWidth="1"/>
    <col min="13584" max="13584" width="4.85546875" bestFit="1" customWidth="1"/>
    <col min="13585" max="13585" width="12" customWidth="1"/>
    <col min="13586" max="13586" width="8.28515625" customWidth="1"/>
    <col min="13587" max="13587" width="11.140625" customWidth="1"/>
    <col min="13588" max="13589" width="11.7109375" bestFit="1" customWidth="1"/>
    <col min="13590" max="13590" width="17.28515625" bestFit="1" customWidth="1"/>
    <col min="13591" max="13591" width="17.28515625" customWidth="1"/>
    <col min="13592" max="13592" width="13.7109375" bestFit="1" customWidth="1"/>
    <col min="13593" max="13593" width="25.140625" bestFit="1" customWidth="1"/>
    <col min="13594" max="13594" width="15.140625" bestFit="1" customWidth="1"/>
    <col min="13595" max="13595" width="21" bestFit="1" customWidth="1"/>
    <col min="13826" max="13826" width="14" bestFit="1" customWidth="1"/>
    <col min="13827" max="13827" width="13.140625" customWidth="1"/>
    <col min="13828" max="13828" width="14.85546875" customWidth="1"/>
    <col min="13830" max="13830" width="15.140625" bestFit="1" customWidth="1"/>
    <col min="13831" max="13831" width="19.28515625" bestFit="1" customWidth="1"/>
    <col min="13832" max="13832" width="8.28515625" bestFit="1" customWidth="1"/>
    <col min="13833" max="13833" width="4.85546875" bestFit="1" customWidth="1"/>
    <col min="13834" max="13834" width="13.28515625" customWidth="1"/>
    <col min="13835" max="13835" width="9.7109375" customWidth="1"/>
    <col min="13836" max="13836" width="11.85546875" customWidth="1"/>
    <col min="13837" max="13837" width="12.5703125" bestFit="1" customWidth="1"/>
    <col min="13838" max="13838" width="19.28515625" bestFit="1" customWidth="1"/>
    <col min="13839" max="13839" width="8.28515625" bestFit="1" customWidth="1"/>
    <col min="13840" max="13840" width="4.85546875" bestFit="1" customWidth="1"/>
    <col min="13841" max="13841" width="12" customWidth="1"/>
    <col min="13842" max="13842" width="8.28515625" customWidth="1"/>
    <col min="13843" max="13843" width="11.140625" customWidth="1"/>
    <col min="13844" max="13845" width="11.7109375" bestFit="1" customWidth="1"/>
    <col min="13846" max="13846" width="17.28515625" bestFit="1" customWidth="1"/>
    <col min="13847" max="13847" width="17.28515625" customWidth="1"/>
    <col min="13848" max="13848" width="13.7109375" bestFit="1" customWidth="1"/>
    <col min="13849" max="13849" width="25.140625" bestFit="1" customWidth="1"/>
    <col min="13850" max="13850" width="15.140625" bestFit="1" customWidth="1"/>
    <col min="13851" max="13851" width="21" bestFit="1" customWidth="1"/>
    <col min="14082" max="14082" width="14" bestFit="1" customWidth="1"/>
    <col min="14083" max="14083" width="13.140625" customWidth="1"/>
    <col min="14084" max="14084" width="14.85546875" customWidth="1"/>
    <col min="14086" max="14086" width="15.140625" bestFit="1" customWidth="1"/>
    <col min="14087" max="14087" width="19.28515625" bestFit="1" customWidth="1"/>
    <col min="14088" max="14088" width="8.28515625" bestFit="1" customWidth="1"/>
    <col min="14089" max="14089" width="4.85546875" bestFit="1" customWidth="1"/>
    <col min="14090" max="14090" width="13.28515625" customWidth="1"/>
    <col min="14091" max="14091" width="9.7109375" customWidth="1"/>
    <col min="14092" max="14092" width="11.85546875" customWidth="1"/>
    <col min="14093" max="14093" width="12.5703125" bestFit="1" customWidth="1"/>
    <col min="14094" max="14094" width="19.28515625" bestFit="1" customWidth="1"/>
    <col min="14095" max="14095" width="8.28515625" bestFit="1" customWidth="1"/>
    <col min="14096" max="14096" width="4.85546875" bestFit="1" customWidth="1"/>
    <col min="14097" max="14097" width="12" customWidth="1"/>
    <col min="14098" max="14098" width="8.28515625" customWidth="1"/>
    <col min="14099" max="14099" width="11.140625" customWidth="1"/>
    <col min="14100" max="14101" width="11.7109375" bestFit="1" customWidth="1"/>
    <col min="14102" max="14102" width="17.28515625" bestFit="1" customWidth="1"/>
    <col min="14103" max="14103" width="17.28515625" customWidth="1"/>
    <col min="14104" max="14104" width="13.7109375" bestFit="1" customWidth="1"/>
    <col min="14105" max="14105" width="25.140625" bestFit="1" customWidth="1"/>
    <col min="14106" max="14106" width="15.140625" bestFit="1" customWidth="1"/>
    <col min="14107" max="14107" width="21" bestFit="1" customWidth="1"/>
    <col min="14338" max="14338" width="14" bestFit="1" customWidth="1"/>
    <col min="14339" max="14339" width="13.140625" customWidth="1"/>
    <col min="14340" max="14340" width="14.85546875" customWidth="1"/>
    <col min="14342" max="14342" width="15.140625" bestFit="1" customWidth="1"/>
    <col min="14343" max="14343" width="19.28515625" bestFit="1" customWidth="1"/>
    <col min="14344" max="14344" width="8.28515625" bestFit="1" customWidth="1"/>
    <col min="14345" max="14345" width="4.85546875" bestFit="1" customWidth="1"/>
    <col min="14346" max="14346" width="13.28515625" customWidth="1"/>
    <col min="14347" max="14347" width="9.7109375" customWidth="1"/>
    <col min="14348" max="14348" width="11.85546875" customWidth="1"/>
    <col min="14349" max="14349" width="12.5703125" bestFit="1" customWidth="1"/>
    <col min="14350" max="14350" width="19.28515625" bestFit="1" customWidth="1"/>
    <col min="14351" max="14351" width="8.28515625" bestFit="1" customWidth="1"/>
    <col min="14352" max="14352" width="4.85546875" bestFit="1" customWidth="1"/>
    <col min="14353" max="14353" width="12" customWidth="1"/>
    <col min="14354" max="14354" width="8.28515625" customWidth="1"/>
    <col min="14355" max="14355" width="11.140625" customWidth="1"/>
    <col min="14356" max="14357" width="11.7109375" bestFit="1" customWidth="1"/>
    <col min="14358" max="14358" width="17.28515625" bestFit="1" customWidth="1"/>
    <col min="14359" max="14359" width="17.28515625" customWidth="1"/>
    <col min="14360" max="14360" width="13.7109375" bestFit="1" customWidth="1"/>
    <col min="14361" max="14361" width="25.140625" bestFit="1" customWidth="1"/>
    <col min="14362" max="14362" width="15.140625" bestFit="1" customWidth="1"/>
    <col min="14363" max="14363" width="21" bestFit="1" customWidth="1"/>
    <col min="14594" max="14594" width="14" bestFit="1" customWidth="1"/>
    <col min="14595" max="14595" width="13.140625" customWidth="1"/>
    <col min="14596" max="14596" width="14.85546875" customWidth="1"/>
    <col min="14598" max="14598" width="15.140625" bestFit="1" customWidth="1"/>
    <col min="14599" max="14599" width="19.28515625" bestFit="1" customWidth="1"/>
    <col min="14600" max="14600" width="8.28515625" bestFit="1" customWidth="1"/>
    <col min="14601" max="14601" width="4.85546875" bestFit="1" customWidth="1"/>
    <col min="14602" max="14602" width="13.28515625" customWidth="1"/>
    <col min="14603" max="14603" width="9.7109375" customWidth="1"/>
    <col min="14604" max="14604" width="11.85546875" customWidth="1"/>
    <col min="14605" max="14605" width="12.5703125" bestFit="1" customWidth="1"/>
    <col min="14606" max="14606" width="19.28515625" bestFit="1" customWidth="1"/>
    <col min="14607" max="14607" width="8.28515625" bestFit="1" customWidth="1"/>
    <col min="14608" max="14608" width="4.85546875" bestFit="1" customWidth="1"/>
    <col min="14609" max="14609" width="12" customWidth="1"/>
    <col min="14610" max="14610" width="8.28515625" customWidth="1"/>
    <col min="14611" max="14611" width="11.140625" customWidth="1"/>
    <col min="14612" max="14613" width="11.7109375" bestFit="1" customWidth="1"/>
    <col min="14614" max="14614" width="17.28515625" bestFit="1" customWidth="1"/>
    <col min="14615" max="14615" width="17.28515625" customWidth="1"/>
    <col min="14616" max="14616" width="13.7109375" bestFit="1" customWidth="1"/>
    <col min="14617" max="14617" width="25.140625" bestFit="1" customWidth="1"/>
    <col min="14618" max="14618" width="15.140625" bestFit="1" customWidth="1"/>
    <col min="14619" max="14619" width="21" bestFit="1" customWidth="1"/>
    <col min="14850" max="14850" width="14" bestFit="1" customWidth="1"/>
    <col min="14851" max="14851" width="13.140625" customWidth="1"/>
    <col min="14852" max="14852" width="14.85546875" customWidth="1"/>
    <col min="14854" max="14854" width="15.140625" bestFit="1" customWidth="1"/>
    <col min="14855" max="14855" width="19.28515625" bestFit="1" customWidth="1"/>
    <col min="14856" max="14856" width="8.28515625" bestFit="1" customWidth="1"/>
    <col min="14857" max="14857" width="4.85546875" bestFit="1" customWidth="1"/>
    <col min="14858" max="14858" width="13.28515625" customWidth="1"/>
    <col min="14859" max="14859" width="9.7109375" customWidth="1"/>
    <col min="14860" max="14860" width="11.85546875" customWidth="1"/>
    <col min="14861" max="14861" width="12.5703125" bestFit="1" customWidth="1"/>
    <col min="14862" max="14862" width="19.28515625" bestFit="1" customWidth="1"/>
    <col min="14863" max="14863" width="8.28515625" bestFit="1" customWidth="1"/>
    <col min="14864" max="14864" width="4.85546875" bestFit="1" customWidth="1"/>
    <col min="14865" max="14865" width="12" customWidth="1"/>
    <col min="14866" max="14866" width="8.28515625" customWidth="1"/>
    <col min="14867" max="14867" width="11.140625" customWidth="1"/>
    <col min="14868" max="14869" width="11.7109375" bestFit="1" customWidth="1"/>
    <col min="14870" max="14870" width="17.28515625" bestFit="1" customWidth="1"/>
    <col min="14871" max="14871" width="17.28515625" customWidth="1"/>
    <col min="14872" max="14872" width="13.7109375" bestFit="1" customWidth="1"/>
    <col min="14873" max="14873" width="25.140625" bestFit="1" customWidth="1"/>
    <col min="14874" max="14874" width="15.140625" bestFit="1" customWidth="1"/>
    <col min="14875" max="14875" width="21" bestFit="1" customWidth="1"/>
    <col min="15106" max="15106" width="14" bestFit="1" customWidth="1"/>
    <col min="15107" max="15107" width="13.140625" customWidth="1"/>
    <col min="15108" max="15108" width="14.85546875" customWidth="1"/>
    <col min="15110" max="15110" width="15.140625" bestFit="1" customWidth="1"/>
    <col min="15111" max="15111" width="19.28515625" bestFit="1" customWidth="1"/>
    <col min="15112" max="15112" width="8.28515625" bestFit="1" customWidth="1"/>
    <col min="15113" max="15113" width="4.85546875" bestFit="1" customWidth="1"/>
    <col min="15114" max="15114" width="13.28515625" customWidth="1"/>
    <col min="15115" max="15115" width="9.7109375" customWidth="1"/>
    <col min="15116" max="15116" width="11.85546875" customWidth="1"/>
    <col min="15117" max="15117" width="12.5703125" bestFit="1" customWidth="1"/>
    <col min="15118" max="15118" width="19.28515625" bestFit="1" customWidth="1"/>
    <col min="15119" max="15119" width="8.28515625" bestFit="1" customWidth="1"/>
    <col min="15120" max="15120" width="4.85546875" bestFit="1" customWidth="1"/>
    <col min="15121" max="15121" width="12" customWidth="1"/>
    <col min="15122" max="15122" width="8.28515625" customWidth="1"/>
    <col min="15123" max="15123" width="11.140625" customWidth="1"/>
    <col min="15124" max="15125" width="11.7109375" bestFit="1" customWidth="1"/>
    <col min="15126" max="15126" width="17.28515625" bestFit="1" customWidth="1"/>
    <col min="15127" max="15127" width="17.28515625" customWidth="1"/>
    <col min="15128" max="15128" width="13.7109375" bestFit="1" customWidth="1"/>
    <col min="15129" max="15129" width="25.140625" bestFit="1" customWidth="1"/>
    <col min="15130" max="15130" width="15.140625" bestFit="1" customWidth="1"/>
    <col min="15131" max="15131" width="21" bestFit="1" customWidth="1"/>
    <col min="15362" max="15362" width="14" bestFit="1" customWidth="1"/>
    <col min="15363" max="15363" width="13.140625" customWidth="1"/>
    <col min="15364" max="15364" width="14.85546875" customWidth="1"/>
    <col min="15366" max="15366" width="15.140625" bestFit="1" customWidth="1"/>
    <col min="15367" max="15367" width="19.28515625" bestFit="1" customWidth="1"/>
    <col min="15368" max="15368" width="8.28515625" bestFit="1" customWidth="1"/>
    <col min="15369" max="15369" width="4.85546875" bestFit="1" customWidth="1"/>
    <col min="15370" max="15370" width="13.28515625" customWidth="1"/>
    <col min="15371" max="15371" width="9.7109375" customWidth="1"/>
    <col min="15372" max="15372" width="11.85546875" customWidth="1"/>
    <col min="15373" max="15373" width="12.5703125" bestFit="1" customWidth="1"/>
    <col min="15374" max="15374" width="19.28515625" bestFit="1" customWidth="1"/>
    <col min="15375" max="15375" width="8.28515625" bestFit="1" customWidth="1"/>
    <col min="15376" max="15376" width="4.85546875" bestFit="1" customWidth="1"/>
    <col min="15377" max="15377" width="12" customWidth="1"/>
    <col min="15378" max="15378" width="8.28515625" customWidth="1"/>
    <col min="15379" max="15379" width="11.140625" customWidth="1"/>
    <col min="15380" max="15381" width="11.7109375" bestFit="1" customWidth="1"/>
    <col min="15382" max="15382" width="17.28515625" bestFit="1" customWidth="1"/>
    <col min="15383" max="15383" width="17.28515625" customWidth="1"/>
    <col min="15384" max="15384" width="13.7109375" bestFit="1" customWidth="1"/>
    <col min="15385" max="15385" width="25.140625" bestFit="1" customWidth="1"/>
    <col min="15386" max="15386" width="15.140625" bestFit="1" customWidth="1"/>
    <col min="15387" max="15387" width="21" bestFit="1" customWidth="1"/>
    <col min="15618" max="15618" width="14" bestFit="1" customWidth="1"/>
    <col min="15619" max="15619" width="13.140625" customWidth="1"/>
    <col min="15620" max="15620" width="14.85546875" customWidth="1"/>
    <col min="15622" max="15622" width="15.140625" bestFit="1" customWidth="1"/>
    <col min="15623" max="15623" width="19.28515625" bestFit="1" customWidth="1"/>
    <col min="15624" max="15624" width="8.28515625" bestFit="1" customWidth="1"/>
    <col min="15625" max="15625" width="4.85546875" bestFit="1" customWidth="1"/>
    <col min="15626" max="15626" width="13.28515625" customWidth="1"/>
    <col min="15627" max="15627" width="9.7109375" customWidth="1"/>
    <col min="15628" max="15628" width="11.85546875" customWidth="1"/>
    <col min="15629" max="15629" width="12.5703125" bestFit="1" customWidth="1"/>
    <col min="15630" max="15630" width="19.28515625" bestFit="1" customWidth="1"/>
    <col min="15631" max="15631" width="8.28515625" bestFit="1" customWidth="1"/>
    <col min="15632" max="15632" width="4.85546875" bestFit="1" customWidth="1"/>
    <col min="15633" max="15633" width="12" customWidth="1"/>
    <col min="15634" max="15634" width="8.28515625" customWidth="1"/>
    <col min="15635" max="15635" width="11.140625" customWidth="1"/>
    <col min="15636" max="15637" width="11.7109375" bestFit="1" customWidth="1"/>
    <col min="15638" max="15638" width="17.28515625" bestFit="1" customWidth="1"/>
    <col min="15639" max="15639" width="17.28515625" customWidth="1"/>
    <col min="15640" max="15640" width="13.7109375" bestFit="1" customWidth="1"/>
    <col min="15641" max="15641" width="25.140625" bestFit="1" customWidth="1"/>
    <col min="15642" max="15642" width="15.140625" bestFit="1" customWidth="1"/>
    <col min="15643" max="15643" width="21" bestFit="1" customWidth="1"/>
    <col min="15874" max="15874" width="14" bestFit="1" customWidth="1"/>
    <col min="15875" max="15875" width="13.140625" customWidth="1"/>
    <col min="15876" max="15876" width="14.85546875" customWidth="1"/>
    <col min="15878" max="15878" width="15.140625" bestFit="1" customWidth="1"/>
    <col min="15879" max="15879" width="19.28515625" bestFit="1" customWidth="1"/>
    <col min="15880" max="15880" width="8.28515625" bestFit="1" customWidth="1"/>
    <col min="15881" max="15881" width="4.85546875" bestFit="1" customWidth="1"/>
    <col min="15882" max="15882" width="13.28515625" customWidth="1"/>
    <col min="15883" max="15883" width="9.7109375" customWidth="1"/>
    <col min="15884" max="15884" width="11.85546875" customWidth="1"/>
    <col min="15885" max="15885" width="12.5703125" bestFit="1" customWidth="1"/>
    <col min="15886" max="15886" width="19.28515625" bestFit="1" customWidth="1"/>
    <col min="15887" max="15887" width="8.28515625" bestFit="1" customWidth="1"/>
    <col min="15888" max="15888" width="4.85546875" bestFit="1" customWidth="1"/>
    <col min="15889" max="15889" width="12" customWidth="1"/>
    <col min="15890" max="15890" width="8.28515625" customWidth="1"/>
    <col min="15891" max="15891" width="11.140625" customWidth="1"/>
    <col min="15892" max="15893" width="11.7109375" bestFit="1" customWidth="1"/>
    <col min="15894" max="15894" width="17.28515625" bestFit="1" customWidth="1"/>
    <col min="15895" max="15895" width="17.28515625" customWidth="1"/>
    <col min="15896" max="15896" width="13.7109375" bestFit="1" customWidth="1"/>
    <col min="15897" max="15897" width="25.140625" bestFit="1" customWidth="1"/>
    <col min="15898" max="15898" width="15.140625" bestFit="1" customWidth="1"/>
    <col min="15899" max="15899" width="21" bestFit="1" customWidth="1"/>
    <col min="16130" max="16130" width="14" bestFit="1" customWidth="1"/>
    <col min="16131" max="16131" width="13.140625" customWidth="1"/>
    <col min="16132" max="16132" width="14.85546875" customWidth="1"/>
    <col min="16134" max="16134" width="15.140625" bestFit="1" customWidth="1"/>
    <col min="16135" max="16135" width="19.28515625" bestFit="1" customWidth="1"/>
    <col min="16136" max="16136" width="8.28515625" bestFit="1" customWidth="1"/>
    <col min="16137" max="16137" width="4.85546875" bestFit="1" customWidth="1"/>
    <col min="16138" max="16138" width="13.28515625" customWidth="1"/>
    <col min="16139" max="16139" width="9.7109375" customWidth="1"/>
    <col min="16140" max="16140" width="11.85546875" customWidth="1"/>
    <col min="16141" max="16141" width="12.5703125" bestFit="1" customWidth="1"/>
    <col min="16142" max="16142" width="19.28515625" bestFit="1" customWidth="1"/>
    <col min="16143" max="16143" width="8.28515625" bestFit="1" customWidth="1"/>
    <col min="16144" max="16144" width="4.85546875" bestFit="1" customWidth="1"/>
    <col min="16145" max="16145" width="12" customWidth="1"/>
    <col min="16146" max="16146" width="8.28515625" customWidth="1"/>
    <col min="16147" max="16147" width="11.140625" customWidth="1"/>
    <col min="16148" max="16149" width="11.7109375" bestFit="1" customWidth="1"/>
    <col min="16150" max="16150" width="17.28515625" bestFit="1" customWidth="1"/>
    <col min="16151" max="16151" width="17.28515625" customWidth="1"/>
    <col min="16152" max="16152" width="13.7109375" bestFit="1" customWidth="1"/>
    <col min="16153" max="16153" width="25.140625" bestFit="1" customWidth="1"/>
    <col min="16154" max="16154" width="15.140625" bestFit="1" customWidth="1"/>
    <col min="16155" max="16155" width="21" bestFit="1" customWidth="1"/>
  </cols>
  <sheetData>
    <row r="4" spans="1:27" x14ac:dyDescent="0.25">
      <c r="D4" s="247" t="s">
        <v>0</v>
      </c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T4" s="1"/>
      <c r="U4" s="1"/>
      <c r="V4" s="250" t="s">
        <v>1</v>
      </c>
      <c r="W4" s="250"/>
      <c r="X4" s="250"/>
      <c r="Y4" s="250"/>
      <c r="Z4" s="251" t="s">
        <v>2</v>
      </c>
      <c r="AA4" s="251"/>
    </row>
    <row r="5" spans="1:27" ht="30" customHeight="1" x14ac:dyDescent="0.25">
      <c r="D5" s="2" t="s">
        <v>3</v>
      </c>
      <c r="E5" s="2" t="s">
        <v>4</v>
      </c>
      <c r="F5" s="3" t="s">
        <v>5</v>
      </c>
      <c r="G5" s="3" t="s">
        <v>6</v>
      </c>
      <c r="H5" s="252" t="s">
        <v>7</v>
      </c>
      <c r="I5" s="253"/>
      <c r="J5" s="254" t="s">
        <v>8</v>
      </c>
      <c r="K5" s="255"/>
      <c r="L5" s="256"/>
      <c r="M5" s="4" t="s">
        <v>9</v>
      </c>
      <c r="N5" s="4" t="s">
        <v>10</v>
      </c>
      <c r="O5" s="257" t="s">
        <v>7</v>
      </c>
      <c r="P5" s="257"/>
      <c r="Q5" s="258" t="s">
        <v>11</v>
      </c>
      <c r="R5" s="259"/>
      <c r="S5" s="260"/>
      <c r="T5" s="1" t="s">
        <v>12</v>
      </c>
      <c r="U5" s="1" t="s">
        <v>13</v>
      </c>
      <c r="V5" s="5" t="s">
        <v>14</v>
      </c>
      <c r="W5" s="5" t="s">
        <v>14</v>
      </c>
      <c r="X5" s="5" t="s">
        <v>15</v>
      </c>
      <c r="Y5" s="5" t="s">
        <v>16</v>
      </c>
      <c r="Z5" s="6" t="s">
        <v>17</v>
      </c>
      <c r="AA5" s="6" t="s">
        <v>18</v>
      </c>
    </row>
    <row r="6" spans="1:27" ht="44.25" customHeight="1" thickBot="1" x14ac:dyDescent="0.3">
      <c r="B6" s="7" t="s">
        <v>19</v>
      </c>
      <c r="C6" s="7" t="s">
        <v>20</v>
      </c>
      <c r="D6" s="8" t="s">
        <v>21</v>
      </c>
      <c r="E6" s="8" t="s">
        <v>22</v>
      </c>
      <c r="F6" s="9" t="s">
        <v>23</v>
      </c>
      <c r="G6" s="9" t="s">
        <v>24</v>
      </c>
      <c r="H6" s="10" t="s">
        <v>4</v>
      </c>
      <c r="I6" s="11" t="s">
        <v>25</v>
      </c>
      <c r="J6" s="12" t="s">
        <v>26</v>
      </c>
      <c r="K6" s="12" t="s">
        <v>25</v>
      </c>
      <c r="L6" s="13" t="s">
        <v>27</v>
      </c>
      <c r="M6" s="9" t="s">
        <v>26</v>
      </c>
      <c r="N6" s="9" t="s">
        <v>25</v>
      </c>
      <c r="O6" s="11" t="s">
        <v>4</v>
      </c>
      <c r="P6" s="14" t="s">
        <v>25</v>
      </c>
      <c r="Q6" s="15" t="s">
        <v>26</v>
      </c>
      <c r="R6" s="15" t="s">
        <v>25</v>
      </c>
      <c r="S6" s="16" t="s">
        <v>28</v>
      </c>
      <c r="T6" s="17"/>
      <c r="U6" s="17"/>
      <c r="V6" s="18" t="s">
        <v>26</v>
      </c>
      <c r="W6" s="18" t="s">
        <v>29</v>
      </c>
      <c r="X6" s="18" t="s">
        <v>30</v>
      </c>
      <c r="Y6" s="18" t="s">
        <v>26</v>
      </c>
      <c r="Z6" s="19" t="s">
        <v>26</v>
      </c>
      <c r="AA6" s="20" t="s">
        <v>26</v>
      </c>
    </row>
    <row r="7" spans="1:27" x14ac:dyDescent="0.25">
      <c r="A7" s="21" t="s">
        <v>138</v>
      </c>
      <c r="B7" s="22">
        <v>100000</v>
      </c>
      <c r="C7" s="22">
        <f>SUM(DELPHINE!S3:S59)</f>
        <v>185</v>
      </c>
      <c r="D7" s="23">
        <f>SUM(PORTEFEUILLE_DELPHINE[PCR COMPTABLE €]+SUM(PORTEFEUILLE_DELPHINE[RA FAIT PAR LE
COMPTABLE €]+SUM(PORTEFEUILLE_DELPHINE[AGOA COMPTABLE €])+SUM(PORTEFEUILLE_DELPHINE[SAISIE PAR LE COMPTABLE €])+SUM(PORTEFEUILLE_DELPHINE[TRAVAUX 
DE REVISION €]+SUM(PORTEFEUILLE_DELPHINE[DECLARATION TVA COMPTABLE €]+SUM(PORTEFEUILLE_DELPHINE[MONTANT
RESPONSABLE RELATION CLIENT €])))))</f>
        <v>965</v>
      </c>
      <c r="E7" s="24">
        <f>'Agence Stats Visas'!B4</f>
        <v>3</v>
      </c>
      <c r="F7" s="25">
        <f>D7-M7</f>
        <v>730</v>
      </c>
      <c r="G7" s="26">
        <f>IF(D7=0,0,F7/D7)</f>
        <v>0.75647668393782386</v>
      </c>
      <c r="H7" s="27">
        <f>'Agence Stats Visas'!C4</f>
        <v>0</v>
      </c>
      <c r="I7" s="26">
        <f>H7/E7</f>
        <v>0</v>
      </c>
      <c r="J7" s="28">
        <f>SUMIFS(DELPHINE!T3:T59,DELPHINE!BB3:BB59,"x")-SUMIFS(DELPHINE!T3:T59,DELPHINE!E3:E59,DATE(Paramètres!A4,Paramètres!D15,Paramètres!C15),DELPHINE!BB3:BB59,"x")</f>
        <v>0</v>
      </c>
      <c r="K7" s="29">
        <f>IF(J7&lt;&gt;"",J7/F7,0)</f>
        <v>0</v>
      </c>
      <c r="L7" s="30">
        <f>(F7-J7)/Paramètres!H4</f>
        <v>7.3</v>
      </c>
      <c r="M7" s="25">
        <f>SUMIFS(DELPHINE!T3:T59,DELPHINE!E3:E59,DATE(Paramètres!A4,Paramètres!D15,Paramètres!C15))</f>
        <v>235</v>
      </c>
      <c r="N7" s="26">
        <f>IF(M7=0,0,M7/D7)</f>
        <v>0.24352331606217617</v>
      </c>
      <c r="O7" s="31">
        <f>'Agence Stats Visas'!D4</f>
        <v>3</v>
      </c>
      <c r="P7" s="32">
        <f>O7/E7</f>
        <v>1</v>
      </c>
      <c r="Q7" s="33">
        <f>SUMIFS(DELPHINE!T3:T59,DELPHINE!E3:E59,DATE(Paramètres!A4,Paramètres!D15,Paramètres!C15),DELPHINE!BB3:BB59,"x")</f>
        <v>150</v>
      </c>
      <c r="R7" s="34">
        <f>Q7/M7</f>
        <v>0.63829787234042556</v>
      </c>
      <c r="S7" s="35">
        <f>(M7-Q7)/Paramètres!H4</f>
        <v>0.85</v>
      </c>
      <c r="T7" s="36" t="e">
        <f>SUM(DELPHINE!AV3:AV59)</f>
        <v>#VALUE!</v>
      </c>
      <c r="U7" s="36" t="e">
        <f>SUM(DELPHINE!AW3:AW59)</f>
        <v>#VALUE!</v>
      </c>
      <c r="V7" s="37">
        <f>B7-D7</f>
        <v>99035</v>
      </c>
      <c r="W7" s="38">
        <f>V7/100</f>
        <v>990.35</v>
      </c>
      <c r="X7" s="37">
        <v>90000</v>
      </c>
      <c r="Y7" s="37">
        <f>IF(V7&lt;X7,0,V7-X7)</f>
        <v>9035</v>
      </c>
      <c r="Z7" s="39">
        <f>D7+X7</f>
        <v>90965</v>
      </c>
      <c r="AA7" s="40">
        <f>IF(B7&gt;Z7,B7-Z7,Z7-B7)</f>
        <v>9035</v>
      </c>
    </row>
    <row r="8" spans="1:27" x14ac:dyDescent="0.25">
      <c r="A8" s="41" t="s">
        <v>139</v>
      </c>
      <c r="B8" s="42">
        <v>100000</v>
      </c>
      <c r="C8" s="42"/>
      <c r="D8" s="43"/>
      <c r="E8" s="44"/>
      <c r="F8" s="45"/>
      <c r="G8" s="45"/>
      <c r="H8" s="46"/>
      <c r="I8" s="46"/>
      <c r="J8" s="47"/>
      <c r="K8" s="48"/>
      <c r="L8" s="48"/>
      <c r="M8" s="45"/>
      <c r="N8" s="45"/>
      <c r="O8" s="45"/>
      <c r="P8" s="49"/>
      <c r="Q8" s="50"/>
      <c r="R8" s="51"/>
      <c r="S8" s="52"/>
      <c r="T8" s="53"/>
      <c r="U8" s="53"/>
      <c r="V8" s="54"/>
      <c r="W8" s="55"/>
      <c r="X8" s="54"/>
      <c r="Y8" s="54"/>
      <c r="Z8" s="56"/>
      <c r="AA8" s="57"/>
    </row>
    <row r="9" spans="1:27" x14ac:dyDescent="0.25">
      <c r="A9" s="41" t="s">
        <v>140</v>
      </c>
      <c r="B9" s="42">
        <v>100000</v>
      </c>
      <c r="C9" s="42"/>
      <c r="D9" s="43"/>
      <c r="E9" s="44"/>
      <c r="F9" s="45"/>
      <c r="G9" s="45"/>
      <c r="H9" s="46"/>
      <c r="I9" s="46"/>
      <c r="J9" s="47"/>
      <c r="K9" s="48"/>
      <c r="L9" s="48"/>
      <c r="M9" s="45"/>
      <c r="N9" s="45"/>
      <c r="O9" s="45"/>
      <c r="P9" s="49"/>
      <c r="Q9" s="50"/>
      <c r="R9" s="51"/>
      <c r="S9" s="52"/>
      <c r="T9" s="53"/>
      <c r="U9" s="53"/>
      <c r="V9" s="54"/>
      <c r="W9" s="55"/>
      <c r="X9" s="54"/>
      <c r="Y9" s="54"/>
      <c r="Z9" s="56"/>
      <c r="AA9" s="57"/>
    </row>
    <row r="10" spans="1:27" x14ac:dyDescent="0.25">
      <c r="A10" s="41" t="s">
        <v>141</v>
      </c>
      <c r="B10" s="42">
        <v>100000</v>
      </c>
      <c r="C10" s="42"/>
      <c r="D10" s="43"/>
      <c r="E10" s="44"/>
      <c r="F10" s="45"/>
      <c r="G10" s="45"/>
      <c r="H10" s="46"/>
      <c r="I10" s="46"/>
      <c r="J10" s="47"/>
      <c r="K10" s="48"/>
      <c r="L10" s="48"/>
      <c r="M10" s="45"/>
      <c r="N10" s="45"/>
      <c r="O10" s="45"/>
      <c r="P10" s="49"/>
      <c r="Q10" s="50"/>
      <c r="R10" s="51"/>
      <c r="S10" s="52"/>
      <c r="T10" s="53"/>
      <c r="U10" s="53"/>
      <c r="V10" s="54"/>
      <c r="W10" s="55"/>
      <c r="X10" s="54"/>
      <c r="Y10" s="54"/>
      <c r="Z10" s="56"/>
      <c r="AA10" s="57"/>
    </row>
    <row r="11" spans="1:27" x14ac:dyDescent="0.25">
      <c r="A11" s="41" t="s">
        <v>142</v>
      </c>
      <c r="B11" s="42">
        <v>100000</v>
      </c>
      <c r="C11" s="42"/>
      <c r="D11" s="43"/>
      <c r="E11" s="44"/>
      <c r="F11" s="45"/>
      <c r="G11" s="45"/>
      <c r="H11" s="46"/>
      <c r="I11" s="46"/>
      <c r="J11" s="47"/>
      <c r="K11" s="48"/>
      <c r="L11" s="48"/>
      <c r="M11" s="45"/>
      <c r="N11" s="45"/>
      <c r="O11" s="45"/>
      <c r="P11" s="49"/>
      <c r="Q11" s="50"/>
      <c r="R11" s="51"/>
      <c r="S11" s="52"/>
      <c r="T11" s="53"/>
      <c r="U11" s="53"/>
      <c r="V11" s="54"/>
      <c r="W11" s="55"/>
      <c r="X11" s="54"/>
      <c r="Y11" s="54"/>
      <c r="Z11" s="56"/>
      <c r="AA11" s="57"/>
    </row>
    <row r="12" spans="1:27" x14ac:dyDescent="0.25">
      <c r="A12" s="41" t="s">
        <v>143</v>
      </c>
      <c r="B12" s="42">
        <v>100000</v>
      </c>
      <c r="C12" s="42"/>
      <c r="D12" s="43"/>
      <c r="E12" s="44"/>
      <c r="F12" s="45"/>
      <c r="G12" s="45"/>
      <c r="H12" s="46"/>
      <c r="I12" s="46"/>
      <c r="J12" s="47"/>
      <c r="K12" s="48"/>
      <c r="L12" s="48"/>
      <c r="M12" s="45"/>
      <c r="N12" s="45"/>
      <c r="O12" s="45"/>
      <c r="P12" s="49"/>
      <c r="Q12" s="50"/>
      <c r="R12" s="51"/>
      <c r="S12" s="52"/>
      <c r="T12" s="53"/>
      <c r="U12" s="53"/>
      <c r="V12" s="54"/>
      <c r="W12" s="55"/>
      <c r="X12" s="54"/>
      <c r="Y12" s="54"/>
      <c r="Z12" s="56"/>
      <c r="AA12" s="57"/>
    </row>
    <row r="13" spans="1:27" x14ac:dyDescent="0.25">
      <c r="A13" s="41" t="s">
        <v>144</v>
      </c>
      <c r="B13" s="42">
        <v>100000</v>
      </c>
      <c r="C13" s="42"/>
      <c r="D13" s="43"/>
      <c r="E13" s="44"/>
      <c r="F13" s="45"/>
      <c r="G13" s="45"/>
      <c r="H13" s="46"/>
      <c r="I13" s="46"/>
      <c r="J13" s="47"/>
      <c r="K13" s="48"/>
      <c r="L13" s="48"/>
      <c r="M13" s="45"/>
      <c r="N13" s="45"/>
      <c r="O13" s="45"/>
      <c r="P13" s="49"/>
      <c r="Q13" s="50"/>
      <c r="R13" s="51"/>
      <c r="S13" s="52"/>
      <c r="T13" s="53"/>
      <c r="U13" s="53"/>
      <c r="V13" s="54"/>
      <c r="W13" s="55"/>
      <c r="X13" s="54"/>
      <c r="Y13" s="54"/>
      <c r="Z13" s="56"/>
      <c r="AA13" s="57"/>
    </row>
    <row r="14" spans="1:27" x14ac:dyDescent="0.25">
      <c r="A14" s="58"/>
      <c r="B14" s="59"/>
      <c r="C14" s="59"/>
      <c r="D14" s="60"/>
      <c r="E14" s="61"/>
      <c r="F14" s="62"/>
      <c r="G14" s="62"/>
      <c r="H14" s="63"/>
      <c r="I14" s="63"/>
      <c r="J14" s="64"/>
      <c r="M14" s="62"/>
      <c r="N14" s="62"/>
      <c r="O14" s="62"/>
    </row>
    <row r="15" spans="1:27" ht="15.75" thickBot="1" x14ac:dyDescent="0.3">
      <c r="A15" s="65"/>
      <c r="B15" s="66"/>
      <c r="C15" s="66"/>
      <c r="D15" s="67"/>
      <c r="E15" s="68"/>
      <c r="F15" s="69"/>
      <c r="G15" s="69"/>
      <c r="H15" s="70"/>
      <c r="I15" s="70"/>
      <c r="J15" s="71"/>
      <c r="K15" s="72"/>
      <c r="L15" s="72"/>
      <c r="M15" s="69"/>
      <c r="N15" s="69"/>
      <c r="O15" s="69"/>
      <c r="P15" s="73"/>
      <c r="Q15" s="74"/>
      <c r="R15" s="75"/>
      <c r="S15" s="76"/>
      <c r="T15" s="77"/>
      <c r="U15" s="77"/>
      <c r="V15" s="78"/>
      <c r="W15" s="79"/>
      <c r="X15" s="78"/>
      <c r="Y15" s="78"/>
      <c r="Z15" s="80"/>
      <c r="AA15" s="81"/>
    </row>
    <row r="16" spans="1:27" x14ac:dyDescent="0.25">
      <c r="A16" s="82" t="s">
        <v>32</v>
      </c>
      <c r="B16" s="82">
        <f>SUM(B7:B15)</f>
        <v>700000</v>
      </c>
      <c r="C16" s="82">
        <f>SUM(C7:C15)</f>
        <v>185</v>
      </c>
      <c r="D16" s="83">
        <f>SUM(D7:D15)</f>
        <v>965</v>
      </c>
      <c r="E16" s="83"/>
      <c r="F16" s="83">
        <f>SUM(F7:F15)</f>
        <v>730</v>
      </c>
      <c r="G16" s="83"/>
      <c r="H16" s="83"/>
      <c r="I16" s="83"/>
      <c r="J16" s="83"/>
      <c r="K16" s="83"/>
      <c r="L16" s="83"/>
      <c r="M16" s="83">
        <f>SUM(M7:M15)</f>
        <v>235</v>
      </c>
      <c r="N16" s="83"/>
      <c r="O16" s="83"/>
      <c r="P16" s="84"/>
      <c r="Q16" s="84"/>
      <c r="R16" s="84"/>
      <c r="S16" s="84"/>
      <c r="T16" s="85" t="e">
        <f>SUM(T7:T15)</f>
        <v>#VALUE!</v>
      </c>
      <c r="U16" s="85" t="e">
        <f>SUM(U7:U15)</f>
        <v>#VALUE!</v>
      </c>
      <c r="V16" s="86">
        <f>SUM(V7:V15)</f>
        <v>99035</v>
      </c>
      <c r="W16" s="86"/>
      <c r="X16" s="86">
        <f>SUM(X7:X15)</f>
        <v>90000</v>
      </c>
      <c r="Y16" s="86">
        <f>SUM(Y7:Y15)</f>
        <v>9035</v>
      </c>
      <c r="Z16" s="87">
        <f>SUM(Z7:Z15)</f>
        <v>90965</v>
      </c>
      <c r="AA16" s="87">
        <f>SUM(AA7:AA15)</f>
        <v>9035</v>
      </c>
    </row>
    <row r="18" spans="25:30" x14ac:dyDescent="0.25">
      <c r="Y18" s="88"/>
      <c r="Z18" s="88"/>
      <c r="AA18" s="88"/>
      <c r="AB18" s="88"/>
      <c r="AC18" s="88"/>
      <c r="AD18" s="88"/>
    </row>
    <row r="19" spans="25:30" x14ac:dyDescent="0.25">
      <c r="Y19" s="88"/>
      <c r="Z19" s="88"/>
      <c r="AA19" s="88"/>
      <c r="AB19" s="88"/>
      <c r="AC19" s="88"/>
      <c r="AD19" s="88"/>
    </row>
    <row r="20" spans="25:30" x14ac:dyDescent="0.25">
      <c r="Y20" s="88"/>
      <c r="Z20" s="88"/>
      <c r="AA20" s="88"/>
      <c r="AB20" s="88"/>
      <c r="AC20" s="88"/>
      <c r="AD20" s="88"/>
    </row>
  </sheetData>
  <mergeCells count="7">
    <mergeCell ref="D4:S4"/>
    <mergeCell ref="V4:Y4"/>
    <mergeCell ref="Z4:AA4"/>
    <mergeCell ref="H5:I5"/>
    <mergeCell ref="J5:L5"/>
    <mergeCell ref="O5:P5"/>
    <mergeCell ref="Q5:S5"/>
  </mergeCells>
  <conditionalFormatting sqref="AA7">
    <cfRule type="expression" dxfId="593" priority="1" stopIfTrue="1">
      <formula>$B$7&gt;$Z$7</formula>
    </cfRule>
    <cfRule type="expression" dxfId="592" priority="2" stopIfTrue="1">
      <formula>AA7&gt;=0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9" sqref="C19"/>
    </sheetView>
  </sheetViews>
  <sheetFormatPr baseColWidth="10" defaultRowHeight="15" x14ac:dyDescent="0.25"/>
  <cols>
    <col min="1" max="1" width="16.140625" style="89" customWidth="1"/>
    <col min="2" max="2" width="14.85546875" style="89" customWidth="1"/>
    <col min="3" max="3" width="10.42578125" style="89" bestFit="1" customWidth="1"/>
    <col min="4" max="4" width="11" style="89" bestFit="1" customWidth="1"/>
    <col min="5" max="5" width="14.5703125" style="89" bestFit="1" customWidth="1"/>
    <col min="6" max="6" width="11.5703125" style="89" bestFit="1" customWidth="1"/>
    <col min="7" max="7" width="13.140625" style="89" bestFit="1" customWidth="1"/>
    <col min="8" max="8" width="14.7109375" style="89" bestFit="1" customWidth="1"/>
    <col min="9" max="10" width="14.140625" style="89" bestFit="1" customWidth="1"/>
    <col min="11" max="11" width="18" style="89" bestFit="1" customWidth="1"/>
    <col min="12" max="12" width="17.140625" style="89" customWidth="1"/>
    <col min="13" max="13" width="6.7109375" style="89" customWidth="1"/>
    <col min="14" max="14" width="15" style="89" customWidth="1"/>
    <col min="15" max="15" width="7.7109375" style="89" customWidth="1"/>
    <col min="16" max="16" width="9.140625" style="89" customWidth="1"/>
    <col min="17" max="20" width="14.28515625" style="89" customWidth="1"/>
    <col min="21" max="21" width="15.5703125" style="89" customWidth="1"/>
    <col min="22" max="28" width="11.42578125" style="89"/>
    <col min="29" max="31" width="11.5703125" style="89" bestFit="1" customWidth="1"/>
    <col min="32" max="41" width="12.5703125" style="89" bestFit="1" customWidth="1"/>
    <col min="42" max="256" width="11.42578125" style="89"/>
    <col min="257" max="257" width="16.140625" style="89" customWidth="1"/>
    <col min="258" max="258" width="14.85546875" style="89" customWidth="1"/>
    <col min="259" max="259" width="10.42578125" style="89" bestFit="1" customWidth="1"/>
    <col min="260" max="260" width="11" style="89" bestFit="1" customWidth="1"/>
    <col min="261" max="261" width="14.5703125" style="89" bestFit="1" customWidth="1"/>
    <col min="262" max="262" width="11.5703125" style="89" bestFit="1" customWidth="1"/>
    <col min="263" max="263" width="13.140625" style="89" bestFit="1" customWidth="1"/>
    <col min="264" max="264" width="14.7109375" style="89" bestFit="1" customWidth="1"/>
    <col min="265" max="266" width="14.140625" style="89" bestFit="1" customWidth="1"/>
    <col min="267" max="267" width="18" style="89" bestFit="1" customWidth="1"/>
    <col min="268" max="268" width="17.140625" style="89" customWidth="1"/>
    <col min="269" max="269" width="6.7109375" style="89" customWidth="1"/>
    <col min="270" max="270" width="15" style="89" customWidth="1"/>
    <col min="271" max="271" width="7.7109375" style="89" customWidth="1"/>
    <col min="272" max="272" width="9.140625" style="89" customWidth="1"/>
    <col min="273" max="276" width="14.28515625" style="89" customWidth="1"/>
    <col min="277" max="277" width="15.5703125" style="89" customWidth="1"/>
    <col min="278" max="284" width="11.42578125" style="89"/>
    <col min="285" max="287" width="11.5703125" style="89" bestFit="1" customWidth="1"/>
    <col min="288" max="297" width="12.5703125" style="89" bestFit="1" customWidth="1"/>
    <col min="298" max="512" width="11.42578125" style="89"/>
    <col min="513" max="513" width="16.140625" style="89" customWidth="1"/>
    <col min="514" max="514" width="14.85546875" style="89" customWidth="1"/>
    <col min="515" max="515" width="10.42578125" style="89" bestFit="1" customWidth="1"/>
    <col min="516" max="516" width="11" style="89" bestFit="1" customWidth="1"/>
    <col min="517" max="517" width="14.5703125" style="89" bestFit="1" customWidth="1"/>
    <col min="518" max="518" width="11.5703125" style="89" bestFit="1" customWidth="1"/>
    <col min="519" max="519" width="13.140625" style="89" bestFit="1" customWidth="1"/>
    <col min="520" max="520" width="14.7109375" style="89" bestFit="1" customWidth="1"/>
    <col min="521" max="522" width="14.140625" style="89" bestFit="1" customWidth="1"/>
    <col min="523" max="523" width="18" style="89" bestFit="1" customWidth="1"/>
    <col min="524" max="524" width="17.140625" style="89" customWidth="1"/>
    <col min="525" max="525" width="6.7109375" style="89" customWidth="1"/>
    <col min="526" max="526" width="15" style="89" customWidth="1"/>
    <col min="527" max="527" width="7.7109375" style="89" customWidth="1"/>
    <col min="528" max="528" width="9.140625" style="89" customWidth="1"/>
    <col min="529" max="532" width="14.28515625" style="89" customWidth="1"/>
    <col min="533" max="533" width="15.5703125" style="89" customWidth="1"/>
    <col min="534" max="540" width="11.42578125" style="89"/>
    <col min="541" max="543" width="11.5703125" style="89" bestFit="1" customWidth="1"/>
    <col min="544" max="553" width="12.5703125" style="89" bestFit="1" customWidth="1"/>
    <col min="554" max="768" width="11.42578125" style="89"/>
    <col min="769" max="769" width="16.140625" style="89" customWidth="1"/>
    <col min="770" max="770" width="14.85546875" style="89" customWidth="1"/>
    <col min="771" max="771" width="10.42578125" style="89" bestFit="1" customWidth="1"/>
    <col min="772" max="772" width="11" style="89" bestFit="1" customWidth="1"/>
    <col min="773" max="773" width="14.5703125" style="89" bestFit="1" customWidth="1"/>
    <col min="774" max="774" width="11.5703125" style="89" bestFit="1" customWidth="1"/>
    <col min="775" max="775" width="13.140625" style="89" bestFit="1" customWidth="1"/>
    <col min="776" max="776" width="14.7109375" style="89" bestFit="1" customWidth="1"/>
    <col min="777" max="778" width="14.140625" style="89" bestFit="1" customWidth="1"/>
    <col min="779" max="779" width="18" style="89" bestFit="1" customWidth="1"/>
    <col min="780" max="780" width="17.140625" style="89" customWidth="1"/>
    <col min="781" max="781" width="6.7109375" style="89" customWidth="1"/>
    <col min="782" max="782" width="15" style="89" customWidth="1"/>
    <col min="783" max="783" width="7.7109375" style="89" customWidth="1"/>
    <col min="784" max="784" width="9.140625" style="89" customWidth="1"/>
    <col min="785" max="788" width="14.28515625" style="89" customWidth="1"/>
    <col min="789" max="789" width="15.5703125" style="89" customWidth="1"/>
    <col min="790" max="796" width="11.42578125" style="89"/>
    <col min="797" max="799" width="11.5703125" style="89" bestFit="1" customWidth="1"/>
    <col min="800" max="809" width="12.5703125" style="89" bestFit="1" customWidth="1"/>
    <col min="810" max="1024" width="11.42578125" style="89"/>
    <col min="1025" max="1025" width="16.140625" style="89" customWidth="1"/>
    <col min="1026" max="1026" width="14.85546875" style="89" customWidth="1"/>
    <col min="1027" max="1027" width="10.42578125" style="89" bestFit="1" customWidth="1"/>
    <col min="1028" max="1028" width="11" style="89" bestFit="1" customWidth="1"/>
    <col min="1029" max="1029" width="14.5703125" style="89" bestFit="1" customWidth="1"/>
    <col min="1030" max="1030" width="11.5703125" style="89" bestFit="1" customWidth="1"/>
    <col min="1031" max="1031" width="13.140625" style="89" bestFit="1" customWidth="1"/>
    <col min="1032" max="1032" width="14.7109375" style="89" bestFit="1" customWidth="1"/>
    <col min="1033" max="1034" width="14.140625" style="89" bestFit="1" customWidth="1"/>
    <col min="1035" max="1035" width="18" style="89" bestFit="1" customWidth="1"/>
    <col min="1036" max="1036" width="17.140625" style="89" customWidth="1"/>
    <col min="1037" max="1037" width="6.7109375" style="89" customWidth="1"/>
    <col min="1038" max="1038" width="15" style="89" customWidth="1"/>
    <col min="1039" max="1039" width="7.7109375" style="89" customWidth="1"/>
    <col min="1040" max="1040" width="9.140625" style="89" customWidth="1"/>
    <col min="1041" max="1044" width="14.28515625" style="89" customWidth="1"/>
    <col min="1045" max="1045" width="15.5703125" style="89" customWidth="1"/>
    <col min="1046" max="1052" width="11.42578125" style="89"/>
    <col min="1053" max="1055" width="11.5703125" style="89" bestFit="1" customWidth="1"/>
    <col min="1056" max="1065" width="12.5703125" style="89" bestFit="1" customWidth="1"/>
    <col min="1066" max="1280" width="11.42578125" style="89"/>
    <col min="1281" max="1281" width="16.140625" style="89" customWidth="1"/>
    <col min="1282" max="1282" width="14.85546875" style="89" customWidth="1"/>
    <col min="1283" max="1283" width="10.42578125" style="89" bestFit="1" customWidth="1"/>
    <col min="1284" max="1284" width="11" style="89" bestFit="1" customWidth="1"/>
    <col min="1285" max="1285" width="14.5703125" style="89" bestFit="1" customWidth="1"/>
    <col min="1286" max="1286" width="11.5703125" style="89" bestFit="1" customWidth="1"/>
    <col min="1287" max="1287" width="13.140625" style="89" bestFit="1" customWidth="1"/>
    <col min="1288" max="1288" width="14.7109375" style="89" bestFit="1" customWidth="1"/>
    <col min="1289" max="1290" width="14.140625" style="89" bestFit="1" customWidth="1"/>
    <col min="1291" max="1291" width="18" style="89" bestFit="1" customWidth="1"/>
    <col min="1292" max="1292" width="17.140625" style="89" customWidth="1"/>
    <col min="1293" max="1293" width="6.7109375" style="89" customWidth="1"/>
    <col min="1294" max="1294" width="15" style="89" customWidth="1"/>
    <col min="1295" max="1295" width="7.7109375" style="89" customWidth="1"/>
    <col min="1296" max="1296" width="9.140625" style="89" customWidth="1"/>
    <col min="1297" max="1300" width="14.28515625" style="89" customWidth="1"/>
    <col min="1301" max="1301" width="15.5703125" style="89" customWidth="1"/>
    <col min="1302" max="1308" width="11.42578125" style="89"/>
    <col min="1309" max="1311" width="11.5703125" style="89" bestFit="1" customWidth="1"/>
    <col min="1312" max="1321" width="12.5703125" style="89" bestFit="1" customWidth="1"/>
    <col min="1322" max="1536" width="11.42578125" style="89"/>
    <col min="1537" max="1537" width="16.140625" style="89" customWidth="1"/>
    <col min="1538" max="1538" width="14.85546875" style="89" customWidth="1"/>
    <col min="1539" max="1539" width="10.42578125" style="89" bestFit="1" customWidth="1"/>
    <col min="1540" max="1540" width="11" style="89" bestFit="1" customWidth="1"/>
    <col min="1541" max="1541" width="14.5703125" style="89" bestFit="1" customWidth="1"/>
    <col min="1542" max="1542" width="11.5703125" style="89" bestFit="1" customWidth="1"/>
    <col min="1543" max="1543" width="13.140625" style="89" bestFit="1" customWidth="1"/>
    <col min="1544" max="1544" width="14.7109375" style="89" bestFit="1" customWidth="1"/>
    <col min="1545" max="1546" width="14.140625" style="89" bestFit="1" customWidth="1"/>
    <col min="1547" max="1547" width="18" style="89" bestFit="1" customWidth="1"/>
    <col min="1548" max="1548" width="17.140625" style="89" customWidth="1"/>
    <col min="1549" max="1549" width="6.7109375" style="89" customWidth="1"/>
    <col min="1550" max="1550" width="15" style="89" customWidth="1"/>
    <col min="1551" max="1551" width="7.7109375" style="89" customWidth="1"/>
    <col min="1552" max="1552" width="9.140625" style="89" customWidth="1"/>
    <col min="1553" max="1556" width="14.28515625" style="89" customWidth="1"/>
    <col min="1557" max="1557" width="15.5703125" style="89" customWidth="1"/>
    <col min="1558" max="1564" width="11.42578125" style="89"/>
    <col min="1565" max="1567" width="11.5703125" style="89" bestFit="1" customWidth="1"/>
    <col min="1568" max="1577" width="12.5703125" style="89" bestFit="1" customWidth="1"/>
    <col min="1578" max="1792" width="11.42578125" style="89"/>
    <col min="1793" max="1793" width="16.140625" style="89" customWidth="1"/>
    <col min="1794" max="1794" width="14.85546875" style="89" customWidth="1"/>
    <col min="1795" max="1795" width="10.42578125" style="89" bestFit="1" customWidth="1"/>
    <col min="1796" max="1796" width="11" style="89" bestFit="1" customWidth="1"/>
    <col min="1797" max="1797" width="14.5703125" style="89" bestFit="1" customWidth="1"/>
    <col min="1798" max="1798" width="11.5703125" style="89" bestFit="1" customWidth="1"/>
    <col min="1799" max="1799" width="13.140625" style="89" bestFit="1" customWidth="1"/>
    <col min="1800" max="1800" width="14.7109375" style="89" bestFit="1" customWidth="1"/>
    <col min="1801" max="1802" width="14.140625" style="89" bestFit="1" customWidth="1"/>
    <col min="1803" max="1803" width="18" style="89" bestFit="1" customWidth="1"/>
    <col min="1804" max="1804" width="17.140625" style="89" customWidth="1"/>
    <col min="1805" max="1805" width="6.7109375" style="89" customWidth="1"/>
    <col min="1806" max="1806" width="15" style="89" customWidth="1"/>
    <col min="1807" max="1807" width="7.7109375" style="89" customWidth="1"/>
    <col min="1808" max="1808" width="9.140625" style="89" customWidth="1"/>
    <col min="1809" max="1812" width="14.28515625" style="89" customWidth="1"/>
    <col min="1813" max="1813" width="15.5703125" style="89" customWidth="1"/>
    <col min="1814" max="1820" width="11.42578125" style="89"/>
    <col min="1821" max="1823" width="11.5703125" style="89" bestFit="1" customWidth="1"/>
    <col min="1824" max="1833" width="12.5703125" style="89" bestFit="1" customWidth="1"/>
    <col min="1834" max="2048" width="11.42578125" style="89"/>
    <col min="2049" max="2049" width="16.140625" style="89" customWidth="1"/>
    <col min="2050" max="2050" width="14.85546875" style="89" customWidth="1"/>
    <col min="2051" max="2051" width="10.42578125" style="89" bestFit="1" customWidth="1"/>
    <col min="2052" max="2052" width="11" style="89" bestFit="1" customWidth="1"/>
    <col min="2053" max="2053" width="14.5703125" style="89" bestFit="1" customWidth="1"/>
    <col min="2054" max="2054" width="11.5703125" style="89" bestFit="1" customWidth="1"/>
    <col min="2055" max="2055" width="13.140625" style="89" bestFit="1" customWidth="1"/>
    <col min="2056" max="2056" width="14.7109375" style="89" bestFit="1" customWidth="1"/>
    <col min="2057" max="2058" width="14.140625" style="89" bestFit="1" customWidth="1"/>
    <col min="2059" max="2059" width="18" style="89" bestFit="1" customWidth="1"/>
    <col min="2060" max="2060" width="17.140625" style="89" customWidth="1"/>
    <col min="2061" max="2061" width="6.7109375" style="89" customWidth="1"/>
    <col min="2062" max="2062" width="15" style="89" customWidth="1"/>
    <col min="2063" max="2063" width="7.7109375" style="89" customWidth="1"/>
    <col min="2064" max="2064" width="9.140625" style="89" customWidth="1"/>
    <col min="2065" max="2068" width="14.28515625" style="89" customWidth="1"/>
    <col min="2069" max="2069" width="15.5703125" style="89" customWidth="1"/>
    <col min="2070" max="2076" width="11.42578125" style="89"/>
    <col min="2077" max="2079" width="11.5703125" style="89" bestFit="1" customWidth="1"/>
    <col min="2080" max="2089" width="12.5703125" style="89" bestFit="1" customWidth="1"/>
    <col min="2090" max="2304" width="11.42578125" style="89"/>
    <col min="2305" max="2305" width="16.140625" style="89" customWidth="1"/>
    <col min="2306" max="2306" width="14.85546875" style="89" customWidth="1"/>
    <col min="2307" max="2307" width="10.42578125" style="89" bestFit="1" customWidth="1"/>
    <col min="2308" max="2308" width="11" style="89" bestFit="1" customWidth="1"/>
    <col min="2309" max="2309" width="14.5703125" style="89" bestFit="1" customWidth="1"/>
    <col min="2310" max="2310" width="11.5703125" style="89" bestFit="1" customWidth="1"/>
    <col min="2311" max="2311" width="13.140625" style="89" bestFit="1" customWidth="1"/>
    <col min="2312" max="2312" width="14.7109375" style="89" bestFit="1" customWidth="1"/>
    <col min="2313" max="2314" width="14.140625" style="89" bestFit="1" customWidth="1"/>
    <col min="2315" max="2315" width="18" style="89" bestFit="1" customWidth="1"/>
    <col min="2316" max="2316" width="17.140625" style="89" customWidth="1"/>
    <col min="2317" max="2317" width="6.7109375" style="89" customWidth="1"/>
    <col min="2318" max="2318" width="15" style="89" customWidth="1"/>
    <col min="2319" max="2319" width="7.7109375" style="89" customWidth="1"/>
    <col min="2320" max="2320" width="9.140625" style="89" customWidth="1"/>
    <col min="2321" max="2324" width="14.28515625" style="89" customWidth="1"/>
    <col min="2325" max="2325" width="15.5703125" style="89" customWidth="1"/>
    <col min="2326" max="2332" width="11.42578125" style="89"/>
    <col min="2333" max="2335" width="11.5703125" style="89" bestFit="1" customWidth="1"/>
    <col min="2336" max="2345" width="12.5703125" style="89" bestFit="1" customWidth="1"/>
    <col min="2346" max="2560" width="11.42578125" style="89"/>
    <col min="2561" max="2561" width="16.140625" style="89" customWidth="1"/>
    <col min="2562" max="2562" width="14.85546875" style="89" customWidth="1"/>
    <col min="2563" max="2563" width="10.42578125" style="89" bestFit="1" customWidth="1"/>
    <col min="2564" max="2564" width="11" style="89" bestFit="1" customWidth="1"/>
    <col min="2565" max="2565" width="14.5703125" style="89" bestFit="1" customWidth="1"/>
    <col min="2566" max="2566" width="11.5703125" style="89" bestFit="1" customWidth="1"/>
    <col min="2567" max="2567" width="13.140625" style="89" bestFit="1" customWidth="1"/>
    <col min="2568" max="2568" width="14.7109375" style="89" bestFit="1" customWidth="1"/>
    <col min="2569" max="2570" width="14.140625" style="89" bestFit="1" customWidth="1"/>
    <col min="2571" max="2571" width="18" style="89" bestFit="1" customWidth="1"/>
    <col min="2572" max="2572" width="17.140625" style="89" customWidth="1"/>
    <col min="2573" max="2573" width="6.7109375" style="89" customWidth="1"/>
    <col min="2574" max="2574" width="15" style="89" customWidth="1"/>
    <col min="2575" max="2575" width="7.7109375" style="89" customWidth="1"/>
    <col min="2576" max="2576" width="9.140625" style="89" customWidth="1"/>
    <col min="2577" max="2580" width="14.28515625" style="89" customWidth="1"/>
    <col min="2581" max="2581" width="15.5703125" style="89" customWidth="1"/>
    <col min="2582" max="2588" width="11.42578125" style="89"/>
    <col min="2589" max="2591" width="11.5703125" style="89" bestFit="1" customWidth="1"/>
    <col min="2592" max="2601" width="12.5703125" style="89" bestFit="1" customWidth="1"/>
    <col min="2602" max="2816" width="11.42578125" style="89"/>
    <col min="2817" max="2817" width="16.140625" style="89" customWidth="1"/>
    <col min="2818" max="2818" width="14.85546875" style="89" customWidth="1"/>
    <col min="2819" max="2819" width="10.42578125" style="89" bestFit="1" customWidth="1"/>
    <col min="2820" max="2820" width="11" style="89" bestFit="1" customWidth="1"/>
    <col min="2821" max="2821" width="14.5703125" style="89" bestFit="1" customWidth="1"/>
    <col min="2822" max="2822" width="11.5703125" style="89" bestFit="1" customWidth="1"/>
    <col min="2823" max="2823" width="13.140625" style="89" bestFit="1" customWidth="1"/>
    <col min="2824" max="2824" width="14.7109375" style="89" bestFit="1" customWidth="1"/>
    <col min="2825" max="2826" width="14.140625" style="89" bestFit="1" customWidth="1"/>
    <col min="2827" max="2827" width="18" style="89" bestFit="1" customWidth="1"/>
    <col min="2828" max="2828" width="17.140625" style="89" customWidth="1"/>
    <col min="2829" max="2829" width="6.7109375" style="89" customWidth="1"/>
    <col min="2830" max="2830" width="15" style="89" customWidth="1"/>
    <col min="2831" max="2831" width="7.7109375" style="89" customWidth="1"/>
    <col min="2832" max="2832" width="9.140625" style="89" customWidth="1"/>
    <col min="2833" max="2836" width="14.28515625" style="89" customWidth="1"/>
    <col min="2837" max="2837" width="15.5703125" style="89" customWidth="1"/>
    <col min="2838" max="2844" width="11.42578125" style="89"/>
    <col min="2845" max="2847" width="11.5703125" style="89" bestFit="1" customWidth="1"/>
    <col min="2848" max="2857" width="12.5703125" style="89" bestFit="1" customWidth="1"/>
    <col min="2858" max="3072" width="11.42578125" style="89"/>
    <col min="3073" max="3073" width="16.140625" style="89" customWidth="1"/>
    <col min="3074" max="3074" width="14.85546875" style="89" customWidth="1"/>
    <col min="3075" max="3075" width="10.42578125" style="89" bestFit="1" customWidth="1"/>
    <col min="3076" max="3076" width="11" style="89" bestFit="1" customWidth="1"/>
    <col min="3077" max="3077" width="14.5703125" style="89" bestFit="1" customWidth="1"/>
    <col min="3078" max="3078" width="11.5703125" style="89" bestFit="1" customWidth="1"/>
    <col min="3079" max="3079" width="13.140625" style="89" bestFit="1" customWidth="1"/>
    <col min="3080" max="3080" width="14.7109375" style="89" bestFit="1" customWidth="1"/>
    <col min="3081" max="3082" width="14.140625" style="89" bestFit="1" customWidth="1"/>
    <col min="3083" max="3083" width="18" style="89" bestFit="1" customWidth="1"/>
    <col min="3084" max="3084" width="17.140625" style="89" customWidth="1"/>
    <col min="3085" max="3085" width="6.7109375" style="89" customWidth="1"/>
    <col min="3086" max="3086" width="15" style="89" customWidth="1"/>
    <col min="3087" max="3087" width="7.7109375" style="89" customWidth="1"/>
    <col min="3088" max="3088" width="9.140625" style="89" customWidth="1"/>
    <col min="3089" max="3092" width="14.28515625" style="89" customWidth="1"/>
    <col min="3093" max="3093" width="15.5703125" style="89" customWidth="1"/>
    <col min="3094" max="3100" width="11.42578125" style="89"/>
    <col min="3101" max="3103" width="11.5703125" style="89" bestFit="1" customWidth="1"/>
    <col min="3104" max="3113" width="12.5703125" style="89" bestFit="1" customWidth="1"/>
    <col min="3114" max="3328" width="11.42578125" style="89"/>
    <col min="3329" max="3329" width="16.140625" style="89" customWidth="1"/>
    <col min="3330" max="3330" width="14.85546875" style="89" customWidth="1"/>
    <col min="3331" max="3331" width="10.42578125" style="89" bestFit="1" customWidth="1"/>
    <col min="3332" max="3332" width="11" style="89" bestFit="1" customWidth="1"/>
    <col min="3333" max="3333" width="14.5703125" style="89" bestFit="1" customWidth="1"/>
    <col min="3334" max="3334" width="11.5703125" style="89" bestFit="1" customWidth="1"/>
    <col min="3335" max="3335" width="13.140625" style="89" bestFit="1" customWidth="1"/>
    <col min="3336" max="3336" width="14.7109375" style="89" bestFit="1" customWidth="1"/>
    <col min="3337" max="3338" width="14.140625" style="89" bestFit="1" customWidth="1"/>
    <col min="3339" max="3339" width="18" style="89" bestFit="1" customWidth="1"/>
    <col min="3340" max="3340" width="17.140625" style="89" customWidth="1"/>
    <col min="3341" max="3341" width="6.7109375" style="89" customWidth="1"/>
    <col min="3342" max="3342" width="15" style="89" customWidth="1"/>
    <col min="3343" max="3343" width="7.7109375" style="89" customWidth="1"/>
    <col min="3344" max="3344" width="9.140625" style="89" customWidth="1"/>
    <col min="3345" max="3348" width="14.28515625" style="89" customWidth="1"/>
    <col min="3349" max="3349" width="15.5703125" style="89" customWidth="1"/>
    <col min="3350" max="3356" width="11.42578125" style="89"/>
    <col min="3357" max="3359" width="11.5703125" style="89" bestFit="1" customWidth="1"/>
    <col min="3360" max="3369" width="12.5703125" style="89" bestFit="1" customWidth="1"/>
    <col min="3370" max="3584" width="11.42578125" style="89"/>
    <col min="3585" max="3585" width="16.140625" style="89" customWidth="1"/>
    <col min="3586" max="3586" width="14.85546875" style="89" customWidth="1"/>
    <col min="3587" max="3587" width="10.42578125" style="89" bestFit="1" customWidth="1"/>
    <col min="3588" max="3588" width="11" style="89" bestFit="1" customWidth="1"/>
    <col min="3589" max="3589" width="14.5703125" style="89" bestFit="1" customWidth="1"/>
    <col min="3590" max="3590" width="11.5703125" style="89" bestFit="1" customWidth="1"/>
    <col min="3591" max="3591" width="13.140625" style="89" bestFit="1" customWidth="1"/>
    <col min="3592" max="3592" width="14.7109375" style="89" bestFit="1" customWidth="1"/>
    <col min="3593" max="3594" width="14.140625" style="89" bestFit="1" customWidth="1"/>
    <col min="3595" max="3595" width="18" style="89" bestFit="1" customWidth="1"/>
    <col min="3596" max="3596" width="17.140625" style="89" customWidth="1"/>
    <col min="3597" max="3597" width="6.7109375" style="89" customWidth="1"/>
    <col min="3598" max="3598" width="15" style="89" customWidth="1"/>
    <col min="3599" max="3599" width="7.7109375" style="89" customWidth="1"/>
    <col min="3600" max="3600" width="9.140625" style="89" customWidth="1"/>
    <col min="3601" max="3604" width="14.28515625" style="89" customWidth="1"/>
    <col min="3605" max="3605" width="15.5703125" style="89" customWidth="1"/>
    <col min="3606" max="3612" width="11.42578125" style="89"/>
    <col min="3613" max="3615" width="11.5703125" style="89" bestFit="1" customWidth="1"/>
    <col min="3616" max="3625" width="12.5703125" style="89" bestFit="1" customWidth="1"/>
    <col min="3626" max="3840" width="11.42578125" style="89"/>
    <col min="3841" max="3841" width="16.140625" style="89" customWidth="1"/>
    <col min="3842" max="3842" width="14.85546875" style="89" customWidth="1"/>
    <col min="3843" max="3843" width="10.42578125" style="89" bestFit="1" customWidth="1"/>
    <col min="3844" max="3844" width="11" style="89" bestFit="1" customWidth="1"/>
    <col min="3845" max="3845" width="14.5703125" style="89" bestFit="1" customWidth="1"/>
    <col min="3846" max="3846" width="11.5703125" style="89" bestFit="1" customWidth="1"/>
    <col min="3847" max="3847" width="13.140625" style="89" bestFit="1" customWidth="1"/>
    <col min="3848" max="3848" width="14.7109375" style="89" bestFit="1" customWidth="1"/>
    <col min="3849" max="3850" width="14.140625" style="89" bestFit="1" customWidth="1"/>
    <col min="3851" max="3851" width="18" style="89" bestFit="1" customWidth="1"/>
    <col min="3852" max="3852" width="17.140625" style="89" customWidth="1"/>
    <col min="3853" max="3853" width="6.7109375" style="89" customWidth="1"/>
    <col min="3854" max="3854" width="15" style="89" customWidth="1"/>
    <col min="3855" max="3855" width="7.7109375" style="89" customWidth="1"/>
    <col min="3856" max="3856" width="9.140625" style="89" customWidth="1"/>
    <col min="3857" max="3860" width="14.28515625" style="89" customWidth="1"/>
    <col min="3861" max="3861" width="15.5703125" style="89" customWidth="1"/>
    <col min="3862" max="3868" width="11.42578125" style="89"/>
    <col min="3869" max="3871" width="11.5703125" style="89" bestFit="1" customWidth="1"/>
    <col min="3872" max="3881" width="12.5703125" style="89" bestFit="1" customWidth="1"/>
    <col min="3882" max="4096" width="11.42578125" style="89"/>
    <col min="4097" max="4097" width="16.140625" style="89" customWidth="1"/>
    <col min="4098" max="4098" width="14.85546875" style="89" customWidth="1"/>
    <col min="4099" max="4099" width="10.42578125" style="89" bestFit="1" customWidth="1"/>
    <col min="4100" max="4100" width="11" style="89" bestFit="1" customWidth="1"/>
    <col min="4101" max="4101" width="14.5703125" style="89" bestFit="1" customWidth="1"/>
    <col min="4102" max="4102" width="11.5703125" style="89" bestFit="1" customWidth="1"/>
    <col min="4103" max="4103" width="13.140625" style="89" bestFit="1" customWidth="1"/>
    <col min="4104" max="4104" width="14.7109375" style="89" bestFit="1" customWidth="1"/>
    <col min="4105" max="4106" width="14.140625" style="89" bestFit="1" customWidth="1"/>
    <col min="4107" max="4107" width="18" style="89" bestFit="1" customWidth="1"/>
    <col min="4108" max="4108" width="17.140625" style="89" customWidth="1"/>
    <col min="4109" max="4109" width="6.7109375" style="89" customWidth="1"/>
    <col min="4110" max="4110" width="15" style="89" customWidth="1"/>
    <col min="4111" max="4111" width="7.7109375" style="89" customWidth="1"/>
    <col min="4112" max="4112" width="9.140625" style="89" customWidth="1"/>
    <col min="4113" max="4116" width="14.28515625" style="89" customWidth="1"/>
    <col min="4117" max="4117" width="15.5703125" style="89" customWidth="1"/>
    <col min="4118" max="4124" width="11.42578125" style="89"/>
    <col min="4125" max="4127" width="11.5703125" style="89" bestFit="1" customWidth="1"/>
    <col min="4128" max="4137" width="12.5703125" style="89" bestFit="1" customWidth="1"/>
    <col min="4138" max="4352" width="11.42578125" style="89"/>
    <col min="4353" max="4353" width="16.140625" style="89" customWidth="1"/>
    <col min="4354" max="4354" width="14.85546875" style="89" customWidth="1"/>
    <col min="4355" max="4355" width="10.42578125" style="89" bestFit="1" customWidth="1"/>
    <col min="4356" max="4356" width="11" style="89" bestFit="1" customWidth="1"/>
    <col min="4357" max="4357" width="14.5703125" style="89" bestFit="1" customWidth="1"/>
    <col min="4358" max="4358" width="11.5703125" style="89" bestFit="1" customWidth="1"/>
    <col min="4359" max="4359" width="13.140625" style="89" bestFit="1" customWidth="1"/>
    <col min="4360" max="4360" width="14.7109375" style="89" bestFit="1" customWidth="1"/>
    <col min="4361" max="4362" width="14.140625" style="89" bestFit="1" customWidth="1"/>
    <col min="4363" max="4363" width="18" style="89" bestFit="1" customWidth="1"/>
    <col min="4364" max="4364" width="17.140625" style="89" customWidth="1"/>
    <col min="4365" max="4365" width="6.7109375" style="89" customWidth="1"/>
    <col min="4366" max="4366" width="15" style="89" customWidth="1"/>
    <col min="4367" max="4367" width="7.7109375" style="89" customWidth="1"/>
    <col min="4368" max="4368" width="9.140625" style="89" customWidth="1"/>
    <col min="4369" max="4372" width="14.28515625" style="89" customWidth="1"/>
    <col min="4373" max="4373" width="15.5703125" style="89" customWidth="1"/>
    <col min="4374" max="4380" width="11.42578125" style="89"/>
    <col min="4381" max="4383" width="11.5703125" style="89" bestFit="1" customWidth="1"/>
    <col min="4384" max="4393" width="12.5703125" style="89" bestFit="1" customWidth="1"/>
    <col min="4394" max="4608" width="11.42578125" style="89"/>
    <col min="4609" max="4609" width="16.140625" style="89" customWidth="1"/>
    <col min="4610" max="4610" width="14.85546875" style="89" customWidth="1"/>
    <col min="4611" max="4611" width="10.42578125" style="89" bestFit="1" customWidth="1"/>
    <col min="4612" max="4612" width="11" style="89" bestFit="1" customWidth="1"/>
    <col min="4613" max="4613" width="14.5703125" style="89" bestFit="1" customWidth="1"/>
    <col min="4614" max="4614" width="11.5703125" style="89" bestFit="1" customWidth="1"/>
    <col min="4615" max="4615" width="13.140625" style="89" bestFit="1" customWidth="1"/>
    <col min="4616" max="4616" width="14.7109375" style="89" bestFit="1" customWidth="1"/>
    <col min="4617" max="4618" width="14.140625" style="89" bestFit="1" customWidth="1"/>
    <col min="4619" max="4619" width="18" style="89" bestFit="1" customWidth="1"/>
    <col min="4620" max="4620" width="17.140625" style="89" customWidth="1"/>
    <col min="4621" max="4621" width="6.7109375" style="89" customWidth="1"/>
    <col min="4622" max="4622" width="15" style="89" customWidth="1"/>
    <col min="4623" max="4623" width="7.7109375" style="89" customWidth="1"/>
    <col min="4624" max="4624" width="9.140625" style="89" customWidth="1"/>
    <col min="4625" max="4628" width="14.28515625" style="89" customWidth="1"/>
    <col min="4629" max="4629" width="15.5703125" style="89" customWidth="1"/>
    <col min="4630" max="4636" width="11.42578125" style="89"/>
    <col min="4637" max="4639" width="11.5703125" style="89" bestFit="1" customWidth="1"/>
    <col min="4640" max="4649" width="12.5703125" style="89" bestFit="1" customWidth="1"/>
    <col min="4650" max="4864" width="11.42578125" style="89"/>
    <col min="4865" max="4865" width="16.140625" style="89" customWidth="1"/>
    <col min="4866" max="4866" width="14.85546875" style="89" customWidth="1"/>
    <col min="4867" max="4867" width="10.42578125" style="89" bestFit="1" customWidth="1"/>
    <col min="4868" max="4868" width="11" style="89" bestFit="1" customWidth="1"/>
    <col min="4869" max="4869" width="14.5703125" style="89" bestFit="1" customWidth="1"/>
    <col min="4870" max="4870" width="11.5703125" style="89" bestFit="1" customWidth="1"/>
    <col min="4871" max="4871" width="13.140625" style="89" bestFit="1" customWidth="1"/>
    <col min="4872" max="4872" width="14.7109375" style="89" bestFit="1" customWidth="1"/>
    <col min="4873" max="4874" width="14.140625" style="89" bestFit="1" customWidth="1"/>
    <col min="4875" max="4875" width="18" style="89" bestFit="1" customWidth="1"/>
    <col min="4876" max="4876" width="17.140625" style="89" customWidth="1"/>
    <col min="4877" max="4877" width="6.7109375" style="89" customWidth="1"/>
    <col min="4878" max="4878" width="15" style="89" customWidth="1"/>
    <col min="4879" max="4879" width="7.7109375" style="89" customWidth="1"/>
    <col min="4880" max="4880" width="9.140625" style="89" customWidth="1"/>
    <col min="4881" max="4884" width="14.28515625" style="89" customWidth="1"/>
    <col min="4885" max="4885" width="15.5703125" style="89" customWidth="1"/>
    <col min="4886" max="4892" width="11.42578125" style="89"/>
    <col min="4893" max="4895" width="11.5703125" style="89" bestFit="1" customWidth="1"/>
    <col min="4896" max="4905" width="12.5703125" style="89" bestFit="1" customWidth="1"/>
    <col min="4906" max="5120" width="11.42578125" style="89"/>
    <col min="5121" max="5121" width="16.140625" style="89" customWidth="1"/>
    <col min="5122" max="5122" width="14.85546875" style="89" customWidth="1"/>
    <col min="5123" max="5123" width="10.42578125" style="89" bestFit="1" customWidth="1"/>
    <col min="5124" max="5124" width="11" style="89" bestFit="1" customWidth="1"/>
    <col min="5125" max="5125" width="14.5703125" style="89" bestFit="1" customWidth="1"/>
    <col min="5126" max="5126" width="11.5703125" style="89" bestFit="1" customWidth="1"/>
    <col min="5127" max="5127" width="13.140625" style="89" bestFit="1" customWidth="1"/>
    <col min="5128" max="5128" width="14.7109375" style="89" bestFit="1" customWidth="1"/>
    <col min="5129" max="5130" width="14.140625" style="89" bestFit="1" customWidth="1"/>
    <col min="5131" max="5131" width="18" style="89" bestFit="1" customWidth="1"/>
    <col min="5132" max="5132" width="17.140625" style="89" customWidth="1"/>
    <col min="5133" max="5133" width="6.7109375" style="89" customWidth="1"/>
    <col min="5134" max="5134" width="15" style="89" customWidth="1"/>
    <col min="5135" max="5135" width="7.7109375" style="89" customWidth="1"/>
    <col min="5136" max="5136" width="9.140625" style="89" customWidth="1"/>
    <col min="5137" max="5140" width="14.28515625" style="89" customWidth="1"/>
    <col min="5141" max="5141" width="15.5703125" style="89" customWidth="1"/>
    <col min="5142" max="5148" width="11.42578125" style="89"/>
    <col min="5149" max="5151" width="11.5703125" style="89" bestFit="1" customWidth="1"/>
    <col min="5152" max="5161" width="12.5703125" style="89" bestFit="1" customWidth="1"/>
    <col min="5162" max="5376" width="11.42578125" style="89"/>
    <col min="5377" max="5377" width="16.140625" style="89" customWidth="1"/>
    <col min="5378" max="5378" width="14.85546875" style="89" customWidth="1"/>
    <col min="5379" max="5379" width="10.42578125" style="89" bestFit="1" customWidth="1"/>
    <col min="5380" max="5380" width="11" style="89" bestFit="1" customWidth="1"/>
    <col min="5381" max="5381" width="14.5703125" style="89" bestFit="1" customWidth="1"/>
    <col min="5382" max="5382" width="11.5703125" style="89" bestFit="1" customWidth="1"/>
    <col min="5383" max="5383" width="13.140625" style="89" bestFit="1" customWidth="1"/>
    <col min="5384" max="5384" width="14.7109375" style="89" bestFit="1" customWidth="1"/>
    <col min="5385" max="5386" width="14.140625" style="89" bestFit="1" customWidth="1"/>
    <col min="5387" max="5387" width="18" style="89" bestFit="1" customWidth="1"/>
    <col min="5388" max="5388" width="17.140625" style="89" customWidth="1"/>
    <col min="5389" max="5389" width="6.7109375" style="89" customWidth="1"/>
    <col min="5390" max="5390" width="15" style="89" customWidth="1"/>
    <col min="5391" max="5391" width="7.7109375" style="89" customWidth="1"/>
    <col min="5392" max="5392" width="9.140625" style="89" customWidth="1"/>
    <col min="5393" max="5396" width="14.28515625" style="89" customWidth="1"/>
    <col min="5397" max="5397" width="15.5703125" style="89" customWidth="1"/>
    <col min="5398" max="5404" width="11.42578125" style="89"/>
    <col min="5405" max="5407" width="11.5703125" style="89" bestFit="1" customWidth="1"/>
    <col min="5408" max="5417" width="12.5703125" style="89" bestFit="1" customWidth="1"/>
    <col min="5418" max="5632" width="11.42578125" style="89"/>
    <col min="5633" max="5633" width="16.140625" style="89" customWidth="1"/>
    <col min="5634" max="5634" width="14.85546875" style="89" customWidth="1"/>
    <col min="5635" max="5635" width="10.42578125" style="89" bestFit="1" customWidth="1"/>
    <col min="5636" max="5636" width="11" style="89" bestFit="1" customWidth="1"/>
    <col min="5637" max="5637" width="14.5703125" style="89" bestFit="1" customWidth="1"/>
    <col min="5638" max="5638" width="11.5703125" style="89" bestFit="1" customWidth="1"/>
    <col min="5639" max="5639" width="13.140625" style="89" bestFit="1" customWidth="1"/>
    <col min="5640" max="5640" width="14.7109375" style="89" bestFit="1" customWidth="1"/>
    <col min="5641" max="5642" width="14.140625" style="89" bestFit="1" customWidth="1"/>
    <col min="5643" max="5643" width="18" style="89" bestFit="1" customWidth="1"/>
    <col min="5644" max="5644" width="17.140625" style="89" customWidth="1"/>
    <col min="5645" max="5645" width="6.7109375" style="89" customWidth="1"/>
    <col min="5646" max="5646" width="15" style="89" customWidth="1"/>
    <col min="5647" max="5647" width="7.7109375" style="89" customWidth="1"/>
    <col min="5648" max="5648" width="9.140625" style="89" customWidth="1"/>
    <col min="5649" max="5652" width="14.28515625" style="89" customWidth="1"/>
    <col min="5653" max="5653" width="15.5703125" style="89" customWidth="1"/>
    <col min="5654" max="5660" width="11.42578125" style="89"/>
    <col min="5661" max="5663" width="11.5703125" style="89" bestFit="1" customWidth="1"/>
    <col min="5664" max="5673" width="12.5703125" style="89" bestFit="1" customWidth="1"/>
    <col min="5674" max="5888" width="11.42578125" style="89"/>
    <col min="5889" max="5889" width="16.140625" style="89" customWidth="1"/>
    <col min="5890" max="5890" width="14.85546875" style="89" customWidth="1"/>
    <col min="5891" max="5891" width="10.42578125" style="89" bestFit="1" customWidth="1"/>
    <col min="5892" max="5892" width="11" style="89" bestFit="1" customWidth="1"/>
    <col min="5893" max="5893" width="14.5703125" style="89" bestFit="1" customWidth="1"/>
    <col min="5894" max="5894" width="11.5703125" style="89" bestFit="1" customWidth="1"/>
    <col min="5895" max="5895" width="13.140625" style="89" bestFit="1" customWidth="1"/>
    <col min="5896" max="5896" width="14.7109375" style="89" bestFit="1" customWidth="1"/>
    <col min="5897" max="5898" width="14.140625" style="89" bestFit="1" customWidth="1"/>
    <col min="5899" max="5899" width="18" style="89" bestFit="1" customWidth="1"/>
    <col min="5900" max="5900" width="17.140625" style="89" customWidth="1"/>
    <col min="5901" max="5901" width="6.7109375" style="89" customWidth="1"/>
    <col min="5902" max="5902" width="15" style="89" customWidth="1"/>
    <col min="5903" max="5903" width="7.7109375" style="89" customWidth="1"/>
    <col min="5904" max="5904" width="9.140625" style="89" customWidth="1"/>
    <col min="5905" max="5908" width="14.28515625" style="89" customWidth="1"/>
    <col min="5909" max="5909" width="15.5703125" style="89" customWidth="1"/>
    <col min="5910" max="5916" width="11.42578125" style="89"/>
    <col min="5917" max="5919" width="11.5703125" style="89" bestFit="1" customWidth="1"/>
    <col min="5920" max="5929" width="12.5703125" style="89" bestFit="1" customWidth="1"/>
    <col min="5930" max="6144" width="11.42578125" style="89"/>
    <col min="6145" max="6145" width="16.140625" style="89" customWidth="1"/>
    <col min="6146" max="6146" width="14.85546875" style="89" customWidth="1"/>
    <col min="6147" max="6147" width="10.42578125" style="89" bestFit="1" customWidth="1"/>
    <col min="6148" max="6148" width="11" style="89" bestFit="1" customWidth="1"/>
    <col min="6149" max="6149" width="14.5703125" style="89" bestFit="1" customWidth="1"/>
    <col min="6150" max="6150" width="11.5703125" style="89" bestFit="1" customWidth="1"/>
    <col min="6151" max="6151" width="13.140625" style="89" bestFit="1" customWidth="1"/>
    <col min="6152" max="6152" width="14.7109375" style="89" bestFit="1" customWidth="1"/>
    <col min="6153" max="6154" width="14.140625" style="89" bestFit="1" customWidth="1"/>
    <col min="6155" max="6155" width="18" style="89" bestFit="1" customWidth="1"/>
    <col min="6156" max="6156" width="17.140625" style="89" customWidth="1"/>
    <col min="6157" max="6157" width="6.7109375" style="89" customWidth="1"/>
    <col min="6158" max="6158" width="15" style="89" customWidth="1"/>
    <col min="6159" max="6159" width="7.7109375" style="89" customWidth="1"/>
    <col min="6160" max="6160" width="9.140625" style="89" customWidth="1"/>
    <col min="6161" max="6164" width="14.28515625" style="89" customWidth="1"/>
    <col min="6165" max="6165" width="15.5703125" style="89" customWidth="1"/>
    <col min="6166" max="6172" width="11.42578125" style="89"/>
    <col min="6173" max="6175" width="11.5703125" style="89" bestFit="1" customWidth="1"/>
    <col min="6176" max="6185" width="12.5703125" style="89" bestFit="1" customWidth="1"/>
    <col min="6186" max="6400" width="11.42578125" style="89"/>
    <col min="6401" max="6401" width="16.140625" style="89" customWidth="1"/>
    <col min="6402" max="6402" width="14.85546875" style="89" customWidth="1"/>
    <col min="6403" max="6403" width="10.42578125" style="89" bestFit="1" customWidth="1"/>
    <col min="6404" max="6404" width="11" style="89" bestFit="1" customWidth="1"/>
    <col min="6405" max="6405" width="14.5703125" style="89" bestFit="1" customWidth="1"/>
    <col min="6406" max="6406" width="11.5703125" style="89" bestFit="1" customWidth="1"/>
    <col min="6407" max="6407" width="13.140625" style="89" bestFit="1" customWidth="1"/>
    <col min="6408" max="6408" width="14.7109375" style="89" bestFit="1" customWidth="1"/>
    <col min="6409" max="6410" width="14.140625" style="89" bestFit="1" customWidth="1"/>
    <col min="6411" max="6411" width="18" style="89" bestFit="1" customWidth="1"/>
    <col min="6412" max="6412" width="17.140625" style="89" customWidth="1"/>
    <col min="6413" max="6413" width="6.7109375" style="89" customWidth="1"/>
    <col min="6414" max="6414" width="15" style="89" customWidth="1"/>
    <col min="6415" max="6415" width="7.7109375" style="89" customWidth="1"/>
    <col min="6416" max="6416" width="9.140625" style="89" customWidth="1"/>
    <col min="6417" max="6420" width="14.28515625" style="89" customWidth="1"/>
    <col min="6421" max="6421" width="15.5703125" style="89" customWidth="1"/>
    <col min="6422" max="6428" width="11.42578125" style="89"/>
    <col min="6429" max="6431" width="11.5703125" style="89" bestFit="1" customWidth="1"/>
    <col min="6432" max="6441" width="12.5703125" style="89" bestFit="1" customWidth="1"/>
    <col min="6442" max="6656" width="11.42578125" style="89"/>
    <col min="6657" max="6657" width="16.140625" style="89" customWidth="1"/>
    <col min="6658" max="6658" width="14.85546875" style="89" customWidth="1"/>
    <col min="6659" max="6659" width="10.42578125" style="89" bestFit="1" customWidth="1"/>
    <col min="6660" max="6660" width="11" style="89" bestFit="1" customWidth="1"/>
    <col min="6661" max="6661" width="14.5703125" style="89" bestFit="1" customWidth="1"/>
    <col min="6662" max="6662" width="11.5703125" style="89" bestFit="1" customWidth="1"/>
    <col min="6663" max="6663" width="13.140625" style="89" bestFit="1" customWidth="1"/>
    <col min="6664" max="6664" width="14.7109375" style="89" bestFit="1" customWidth="1"/>
    <col min="6665" max="6666" width="14.140625" style="89" bestFit="1" customWidth="1"/>
    <col min="6667" max="6667" width="18" style="89" bestFit="1" customWidth="1"/>
    <col min="6668" max="6668" width="17.140625" style="89" customWidth="1"/>
    <col min="6669" max="6669" width="6.7109375" style="89" customWidth="1"/>
    <col min="6670" max="6670" width="15" style="89" customWidth="1"/>
    <col min="6671" max="6671" width="7.7109375" style="89" customWidth="1"/>
    <col min="6672" max="6672" width="9.140625" style="89" customWidth="1"/>
    <col min="6673" max="6676" width="14.28515625" style="89" customWidth="1"/>
    <col min="6677" max="6677" width="15.5703125" style="89" customWidth="1"/>
    <col min="6678" max="6684" width="11.42578125" style="89"/>
    <col min="6685" max="6687" width="11.5703125" style="89" bestFit="1" customWidth="1"/>
    <col min="6688" max="6697" width="12.5703125" style="89" bestFit="1" customWidth="1"/>
    <col min="6698" max="6912" width="11.42578125" style="89"/>
    <col min="6913" max="6913" width="16.140625" style="89" customWidth="1"/>
    <col min="6914" max="6914" width="14.85546875" style="89" customWidth="1"/>
    <col min="6915" max="6915" width="10.42578125" style="89" bestFit="1" customWidth="1"/>
    <col min="6916" max="6916" width="11" style="89" bestFit="1" customWidth="1"/>
    <col min="6917" max="6917" width="14.5703125" style="89" bestFit="1" customWidth="1"/>
    <col min="6918" max="6918" width="11.5703125" style="89" bestFit="1" customWidth="1"/>
    <col min="6919" max="6919" width="13.140625" style="89" bestFit="1" customWidth="1"/>
    <col min="6920" max="6920" width="14.7109375" style="89" bestFit="1" customWidth="1"/>
    <col min="6921" max="6922" width="14.140625" style="89" bestFit="1" customWidth="1"/>
    <col min="6923" max="6923" width="18" style="89" bestFit="1" customWidth="1"/>
    <col min="6924" max="6924" width="17.140625" style="89" customWidth="1"/>
    <col min="6925" max="6925" width="6.7109375" style="89" customWidth="1"/>
    <col min="6926" max="6926" width="15" style="89" customWidth="1"/>
    <col min="6927" max="6927" width="7.7109375" style="89" customWidth="1"/>
    <col min="6928" max="6928" width="9.140625" style="89" customWidth="1"/>
    <col min="6929" max="6932" width="14.28515625" style="89" customWidth="1"/>
    <col min="6933" max="6933" width="15.5703125" style="89" customWidth="1"/>
    <col min="6934" max="6940" width="11.42578125" style="89"/>
    <col min="6941" max="6943" width="11.5703125" style="89" bestFit="1" customWidth="1"/>
    <col min="6944" max="6953" width="12.5703125" style="89" bestFit="1" customWidth="1"/>
    <col min="6954" max="7168" width="11.42578125" style="89"/>
    <col min="7169" max="7169" width="16.140625" style="89" customWidth="1"/>
    <col min="7170" max="7170" width="14.85546875" style="89" customWidth="1"/>
    <col min="7171" max="7171" width="10.42578125" style="89" bestFit="1" customWidth="1"/>
    <col min="7172" max="7172" width="11" style="89" bestFit="1" customWidth="1"/>
    <col min="7173" max="7173" width="14.5703125" style="89" bestFit="1" customWidth="1"/>
    <col min="7174" max="7174" width="11.5703125" style="89" bestFit="1" customWidth="1"/>
    <col min="7175" max="7175" width="13.140625" style="89" bestFit="1" customWidth="1"/>
    <col min="7176" max="7176" width="14.7109375" style="89" bestFit="1" customWidth="1"/>
    <col min="7177" max="7178" width="14.140625" style="89" bestFit="1" customWidth="1"/>
    <col min="7179" max="7179" width="18" style="89" bestFit="1" customWidth="1"/>
    <col min="7180" max="7180" width="17.140625" style="89" customWidth="1"/>
    <col min="7181" max="7181" width="6.7109375" style="89" customWidth="1"/>
    <col min="7182" max="7182" width="15" style="89" customWidth="1"/>
    <col min="7183" max="7183" width="7.7109375" style="89" customWidth="1"/>
    <col min="7184" max="7184" width="9.140625" style="89" customWidth="1"/>
    <col min="7185" max="7188" width="14.28515625" style="89" customWidth="1"/>
    <col min="7189" max="7189" width="15.5703125" style="89" customWidth="1"/>
    <col min="7190" max="7196" width="11.42578125" style="89"/>
    <col min="7197" max="7199" width="11.5703125" style="89" bestFit="1" customWidth="1"/>
    <col min="7200" max="7209" width="12.5703125" style="89" bestFit="1" customWidth="1"/>
    <col min="7210" max="7424" width="11.42578125" style="89"/>
    <col min="7425" max="7425" width="16.140625" style="89" customWidth="1"/>
    <col min="7426" max="7426" width="14.85546875" style="89" customWidth="1"/>
    <col min="7427" max="7427" width="10.42578125" style="89" bestFit="1" customWidth="1"/>
    <col min="7428" max="7428" width="11" style="89" bestFit="1" customWidth="1"/>
    <col min="7429" max="7429" width="14.5703125" style="89" bestFit="1" customWidth="1"/>
    <col min="7430" max="7430" width="11.5703125" style="89" bestFit="1" customWidth="1"/>
    <col min="7431" max="7431" width="13.140625" style="89" bestFit="1" customWidth="1"/>
    <col min="7432" max="7432" width="14.7109375" style="89" bestFit="1" customWidth="1"/>
    <col min="7433" max="7434" width="14.140625" style="89" bestFit="1" customWidth="1"/>
    <col min="7435" max="7435" width="18" style="89" bestFit="1" customWidth="1"/>
    <col min="7436" max="7436" width="17.140625" style="89" customWidth="1"/>
    <col min="7437" max="7437" width="6.7109375" style="89" customWidth="1"/>
    <col min="7438" max="7438" width="15" style="89" customWidth="1"/>
    <col min="7439" max="7439" width="7.7109375" style="89" customWidth="1"/>
    <col min="7440" max="7440" width="9.140625" style="89" customWidth="1"/>
    <col min="7441" max="7444" width="14.28515625" style="89" customWidth="1"/>
    <col min="7445" max="7445" width="15.5703125" style="89" customWidth="1"/>
    <col min="7446" max="7452" width="11.42578125" style="89"/>
    <col min="7453" max="7455" width="11.5703125" style="89" bestFit="1" customWidth="1"/>
    <col min="7456" max="7465" width="12.5703125" style="89" bestFit="1" customWidth="1"/>
    <col min="7466" max="7680" width="11.42578125" style="89"/>
    <col min="7681" max="7681" width="16.140625" style="89" customWidth="1"/>
    <col min="7682" max="7682" width="14.85546875" style="89" customWidth="1"/>
    <col min="7683" max="7683" width="10.42578125" style="89" bestFit="1" customWidth="1"/>
    <col min="7684" max="7684" width="11" style="89" bestFit="1" customWidth="1"/>
    <col min="7685" max="7685" width="14.5703125" style="89" bestFit="1" customWidth="1"/>
    <col min="7686" max="7686" width="11.5703125" style="89" bestFit="1" customWidth="1"/>
    <col min="7687" max="7687" width="13.140625" style="89" bestFit="1" customWidth="1"/>
    <col min="7688" max="7688" width="14.7109375" style="89" bestFit="1" customWidth="1"/>
    <col min="7689" max="7690" width="14.140625" style="89" bestFit="1" customWidth="1"/>
    <col min="7691" max="7691" width="18" style="89" bestFit="1" customWidth="1"/>
    <col min="7692" max="7692" width="17.140625" style="89" customWidth="1"/>
    <col min="7693" max="7693" width="6.7109375" style="89" customWidth="1"/>
    <col min="7694" max="7694" width="15" style="89" customWidth="1"/>
    <col min="7695" max="7695" width="7.7109375" style="89" customWidth="1"/>
    <col min="7696" max="7696" width="9.140625" style="89" customWidth="1"/>
    <col min="7697" max="7700" width="14.28515625" style="89" customWidth="1"/>
    <col min="7701" max="7701" width="15.5703125" style="89" customWidth="1"/>
    <col min="7702" max="7708" width="11.42578125" style="89"/>
    <col min="7709" max="7711" width="11.5703125" style="89" bestFit="1" customWidth="1"/>
    <col min="7712" max="7721" width="12.5703125" style="89" bestFit="1" customWidth="1"/>
    <col min="7722" max="7936" width="11.42578125" style="89"/>
    <col min="7937" max="7937" width="16.140625" style="89" customWidth="1"/>
    <col min="7938" max="7938" width="14.85546875" style="89" customWidth="1"/>
    <col min="7939" max="7939" width="10.42578125" style="89" bestFit="1" customWidth="1"/>
    <col min="7940" max="7940" width="11" style="89" bestFit="1" customWidth="1"/>
    <col min="7941" max="7941" width="14.5703125" style="89" bestFit="1" customWidth="1"/>
    <col min="7942" max="7942" width="11.5703125" style="89" bestFit="1" customWidth="1"/>
    <col min="7943" max="7943" width="13.140625" style="89" bestFit="1" customWidth="1"/>
    <col min="7944" max="7944" width="14.7109375" style="89" bestFit="1" customWidth="1"/>
    <col min="7945" max="7946" width="14.140625" style="89" bestFit="1" customWidth="1"/>
    <col min="7947" max="7947" width="18" style="89" bestFit="1" customWidth="1"/>
    <col min="7948" max="7948" width="17.140625" style="89" customWidth="1"/>
    <col min="7949" max="7949" width="6.7109375" style="89" customWidth="1"/>
    <col min="7950" max="7950" width="15" style="89" customWidth="1"/>
    <col min="7951" max="7951" width="7.7109375" style="89" customWidth="1"/>
    <col min="7952" max="7952" width="9.140625" style="89" customWidth="1"/>
    <col min="7953" max="7956" width="14.28515625" style="89" customWidth="1"/>
    <col min="7957" max="7957" width="15.5703125" style="89" customWidth="1"/>
    <col min="7958" max="7964" width="11.42578125" style="89"/>
    <col min="7965" max="7967" width="11.5703125" style="89" bestFit="1" customWidth="1"/>
    <col min="7968" max="7977" width="12.5703125" style="89" bestFit="1" customWidth="1"/>
    <col min="7978" max="8192" width="11.42578125" style="89"/>
    <col min="8193" max="8193" width="16.140625" style="89" customWidth="1"/>
    <col min="8194" max="8194" width="14.85546875" style="89" customWidth="1"/>
    <col min="8195" max="8195" width="10.42578125" style="89" bestFit="1" customWidth="1"/>
    <col min="8196" max="8196" width="11" style="89" bestFit="1" customWidth="1"/>
    <col min="8197" max="8197" width="14.5703125" style="89" bestFit="1" customWidth="1"/>
    <col min="8198" max="8198" width="11.5703125" style="89" bestFit="1" customWidth="1"/>
    <col min="8199" max="8199" width="13.140625" style="89" bestFit="1" customWidth="1"/>
    <col min="8200" max="8200" width="14.7109375" style="89" bestFit="1" customWidth="1"/>
    <col min="8201" max="8202" width="14.140625" style="89" bestFit="1" customWidth="1"/>
    <col min="8203" max="8203" width="18" style="89" bestFit="1" customWidth="1"/>
    <col min="8204" max="8204" width="17.140625" style="89" customWidth="1"/>
    <col min="8205" max="8205" width="6.7109375" style="89" customWidth="1"/>
    <col min="8206" max="8206" width="15" style="89" customWidth="1"/>
    <col min="8207" max="8207" width="7.7109375" style="89" customWidth="1"/>
    <col min="8208" max="8208" width="9.140625" style="89" customWidth="1"/>
    <col min="8209" max="8212" width="14.28515625" style="89" customWidth="1"/>
    <col min="8213" max="8213" width="15.5703125" style="89" customWidth="1"/>
    <col min="8214" max="8220" width="11.42578125" style="89"/>
    <col min="8221" max="8223" width="11.5703125" style="89" bestFit="1" customWidth="1"/>
    <col min="8224" max="8233" width="12.5703125" style="89" bestFit="1" customWidth="1"/>
    <col min="8234" max="8448" width="11.42578125" style="89"/>
    <col min="8449" max="8449" width="16.140625" style="89" customWidth="1"/>
    <col min="8450" max="8450" width="14.85546875" style="89" customWidth="1"/>
    <col min="8451" max="8451" width="10.42578125" style="89" bestFit="1" customWidth="1"/>
    <col min="8452" max="8452" width="11" style="89" bestFit="1" customWidth="1"/>
    <col min="8453" max="8453" width="14.5703125" style="89" bestFit="1" customWidth="1"/>
    <col min="8454" max="8454" width="11.5703125" style="89" bestFit="1" customWidth="1"/>
    <col min="8455" max="8455" width="13.140625" style="89" bestFit="1" customWidth="1"/>
    <col min="8456" max="8456" width="14.7109375" style="89" bestFit="1" customWidth="1"/>
    <col min="8457" max="8458" width="14.140625" style="89" bestFit="1" customWidth="1"/>
    <col min="8459" max="8459" width="18" style="89" bestFit="1" customWidth="1"/>
    <col min="8460" max="8460" width="17.140625" style="89" customWidth="1"/>
    <col min="8461" max="8461" width="6.7109375" style="89" customWidth="1"/>
    <col min="8462" max="8462" width="15" style="89" customWidth="1"/>
    <col min="8463" max="8463" width="7.7109375" style="89" customWidth="1"/>
    <col min="8464" max="8464" width="9.140625" style="89" customWidth="1"/>
    <col min="8465" max="8468" width="14.28515625" style="89" customWidth="1"/>
    <col min="8469" max="8469" width="15.5703125" style="89" customWidth="1"/>
    <col min="8470" max="8476" width="11.42578125" style="89"/>
    <col min="8477" max="8479" width="11.5703125" style="89" bestFit="1" customWidth="1"/>
    <col min="8480" max="8489" width="12.5703125" style="89" bestFit="1" customWidth="1"/>
    <col min="8490" max="8704" width="11.42578125" style="89"/>
    <col min="8705" max="8705" width="16.140625" style="89" customWidth="1"/>
    <col min="8706" max="8706" width="14.85546875" style="89" customWidth="1"/>
    <col min="8707" max="8707" width="10.42578125" style="89" bestFit="1" customWidth="1"/>
    <col min="8708" max="8708" width="11" style="89" bestFit="1" customWidth="1"/>
    <col min="8709" max="8709" width="14.5703125" style="89" bestFit="1" customWidth="1"/>
    <col min="8710" max="8710" width="11.5703125" style="89" bestFit="1" customWidth="1"/>
    <col min="8711" max="8711" width="13.140625" style="89" bestFit="1" customWidth="1"/>
    <col min="8712" max="8712" width="14.7109375" style="89" bestFit="1" customWidth="1"/>
    <col min="8713" max="8714" width="14.140625" style="89" bestFit="1" customWidth="1"/>
    <col min="8715" max="8715" width="18" style="89" bestFit="1" customWidth="1"/>
    <col min="8716" max="8716" width="17.140625" style="89" customWidth="1"/>
    <col min="8717" max="8717" width="6.7109375" style="89" customWidth="1"/>
    <col min="8718" max="8718" width="15" style="89" customWidth="1"/>
    <col min="8719" max="8719" width="7.7109375" style="89" customWidth="1"/>
    <col min="8720" max="8720" width="9.140625" style="89" customWidth="1"/>
    <col min="8721" max="8724" width="14.28515625" style="89" customWidth="1"/>
    <col min="8725" max="8725" width="15.5703125" style="89" customWidth="1"/>
    <col min="8726" max="8732" width="11.42578125" style="89"/>
    <col min="8733" max="8735" width="11.5703125" style="89" bestFit="1" customWidth="1"/>
    <col min="8736" max="8745" width="12.5703125" style="89" bestFit="1" customWidth="1"/>
    <col min="8746" max="8960" width="11.42578125" style="89"/>
    <col min="8961" max="8961" width="16.140625" style="89" customWidth="1"/>
    <col min="8962" max="8962" width="14.85546875" style="89" customWidth="1"/>
    <col min="8963" max="8963" width="10.42578125" style="89" bestFit="1" customWidth="1"/>
    <col min="8964" max="8964" width="11" style="89" bestFit="1" customWidth="1"/>
    <col min="8965" max="8965" width="14.5703125" style="89" bestFit="1" customWidth="1"/>
    <col min="8966" max="8966" width="11.5703125" style="89" bestFit="1" customWidth="1"/>
    <col min="8967" max="8967" width="13.140625" style="89" bestFit="1" customWidth="1"/>
    <col min="8968" max="8968" width="14.7109375" style="89" bestFit="1" customWidth="1"/>
    <col min="8969" max="8970" width="14.140625" style="89" bestFit="1" customWidth="1"/>
    <col min="8971" max="8971" width="18" style="89" bestFit="1" customWidth="1"/>
    <col min="8972" max="8972" width="17.140625" style="89" customWidth="1"/>
    <col min="8973" max="8973" width="6.7109375" style="89" customWidth="1"/>
    <col min="8974" max="8974" width="15" style="89" customWidth="1"/>
    <col min="8975" max="8975" width="7.7109375" style="89" customWidth="1"/>
    <col min="8976" max="8976" width="9.140625" style="89" customWidth="1"/>
    <col min="8977" max="8980" width="14.28515625" style="89" customWidth="1"/>
    <col min="8981" max="8981" width="15.5703125" style="89" customWidth="1"/>
    <col min="8982" max="8988" width="11.42578125" style="89"/>
    <col min="8989" max="8991" width="11.5703125" style="89" bestFit="1" customWidth="1"/>
    <col min="8992" max="9001" width="12.5703125" style="89" bestFit="1" customWidth="1"/>
    <col min="9002" max="9216" width="11.42578125" style="89"/>
    <col min="9217" max="9217" width="16.140625" style="89" customWidth="1"/>
    <col min="9218" max="9218" width="14.85546875" style="89" customWidth="1"/>
    <col min="9219" max="9219" width="10.42578125" style="89" bestFit="1" customWidth="1"/>
    <col min="9220" max="9220" width="11" style="89" bestFit="1" customWidth="1"/>
    <col min="9221" max="9221" width="14.5703125" style="89" bestFit="1" customWidth="1"/>
    <col min="9222" max="9222" width="11.5703125" style="89" bestFit="1" customWidth="1"/>
    <col min="9223" max="9223" width="13.140625" style="89" bestFit="1" customWidth="1"/>
    <col min="9224" max="9224" width="14.7109375" style="89" bestFit="1" customWidth="1"/>
    <col min="9225" max="9226" width="14.140625" style="89" bestFit="1" customWidth="1"/>
    <col min="9227" max="9227" width="18" style="89" bestFit="1" customWidth="1"/>
    <col min="9228" max="9228" width="17.140625" style="89" customWidth="1"/>
    <col min="9229" max="9229" width="6.7109375" style="89" customWidth="1"/>
    <col min="9230" max="9230" width="15" style="89" customWidth="1"/>
    <col min="9231" max="9231" width="7.7109375" style="89" customWidth="1"/>
    <col min="9232" max="9232" width="9.140625" style="89" customWidth="1"/>
    <col min="9233" max="9236" width="14.28515625" style="89" customWidth="1"/>
    <col min="9237" max="9237" width="15.5703125" style="89" customWidth="1"/>
    <col min="9238" max="9244" width="11.42578125" style="89"/>
    <col min="9245" max="9247" width="11.5703125" style="89" bestFit="1" customWidth="1"/>
    <col min="9248" max="9257" width="12.5703125" style="89" bestFit="1" customWidth="1"/>
    <col min="9258" max="9472" width="11.42578125" style="89"/>
    <col min="9473" max="9473" width="16.140625" style="89" customWidth="1"/>
    <col min="9474" max="9474" width="14.85546875" style="89" customWidth="1"/>
    <col min="9475" max="9475" width="10.42578125" style="89" bestFit="1" customWidth="1"/>
    <col min="9476" max="9476" width="11" style="89" bestFit="1" customWidth="1"/>
    <col min="9477" max="9477" width="14.5703125" style="89" bestFit="1" customWidth="1"/>
    <col min="9478" max="9478" width="11.5703125" style="89" bestFit="1" customWidth="1"/>
    <col min="9479" max="9479" width="13.140625" style="89" bestFit="1" customWidth="1"/>
    <col min="9480" max="9480" width="14.7109375" style="89" bestFit="1" customWidth="1"/>
    <col min="9481" max="9482" width="14.140625" style="89" bestFit="1" customWidth="1"/>
    <col min="9483" max="9483" width="18" style="89" bestFit="1" customWidth="1"/>
    <col min="9484" max="9484" width="17.140625" style="89" customWidth="1"/>
    <col min="9485" max="9485" width="6.7109375" style="89" customWidth="1"/>
    <col min="9486" max="9486" width="15" style="89" customWidth="1"/>
    <col min="9487" max="9487" width="7.7109375" style="89" customWidth="1"/>
    <col min="9488" max="9488" width="9.140625" style="89" customWidth="1"/>
    <col min="9489" max="9492" width="14.28515625" style="89" customWidth="1"/>
    <col min="9493" max="9493" width="15.5703125" style="89" customWidth="1"/>
    <col min="9494" max="9500" width="11.42578125" style="89"/>
    <col min="9501" max="9503" width="11.5703125" style="89" bestFit="1" customWidth="1"/>
    <col min="9504" max="9513" width="12.5703125" style="89" bestFit="1" customWidth="1"/>
    <col min="9514" max="9728" width="11.42578125" style="89"/>
    <col min="9729" max="9729" width="16.140625" style="89" customWidth="1"/>
    <col min="9730" max="9730" width="14.85546875" style="89" customWidth="1"/>
    <col min="9731" max="9731" width="10.42578125" style="89" bestFit="1" customWidth="1"/>
    <col min="9732" max="9732" width="11" style="89" bestFit="1" customWidth="1"/>
    <col min="9733" max="9733" width="14.5703125" style="89" bestFit="1" customWidth="1"/>
    <col min="9734" max="9734" width="11.5703125" style="89" bestFit="1" customWidth="1"/>
    <col min="9735" max="9735" width="13.140625" style="89" bestFit="1" customWidth="1"/>
    <col min="9736" max="9736" width="14.7109375" style="89" bestFit="1" customWidth="1"/>
    <col min="9737" max="9738" width="14.140625" style="89" bestFit="1" customWidth="1"/>
    <col min="9739" max="9739" width="18" style="89" bestFit="1" customWidth="1"/>
    <col min="9740" max="9740" width="17.140625" style="89" customWidth="1"/>
    <col min="9741" max="9741" width="6.7109375" style="89" customWidth="1"/>
    <col min="9742" max="9742" width="15" style="89" customWidth="1"/>
    <col min="9743" max="9743" width="7.7109375" style="89" customWidth="1"/>
    <col min="9744" max="9744" width="9.140625" style="89" customWidth="1"/>
    <col min="9745" max="9748" width="14.28515625" style="89" customWidth="1"/>
    <col min="9749" max="9749" width="15.5703125" style="89" customWidth="1"/>
    <col min="9750" max="9756" width="11.42578125" style="89"/>
    <col min="9757" max="9759" width="11.5703125" style="89" bestFit="1" customWidth="1"/>
    <col min="9760" max="9769" width="12.5703125" style="89" bestFit="1" customWidth="1"/>
    <col min="9770" max="9984" width="11.42578125" style="89"/>
    <col min="9985" max="9985" width="16.140625" style="89" customWidth="1"/>
    <col min="9986" max="9986" width="14.85546875" style="89" customWidth="1"/>
    <col min="9987" max="9987" width="10.42578125" style="89" bestFit="1" customWidth="1"/>
    <col min="9988" max="9988" width="11" style="89" bestFit="1" customWidth="1"/>
    <col min="9989" max="9989" width="14.5703125" style="89" bestFit="1" customWidth="1"/>
    <col min="9990" max="9990" width="11.5703125" style="89" bestFit="1" customWidth="1"/>
    <col min="9991" max="9991" width="13.140625" style="89" bestFit="1" customWidth="1"/>
    <col min="9992" max="9992" width="14.7109375" style="89" bestFit="1" customWidth="1"/>
    <col min="9993" max="9994" width="14.140625" style="89" bestFit="1" customWidth="1"/>
    <col min="9995" max="9995" width="18" style="89" bestFit="1" customWidth="1"/>
    <col min="9996" max="9996" width="17.140625" style="89" customWidth="1"/>
    <col min="9997" max="9997" width="6.7109375" style="89" customWidth="1"/>
    <col min="9998" max="9998" width="15" style="89" customWidth="1"/>
    <col min="9999" max="9999" width="7.7109375" style="89" customWidth="1"/>
    <col min="10000" max="10000" width="9.140625" style="89" customWidth="1"/>
    <col min="10001" max="10004" width="14.28515625" style="89" customWidth="1"/>
    <col min="10005" max="10005" width="15.5703125" style="89" customWidth="1"/>
    <col min="10006" max="10012" width="11.42578125" style="89"/>
    <col min="10013" max="10015" width="11.5703125" style="89" bestFit="1" customWidth="1"/>
    <col min="10016" max="10025" width="12.5703125" style="89" bestFit="1" customWidth="1"/>
    <col min="10026" max="10240" width="11.42578125" style="89"/>
    <col min="10241" max="10241" width="16.140625" style="89" customWidth="1"/>
    <col min="10242" max="10242" width="14.85546875" style="89" customWidth="1"/>
    <col min="10243" max="10243" width="10.42578125" style="89" bestFit="1" customWidth="1"/>
    <col min="10244" max="10244" width="11" style="89" bestFit="1" customWidth="1"/>
    <col min="10245" max="10245" width="14.5703125" style="89" bestFit="1" customWidth="1"/>
    <col min="10246" max="10246" width="11.5703125" style="89" bestFit="1" customWidth="1"/>
    <col min="10247" max="10247" width="13.140625" style="89" bestFit="1" customWidth="1"/>
    <col min="10248" max="10248" width="14.7109375" style="89" bestFit="1" customWidth="1"/>
    <col min="10249" max="10250" width="14.140625" style="89" bestFit="1" customWidth="1"/>
    <col min="10251" max="10251" width="18" style="89" bestFit="1" customWidth="1"/>
    <col min="10252" max="10252" width="17.140625" style="89" customWidth="1"/>
    <col min="10253" max="10253" width="6.7109375" style="89" customWidth="1"/>
    <col min="10254" max="10254" width="15" style="89" customWidth="1"/>
    <col min="10255" max="10255" width="7.7109375" style="89" customWidth="1"/>
    <col min="10256" max="10256" width="9.140625" style="89" customWidth="1"/>
    <col min="10257" max="10260" width="14.28515625" style="89" customWidth="1"/>
    <col min="10261" max="10261" width="15.5703125" style="89" customWidth="1"/>
    <col min="10262" max="10268" width="11.42578125" style="89"/>
    <col min="10269" max="10271" width="11.5703125" style="89" bestFit="1" customWidth="1"/>
    <col min="10272" max="10281" width="12.5703125" style="89" bestFit="1" customWidth="1"/>
    <col min="10282" max="10496" width="11.42578125" style="89"/>
    <col min="10497" max="10497" width="16.140625" style="89" customWidth="1"/>
    <col min="10498" max="10498" width="14.85546875" style="89" customWidth="1"/>
    <col min="10499" max="10499" width="10.42578125" style="89" bestFit="1" customWidth="1"/>
    <col min="10500" max="10500" width="11" style="89" bestFit="1" customWidth="1"/>
    <col min="10501" max="10501" width="14.5703125" style="89" bestFit="1" customWidth="1"/>
    <col min="10502" max="10502" width="11.5703125" style="89" bestFit="1" customWidth="1"/>
    <col min="10503" max="10503" width="13.140625" style="89" bestFit="1" customWidth="1"/>
    <col min="10504" max="10504" width="14.7109375" style="89" bestFit="1" customWidth="1"/>
    <col min="10505" max="10506" width="14.140625" style="89" bestFit="1" customWidth="1"/>
    <col min="10507" max="10507" width="18" style="89" bestFit="1" customWidth="1"/>
    <col min="10508" max="10508" width="17.140625" style="89" customWidth="1"/>
    <col min="10509" max="10509" width="6.7109375" style="89" customWidth="1"/>
    <col min="10510" max="10510" width="15" style="89" customWidth="1"/>
    <col min="10511" max="10511" width="7.7109375" style="89" customWidth="1"/>
    <col min="10512" max="10512" width="9.140625" style="89" customWidth="1"/>
    <col min="10513" max="10516" width="14.28515625" style="89" customWidth="1"/>
    <col min="10517" max="10517" width="15.5703125" style="89" customWidth="1"/>
    <col min="10518" max="10524" width="11.42578125" style="89"/>
    <col min="10525" max="10527" width="11.5703125" style="89" bestFit="1" customWidth="1"/>
    <col min="10528" max="10537" width="12.5703125" style="89" bestFit="1" customWidth="1"/>
    <col min="10538" max="10752" width="11.42578125" style="89"/>
    <col min="10753" max="10753" width="16.140625" style="89" customWidth="1"/>
    <col min="10754" max="10754" width="14.85546875" style="89" customWidth="1"/>
    <col min="10755" max="10755" width="10.42578125" style="89" bestFit="1" customWidth="1"/>
    <col min="10756" max="10756" width="11" style="89" bestFit="1" customWidth="1"/>
    <col min="10757" max="10757" width="14.5703125" style="89" bestFit="1" customWidth="1"/>
    <col min="10758" max="10758" width="11.5703125" style="89" bestFit="1" customWidth="1"/>
    <col min="10759" max="10759" width="13.140625" style="89" bestFit="1" customWidth="1"/>
    <col min="10760" max="10760" width="14.7109375" style="89" bestFit="1" customWidth="1"/>
    <col min="10761" max="10762" width="14.140625" style="89" bestFit="1" customWidth="1"/>
    <col min="10763" max="10763" width="18" style="89" bestFit="1" customWidth="1"/>
    <col min="10764" max="10764" width="17.140625" style="89" customWidth="1"/>
    <col min="10765" max="10765" width="6.7109375" style="89" customWidth="1"/>
    <col min="10766" max="10766" width="15" style="89" customWidth="1"/>
    <col min="10767" max="10767" width="7.7109375" style="89" customWidth="1"/>
    <col min="10768" max="10768" width="9.140625" style="89" customWidth="1"/>
    <col min="10769" max="10772" width="14.28515625" style="89" customWidth="1"/>
    <col min="10773" max="10773" width="15.5703125" style="89" customWidth="1"/>
    <col min="10774" max="10780" width="11.42578125" style="89"/>
    <col min="10781" max="10783" width="11.5703125" style="89" bestFit="1" customWidth="1"/>
    <col min="10784" max="10793" width="12.5703125" style="89" bestFit="1" customWidth="1"/>
    <col min="10794" max="11008" width="11.42578125" style="89"/>
    <col min="11009" max="11009" width="16.140625" style="89" customWidth="1"/>
    <col min="11010" max="11010" width="14.85546875" style="89" customWidth="1"/>
    <col min="11011" max="11011" width="10.42578125" style="89" bestFit="1" customWidth="1"/>
    <col min="11012" max="11012" width="11" style="89" bestFit="1" customWidth="1"/>
    <col min="11013" max="11013" width="14.5703125" style="89" bestFit="1" customWidth="1"/>
    <col min="11014" max="11014" width="11.5703125" style="89" bestFit="1" customWidth="1"/>
    <col min="11015" max="11015" width="13.140625" style="89" bestFit="1" customWidth="1"/>
    <col min="11016" max="11016" width="14.7109375" style="89" bestFit="1" customWidth="1"/>
    <col min="11017" max="11018" width="14.140625" style="89" bestFit="1" customWidth="1"/>
    <col min="11019" max="11019" width="18" style="89" bestFit="1" customWidth="1"/>
    <col min="11020" max="11020" width="17.140625" style="89" customWidth="1"/>
    <col min="11021" max="11021" width="6.7109375" style="89" customWidth="1"/>
    <col min="11022" max="11022" width="15" style="89" customWidth="1"/>
    <col min="11023" max="11023" width="7.7109375" style="89" customWidth="1"/>
    <col min="11024" max="11024" width="9.140625" style="89" customWidth="1"/>
    <col min="11025" max="11028" width="14.28515625" style="89" customWidth="1"/>
    <col min="11029" max="11029" width="15.5703125" style="89" customWidth="1"/>
    <col min="11030" max="11036" width="11.42578125" style="89"/>
    <col min="11037" max="11039" width="11.5703125" style="89" bestFit="1" customWidth="1"/>
    <col min="11040" max="11049" width="12.5703125" style="89" bestFit="1" customWidth="1"/>
    <col min="11050" max="11264" width="11.42578125" style="89"/>
    <col min="11265" max="11265" width="16.140625" style="89" customWidth="1"/>
    <col min="11266" max="11266" width="14.85546875" style="89" customWidth="1"/>
    <col min="11267" max="11267" width="10.42578125" style="89" bestFit="1" customWidth="1"/>
    <col min="11268" max="11268" width="11" style="89" bestFit="1" customWidth="1"/>
    <col min="11269" max="11269" width="14.5703125" style="89" bestFit="1" customWidth="1"/>
    <col min="11270" max="11270" width="11.5703125" style="89" bestFit="1" customWidth="1"/>
    <col min="11271" max="11271" width="13.140625" style="89" bestFit="1" customWidth="1"/>
    <col min="11272" max="11272" width="14.7109375" style="89" bestFit="1" customWidth="1"/>
    <col min="11273" max="11274" width="14.140625" style="89" bestFit="1" customWidth="1"/>
    <col min="11275" max="11275" width="18" style="89" bestFit="1" customWidth="1"/>
    <col min="11276" max="11276" width="17.140625" style="89" customWidth="1"/>
    <col min="11277" max="11277" width="6.7109375" style="89" customWidth="1"/>
    <col min="11278" max="11278" width="15" style="89" customWidth="1"/>
    <col min="11279" max="11279" width="7.7109375" style="89" customWidth="1"/>
    <col min="11280" max="11280" width="9.140625" style="89" customWidth="1"/>
    <col min="11281" max="11284" width="14.28515625" style="89" customWidth="1"/>
    <col min="11285" max="11285" width="15.5703125" style="89" customWidth="1"/>
    <col min="11286" max="11292" width="11.42578125" style="89"/>
    <col min="11293" max="11295" width="11.5703125" style="89" bestFit="1" customWidth="1"/>
    <col min="11296" max="11305" width="12.5703125" style="89" bestFit="1" customWidth="1"/>
    <col min="11306" max="11520" width="11.42578125" style="89"/>
    <col min="11521" max="11521" width="16.140625" style="89" customWidth="1"/>
    <col min="11522" max="11522" width="14.85546875" style="89" customWidth="1"/>
    <col min="11523" max="11523" width="10.42578125" style="89" bestFit="1" customWidth="1"/>
    <col min="11524" max="11524" width="11" style="89" bestFit="1" customWidth="1"/>
    <col min="11525" max="11525" width="14.5703125" style="89" bestFit="1" customWidth="1"/>
    <col min="11526" max="11526" width="11.5703125" style="89" bestFit="1" customWidth="1"/>
    <col min="11527" max="11527" width="13.140625" style="89" bestFit="1" customWidth="1"/>
    <col min="11528" max="11528" width="14.7109375" style="89" bestFit="1" customWidth="1"/>
    <col min="11529" max="11530" width="14.140625" style="89" bestFit="1" customWidth="1"/>
    <col min="11531" max="11531" width="18" style="89" bestFit="1" customWidth="1"/>
    <col min="11532" max="11532" width="17.140625" style="89" customWidth="1"/>
    <col min="11533" max="11533" width="6.7109375" style="89" customWidth="1"/>
    <col min="11534" max="11534" width="15" style="89" customWidth="1"/>
    <col min="11535" max="11535" width="7.7109375" style="89" customWidth="1"/>
    <col min="11536" max="11536" width="9.140625" style="89" customWidth="1"/>
    <col min="11537" max="11540" width="14.28515625" style="89" customWidth="1"/>
    <col min="11541" max="11541" width="15.5703125" style="89" customWidth="1"/>
    <col min="11542" max="11548" width="11.42578125" style="89"/>
    <col min="11549" max="11551" width="11.5703125" style="89" bestFit="1" customWidth="1"/>
    <col min="11552" max="11561" width="12.5703125" style="89" bestFit="1" customWidth="1"/>
    <col min="11562" max="11776" width="11.42578125" style="89"/>
    <col min="11777" max="11777" width="16.140625" style="89" customWidth="1"/>
    <col min="11778" max="11778" width="14.85546875" style="89" customWidth="1"/>
    <col min="11779" max="11779" width="10.42578125" style="89" bestFit="1" customWidth="1"/>
    <col min="11780" max="11780" width="11" style="89" bestFit="1" customWidth="1"/>
    <col min="11781" max="11781" width="14.5703125" style="89" bestFit="1" customWidth="1"/>
    <col min="11782" max="11782" width="11.5703125" style="89" bestFit="1" customWidth="1"/>
    <col min="11783" max="11783" width="13.140625" style="89" bestFit="1" customWidth="1"/>
    <col min="11784" max="11784" width="14.7109375" style="89" bestFit="1" customWidth="1"/>
    <col min="11785" max="11786" width="14.140625" style="89" bestFit="1" customWidth="1"/>
    <col min="11787" max="11787" width="18" style="89" bestFit="1" customWidth="1"/>
    <col min="11788" max="11788" width="17.140625" style="89" customWidth="1"/>
    <col min="11789" max="11789" width="6.7109375" style="89" customWidth="1"/>
    <col min="11790" max="11790" width="15" style="89" customWidth="1"/>
    <col min="11791" max="11791" width="7.7109375" style="89" customWidth="1"/>
    <col min="11792" max="11792" width="9.140625" style="89" customWidth="1"/>
    <col min="11793" max="11796" width="14.28515625" style="89" customWidth="1"/>
    <col min="11797" max="11797" width="15.5703125" style="89" customWidth="1"/>
    <col min="11798" max="11804" width="11.42578125" style="89"/>
    <col min="11805" max="11807" width="11.5703125" style="89" bestFit="1" customWidth="1"/>
    <col min="11808" max="11817" width="12.5703125" style="89" bestFit="1" customWidth="1"/>
    <col min="11818" max="12032" width="11.42578125" style="89"/>
    <col min="12033" max="12033" width="16.140625" style="89" customWidth="1"/>
    <col min="12034" max="12034" width="14.85546875" style="89" customWidth="1"/>
    <col min="12035" max="12035" width="10.42578125" style="89" bestFit="1" customWidth="1"/>
    <col min="12036" max="12036" width="11" style="89" bestFit="1" customWidth="1"/>
    <col min="12037" max="12037" width="14.5703125" style="89" bestFit="1" customWidth="1"/>
    <col min="12038" max="12038" width="11.5703125" style="89" bestFit="1" customWidth="1"/>
    <col min="12039" max="12039" width="13.140625" style="89" bestFit="1" customWidth="1"/>
    <col min="12040" max="12040" width="14.7109375" style="89" bestFit="1" customWidth="1"/>
    <col min="12041" max="12042" width="14.140625" style="89" bestFit="1" customWidth="1"/>
    <col min="12043" max="12043" width="18" style="89" bestFit="1" customWidth="1"/>
    <col min="12044" max="12044" width="17.140625" style="89" customWidth="1"/>
    <col min="12045" max="12045" width="6.7109375" style="89" customWidth="1"/>
    <col min="12046" max="12046" width="15" style="89" customWidth="1"/>
    <col min="12047" max="12047" width="7.7109375" style="89" customWidth="1"/>
    <col min="12048" max="12048" width="9.140625" style="89" customWidth="1"/>
    <col min="12049" max="12052" width="14.28515625" style="89" customWidth="1"/>
    <col min="12053" max="12053" width="15.5703125" style="89" customWidth="1"/>
    <col min="12054" max="12060" width="11.42578125" style="89"/>
    <col min="12061" max="12063" width="11.5703125" style="89" bestFit="1" customWidth="1"/>
    <col min="12064" max="12073" width="12.5703125" style="89" bestFit="1" customWidth="1"/>
    <col min="12074" max="12288" width="11.42578125" style="89"/>
    <col min="12289" max="12289" width="16.140625" style="89" customWidth="1"/>
    <col min="12290" max="12290" width="14.85546875" style="89" customWidth="1"/>
    <col min="12291" max="12291" width="10.42578125" style="89" bestFit="1" customWidth="1"/>
    <col min="12292" max="12292" width="11" style="89" bestFit="1" customWidth="1"/>
    <col min="12293" max="12293" width="14.5703125" style="89" bestFit="1" customWidth="1"/>
    <col min="12294" max="12294" width="11.5703125" style="89" bestFit="1" customWidth="1"/>
    <col min="12295" max="12295" width="13.140625" style="89" bestFit="1" customWidth="1"/>
    <col min="12296" max="12296" width="14.7109375" style="89" bestFit="1" customWidth="1"/>
    <col min="12297" max="12298" width="14.140625" style="89" bestFit="1" customWidth="1"/>
    <col min="12299" max="12299" width="18" style="89" bestFit="1" customWidth="1"/>
    <col min="12300" max="12300" width="17.140625" style="89" customWidth="1"/>
    <col min="12301" max="12301" width="6.7109375" style="89" customWidth="1"/>
    <col min="12302" max="12302" width="15" style="89" customWidth="1"/>
    <col min="12303" max="12303" width="7.7109375" style="89" customWidth="1"/>
    <col min="12304" max="12304" width="9.140625" style="89" customWidth="1"/>
    <col min="12305" max="12308" width="14.28515625" style="89" customWidth="1"/>
    <col min="12309" max="12309" width="15.5703125" style="89" customWidth="1"/>
    <col min="12310" max="12316" width="11.42578125" style="89"/>
    <col min="12317" max="12319" width="11.5703125" style="89" bestFit="1" customWidth="1"/>
    <col min="12320" max="12329" width="12.5703125" style="89" bestFit="1" customWidth="1"/>
    <col min="12330" max="12544" width="11.42578125" style="89"/>
    <col min="12545" max="12545" width="16.140625" style="89" customWidth="1"/>
    <col min="12546" max="12546" width="14.85546875" style="89" customWidth="1"/>
    <col min="12547" max="12547" width="10.42578125" style="89" bestFit="1" customWidth="1"/>
    <col min="12548" max="12548" width="11" style="89" bestFit="1" customWidth="1"/>
    <col min="12549" max="12549" width="14.5703125" style="89" bestFit="1" customWidth="1"/>
    <col min="12550" max="12550" width="11.5703125" style="89" bestFit="1" customWidth="1"/>
    <col min="12551" max="12551" width="13.140625" style="89" bestFit="1" customWidth="1"/>
    <col min="12552" max="12552" width="14.7109375" style="89" bestFit="1" customWidth="1"/>
    <col min="12553" max="12554" width="14.140625" style="89" bestFit="1" customWidth="1"/>
    <col min="12555" max="12555" width="18" style="89" bestFit="1" customWidth="1"/>
    <col min="12556" max="12556" width="17.140625" style="89" customWidth="1"/>
    <col min="12557" max="12557" width="6.7109375" style="89" customWidth="1"/>
    <col min="12558" max="12558" width="15" style="89" customWidth="1"/>
    <col min="12559" max="12559" width="7.7109375" style="89" customWidth="1"/>
    <col min="12560" max="12560" width="9.140625" style="89" customWidth="1"/>
    <col min="12561" max="12564" width="14.28515625" style="89" customWidth="1"/>
    <col min="12565" max="12565" width="15.5703125" style="89" customWidth="1"/>
    <col min="12566" max="12572" width="11.42578125" style="89"/>
    <col min="12573" max="12575" width="11.5703125" style="89" bestFit="1" customWidth="1"/>
    <col min="12576" max="12585" width="12.5703125" style="89" bestFit="1" customWidth="1"/>
    <col min="12586" max="12800" width="11.42578125" style="89"/>
    <col min="12801" max="12801" width="16.140625" style="89" customWidth="1"/>
    <col min="12802" max="12802" width="14.85546875" style="89" customWidth="1"/>
    <col min="12803" max="12803" width="10.42578125" style="89" bestFit="1" customWidth="1"/>
    <col min="12804" max="12804" width="11" style="89" bestFit="1" customWidth="1"/>
    <col min="12805" max="12805" width="14.5703125" style="89" bestFit="1" customWidth="1"/>
    <col min="12806" max="12806" width="11.5703125" style="89" bestFit="1" customWidth="1"/>
    <col min="12807" max="12807" width="13.140625" style="89" bestFit="1" customWidth="1"/>
    <col min="12808" max="12808" width="14.7109375" style="89" bestFit="1" customWidth="1"/>
    <col min="12809" max="12810" width="14.140625" style="89" bestFit="1" customWidth="1"/>
    <col min="12811" max="12811" width="18" style="89" bestFit="1" customWidth="1"/>
    <col min="12812" max="12812" width="17.140625" style="89" customWidth="1"/>
    <col min="12813" max="12813" width="6.7109375" style="89" customWidth="1"/>
    <col min="12814" max="12814" width="15" style="89" customWidth="1"/>
    <col min="12815" max="12815" width="7.7109375" style="89" customWidth="1"/>
    <col min="12816" max="12816" width="9.140625" style="89" customWidth="1"/>
    <col min="12817" max="12820" width="14.28515625" style="89" customWidth="1"/>
    <col min="12821" max="12821" width="15.5703125" style="89" customWidth="1"/>
    <col min="12822" max="12828" width="11.42578125" style="89"/>
    <col min="12829" max="12831" width="11.5703125" style="89" bestFit="1" customWidth="1"/>
    <col min="12832" max="12841" width="12.5703125" style="89" bestFit="1" customWidth="1"/>
    <col min="12842" max="13056" width="11.42578125" style="89"/>
    <col min="13057" max="13057" width="16.140625" style="89" customWidth="1"/>
    <col min="13058" max="13058" width="14.85546875" style="89" customWidth="1"/>
    <col min="13059" max="13059" width="10.42578125" style="89" bestFit="1" customWidth="1"/>
    <col min="13060" max="13060" width="11" style="89" bestFit="1" customWidth="1"/>
    <col min="13061" max="13061" width="14.5703125" style="89" bestFit="1" customWidth="1"/>
    <col min="13062" max="13062" width="11.5703125" style="89" bestFit="1" customWidth="1"/>
    <col min="13063" max="13063" width="13.140625" style="89" bestFit="1" customWidth="1"/>
    <col min="13064" max="13064" width="14.7109375" style="89" bestFit="1" customWidth="1"/>
    <col min="13065" max="13066" width="14.140625" style="89" bestFit="1" customWidth="1"/>
    <col min="13067" max="13067" width="18" style="89" bestFit="1" customWidth="1"/>
    <col min="13068" max="13068" width="17.140625" style="89" customWidth="1"/>
    <col min="13069" max="13069" width="6.7109375" style="89" customWidth="1"/>
    <col min="13070" max="13070" width="15" style="89" customWidth="1"/>
    <col min="13071" max="13071" width="7.7109375" style="89" customWidth="1"/>
    <col min="13072" max="13072" width="9.140625" style="89" customWidth="1"/>
    <col min="13073" max="13076" width="14.28515625" style="89" customWidth="1"/>
    <col min="13077" max="13077" width="15.5703125" style="89" customWidth="1"/>
    <col min="13078" max="13084" width="11.42578125" style="89"/>
    <col min="13085" max="13087" width="11.5703125" style="89" bestFit="1" customWidth="1"/>
    <col min="13088" max="13097" width="12.5703125" style="89" bestFit="1" customWidth="1"/>
    <col min="13098" max="13312" width="11.42578125" style="89"/>
    <col min="13313" max="13313" width="16.140625" style="89" customWidth="1"/>
    <col min="13314" max="13314" width="14.85546875" style="89" customWidth="1"/>
    <col min="13315" max="13315" width="10.42578125" style="89" bestFit="1" customWidth="1"/>
    <col min="13316" max="13316" width="11" style="89" bestFit="1" customWidth="1"/>
    <col min="13317" max="13317" width="14.5703125" style="89" bestFit="1" customWidth="1"/>
    <col min="13318" max="13318" width="11.5703125" style="89" bestFit="1" customWidth="1"/>
    <col min="13319" max="13319" width="13.140625" style="89" bestFit="1" customWidth="1"/>
    <col min="13320" max="13320" width="14.7109375" style="89" bestFit="1" customWidth="1"/>
    <col min="13321" max="13322" width="14.140625" style="89" bestFit="1" customWidth="1"/>
    <col min="13323" max="13323" width="18" style="89" bestFit="1" customWidth="1"/>
    <col min="13324" max="13324" width="17.140625" style="89" customWidth="1"/>
    <col min="13325" max="13325" width="6.7109375" style="89" customWidth="1"/>
    <col min="13326" max="13326" width="15" style="89" customWidth="1"/>
    <col min="13327" max="13327" width="7.7109375" style="89" customWidth="1"/>
    <col min="13328" max="13328" width="9.140625" style="89" customWidth="1"/>
    <col min="13329" max="13332" width="14.28515625" style="89" customWidth="1"/>
    <col min="13333" max="13333" width="15.5703125" style="89" customWidth="1"/>
    <col min="13334" max="13340" width="11.42578125" style="89"/>
    <col min="13341" max="13343" width="11.5703125" style="89" bestFit="1" customWidth="1"/>
    <col min="13344" max="13353" width="12.5703125" style="89" bestFit="1" customWidth="1"/>
    <col min="13354" max="13568" width="11.42578125" style="89"/>
    <col min="13569" max="13569" width="16.140625" style="89" customWidth="1"/>
    <col min="13570" max="13570" width="14.85546875" style="89" customWidth="1"/>
    <col min="13571" max="13571" width="10.42578125" style="89" bestFit="1" customWidth="1"/>
    <col min="13572" max="13572" width="11" style="89" bestFit="1" customWidth="1"/>
    <col min="13573" max="13573" width="14.5703125" style="89" bestFit="1" customWidth="1"/>
    <col min="13574" max="13574" width="11.5703125" style="89" bestFit="1" customWidth="1"/>
    <col min="13575" max="13575" width="13.140625" style="89" bestFit="1" customWidth="1"/>
    <col min="13576" max="13576" width="14.7109375" style="89" bestFit="1" customWidth="1"/>
    <col min="13577" max="13578" width="14.140625" style="89" bestFit="1" customWidth="1"/>
    <col min="13579" max="13579" width="18" style="89" bestFit="1" customWidth="1"/>
    <col min="13580" max="13580" width="17.140625" style="89" customWidth="1"/>
    <col min="13581" max="13581" width="6.7109375" style="89" customWidth="1"/>
    <col min="13582" max="13582" width="15" style="89" customWidth="1"/>
    <col min="13583" max="13583" width="7.7109375" style="89" customWidth="1"/>
    <col min="13584" max="13584" width="9.140625" style="89" customWidth="1"/>
    <col min="13585" max="13588" width="14.28515625" style="89" customWidth="1"/>
    <col min="13589" max="13589" width="15.5703125" style="89" customWidth="1"/>
    <col min="13590" max="13596" width="11.42578125" style="89"/>
    <col min="13597" max="13599" width="11.5703125" style="89" bestFit="1" customWidth="1"/>
    <col min="13600" max="13609" width="12.5703125" style="89" bestFit="1" customWidth="1"/>
    <col min="13610" max="13824" width="11.42578125" style="89"/>
    <col min="13825" max="13825" width="16.140625" style="89" customWidth="1"/>
    <col min="13826" max="13826" width="14.85546875" style="89" customWidth="1"/>
    <col min="13827" max="13827" width="10.42578125" style="89" bestFit="1" customWidth="1"/>
    <col min="13828" max="13828" width="11" style="89" bestFit="1" customWidth="1"/>
    <col min="13829" max="13829" width="14.5703125" style="89" bestFit="1" customWidth="1"/>
    <col min="13830" max="13830" width="11.5703125" style="89" bestFit="1" customWidth="1"/>
    <col min="13831" max="13831" width="13.140625" style="89" bestFit="1" customWidth="1"/>
    <col min="13832" max="13832" width="14.7109375" style="89" bestFit="1" customWidth="1"/>
    <col min="13833" max="13834" width="14.140625" style="89" bestFit="1" customWidth="1"/>
    <col min="13835" max="13835" width="18" style="89" bestFit="1" customWidth="1"/>
    <col min="13836" max="13836" width="17.140625" style="89" customWidth="1"/>
    <col min="13837" max="13837" width="6.7109375" style="89" customWidth="1"/>
    <col min="13838" max="13838" width="15" style="89" customWidth="1"/>
    <col min="13839" max="13839" width="7.7109375" style="89" customWidth="1"/>
    <col min="13840" max="13840" width="9.140625" style="89" customWidth="1"/>
    <col min="13841" max="13844" width="14.28515625" style="89" customWidth="1"/>
    <col min="13845" max="13845" width="15.5703125" style="89" customWidth="1"/>
    <col min="13846" max="13852" width="11.42578125" style="89"/>
    <col min="13853" max="13855" width="11.5703125" style="89" bestFit="1" customWidth="1"/>
    <col min="13856" max="13865" width="12.5703125" style="89" bestFit="1" customWidth="1"/>
    <col min="13866" max="14080" width="11.42578125" style="89"/>
    <col min="14081" max="14081" width="16.140625" style="89" customWidth="1"/>
    <col min="14082" max="14082" width="14.85546875" style="89" customWidth="1"/>
    <col min="14083" max="14083" width="10.42578125" style="89" bestFit="1" customWidth="1"/>
    <col min="14084" max="14084" width="11" style="89" bestFit="1" customWidth="1"/>
    <col min="14085" max="14085" width="14.5703125" style="89" bestFit="1" customWidth="1"/>
    <col min="14086" max="14086" width="11.5703125" style="89" bestFit="1" customWidth="1"/>
    <col min="14087" max="14087" width="13.140625" style="89" bestFit="1" customWidth="1"/>
    <col min="14088" max="14088" width="14.7109375" style="89" bestFit="1" customWidth="1"/>
    <col min="14089" max="14090" width="14.140625" style="89" bestFit="1" customWidth="1"/>
    <col min="14091" max="14091" width="18" style="89" bestFit="1" customWidth="1"/>
    <col min="14092" max="14092" width="17.140625" style="89" customWidth="1"/>
    <col min="14093" max="14093" width="6.7109375" style="89" customWidth="1"/>
    <col min="14094" max="14094" width="15" style="89" customWidth="1"/>
    <col min="14095" max="14095" width="7.7109375" style="89" customWidth="1"/>
    <col min="14096" max="14096" width="9.140625" style="89" customWidth="1"/>
    <col min="14097" max="14100" width="14.28515625" style="89" customWidth="1"/>
    <col min="14101" max="14101" width="15.5703125" style="89" customWidth="1"/>
    <col min="14102" max="14108" width="11.42578125" style="89"/>
    <col min="14109" max="14111" width="11.5703125" style="89" bestFit="1" customWidth="1"/>
    <col min="14112" max="14121" width="12.5703125" style="89" bestFit="1" customWidth="1"/>
    <col min="14122" max="14336" width="11.42578125" style="89"/>
    <col min="14337" max="14337" width="16.140625" style="89" customWidth="1"/>
    <col min="14338" max="14338" width="14.85546875" style="89" customWidth="1"/>
    <col min="14339" max="14339" width="10.42578125" style="89" bestFit="1" customWidth="1"/>
    <col min="14340" max="14340" width="11" style="89" bestFit="1" customWidth="1"/>
    <col min="14341" max="14341" width="14.5703125" style="89" bestFit="1" customWidth="1"/>
    <col min="14342" max="14342" width="11.5703125" style="89" bestFit="1" customWidth="1"/>
    <col min="14343" max="14343" width="13.140625" style="89" bestFit="1" customWidth="1"/>
    <col min="14344" max="14344" width="14.7109375" style="89" bestFit="1" customWidth="1"/>
    <col min="14345" max="14346" width="14.140625" style="89" bestFit="1" customWidth="1"/>
    <col min="14347" max="14347" width="18" style="89" bestFit="1" customWidth="1"/>
    <col min="14348" max="14348" width="17.140625" style="89" customWidth="1"/>
    <col min="14349" max="14349" width="6.7109375" style="89" customWidth="1"/>
    <col min="14350" max="14350" width="15" style="89" customWidth="1"/>
    <col min="14351" max="14351" width="7.7109375" style="89" customWidth="1"/>
    <col min="14352" max="14352" width="9.140625" style="89" customWidth="1"/>
    <col min="14353" max="14356" width="14.28515625" style="89" customWidth="1"/>
    <col min="14357" max="14357" width="15.5703125" style="89" customWidth="1"/>
    <col min="14358" max="14364" width="11.42578125" style="89"/>
    <col min="14365" max="14367" width="11.5703125" style="89" bestFit="1" customWidth="1"/>
    <col min="14368" max="14377" width="12.5703125" style="89" bestFit="1" customWidth="1"/>
    <col min="14378" max="14592" width="11.42578125" style="89"/>
    <col min="14593" max="14593" width="16.140625" style="89" customWidth="1"/>
    <col min="14594" max="14594" width="14.85546875" style="89" customWidth="1"/>
    <col min="14595" max="14595" width="10.42578125" style="89" bestFit="1" customWidth="1"/>
    <col min="14596" max="14596" width="11" style="89" bestFit="1" customWidth="1"/>
    <col min="14597" max="14597" width="14.5703125" style="89" bestFit="1" customWidth="1"/>
    <col min="14598" max="14598" width="11.5703125" style="89" bestFit="1" customWidth="1"/>
    <col min="14599" max="14599" width="13.140625" style="89" bestFit="1" customWidth="1"/>
    <col min="14600" max="14600" width="14.7109375" style="89" bestFit="1" customWidth="1"/>
    <col min="14601" max="14602" width="14.140625" style="89" bestFit="1" customWidth="1"/>
    <col min="14603" max="14603" width="18" style="89" bestFit="1" customWidth="1"/>
    <col min="14604" max="14604" width="17.140625" style="89" customWidth="1"/>
    <col min="14605" max="14605" width="6.7109375" style="89" customWidth="1"/>
    <col min="14606" max="14606" width="15" style="89" customWidth="1"/>
    <col min="14607" max="14607" width="7.7109375" style="89" customWidth="1"/>
    <col min="14608" max="14608" width="9.140625" style="89" customWidth="1"/>
    <col min="14609" max="14612" width="14.28515625" style="89" customWidth="1"/>
    <col min="14613" max="14613" width="15.5703125" style="89" customWidth="1"/>
    <col min="14614" max="14620" width="11.42578125" style="89"/>
    <col min="14621" max="14623" width="11.5703125" style="89" bestFit="1" customWidth="1"/>
    <col min="14624" max="14633" width="12.5703125" style="89" bestFit="1" customWidth="1"/>
    <col min="14634" max="14848" width="11.42578125" style="89"/>
    <col min="14849" max="14849" width="16.140625" style="89" customWidth="1"/>
    <col min="14850" max="14850" width="14.85546875" style="89" customWidth="1"/>
    <col min="14851" max="14851" width="10.42578125" style="89" bestFit="1" customWidth="1"/>
    <col min="14852" max="14852" width="11" style="89" bestFit="1" customWidth="1"/>
    <col min="14853" max="14853" width="14.5703125" style="89" bestFit="1" customWidth="1"/>
    <col min="14854" max="14854" width="11.5703125" style="89" bestFit="1" customWidth="1"/>
    <col min="14855" max="14855" width="13.140625" style="89" bestFit="1" customWidth="1"/>
    <col min="14856" max="14856" width="14.7109375" style="89" bestFit="1" customWidth="1"/>
    <col min="14857" max="14858" width="14.140625" style="89" bestFit="1" customWidth="1"/>
    <col min="14859" max="14859" width="18" style="89" bestFit="1" customWidth="1"/>
    <col min="14860" max="14860" width="17.140625" style="89" customWidth="1"/>
    <col min="14861" max="14861" width="6.7109375" style="89" customWidth="1"/>
    <col min="14862" max="14862" width="15" style="89" customWidth="1"/>
    <col min="14863" max="14863" width="7.7109375" style="89" customWidth="1"/>
    <col min="14864" max="14864" width="9.140625" style="89" customWidth="1"/>
    <col min="14865" max="14868" width="14.28515625" style="89" customWidth="1"/>
    <col min="14869" max="14869" width="15.5703125" style="89" customWidth="1"/>
    <col min="14870" max="14876" width="11.42578125" style="89"/>
    <col min="14877" max="14879" width="11.5703125" style="89" bestFit="1" customWidth="1"/>
    <col min="14880" max="14889" width="12.5703125" style="89" bestFit="1" customWidth="1"/>
    <col min="14890" max="15104" width="11.42578125" style="89"/>
    <col min="15105" max="15105" width="16.140625" style="89" customWidth="1"/>
    <col min="15106" max="15106" width="14.85546875" style="89" customWidth="1"/>
    <col min="15107" max="15107" width="10.42578125" style="89" bestFit="1" customWidth="1"/>
    <col min="15108" max="15108" width="11" style="89" bestFit="1" customWidth="1"/>
    <col min="15109" max="15109" width="14.5703125" style="89" bestFit="1" customWidth="1"/>
    <col min="15110" max="15110" width="11.5703125" style="89" bestFit="1" customWidth="1"/>
    <col min="15111" max="15111" width="13.140625" style="89" bestFit="1" customWidth="1"/>
    <col min="15112" max="15112" width="14.7109375" style="89" bestFit="1" customWidth="1"/>
    <col min="15113" max="15114" width="14.140625" style="89" bestFit="1" customWidth="1"/>
    <col min="15115" max="15115" width="18" style="89" bestFit="1" customWidth="1"/>
    <col min="15116" max="15116" width="17.140625" style="89" customWidth="1"/>
    <col min="15117" max="15117" width="6.7109375" style="89" customWidth="1"/>
    <col min="15118" max="15118" width="15" style="89" customWidth="1"/>
    <col min="15119" max="15119" width="7.7109375" style="89" customWidth="1"/>
    <col min="15120" max="15120" width="9.140625" style="89" customWidth="1"/>
    <col min="15121" max="15124" width="14.28515625" style="89" customWidth="1"/>
    <col min="15125" max="15125" width="15.5703125" style="89" customWidth="1"/>
    <col min="15126" max="15132" width="11.42578125" style="89"/>
    <col min="15133" max="15135" width="11.5703125" style="89" bestFit="1" customWidth="1"/>
    <col min="15136" max="15145" width="12.5703125" style="89" bestFit="1" customWidth="1"/>
    <col min="15146" max="15360" width="11.42578125" style="89"/>
    <col min="15361" max="15361" width="16.140625" style="89" customWidth="1"/>
    <col min="15362" max="15362" width="14.85546875" style="89" customWidth="1"/>
    <col min="15363" max="15363" width="10.42578125" style="89" bestFit="1" customWidth="1"/>
    <col min="15364" max="15364" width="11" style="89" bestFit="1" customWidth="1"/>
    <col min="15365" max="15365" width="14.5703125" style="89" bestFit="1" customWidth="1"/>
    <col min="15366" max="15366" width="11.5703125" style="89" bestFit="1" customWidth="1"/>
    <col min="15367" max="15367" width="13.140625" style="89" bestFit="1" customWidth="1"/>
    <col min="15368" max="15368" width="14.7109375" style="89" bestFit="1" customWidth="1"/>
    <col min="15369" max="15370" width="14.140625" style="89" bestFit="1" customWidth="1"/>
    <col min="15371" max="15371" width="18" style="89" bestFit="1" customWidth="1"/>
    <col min="15372" max="15372" width="17.140625" style="89" customWidth="1"/>
    <col min="15373" max="15373" width="6.7109375" style="89" customWidth="1"/>
    <col min="15374" max="15374" width="15" style="89" customWidth="1"/>
    <col min="15375" max="15375" width="7.7109375" style="89" customWidth="1"/>
    <col min="15376" max="15376" width="9.140625" style="89" customWidth="1"/>
    <col min="15377" max="15380" width="14.28515625" style="89" customWidth="1"/>
    <col min="15381" max="15381" width="15.5703125" style="89" customWidth="1"/>
    <col min="15382" max="15388" width="11.42578125" style="89"/>
    <col min="15389" max="15391" width="11.5703125" style="89" bestFit="1" customWidth="1"/>
    <col min="15392" max="15401" width="12.5703125" style="89" bestFit="1" customWidth="1"/>
    <col min="15402" max="15616" width="11.42578125" style="89"/>
    <col min="15617" max="15617" width="16.140625" style="89" customWidth="1"/>
    <col min="15618" max="15618" width="14.85546875" style="89" customWidth="1"/>
    <col min="15619" max="15619" width="10.42578125" style="89" bestFit="1" customWidth="1"/>
    <col min="15620" max="15620" width="11" style="89" bestFit="1" customWidth="1"/>
    <col min="15621" max="15621" width="14.5703125" style="89" bestFit="1" customWidth="1"/>
    <col min="15622" max="15622" width="11.5703125" style="89" bestFit="1" customWidth="1"/>
    <col min="15623" max="15623" width="13.140625" style="89" bestFit="1" customWidth="1"/>
    <col min="15624" max="15624" width="14.7109375" style="89" bestFit="1" customWidth="1"/>
    <col min="15625" max="15626" width="14.140625" style="89" bestFit="1" customWidth="1"/>
    <col min="15627" max="15627" width="18" style="89" bestFit="1" customWidth="1"/>
    <col min="15628" max="15628" width="17.140625" style="89" customWidth="1"/>
    <col min="15629" max="15629" width="6.7109375" style="89" customWidth="1"/>
    <col min="15630" max="15630" width="15" style="89" customWidth="1"/>
    <col min="15631" max="15631" width="7.7109375" style="89" customWidth="1"/>
    <col min="15632" max="15632" width="9.140625" style="89" customWidth="1"/>
    <col min="15633" max="15636" width="14.28515625" style="89" customWidth="1"/>
    <col min="15637" max="15637" width="15.5703125" style="89" customWidth="1"/>
    <col min="15638" max="15644" width="11.42578125" style="89"/>
    <col min="15645" max="15647" width="11.5703125" style="89" bestFit="1" customWidth="1"/>
    <col min="15648" max="15657" width="12.5703125" style="89" bestFit="1" customWidth="1"/>
    <col min="15658" max="15872" width="11.42578125" style="89"/>
    <col min="15873" max="15873" width="16.140625" style="89" customWidth="1"/>
    <col min="15874" max="15874" width="14.85546875" style="89" customWidth="1"/>
    <col min="15875" max="15875" width="10.42578125" style="89" bestFit="1" customWidth="1"/>
    <col min="15876" max="15876" width="11" style="89" bestFit="1" customWidth="1"/>
    <col min="15877" max="15877" width="14.5703125" style="89" bestFit="1" customWidth="1"/>
    <col min="15878" max="15878" width="11.5703125" style="89" bestFit="1" customWidth="1"/>
    <col min="15879" max="15879" width="13.140625" style="89" bestFit="1" customWidth="1"/>
    <col min="15880" max="15880" width="14.7109375" style="89" bestFit="1" customWidth="1"/>
    <col min="15881" max="15882" width="14.140625" style="89" bestFit="1" customWidth="1"/>
    <col min="15883" max="15883" width="18" style="89" bestFit="1" customWidth="1"/>
    <col min="15884" max="15884" width="17.140625" style="89" customWidth="1"/>
    <col min="15885" max="15885" width="6.7109375" style="89" customWidth="1"/>
    <col min="15886" max="15886" width="15" style="89" customWidth="1"/>
    <col min="15887" max="15887" width="7.7109375" style="89" customWidth="1"/>
    <col min="15888" max="15888" width="9.140625" style="89" customWidth="1"/>
    <col min="15889" max="15892" width="14.28515625" style="89" customWidth="1"/>
    <col min="15893" max="15893" width="15.5703125" style="89" customWidth="1"/>
    <col min="15894" max="15900" width="11.42578125" style="89"/>
    <col min="15901" max="15903" width="11.5703125" style="89" bestFit="1" customWidth="1"/>
    <col min="15904" max="15913" width="12.5703125" style="89" bestFit="1" customWidth="1"/>
    <col min="15914" max="16128" width="11.42578125" style="89"/>
    <col min="16129" max="16129" width="16.140625" style="89" customWidth="1"/>
    <col min="16130" max="16130" width="14.85546875" style="89" customWidth="1"/>
    <col min="16131" max="16131" width="10.42578125" style="89" bestFit="1" customWidth="1"/>
    <col min="16132" max="16132" width="11" style="89" bestFit="1" customWidth="1"/>
    <col min="16133" max="16133" width="14.5703125" style="89" bestFit="1" customWidth="1"/>
    <col min="16134" max="16134" width="11.5703125" style="89" bestFit="1" customWidth="1"/>
    <col min="16135" max="16135" width="13.140625" style="89" bestFit="1" customWidth="1"/>
    <col min="16136" max="16136" width="14.7109375" style="89" bestFit="1" customWidth="1"/>
    <col min="16137" max="16138" width="14.140625" style="89" bestFit="1" customWidth="1"/>
    <col min="16139" max="16139" width="18" style="89" bestFit="1" customWidth="1"/>
    <col min="16140" max="16140" width="17.140625" style="89" customWidth="1"/>
    <col min="16141" max="16141" width="6.7109375" style="89" customWidth="1"/>
    <col min="16142" max="16142" width="15" style="89" customWidth="1"/>
    <col min="16143" max="16143" width="7.7109375" style="89" customWidth="1"/>
    <col min="16144" max="16144" width="9.140625" style="89" customWidth="1"/>
    <col min="16145" max="16148" width="14.28515625" style="89" customWidth="1"/>
    <col min="16149" max="16149" width="15.5703125" style="89" customWidth="1"/>
    <col min="16150" max="16156" width="11.42578125" style="89"/>
    <col min="16157" max="16159" width="11.5703125" style="89" bestFit="1" customWidth="1"/>
    <col min="16160" max="16169" width="12.5703125" style="89" bestFit="1" customWidth="1"/>
    <col min="16170" max="16384" width="11.42578125" style="89"/>
  </cols>
  <sheetData>
    <row r="1" spans="1:41" ht="18.75" x14ac:dyDescent="0.3">
      <c r="E1" s="263" t="s">
        <v>33</v>
      </c>
      <c r="F1" s="263"/>
      <c r="G1" s="263"/>
      <c r="H1" s="263"/>
      <c r="I1" s="90"/>
      <c r="K1" s="264" t="s">
        <v>34</v>
      </c>
      <c r="L1" s="264"/>
      <c r="M1" s="264"/>
      <c r="N1" s="264"/>
      <c r="O1" s="264"/>
      <c r="P1" s="264"/>
    </row>
    <row r="2" spans="1:41" ht="18.75" x14ac:dyDescent="0.3">
      <c r="B2" s="265" t="s">
        <v>35</v>
      </c>
      <c r="C2" s="265"/>
      <c r="D2" s="265"/>
      <c r="E2" s="266" t="s">
        <v>36</v>
      </c>
      <c r="F2" s="266"/>
      <c r="G2" s="266"/>
      <c r="H2" s="91" t="s">
        <v>37</v>
      </c>
      <c r="I2" s="267" t="s">
        <v>38</v>
      </c>
      <c r="J2" s="267"/>
      <c r="K2" s="92" t="s">
        <v>39</v>
      </c>
      <c r="L2" s="268" t="s">
        <v>40</v>
      </c>
      <c r="M2" s="268"/>
      <c r="N2" s="269">
        <v>44196</v>
      </c>
      <c r="O2" s="268"/>
      <c r="P2" s="268"/>
      <c r="Q2" s="261" t="s">
        <v>41</v>
      </c>
      <c r="R2" s="261"/>
      <c r="S2" s="261"/>
      <c r="T2" s="262"/>
    </row>
    <row r="3" spans="1:41" ht="60" x14ac:dyDescent="0.25">
      <c r="A3" s="93"/>
      <c r="B3" s="94" t="s">
        <v>42</v>
      </c>
      <c r="C3" s="94" t="s">
        <v>43</v>
      </c>
      <c r="D3" s="94" t="s">
        <v>44</v>
      </c>
      <c r="E3" s="95" t="s">
        <v>45</v>
      </c>
      <c r="F3" s="95" t="s">
        <v>46</v>
      </c>
      <c r="G3" s="95" t="s">
        <v>47</v>
      </c>
      <c r="H3" s="95" t="s">
        <v>48</v>
      </c>
      <c r="I3" s="96" t="s">
        <v>49</v>
      </c>
      <c r="J3" s="96" t="s">
        <v>50</v>
      </c>
      <c r="K3" s="97" t="s">
        <v>51</v>
      </c>
      <c r="L3" s="97" t="s">
        <v>52</v>
      </c>
      <c r="M3" s="97" t="s">
        <v>53</v>
      </c>
      <c r="N3" s="97" t="s">
        <v>54</v>
      </c>
      <c r="O3" s="97" t="s">
        <v>53</v>
      </c>
      <c r="P3" s="97" t="s">
        <v>55</v>
      </c>
      <c r="Q3" s="98" t="s">
        <v>56</v>
      </c>
      <c r="R3" s="98" t="s">
        <v>57</v>
      </c>
      <c r="S3" s="98" t="s">
        <v>58</v>
      </c>
      <c r="T3" s="98" t="s">
        <v>59</v>
      </c>
      <c r="U3" s="93" t="s">
        <v>60</v>
      </c>
      <c r="V3" s="93" t="s">
        <v>61</v>
      </c>
      <c r="W3" s="93" t="s">
        <v>62</v>
      </c>
      <c r="X3" s="93" t="s">
        <v>63</v>
      </c>
      <c r="Y3" s="93" t="s">
        <v>64</v>
      </c>
      <c r="Z3" s="93" t="s">
        <v>65</v>
      </c>
      <c r="AA3" s="93" t="s">
        <v>66</v>
      </c>
      <c r="AB3" s="93" t="s">
        <v>67</v>
      </c>
      <c r="AC3" s="93" t="s">
        <v>68</v>
      </c>
      <c r="AD3" s="93" t="s">
        <v>69</v>
      </c>
      <c r="AE3" s="93" t="s">
        <v>70</v>
      </c>
      <c r="AF3" s="93" t="s">
        <v>71</v>
      </c>
      <c r="AG3" s="93" t="s">
        <v>72</v>
      </c>
      <c r="AH3" s="93" t="s">
        <v>73</v>
      </c>
      <c r="AI3" s="99" t="s">
        <v>74</v>
      </c>
      <c r="AJ3" s="93" t="s">
        <v>75</v>
      </c>
      <c r="AK3" s="93" t="s">
        <v>76</v>
      </c>
      <c r="AL3" s="93" t="s">
        <v>77</v>
      </c>
      <c r="AM3" s="93" t="s">
        <v>78</v>
      </c>
      <c r="AN3" s="93" t="s">
        <v>79</v>
      </c>
      <c r="AO3" s="93" t="s">
        <v>68</v>
      </c>
    </row>
    <row r="4" spans="1:41" x14ac:dyDescent="0.25">
      <c r="A4" s="100" t="s">
        <v>80</v>
      </c>
      <c r="B4" s="101">
        <f>DELPHINE!D68</f>
        <v>3</v>
      </c>
      <c r="C4" s="101">
        <f>DELPHINE!D80</f>
        <v>0</v>
      </c>
      <c r="D4" s="101">
        <f>DELPHINE!D74</f>
        <v>3</v>
      </c>
      <c r="E4" s="102">
        <f>COUNTIFS(DELPHINE!BB3:BB59,"x",DELPHINE!BB3:BB59,"X")</f>
        <v>2</v>
      </c>
      <c r="F4" s="102">
        <f>E4-G4</f>
        <v>0</v>
      </c>
      <c r="G4" s="102">
        <f>COUNTIFS(DELPHINE!BB3:BB59,"x",DELPHINE!BB3:BB59,"X",DELPHINE!E3:E59,"31/12/2019")</f>
        <v>2</v>
      </c>
      <c r="H4" s="103">
        <f>+B4-E4</f>
        <v>1</v>
      </c>
      <c r="I4" s="104">
        <f>COUNTIFS(DELPHINE!I3:I59,"&lt;&gt;",DELPHINE!BA3:BA59,"",DELPHINE!BB3:BB59,"")</f>
        <v>0</v>
      </c>
      <c r="J4" s="104">
        <f>COUNTIFS(DELPHINE!BA3:BA59,"x",DELPHINE!BB3:BB59,"")</f>
        <v>0</v>
      </c>
      <c r="K4" s="105">
        <f>H4-I4-J4</f>
        <v>1</v>
      </c>
      <c r="L4" s="106">
        <f>DELPHINE!E119+DELPHINE!F119+DELPHINE!G119+DELPHINE!H119+DELPHINE!I119+DELPHINE!J119+DELPHINE!K119+DELPHINE!M119+DELPHINE!N119+DELPHINE!O119+DELPHINE!P119+DELPHINE!Q119+DELPHINE!R119</f>
        <v>0</v>
      </c>
      <c r="M4" s="105">
        <f>DELPHINE!L119</f>
        <v>0</v>
      </c>
      <c r="N4" s="105">
        <f>DELPHINE!E113+DELPHINE!F113+DELPHINE!G113+DELPHINE!H113+DELPHINE!I113+DELPHINE!K113+DELPHINE!M113+DELPHINE!N113+DELPHINE!O113+DELPHINE!P113+DELPHINE!Q113+DELPHINE!R113</f>
        <v>1</v>
      </c>
      <c r="O4" s="105">
        <f>DELPHINE!L113</f>
        <v>0</v>
      </c>
      <c r="P4" s="105">
        <f>DELPHINE!J113</f>
        <v>0</v>
      </c>
      <c r="Q4" s="107" t="e">
        <f t="shared" ref="Q4:R10" si="0">F4/C4</f>
        <v>#DIV/0!</v>
      </c>
      <c r="R4" s="107">
        <f t="shared" si="0"/>
        <v>0.66666666666666663</v>
      </c>
      <c r="S4" s="107">
        <f t="shared" ref="S4:S10" si="1">E4/B4</f>
        <v>0.66666666666666663</v>
      </c>
      <c r="T4" s="107">
        <f t="shared" ref="T4:T10" si="2">(E4+I4)/B4</f>
        <v>0.66666666666666663</v>
      </c>
      <c r="U4" s="108">
        <f>+ROUND(AVERAGE(DELPHINE!$K$3:K100),0)</f>
        <v>0</v>
      </c>
      <c r="V4" s="108">
        <f>COUNTIF(DELPHINE!L3:L77,"OUI")</f>
        <v>0</v>
      </c>
      <c r="W4" s="108">
        <f t="shared" ref="W4:W10" si="3">+ROUND(V4/B4*100,)</f>
        <v>0</v>
      </c>
      <c r="X4" s="108">
        <f>+COUNTIF(DELPHINE!M3:M100,"oui")</f>
        <v>1</v>
      </c>
      <c r="Y4" s="108">
        <f t="shared" ref="Y4:Y10" si="4">+ROUND(X4/B4*100,)</f>
        <v>33</v>
      </c>
      <c r="Z4" s="108">
        <f>+COUNTA(DELPHINE!BC3:BC100)</f>
        <v>1</v>
      </c>
      <c r="AA4" s="109">
        <f t="shared" ref="AA4:AA10" si="5">+ROUND(Z4/B4*100,)/100</f>
        <v>0.33</v>
      </c>
      <c r="AB4" s="108"/>
      <c r="AC4" s="108">
        <f>+COUNTIF(DELPHINE!$K$3:$K$59,6)</f>
        <v>0</v>
      </c>
      <c r="AD4" s="108">
        <f>+COUNTIF(DELPHINE!$K$3:$K$59,7)</f>
        <v>0</v>
      </c>
      <c r="AE4" s="108">
        <f>+COUNTIF(DELPHINE!$K$3:$K$59,8)</f>
        <v>0</v>
      </c>
      <c r="AF4" s="108">
        <f>+COUNTIF(DELPHINE!$K$3:$K$59,9)</f>
        <v>0</v>
      </c>
      <c r="AG4" s="108">
        <f>+COUNTIF(DELPHINE!$K$3:$K$59,10)</f>
        <v>0</v>
      </c>
      <c r="AH4" s="108">
        <f>+COUNTIF(DELPHINE!$K$3:$K$59,11)</f>
        <v>0</v>
      </c>
      <c r="AI4" s="108">
        <f>+COUNTIF(DELPHINE!$K$3:$K$59,12)</f>
        <v>0</v>
      </c>
      <c r="AJ4" s="108">
        <f>+COUNTIF(DELPHINE!$K$3:$K$59,1)</f>
        <v>0</v>
      </c>
      <c r="AK4" s="108">
        <f>+COUNTIF(DELPHINE!$K$3:$K$59,2)</f>
        <v>1</v>
      </c>
      <c r="AL4" s="108">
        <f>+COUNTIF(DELPHINE!$K$3:$K$59,3)</f>
        <v>1</v>
      </c>
      <c r="AM4" s="108">
        <f>+COUNTIF(DELPHINE!$K$3:$K$59,4)</f>
        <v>0</v>
      </c>
      <c r="AN4" s="108">
        <f>+COUNTIF(DELPHINE!$K$3:$K$59,5)</f>
        <v>0</v>
      </c>
      <c r="AO4" s="108"/>
    </row>
    <row r="5" spans="1:41" x14ac:dyDescent="0.25">
      <c r="A5" s="110" t="s">
        <v>81</v>
      </c>
      <c r="B5" s="101">
        <v>42</v>
      </c>
      <c r="C5" s="101">
        <v>16</v>
      </c>
      <c r="D5" s="101">
        <f t="shared" ref="D5:D10" si="6">B5-C5</f>
        <v>26</v>
      </c>
      <c r="E5" s="102" t="e">
        <f t="shared" ref="E5:E10" si="7">+SUM(AB5:AO5)</f>
        <v>#VALUE!</v>
      </c>
      <c r="F5" s="102">
        <v>15</v>
      </c>
      <c r="G5" s="102" t="e">
        <f t="shared" ref="G5:G11" si="8">E5-F5</f>
        <v>#VALUE!</v>
      </c>
      <c r="H5" s="103" t="e">
        <f t="shared" ref="H5:H10" si="9">+B5-E5</f>
        <v>#VALUE!</v>
      </c>
      <c r="I5" s="104">
        <v>0</v>
      </c>
      <c r="J5" s="104">
        <v>0</v>
      </c>
      <c r="K5" s="105" t="e">
        <f t="shared" ref="K5:K11" si="10">H5-I5-J5</f>
        <v>#VALUE!</v>
      </c>
      <c r="L5" s="105">
        <v>1</v>
      </c>
      <c r="M5" s="105"/>
      <c r="N5" s="105">
        <v>11</v>
      </c>
      <c r="O5" s="105">
        <v>6</v>
      </c>
      <c r="P5" s="105">
        <v>0</v>
      </c>
      <c r="Q5" s="107">
        <f t="shared" si="0"/>
        <v>0.9375</v>
      </c>
      <c r="R5" s="107" t="e">
        <f t="shared" si="0"/>
        <v>#VALUE!</v>
      </c>
      <c r="S5" s="107" t="e">
        <f t="shared" si="1"/>
        <v>#VALUE!</v>
      </c>
      <c r="T5" s="107" t="e">
        <f t="shared" si="2"/>
        <v>#VALUE!</v>
      </c>
      <c r="U5" s="108">
        <v>85</v>
      </c>
      <c r="V5" s="108" t="e">
        <v>#VALUE!</v>
      </c>
      <c r="W5" s="108" t="e">
        <f t="shared" si="3"/>
        <v>#VALUE!</v>
      </c>
      <c r="X5" s="108" t="e">
        <v>#VALUE!</v>
      </c>
      <c r="Y5" s="108" t="e">
        <f t="shared" si="4"/>
        <v>#VALUE!</v>
      </c>
      <c r="Z5" s="108">
        <v>3</v>
      </c>
      <c r="AA5" s="109">
        <f t="shared" si="5"/>
        <v>7.0000000000000007E-2</v>
      </c>
      <c r="AB5" s="108"/>
      <c r="AC5" s="108" t="e">
        <v>#VALUE!</v>
      </c>
      <c r="AD5" s="108" t="e">
        <v>#VALUE!</v>
      </c>
      <c r="AE5" s="108" t="e">
        <v>#VALUE!</v>
      </c>
      <c r="AF5" s="108" t="e">
        <v>#VALUE!</v>
      </c>
      <c r="AG5" s="108" t="e">
        <v>#VALUE!</v>
      </c>
      <c r="AH5" s="108" t="e">
        <v>#VALUE!</v>
      </c>
      <c r="AI5" s="108" t="e">
        <v>#VALUE!</v>
      </c>
      <c r="AJ5" s="108" t="e">
        <v>#VALUE!</v>
      </c>
      <c r="AK5" s="108" t="e">
        <v>#VALUE!</v>
      </c>
      <c r="AL5" s="108" t="e">
        <v>#VALUE!</v>
      </c>
      <c r="AM5" s="108" t="e">
        <v>#VALUE!</v>
      </c>
      <c r="AN5" s="108" t="e">
        <v>#VALUE!</v>
      </c>
      <c r="AO5" s="108"/>
    </row>
    <row r="6" spans="1:41" x14ac:dyDescent="0.25">
      <c r="A6" s="110" t="s">
        <v>82</v>
      </c>
      <c r="B6" s="101">
        <v>31</v>
      </c>
      <c r="C6" s="101">
        <v>12</v>
      </c>
      <c r="D6" s="101">
        <f t="shared" si="6"/>
        <v>19</v>
      </c>
      <c r="E6" s="102" t="e">
        <f t="shared" si="7"/>
        <v>#VALUE!</v>
      </c>
      <c r="F6" s="102">
        <v>12</v>
      </c>
      <c r="G6" s="102" t="e">
        <f t="shared" si="8"/>
        <v>#VALUE!</v>
      </c>
      <c r="H6" s="103" t="e">
        <f t="shared" si="9"/>
        <v>#VALUE!</v>
      </c>
      <c r="I6" s="104">
        <v>0</v>
      </c>
      <c r="J6" s="104">
        <v>0</v>
      </c>
      <c r="K6" s="105" t="e">
        <f t="shared" si="10"/>
        <v>#VALUE!</v>
      </c>
      <c r="L6" s="105">
        <v>0</v>
      </c>
      <c r="M6" s="105"/>
      <c r="N6" s="105">
        <v>6</v>
      </c>
      <c r="O6" s="105">
        <v>4</v>
      </c>
      <c r="P6" s="105">
        <v>0</v>
      </c>
      <c r="Q6" s="107">
        <f t="shared" si="0"/>
        <v>1</v>
      </c>
      <c r="R6" s="107" t="e">
        <f t="shared" si="0"/>
        <v>#VALUE!</v>
      </c>
      <c r="S6" s="107" t="e">
        <f t="shared" si="1"/>
        <v>#VALUE!</v>
      </c>
      <c r="T6" s="107" t="e">
        <f t="shared" si="2"/>
        <v>#VALUE!</v>
      </c>
      <c r="U6" s="108">
        <v>81</v>
      </c>
      <c r="V6" s="108" t="e">
        <v>#VALUE!</v>
      </c>
      <c r="W6" s="108" t="e">
        <f t="shared" si="3"/>
        <v>#VALUE!</v>
      </c>
      <c r="X6" s="108" t="e">
        <v>#VALUE!</v>
      </c>
      <c r="Y6" s="108" t="e">
        <f t="shared" si="4"/>
        <v>#VALUE!</v>
      </c>
      <c r="Z6" s="108">
        <v>2</v>
      </c>
      <c r="AA6" s="109">
        <f t="shared" si="5"/>
        <v>0.06</v>
      </c>
      <c r="AB6" s="108"/>
      <c r="AC6" s="108" t="e">
        <v>#VALUE!</v>
      </c>
      <c r="AD6" s="108" t="e">
        <v>#VALUE!</v>
      </c>
      <c r="AE6" s="108" t="e">
        <v>#VALUE!</v>
      </c>
      <c r="AF6" s="108" t="e">
        <v>#VALUE!</v>
      </c>
      <c r="AG6" s="108" t="e">
        <v>#VALUE!</v>
      </c>
      <c r="AH6" s="108" t="e">
        <v>#VALUE!</v>
      </c>
      <c r="AI6" s="108" t="e">
        <v>#VALUE!</v>
      </c>
      <c r="AJ6" s="108" t="e">
        <v>#VALUE!</v>
      </c>
      <c r="AK6" s="108" t="e">
        <v>#VALUE!</v>
      </c>
      <c r="AL6" s="108" t="e">
        <v>#VALUE!</v>
      </c>
      <c r="AM6" s="108" t="e">
        <v>#VALUE!</v>
      </c>
      <c r="AN6" s="108" t="e">
        <v>#VALUE!</v>
      </c>
      <c r="AO6" s="108"/>
    </row>
    <row r="7" spans="1:41" x14ac:dyDescent="0.25">
      <c r="A7" s="110" t="s">
        <v>83</v>
      </c>
      <c r="B7" s="101">
        <v>22</v>
      </c>
      <c r="C7" s="101">
        <v>11</v>
      </c>
      <c r="D7" s="101">
        <f t="shared" si="6"/>
        <v>11</v>
      </c>
      <c r="E7" s="102" t="e">
        <f t="shared" si="7"/>
        <v>#VALUE!</v>
      </c>
      <c r="F7" s="102">
        <v>10</v>
      </c>
      <c r="G7" s="102" t="e">
        <f t="shared" si="8"/>
        <v>#VALUE!</v>
      </c>
      <c r="H7" s="103" t="e">
        <f t="shared" si="9"/>
        <v>#VALUE!</v>
      </c>
      <c r="I7" s="104">
        <v>0</v>
      </c>
      <c r="J7" s="104">
        <v>0</v>
      </c>
      <c r="K7" s="105" t="e">
        <f t="shared" si="10"/>
        <v>#VALUE!</v>
      </c>
      <c r="L7" s="105">
        <v>1</v>
      </c>
      <c r="M7" s="105"/>
      <c r="N7" s="105">
        <v>6</v>
      </c>
      <c r="O7" s="105">
        <v>1</v>
      </c>
      <c r="P7" s="105">
        <v>0</v>
      </c>
      <c r="Q7" s="107">
        <f t="shared" si="0"/>
        <v>0.90909090909090906</v>
      </c>
      <c r="R7" s="107" t="e">
        <f t="shared" si="0"/>
        <v>#VALUE!</v>
      </c>
      <c r="S7" s="107" t="e">
        <f t="shared" si="1"/>
        <v>#VALUE!</v>
      </c>
      <c r="T7" s="107" t="e">
        <f t="shared" si="2"/>
        <v>#VALUE!</v>
      </c>
      <c r="U7" s="108">
        <v>81</v>
      </c>
      <c r="V7" s="108" t="e">
        <v>#VALUE!</v>
      </c>
      <c r="W7" s="108" t="e">
        <f t="shared" si="3"/>
        <v>#VALUE!</v>
      </c>
      <c r="X7" s="108" t="e">
        <v>#VALUE!</v>
      </c>
      <c r="Y7" s="108" t="e">
        <f t="shared" si="4"/>
        <v>#VALUE!</v>
      </c>
      <c r="Z7" s="108">
        <v>3</v>
      </c>
      <c r="AA7" s="109">
        <f t="shared" si="5"/>
        <v>0.14000000000000001</v>
      </c>
      <c r="AB7" s="108"/>
      <c r="AC7" s="108" t="e">
        <v>#VALUE!</v>
      </c>
      <c r="AD7" s="108" t="e">
        <v>#VALUE!</v>
      </c>
      <c r="AE7" s="108" t="e">
        <v>#VALUE!</v>
      </c>
      <c r="AF7" s="108" t="e">
        <v>#VALUE!</v>
      </c>
      <c r="AG7" s="108" t="e">
        <v>#VALUE!</v>
      </c>
      <c r="AH7" s="108" t="e">
        <v>#VALUE!</v>
      </c>
      <c r="AI7" s="108" t="e">
        <v>#VALUE!</v>
      </c>
      <c r="AJ7" s="108" t="e">
        <v>#VALUE!</v>
      </c>
      <c r="AK7" s="108" t="e">
        <v>#VALUE!</v>
      </c>
      <c r="AL7" s="108" t="e">
        <v>#VALUE!</v>
      </c>
      <c r="AM7" s="108" t="e">
        <v>#VALUE!</v>
      </c>
      <c r="AN7" s="108" t="e">
        <v>#VALUE!</v>
      </c>
      <c r="AO7" s="108"/>
    </row>
    <row r="8" spans="1:41" x14ac:dyDescent="0.25">
      <c r="A8" s="110" t="s">
        <v>84</v>
      </c>
      <c r="B8" s="101">
        <v>39</v>
      </c>
      <c r="C8" s="101">
        <v>15</v>
      </c>
      <c r="D8" s="101">
        <f t="shared" si="6"/>
        <v>24</v>
      </c>
      <c r="E8" s="102" t="e">
        <f t="shared" si="7"/>
        <v>#VALUE!</v>
      </c>
      <c r="F8" s="102">
        <v>13</v>
      </c>
      <c r="G8" s="102" t="e">
        <f t="shared" si="8"/>
        <v>#VALUE!</v>
      </c>
      <c r="H8" s="103" t="e">
        <f t="shared" si="9"/>
        <v>#VALUE!</v>
      </c>
      <c r="I8" s="104">
        <v>0</v>
      </c>
      <c r="J8" s="104">
        <v>0</v>
      </c>
      <c r="K8" s="105" t="e">
        <f t="shared" si="10"/>
        <v>#VALUE!</v>
      </c>
      <c r="L8" s="105">
        <v>1</v>
      </c>
      <c r="M8" s="105"/>
      <c r="N8" s="105">
        <v>10</v>
      </c>
      <c r="O8" s="105">
        <v>2</v>
      </c>
      <c r="P8" s="105">
        <v>10</v>
      </c>
      <c r="Q8" s="107">
        <f t="shared" si="0"/>
        <v>0.8666666666666667</v>
      </c>
      <c r="R8" s="107" t="e">
        <f t="shared" si="0"/>
        <v>#VALUE!</v>
      </c>
      <c r="S8" s="107" t="e">
        <f t="shared" si="1"/>
        <v>#VALUE!</v>
      </c>
      <c r="T8" s="107" t="e">
        <f t="shared" si="2"/>
        <v>#VALUE!</v>
      </c>
      <c r="U8" s="108">
        <v>134</v>
      </c>
      <c r="V8" s="108" t="e">
        <v>#VALUE!</v>
      </c>
      <c r="W8" s="108" t="e">
        <f t="shared" si="3"/>
        <v>#VALUE!</v>
      </c>
      <c r="X8" s="108" t="e">
        <v>#VALUE!</v>
      </c>
      <c r="Y8" s="108" t="e">
        <f t="shared" si="4"/>
        <v>#VALUE!</v>
      </c>
      <c r="Z8" s="108">
        <v>5</v>
      </c>
      <c r="AA8" s="109">
        <f t="shared" si="5"/>
        <v>0.13</v>
      </c>
      <c r="AB8" s="108"/>
      <c r="AC8" s="108" t="e">
        <v>#VALUE!</v>
      </c>
      <c r="AD8" s="108" t="e">
        <v>#VALUE!</v>
      </c>
      <c r="AE8" s="108" t="e">
        <v>#VALUE!</v>
      </c>
      <c r="AF8" s="108" t="e">
        <v>#VALUE!</v>
      </c>
      <c r="AG8" s="108" t="e">
        <v>#VALUE!</v>
      </c>
      <c r="AH8" s="108" t="e">
        <v>#VALUE!</v>
      </c>
      <c r="AI8" s="108" t="e">
        <v>#VALUE!</v>
      </c>
      <c r="AJ8" s="108" t="e">
        <v>#VALUE!</v>
      </c>
      <c r="AK8" s="108" t="e">
        <v>#VALUE!</v>
      </c>
      <c r="AL8" s="108" t="e">
        <v>#VALUE!</v>
      </c>
      <c r="AM8" s="108" t="e">
        <v>#VALUE!</v>
      </c>
      <c r="AN8" s="108" t="e">
        <v>#VALUE!</v>
      </c>
      <c r="AO8" s="108"/>
    </row>
    <row r="9" spans="1:41" x14ac:dyDescent="0.25">
      <c r="A9" s="110" t="s">
        <v>31</v>
      </c>
      <c r="B9" s="101">
        <v>37</v>
      </c>
      <c r="C9" s="101">
        <v>18</v>
      </c>
      <c r="D9" s="101">
        <f t="shared" si="6"/>
        <v>19</v>
      </c>
      <c r="E9" s="102" t="e">
        <f t="shared" si="7"/>
        <v>#VALUE!</v>
      </c>
      <c r="F9" s="102">
        <v>15</v>
      </c>
      <c r="G9" s="102" t="e">
        <f t="shared" si="8"/>
        <v>#VALUE!</v>
      </c>
      <c r="H9" s="103" t="e">
        <f t="shared" si="9"/>
        <v>#VALUE!</v>
      </c>
      <c r="I9" s="104">
        <v>0</v>
      </c>
      <c r="J9" s="104">
        <v>0</v>
      </c>
      <c r="K9" s="105" t="e">
        <f t="shared" si="10"/>
        <v>#VALUE!</v>
      </c>
      <c r="L9" s="105">
        <v>1</v>
      </c>
      <c r="M9" s="105"/>
      <c r="N9" s="105">
        <v>8</v>
      </c>
      <c r="O9" s="105">
        <v>9</v>
      </c>
      <c r="P9" s="105">
        <v>1</v>
      </c>
      <c r="Q9" s="107">
        <f t="shared" si="0"/>
        <v>0.83333333333333337</v>
      </c>
      <c r="R9" s="107" t="e">
        <f t="shared" si="0"/>
        <v>#VALUE!</v>
      </c>
      <c r="S9" s="107" t="e">
        <f t="shared" si="1"/>
        <v>#VALUE!</v>
      </c>
      <c r="T9" s="107" t="e">
        <f t="shared" si="2"/>
        <v>#VALUE!</v>
      </c>
      <c r="U9" s="108">
        <v>134</v>
      </c>
      <c r="V9" s="108" t="e">
        <v>#VALUE!</v>
      </c>
      <c r="W9" s="108" t="e">
        <f t="shared" si="3"/>
        <v>#VALUE!</v>
      </c>
      <c r="X9" s="108" t="e">
        <v>#VALUE!</v>
      </c>
      <c r="Y9" s="108" t="e">
        <f t="shared" si="4"/>
        <v>#VALUE!</v>
      </c>
      <c r="Z9" s="108">
        <v>5</v>
      </c>
      <c r="AA9" s="109">
        <f t="shared" si="5"/>
        <v>0.14000000000000001</v>
      </c>
      <c r="AB9" s="108"/>
      <c r="AC9" s="108" t="e">
        <v>#VALUE!</v>
      </c>
      <c r="AD9" s="108" t="e">
        <v>#VALUE!</v>
      </c>
      <c r="AE9" s="108" t="e">
        <v>#VALUE!</v>
      </c>
      <c r="AF9" s="108" t="e">
        <v>#VALUE!</v>
      </c>
      <c r="AG9" s="108" t="e">
        <v>#VALUE!</v>
      </c>
      <c r="AH9" s="108" t="e">
        <v>#VALUE!</v>
      </c>
      <c r="AI9" s="108" t="e">
        <v>#VALUE!</v>
      </c>
      <c r="AJ9" s="108" t="e">
        <v>#VALUE!</v>
      </c>
      <c r="AK9" s="108" t="e">
        <v>#VALUE!</v>
      </c>
      <c r="AL9" s="108" t="e">
        <v>#VALUE!</v>
      </c>
      <c r="AM9" s="108" t="e">
        <v>#VALUE!</v>
      </c>
      <c r="AN9" s="108" t="e">
        <v>#VALUE!</v>
      </c>
      <c r="AO9" s="108"/>
    </row>
    <row r="10" spans="1:41" x14ac:dyDescent="0.25">
      <c r="A10" s="108" t="s">
        <v>85</v>
      </c>
      <c r="B10" s="101">
        <v>57</v>
      </c>
      <c r="C10" s="101">
        <v>26</v>
      </c>
      <c r="D10" s="101">
        <f t="shared" si="6"/>
        <v>31</v>
      </c>
      <c r="E10" s="102" t="e">
        <f t="shared" si="7"/>
        <v>#VALUE!</v>
      </c>
      <c r="F10" s="102">
        <v>17</v>
      </c>
      <c r="G10" s="102" t="e">
        <f t="shared" si="8"/>
        <v>#VALUE!</v>
      </c>
      <c r="H10" s="103" t="e">
        <f t="shared" si="9"/>
        <v>#VALUE!</v>
      </c>
      <c r="I10" s="104">
        <v>0</v>
      </c>
      <c r="J10" s="104">
        <v>0</v>
      </c>
      <c r="K10" s="105" t="e">
        <f t="shared" si="10"/>
        <v>#VALUE!</v>
      </c>
      <c r="L10" s="105">
        <v>6</v>
      </c>
      <c r="M10" s="105"/>
      <c r="N10" s="105">
        <v>26</v>
      </c>
      <c r="O10" s="105">
        <v>4</v>
      </c>
      <c r="P10" s="105">
        <v>0</v>
      </c>
      <c r="Q10" s="107">
        <f t="shared" si="0"/>
        <v>0.65384615384615385</v>
      </c>
      <c r="R10" s="107" t="e">
        <f t="shared" si="0"/>
        <v>#VALUE!</v>
      </c>
      <c r="S10" s="107" t="e">
        <f t="shared" si="1"/>
        <v>#VALUE!</v>
      </c>
      <c r="T10" s="107" t="e">
        <f t="shared" si="2"/>
        <v>#VALUE!</v>
      </c>
      <c r="U10" s="108">
        <v>134</v>
      </c>
      <c r="V10" s="108" t="e">
        <v>#VALUE!</v>
      </c>
      <c r="W10" s="108" t="e">
        <f t="shared" si="3"/>
        <v>#VALUE!</v>
      </c>
      <c r="X10" s="108" t="e">
        <v>#VALUE!</v>
      </c>
      <c r="Y10" s="108" t="e">
        <f t="shared" si="4"/>
        <v>#VALUE!</v>
      </c>
      <c r="Z10" s="108">
        <v>5</v>
      </c>
      <c r="AA10" s="109">
        <f t="shared" si="5"/>
        <v>0.09</v>
      </c>
      <c r="AB10" s="108"/>
      <c r="AC10" s="108" t="e">
        <v>#VALUE!</v>
      </c>
      <c r="AD10" s="108" t="e">
        <v>#VALUE!</v>
      </c>
      <c r="AE10" s="108" t="e">
        <v>#VALUE!</v>
      </c>
      <c r="AF10" s="108" t="e">
        <v>#VALUE!</v>
      </c>
      <c r="AG10" s="108" t="e">
        <v>#VALUE!</v>
      </c>
      <c r="AH10" s="108" t="e">
        <v>#VALUE!</v>
      </c>
      <c r="AI10" s="108" t="e">
        <v>#VALUE!</v>
      </c>
      <c r="AJ10" s="108" t="e">
        <v>#VALUE!</v>
      </c>
      <c r="AK10" s="108" t="e">
        <v>#VALUE!</v>
      </c>
      <c r="AL10" s="108" t="e">
        <v>#VALUE!</v>
      </c>
      <c r="AM10" s="108" t="e">
        <v>#VALUE!</v>
      </c>
      <c r="AN10" s="108" t="e">
        <v>#VALUE!</v>
      </c>
      <c r="AO10" s="108"/>
    </row>
    <row r="11" spans="1:41" x14ac:dyDescent="0.25">
      <c r="A11" s="108"/>
      <c r="B11" s="101"/>
      <c r="C11" s="101"/>
      <c r="D11" s="101"/>
      <c r="E11" s="102"/>
      <c r="F11" s="102"/>
      <c r="G11" s="102">
        <f t="shared" si="8"/>
        <v>0</v>
      </c>
      <c r="H11" s="103"/>
      <c r="I11" s="111"/>
      <c r="J11" s="111"/>
      <c r="K11" s="105">
        <f t="shared" si="10"/>
        <v>0</v>
      </c>
      <c r="L11" s="105"/>
      <c r="M11" s="105"/>
      <c r="N11" s="105"/>
      <c r="O11" s="105"/>
      <c r="P11" s="105"/>
      <c r="Q11" s="112"/>
      <c r="R11" s="107"/>
      <c r="S11" s="107"/>
      <c r="T11" s="107"/>
      <c r="U11" s="108"/>
      <c r="V11" s="108"/>
      <c r="W11" s="108"/>
      <c r="X11" s="108"/>
      <c r="Y11" s="108"/>
      <c r="Z11" s="108"/>
      <c r="AA11" s="113"/>
      <c r="AB11" s="108"/>
      <c r="AC11" s="108"/>
      <c r="AD11" s="108"/>
      <c r="AE11" s="108"/>
      <c r="AF11" s="108"/>
      <c r="AG11" s="108"/>
      <c r="AH11" s="108"/>
      <c r="AI11" s="110"/>
      <c r="AJ11" s="108"/>
      <c r="AK11" s="108"/>
      <c r="AL11" s="108"/>
      <c r="AM11" s="108"/>
      <c r="AN11" s="108"/>
      <c r="AO11" s="108"/>
    </row>
    <row r="12" spans="1:41" x14ac:dyDescent="0.25">
      <c r="A12" s="114" t="s">
        <v>86</v>
      </c>
      <c r="B12" s="114">
        <f>+SUM(B4:B10)</f>
        <v>231</v>
      </c>
      <c r="C12" s="114">
        <f>+SUM(C4:C10)</f>
        <v>98</v>
      </c>
      <c r="D12" s="114">
        <f>+SUM(D4:D10)</f>
        <v>133</v>
      </c>
      <c r="E12" s="114" t="e">
        <f t="shared" ref="E12:AO12" si="11">+SUM(E4:E10)</f>
        <v>#VALUE!</v>
      </c>
      <c r="F12" s="114">
        <f t="shared" si="11"/>
        <v>82</v>
      </c>
      <c r="G12" s="114" t="e">
        <f t="shared" si="11"/>
        <v>#VALUE!</v>
      </c>
      <c r="H12" s="114" t="e">
        <f>+SUM(H4:H10)</f>
        <v>#VALUE!</v>
      </c>
      <c r="I12" s="114">
        <f t="shared" si="11"/>
        <v>0</v>
      </c>
      <c r="J12" s="114">
        <f t="shared" si="11"/>
        <v>0</v>
      </c>
      <c r="K12" s="114" t="e">
        <f>+SUM(K4:K10)</f>
        <v>#VALUE!</v>
      </c>
      <c r="L12" s="114">
        <f>+SUM(L4:L11)</f>
        <v>10</v>
      </c>
      <c r="M12" s="114">
        <f>+SUM(M4:M11)</f>
        <v>0</v>
      </c>
      <c r="N12" s="114">
        <f>+SUM(N4:N11)</f>
        <v>68</v>
      </c>
      <c r="O12" s="114">
        <f>+SUM(O4:O11)</f>
        <v>26</v>
      </c>
      <c r="P12" s="114">
        <f>+SUM(P4:P11)</f>
        <v>11</v>
      </c>
      <c r="Q12" s="115">
        <f>F12/C12</f>
        <v>0.83673469387755106</v>
      </c>
      <c r="R12" s="115">
        <f>F12/D12</f>
        <v>0.61654135338345861</v>
      </c>
      <c r="S12" s="115" t="e">
        <f>E12/B12</f>
        <v>#VALUE!</v>
      </c>
      <c r="T12" s="115" t="e">
        <f>(I12+E12)/B12</f>
        <v>#VALUE!</v>
      </c>
      <c r="U12" s="114"/>
      <c r="V12" s="114" t="e">
        <f t="shared" si="11"/>
        <v>#VALUE!</v>
      </c>
      <c r="W12" s="114" t="e">
        <f t="shared" si="11"/>
        <v>#VALUE!</v>
      </c>
      <c r="X12" s="114" t="e">
        <f t="shared" si="11"/>
        <v>#VALUE!</v>
      </c>
      <c r="Y12" s="114" t="e">
        <f t="shared" si="11"/>
        <v>#VALUE!</v>
      </c>
      <c r="Z12" s="114">
        <f t="shared" si="11"/>
        <v>24</v>
      </c>
      <c r="AA12" s="116">
        <f>Z12/B12</f>
        <v>0.1038961038961039</v>
      </c>
      <c r="AB12" s="114">
        <f t="shared" si="11"/>
        <v>0</v>
      </c>
      <c r="AC12" s="114" t="e">
        <f t="shared" si="11"/>
        <v>#VALUE!</v>
      </c>
      <c r="AD12" s="114" t="e">
        <f t="shared" si="11"/>
        <v>#VALUE!</v>
      </c>
      <c r="AE12" s="114" t="e">
        <f t="shared" si="11"/>
        <v>#VALUE!</v>
      </c>
      <c r="AF12" s="114" t="e">
        <f t="shared" si="11"/>
        <v>#VALUE!</v>
      </c>
      <c r="AG12" s="114" t="e">
        <f t="shared" si="11"/>
        <v>#VALUE!</v>
      </c>
      <c r="AH12" s="114" t="e">
        <f t="shared" si="11"/>
        <v>#VALUE!</v>
      </c>
      <c r="AI12" s="114" t="e">
        <f t="shared" si="11"/>
        <v>#VALUE!</v>
      </c>
      <c r="AJ12" s="114" t="e">
        <f t="shared" si="11"/>
        <v>#VALUE!</v>
      </c>
      <c r="AK12" s="114" t="e">
        <f t="shared" si="11"/>
        <v>#VALUE!</v>
      </c>
      <c r="AL12" s="114" t="e">
        <f t="shared" si="11"/>
        <v>#VALUE!</v>
      </c>
      <c r="AM12" s="114" t="e">
        <f t="shared" si="11"/>
        <v>#VALUE!</v>
      </c>
      <c r="AN12" s="114" t="e">
        <f t="shared" si="11"/>
        <v>#VALUE!</v>
      </c>
      <c r="AO12" s="114">
        <f t="shared" si="11"/>
        <v>0</v>
      </c>
    </row>
    <row r="13" spans="1:41" x14ac:dyDescent="0.25">
      <c r="A13" s="114" t="s">
        <v>87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>
        <f>+AB12</f>
        <v>0</v>
      </c>
      <c r="AC13" s="114" t="e">
        <f>+AC12+AB13</f>
        <v>#VALUE!</v>
      </c>
      <c r="AD13" s="114" t="e">
        <f t="shared" ref="AD13:AN13" si="12">+AD12+AC13</f>
        <v>#VALUE!</v>
      </c>
      <c r="AE13" s="114" t="e">
        <f t="shared" si="12"/>
        <v>#VALUE!</v>
      </c>
      <c r="AF13" s="114" t="e">
        <f t="shared" si="12"/>
        <v>#VALUE!</v>
      </c>
      <c r="AG13" s="114" t="e">
        <f t="shared" si="12"/>
        <v>#VALUE!</v>
      </c>
      <c r="AH13" s="114" t="e">
        <f t="shared" si="12"/>
        <v>#VALUE!</v>
      </c>
      <c r="AI13" s="114" t="e">
        <f t="shared" si="12"/>
        <v>#VALUE!</v>
      </c>
      <c r="AJ13" s="114" t="e">
        <f t="shared" si="12"/>
        <v>#VALUE!</v>
      </c>
      <c r="AK13" s="114" t="e">
        <f t="shared" si="12"/>
        <v>#VALUE!</v>
      </c>
      <c r="AL13" s="114" t="e">
        <f t="shared" si="12"/>
        <v>#VALUE!</v>
      </c>
      <c r="AM13" s="114" t="e">
        <f t="shared" si="12"/>
        <v>#VALUE!</v>
      </c>
      <c r="AN13" s="114" t="e">
        <f t="shared" si="12"/>
        <v>#VALUE!</v>
      </c>
      <c r="AO13" s="114" t="e">
        <f>+AO12+AN13</f>
        <v>#VALUE!</v>
      </c>
    </row>
    <row r="14" spans="1:41" x14ac:dyDescent="0.25">
      <c r="A14" s="114" t="s">
        <v>88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>
        <f>+AB13/$B$12*100</f>
        <v>0</v>
      </c>
      <c r="AC14" s="117" t="e">
        <f>+AC13/$B$12</f>
        <v>#VALUE!</v>
      </c>
      <c r="AD14" s="117" t="e">
        <f t="shared" ref="AD14:AO14" si="13">+AD13/$B$12</f>
        <v>#VALUE!</v>
      </c>
      <c r="AE14" s="117" t="e">
        <f t="shared" si="13"/>
        <v>#VALUE!</v>
      </c>
      <c r="AF14" s="117" t="e">
        <f t="shared" si="13"/>
        <v>#VALUE!</v>
      </c>
      <c r="AG14" s="117" t="e">
        <f t="shared" si="13"/>
        <v>#VALUE!</v>
      </c>
      <c r="AH14" s="117" t="e">
        <f t="shared" si="13"/>
        <v>#VALUE!</v>
      </c>
      <c r="AI14" s="117" t="e">
        <f t="shared" si="13"/>
        <v>#VALUE!</v>
      </c>
      <c r="AJ14" s="117" t="e">
        <f t="shared" si="13"/>
        <v>#VALUE!</v>
      </c>
      <c r="AK14" s="117" t="e">
        <f t="shared" si="13"/>
        <v>#VALUE!</v>
      </c>
      <c r="AL14" s="117" t="e">
        <f t="shared" si="13"/>
        <v>#VALUE!</v>
      </c>
      <c r="AM14" s="117" t="e">
        <f t="shared" si="13"/>
        <v>#VALUE!</v>
      </c>
      <c r="AN14" s="117" t="e">
        <f t="shared" si="13"/>
        <v>#VALUE!</v>
      </c>
      <c r="AO14" s="117" t="e">
        <f t="shared" si="13"/>
        <v>#VALUE!</v>
      </c>
    </row>
    <row r="15" spans="1:41" x14ac:dyDescent="0.25">
      <c r="A15" s="108"/>
      <c r="B15" s="108"/>
      <c r="C15" s="108"/>
      <c r="D15" s="108"/>
      <c r="E15" s="108"/>
      <c r="F15" s="108"/>
      <c r="G15" s="108"/>
      <c r="H15" s="108"/>
      <c r="I15" s="110"/>
      <c r="J15" s="110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10"/>
      <c r="AJ15" s="108"/>
      <c r="AK15" s="108"/>
      <c r="AL15" s="108"/>
      <c r="AM15" s="108"/>
      <c r="AN15" s="108"/>
      <c r="AO15" s="108"/>
    </row>
    <row r="17" spans="1:20" x14ac:dyDescent="0.25">
      <c r="A17" s="118" t="s">
        <v>48</v>
      </c>
      <c r="B17" s="119"/>
      <c r="C17" s="118"/>
      <c r="D17" s="118"/>
      <c r="E17" s="118" t="e">
        <f>+B12-E12</f>
        <v>#VALUE!</v>
      </c>
      <c r="F17" s="118"/>
      <c r="G17" s="118"/>
      <c r="I17" s="118"/>
      <c r="J17" s="118"/>
      <c r="Q17" s="118"/>
      <c r="R17" s="118"/>
      <c r="S17" s="118"/>
      <c r="T17" s="118"/>
    </row>
  </sheetData>
  <mergeCells count="8">
    <mergeCell ref="Q2:T2"/>
    <mergeCell ref="E1:H1"/>
    <mergeCell ref="K1:P1"/>
    <mergeCell ref="B2:D2"/>
    <mergeCell ref="E2:G2"/>
    <mergeCell ref="I2:J2"/>
    <mergeCell ref="L2:M2"/>
    <mergeCell ref="N2:P2"/>
  </mergeCells>
  <pageMargins left="0.7" right="0.7" top="0.75" bottom="0.75" header="0.3" footer="0.3"/>
  <pageSetup paperSize="8"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26"/>
  <sheetViews>
    <sheetView workbookViewId="0">
      <selection activeCell="B28" sqref="B28"/>
    </sheetView>
  </sheetViews>
  <sheetFormatPr baseColWidth="10" defaultRowHeight="15" x14ac:dyDescent="0.25"/>
  <cols>
    <col min="1" max="1" width="19.85546875" customWidth="1"/>
    <col min="2" max="2" width="15.85546875" bestFit="1" customWidth="1"/>
    <col min="3" max="3" width="16.7109375" bestFit="1" customWidth="1"/>
    <col min="4" max="5" width="16.7109375" customWidth="1"/>
    <col min="6" max="6" width="21.7109375" customWidth="1"/>
    <col min="7" max="7" width="19.140625" bestFit="1" customWidth="1"/>
    <col min="8" max="8" width="13.28515625" customWidth="1"/>
    <col min="9" max="9" width="16.28515625" customWidth="1"/>
    <col min="12" max="12" width="19.7109375" customWidth="1"/>
    <col min="13" max="13" width="13.140625" style="167" customWidth="1"/>
    <col min="14" max="14" width="38.5703125" customWidth="1"/>
    <col min="15" max="15" width="29" bestFit="1" customWidth="1"/>
    <col min="259" max="259" width="19.85546875" customWidth="1"/>
    <col min="260" max="260" width="15.85546875" bestFit="1" customWidth="1"/>
    <col min="261" max="261" width="16.7109375" bestFit="1" customWidth="1"/>
    <col min="262" max="263" width="16.7109375" customWidth="1"/>
    <col min="264" max="264" width="21.7109375" customWidth="1"/>
    <col min="265" max="265" width="19.140625" bestFit="1" customWidth="1"/>
    <col min="266" max="266" width="13.28515625" customWidth="1"/>
    <col min="515" max="515" width="19.85546875" customWidth="1"/>
    <col min="516" max="516" width="15.85546875" bestFit="1" customWidth="1"/>
    <col min="517" max="517" width="16.7109375" bestFit="1" customWidth="1"/>
    <col min="518" max="519" width="16.7109375" customWidth="1"/>
    <col min="520" max="520" width="21.7109375" customWidth="1"/>
    <col min="521" max="521" width="19.140625" bestFit="1" customWidth="1"/>
    <col min="522" max="522" width="13.28515625" customWidth="1"/>
    <col min="771" max="771" width="19.85546875" customWidth="1"/>
    <col min="772" max="772" width="15.85546875" bestFit="1" customWidth="1"/>
    <col min="773" max="773" width="16.7109375" bestFit="1" customWidth="1"/>
    <col min="774" max="775" width="16.7109375" customWidth="1"/>
    <col min="776" max="776" width="21.7109375" customWidth="1"/>
    <col min="777" max="777" width="19.140625" bestFit="1" customWidth="1"/>
    <col min="778" max="778" width="13.28515625" customWidth="1"/>
    <col min="1027" max="1027" width="19.85546875" customWidth="1"/>
    <col min="1028" max="1028" width="15.85546875" bestFit="1" customWidth="1"/>
    <col min="1029" max="1029" width="16.7109375" bestFit="1" customWidth="1"/>
    <col min="1030" max="1031" width="16.7109375" customWidth="1"/>
    <col min="1032" max="1032" width="21.7109375" customWidth="1"/>
    <col min="1033" max="1033" width="19.140625" bestFit="1" customWidth="1"/>
    <col min="1034" max="1034" width="13.28515625" customWidth="1"/>
    <col min="1283" max="1283" width="19.85546875" customWidth="1"/>
    <col min="1284" max="1284" width="15.85546875" bestFit="1" customWidth="1"/>
    <col min="1285" max="1285" width="16.7109375" bestFit="1" customWidth="1"/>
    <col min="1286" max="1287" width="16.7109375" customWidth="1"/>
    <col min="1288" max="1288" width="21.7109375" customWidth="1"/>
    <col min="1289" max="1289" width="19.140625" bestFit="1" customWidth="1"/>
    <col min="1290" max="1290" width="13.28515625" customWidth="1"/>
    <col min="1539" max="1539" width="19.85546875" customWidth="1"/>
    <col min="1540" max="1540" width="15.85546875" bestFit="1" customWidth="1"/>
    <col min="1541" max="1541" width="16.7109375" bestFit="1" customWidth="1"/>
    <col min="1542" max="1543" width="16.7109375" customWidth="1"/>
    <col min="1544" max="1544" width="21.7109375" customWidth="1"/>
    <col min="1545" max="1545" width="19.140625" bestFit="1" customWidth="1"/>
    <col min="1546" max="1546" width="13.28515625" customWidth="1"/>
    <col min="1795" max="1795" width="19.85546875" customWidth="1"/>
    <col min="1796" max="1796" width="15.85546875" bestFit="1" customWidth="1"/>
    <col min="1797" max="1797" width="16.7109375" bestFit="1" customWidth="1"/>
    <col min="1798" max="1799" width="16.7109375" customWidth="1"/>
    <col min="1800" max="1800" width="21.7109375" customWidth="1"/>
    <col min="1801" max="1801" width="19.140625" bestFit="1" customWidth="1"/>
    <col min="1802" max="1802" width="13.28515625" customWidth="1"/>
    <col min="2051" max="2051" width="19.85546875" customWidth="1"/>
    <col min="2052" max="2052" width="15.85546875" bestFit="1" customWidth="1"/>
    <col min="2053" max="2053" width="16.7109375" bestFit="1" customWidth="1"/>
    <col min="2054" max="2055" width="16.7109375" customWidth="1"/>
    <col min="2056" max="2056" width="21.7109375" customWidth="1"/>
    <col min="2057" max="2057" width="19.140625" bestFit="1" customWidth="1"/>
    <col min="2058" max="2058" width="13.28515625" customWidth="1"/>
    <col min="2307" max="2307" width="19.85546875" customWidth="1"/>
    <col min="2308" max="2308" width="15.85546875" bestFit="1" customWidth="1"/>
    <col min="2309" max="2309" width="16.7109375" bestFit="1" customWidth="1"/>
    <col min="2310" max="2311" width="16.7109375" customWidth="1"/>
    <col min="2312" max="2312" width="21.7109375" customWidth="1"/>
    <col min="2313" max="2313" width="19.140625" bestFit="1" customWidth="1"/>
    <col min="2314" max="2314" width="13.28515625" customWidth="1"/>
    <col min="2563" max="2563" width="19.85546875" customWidth="1"/>
    <col min="2564" max="2564" width="15.85546875" bestFit="1" customWidth="1"/>
    <col min="2565" max="2565" width="16.7109375" bestFit="1" customWidth="1"/>
    <col min="2566" max="2567" width="16.7109375" customWidth="1"/>
    <col min="2568" max="2568" width="21.7109375" customWidth="1"/>
    <col min="2569" max="2569" width="19.140625" bestFit="1" customWidth="1"/>
    <col min="2570" max="2570" width="13.28515625" customWidth="1"/>
    <col min="2819" max="2819" width="19.85546875" customWidth="1"/>
    <col min="2820" max="2820" width="15.85546875" bestFit="1" customWidth="1"/>
    <col min="2821" max="2821" width="16.7109375" bestFit="1" customWidth="1"/>
    <col min="2822" max="2823" width="16.7109375" customWidth="1"/>
    <col min="2824" max="2824" width="21.7109375" customWidth="1"/>
    <col min="2825" max="2825" width="19.140625" bestFit="1" customWidth="1"/>
    <col min="2826" max="2826" width="13.28515625" customWidth="1"/>
    <col min="3075" max="3075" width="19.85546875" customWidth="1"/>
    <col min="3076" max="3076" width="15.85546875" bestFit="1" customWidth="1"/>
    <col min="3077" max="3077" width="16.7109375" bestFit="1" customWidth="1"/>
    <col min="3078" max="3079" width="16.7109375" customWidth="1"/>
    <col min="3080" max="3080" width="21.7109375" customWidth="1"/>
    <col min="3081" max="3081" width="19.140625" bestFit="1" customWidth="1"/>
    <col min="3082" max="3082" width="13.28515625" customWidth="1"/>
    <col min="3331" max="3331" width="19.85546875" customWidth="1"/>
    <col min="3332" max="3332" width="15.85546875" bestFit="1" customWidth="1"/>
    <col min="3333" max="3333" width="16.7109375" bestFit="1" customWidth="1"/>
    <col min="3334" max="3335" width="16.7109375" customWidth="1"/>
    <col min="3336" max="3336" width="21.7109375" customWidth="1"/>
    <col min="3337" max="3337" width="19.140625" bestFit="1" customWidth="1"/>
    <col min="3338" max="3338" width="13.28515625" customWidth="1"/>
    <col min="3587" max="3587" width="19.85546875" customWidth="1"/>
    <col min="3588" max="3588" width="15.85546875" bestFit="1" customWidth="1"/>
    <col min="3589" max="3589" width="16.7109375" bestFit="1" customWidth="1"/>
    <col min="3590" max="3591" width="16.7109375" customWidth="1"/>
    <col min="3592" max="3592" width="21.7109375" customWidth="1"/>
    <col min="3593" max="3593" width="19.140625" bestFit="1" customWidth="1"/>
    <col min="3594" max="3594" width="13.28515625" customWidth="1"/>
    <col min="3843" max="3843" width="19.85546875" customWidth="1"/>
    <col min="3844" max="3844" width="15.85546875" bestFit="1" customWidth="1"/>
    <col min="3845" max="3845" width="16.7109375" bestFit="1" customWidth="1"/>
    <col min="3846" max="3847" width="16.7109375" customWidth="1"/>
    <col min="3848" max="3848" width="21.7109375" customWidth="1"/>
    <col min="3849" max="3849" width="19.140625" bestFit="1" customWidth="1"/>
    <col min="3850" max="3850" width="13.28515625" customWidth="1"/>
    <col min="4099" max="4099" width="19.85546875" customWidth="1"/>
    <col min="4100" max="4100" width="15.85546875" bestFit="1" customWidth="1"/>
    <col min="4101" max="4101" width="16.7109375" bestFit="1" customWidth="1"/>
    <col min="4102" max="4103" width="16.7109375" customWidth="1"/>
    <col min="4104" max="4104" width="21.7109375" customWidth="1"/>
    <col min="4105" max="4105" width="19.140625" bestFit="1" customWidth="1"/>
    <col min="4106" max="4106" width="13.28515625" customWidth="1"/>
    <col min="4355" max="4355" width="19.85546875" customWidth="1"/>
    <col min="4356" max="4356" width="15.85546875" bestFit="1" customWidth="1"/>
    <col min="4357" max="4357" width="16.7109375" bestFit="1" customWidth="1"/>
    <col min="4358" max="4359" width="16.7109375" customWidth="1"/>
    <col min="4360" max="4360" width="21.7109375" customWidth="1"/>
    <col min="4361" max="4361" width="19.140625" bestFit="1" customWidth="1"/>
    <col min="4362" max="4362" width="13.28515625" customWidth="1"/>
    <col min="4611" max="4611" width="19.85546875" customWidth="1"/>
    <col min="4612" max="4612" width="15.85546875" bestFit="1" customWidth="1"/>
    <col min="4613" max="4613" width="16.7109375" bestFit="1" customWidth="1"/>
    <col min="4614" max="4615" width="16.7109375" customWidth="1"/>
    <col min="4616" max="4616" width="21.7109375" customWidth="1"/>
    <col min="4617" max="4617" width="19.140625" bestFit="1" customWidth="1"/>
    <col min="4618" max="4618" width="13.28515625" customWidth="1"/>
    <col min="4867" max="4867" width="19.85546875" customWidth="1"/>
    <col min="4868" max="4868" width="15.85546875" bestFit="1" customWidth="1"/>
    <col min="4869" max="4869" width="16.7109375" bestFit="1" customWidth="1"/>
    <col min="4870" max="4871" width="16.7109375" customWidth="1"/>
    <col min="4872" max="4872" width="21.7109375" customWidth="1"/>
    <col min="4873" max="4873" width="19.140625" bestFit="1" customWidth="1"/>
    <col min="4874" max="4874" width="13.28515625" customWidth="1"/>
    <col min="5123" max="5123" width="19.85546875" customWidth="1"/>
    <col min="5124" max="5124" width="15.85546875" bestFit="1" customWidth="1"/>
    <col min="5125" max="5125" width="16.7109375" bestFit="1" customWidth="1"/>
    <col min="5126" max="5127" width="16.7109375" customWidth="1"/>
    <col min="5128" max="5128" width="21.7109375" customWidth="1"/>
    <col min="5129" max="5129" width="19.140625" bestFit="1" customWidth="1"/>
    <col min="5130" max="5130" width="13.28515625" customWidth="1"/>
    <col min="5379" max="5379" width="19.85546875" customWidth="1"/>
    <col min="5380" max="5380" width="15.85546875" bestFit="1" customWidth="1"/>
    <col min="5381" max="5381" width="16.7109375" bestFit="1" customWidth="1"/>
    <col min="5382" max="5383" width="16.7109375" customWidth="1"/>
    <col min="5384" max="5384" width="21.7109375" customWidth="1"/>
    <col min="5385" max="5385" width="19.140625" bestFit="1" customWidth="1"/>
    <col min="5386" max="5386" width="13.28515625" customWidth="1"/>
    <col min="5635" max="5635" width="19.85546875" customWidth="1"/>
    <col min="5636" max="5636" width="15.85546875" bestFit="1" customWidth="1"/>
    <col min="5637" max="5637" width="16.7109375" bestFit="1" customWidth="1"/>
    <col min="5638" max="5639" width="16.7109375" customWidth="1"/>
    <col min="5640" max="5640" width="21.7109375" customWidth="1"/>
    <col min="5641" max="5641" width="19.140625" bestFit="1" customWidth="1"/>
    <col min="5642" max="5642" width="13.28515625" customWidth="1"/>
    <col min="5891" max="5891" width="19.85546875" customWidth="1"/>
    <col min="5892" max="5892" width="15.85546875" bestFit="1" customWidth="1"/>
    <col min="5893" max="5893" width="16.7109375" bestFit="1" customWidth="1"/>
    <col min="5894" max="5895" width="16.7109375" customWidth="1"/>
    <col min="5896" max="5896" width="21.7109375" customWidth="1"/>
    <col min="5897" max="5897" width="19.140625" bestFit="1" customWidth="1"/>
    <col min="5898" max="5898" width="13.28515625" customWidth="1"/>
    <col min="6147" max="6147" width="19.85546875" customWidth="1"/>
    <col min="6148" max="6148" width="15.85546875" bestFit="1" customWidth="1"/>
    <col min="6149" max="6149" width="16.7109375" bestFit="1" customWidth="1"/>
    <col min="6150" max="6151" width="16.7109375" customWidth="1"/>
    <col min="6152" max="6152" width="21.7109375" customWidth="1"/>
    <col min="6153" max="6153" width="19.140625" bestFit="1" customWidth="1"/>
    <col min="6154" max="6154" width="13.28515625" customWidth="1"/>
    <col min="6403" max="6403" width="19.85546875" customWidth="1"/>
    <col min="6404" max="6404" width="15.85546875" bestFit="1" customWidth="1"/>
    <col min="6405" max="6405" width="16.7109375" bestFit="1" customWidth="1"/>
    <col min="6406" max="6407" width="16.7109375" customWidth="1"/>
    <col min="6408" max="6408" width="21.7109375" customWidth="1"/>
    <col min="6409" max="6409" width="19.140625" bestFit="1" customWidth="1"/>
    <col min="6410" max="6410" width="13.28515625" customWidth="1"/>
    <col min="6659" max="6659" width="19.85546875" customWidth="1"/>
    <col min="6660" max="6660" width="15.85546875" bestFit="1" customWidth="1"/>
    <col min="6661" max="6661" width="16.7109375" bestFit="1" customWidth="1"/>
    <col min="6662" max="6663" width="16.7109375" customWidth="1"/>
    <col min="6664" max="6664" width="21.7109375" customWidth="1"/>
    <col min="6665" max="6665" width="19.140625" bestFit="1" customWidth="1"/>
    <col min="6666" max="6666" width="13.28515625" customWidth="1"/>
    <col min="6915" max="6915" width="19.85546875" customWidth="1"/>
    <col min="6916" max="6916" width="15.85546875" bestFit="1" customWidth="1"/>
    <col min="6917" max="6917" width="16.7109375" bestFit="1" customWidth="1"/>
    <col min="6918" max="6919" width="16.7109375" customWidth="1"/>
    <col min="6920" max="6920" width="21.7109375" customWidth="1"/>
    <col min="6921" max="6921" width="19.140625" bestFit="1" customWidth="1"/>
    <col min="6922" max="6922" width="13.28515625" customWidth="1"/>
    <col min="7171" max="7171" width="19.85546875" customWidth="1"/>
    <col min="7172" max="7172" width="15.85546875" bestFit="1" customWidth="1"/>
    <col min="7173" max="7173" width="16.7109375" bestFit="1" customWidth="1"/>
    <col min="7174" max="7175" width="16.7109375" customWidth="1"/>
    <col min="7176" max="7176" width="21.7109375" customWidth="1"/>
    <col min="7177" max="7177" width="19.140625" bestFit="1" customWidth="1"/>
    <col min="7178" max="7178" width="13.28515625" customWidth="1"/>
    <col min="7427" max="7427" width="19.85546875" customWidth="1"/>
    <col min="7428" max="7428" width="15.85546875" bestFit="1" customWidth="1"/>
    <col min="7429" max="7429" width="16.7109375" bestFit="1" customWidth="1"/>
    <col min="7430" max="7431" width="16.7109375" customWidth="1"/>
    <col min="7432" max="7432" width="21.7109375" customWidth="1"/>
    <col min="7433" max="7433" width="19.140625" bestFit="1" customWidth="1"/>
    <col min="7434" max="7434" width="13.28515625" customWidth="1"/>
    <col min="7683" max="7683" width="19.85546875" customWidth="1"/>
    <col min="7684" max="7684" width="15.85546875" bestFit="1" customWidth="1"/>
    <col min="7685" max="7685" width="16.7109375" bestFit="1" customWidth="1"/>
    <col min="7686" max="7687" width="16.7109375" customWidth="1"/>
    <col min="7688" max="7688" width="21.7109375" customWidth="1"/>
    <col min="7689" max="7689" width="19.140625" bestFit="1" customWidth="1"/>
    <col min="7690" max="7690" width="13.28515625" customWidth="1"/>
    <col min="7939" max="7939" width="19.85546875" customWidth="1"/>
    <col min="7940" max="7940" width="15.85546875" bestFit="1" customWidth="1"/>
    <col min="7941" max="7941" width="16.7109375" bestFit="1" customWidth="1"/>
    <col min="7942" max="7943" width="16.7109375" customWidth="1"/>
    <col min="7944" max="7944" width="21.7109375" customWidth="1"/>
    <col min="7945" max="7945" width="19.140625" bestFit="1" customWidth="1"/>
    <col min="7946" max="7946" width="13.28515625" customWidth="1"/>
    <col min="8195" max="8195" width="19.85546875" customWidth="1"/>
    <col min="8196" max="8196" width="15.85546875" bestFit="1" customWidth="1"/>
    <col min="8197" max="8197" width="16.7109375" bestFit="1" customWidth="1"/>
    <col min="8198" max="8199" width="16.7109375" customWidth="1"/>
    <col min="8200" max="8200" width="21.7109375" customWidth="1"/>
    <col min="8201" max="8201" width="19.140625" bestFit="1" customWidth="1"/>
    <col min="8202" max="8202" width="13.28515625" customWidth="1"/>
    <col min="8451" max="8451" width="19.85546875" customWidth="1"/>
    <col min="8452" max="8452" width="15.85546875" bestFit="1" customWidth="1"/>
    <col min="8453" max="8453" width="16.7109375" bestFit="1" customWidth="1"/>
    <col min="8454" max="8455" width="16.7109375" customWidth="1"/>
    <col min="8456" max="8456" width="21.7109375" customWidth="1"/>
    <col min="8457" max="8457" width="19.140625" bestFit="1" customWidth="1"/>
    <col min="8458" max="8458" width="13.28515625" customWidth="1"/>
    <col min="8707" max="8707" width="19.85546875" customWidth="1"/>
    <col min="8708" max="8708" width="15.85546875" bestFit="1" customWidth="1"/>
    <col min="8709" max="8709" width="16.7109375" bestFit="1" customWidth="1"/>
    <col min="8710" max="8711" width="16.7109375" customWidth="1"/>
    <col min="8712" max="8712" width="21.7109375" customWidth="1"/>
    <col min="8713" max="8713" width="19.140625" bestFit="1" customWidth="1"/>
    <col min="8714" max="8714" width="13.28515625" customWidth="1"/>
    <col min="8963" max="8963" width="19.85546875" customWidth="1"/>
    <col min="8964" max="8964" width="15.85546875" bestFit="1" customWidth="1"/>
    <col min="8965" max="8965" width="16.7109375" bestFit="1" customWidth="1"/>
    <col min="8966" max="8967" width="16.7109375" customWidth="1"/>
    <col min="8968" max="8968" width="21.7109375" customWidth="1"/>
    <col min="8969" max="8969" width="19.140625" bestFit="1" customWidth="1"/>
    <col min="8970" max="8970" width="13.28515625" customWidth="1"/>
    <col min="9219" max="9219" width="19.85546875" customWidth="1"/>
    <col min="9220" max="9220" width="15.85546875" bestFit="1" customWidth="1"/>
    <col min="9221" max="9221" width="16.7109375" bestFit="1" customWidth="1"/>
    <col min="9222" max="9223" width="16.7109375" customWidth="1"/>
    <col min="9224" max="9224" width="21.7109375" customWidth="1"/>
    <col min="9225" max="9225" width="19.140625" bestFit="1" customWidth="1"/>
    <col min="9226" max="9226" width="13.28515625" customWidth="1"/>
    <col min="9475" max="9475" width="19.85546875" customWidth="1"/>
    <col min="9476" max="9476" width="15.85546875" bestFit="1" customWidth="1"/>
    <col min="9477" max="9477" width="16.7109375" bestFit="1" customWidth="1"/>
    <col min="9478" max="9479" width="16.7109375" customWidth="1"/>
    <col min="9480" max="9480" width="21.7109375" customWidth="1"/>
    <col min="9481" max="9481" width="19.140625" bestFit="1" customWidth="1"/>
    <col min="9482" max="9482" width="13.28515625" customWidth="1"/>
    <col min="9731" max="9731" width="19.85546875" customWidth="1"/>
    <col min="9732" max="9732" width="15.85546875" bestFit="1" customWidth="1"/>
    <col min="9733" max="9733" width="16.7109375" bestFit="1" customWidth="1"/>
    <col min="9734" max="9735" width="16.7109375" customWidth="1"/>
    <col min="9736" max="9736" width="21.7109375" customWidth="1"/>
    <col min="9737" max="9737" width="19.140625" bestFit="1" customWidth="1"/>
    <col min="9738" max="9738" width="13.28515625" customWidth="1"/>
    <col min="9987" max="9987" width="19.85546875" customWidth="1"/>
    <col min="9988" max="9988" width="15.85546875" bestFit="1" customWidth="1"/>
    <col min="9989" max="9989" width="16.7109375" bestFit="1" customWidth="1"/>
    <col min="9990" max="9991" width="16.7109375" customWidth="1"/>
    <col min="9992" max="9992" width="21.7109375" customWidth="1"/>
    <col min="9993" max="9993" width="19.140625" bestFit="1" customWidth="1"/>
    <col min="9994" max="9994" width="13.28515625" customWidth="1"/>
    <col min="10243" max="10243" width="19.85546875" customWidth="1"/>
    <col min="10244" max="10244" width="15.85546875" bestFit="1" customWidth="1"/>
    <col min="10245" max="10245" width="16.7109375" bestFit="1" customWidth="1"/>
    <col min="10246" max="10247" width="16.7109375" customWidth="1"/>
    <col min="10248" max="10248" width="21.7109375" customWidth="1"/>
    <col min="10249" max="10249" width="19.140625" bestFit="1" customWidth="1"/>
    <col min="10250" max="10250" width="13.28515625" customWidth="1"/>
    <col min="10499" max="10499" width="19.85546875" customWidth="1"/>
    <col min="10500" max="10500" width="15.85546875" bestFit="1" customWidth="1"/>
    <col min="10501" max="10501" width="16.7109375" bestFit="1" customWidth="1"/>
    <col min="10502" max="10503" width="16.7109375" customWidth="1"/>
    <col min="10504" max="10504" width="21.7109375" customWidth="1"/>
    <col min="10505" max="10505" width="19.140625" bestFit="1" customWidth="1"/>
    <col min="10506" max="10506" width="13.28515625" customWidth="1"/>
    <col min="10755" max="10755" width="19.85546875" customWidth="1"/>
    <col min="10756" max="10756" width="15.85546875" bestFit="1" customWidth="1"/>
    <col min="10757" max="10757" width="16.7109375" bestFit="1" customWidth="1"/>
    <col min="10758" max="10759" width="16.7109375" customWidth="1"/>
    <col min="10760" max="10760" width="21.7109375" customWidth="1"/>
    <col min="10761" max="10761" width="19.140625" bestFit="1" customWidth="1"/>
    <col min="10762" max="10762" width="13.28515625" customWidth="1"/>
    <col min="11011" max="11011" width="19.85546875" customWidth="1"/>
    <col min="11012" max="11012" width="15.85546875" bestFit="1" customWidth="1"/>
    <col min="11013" max="11013" width="16.7109375" bestFit="1" customWidth="1"/>
    <col min="11014" max="11015" width="16.7109375" customWidth="1"/>
    <col min="11016" max="11016" width="21.7109375" customWidth="1"/>
    <col min="11017" max="11017" width="19.140625" bestFit="1" customWidth="1"/>
    <col min="11018" max="11018" width="13.28515625" customWidth="1"/>
    <col min="11267" max="11267" width="19.85546875" customWidth="1"/>
    <col min="11268" max="11268" width="15.85546875" bestFit="1" customWidth="1"/>
    <col min="11269" max="11269" width="16.7109375" bestFit="1" customWidth="1"/>
    <col min="11270" max="11271" width="16.7109375" customWidth="1"/>
    <col min="11272" max="11272" width="21.7109375" customWidth="1"/>
    <col min="11273" max="11273" width="19.140625" bestFit="1" customWidth="1"/>
    <col min="11274" max="11274" width="13.28515625" customWidth="1"/>
    <col min="11523" max="11523" width="19.85546875" customWidth="1"/>
    <col min="11524" max="11524" width="15.85546875" bestFit="1" customWidth="1"/>
    <col min="11525" max="11525" width="16.7109375" bestFit="1" customWidth="1"/>
    <col min="11526" max="11527" width="16.7109375" customWidth="1"/>
    <col min="11528" max="11528" width="21.7109375" customWidth="1"/>
    <col min="11529" max="11529" width="19.140625" bestFit="1" customWidth="1"/>
    <col min="11530" max="11530" width="13.28515625" customWidth="1"/>
    <col min="11779" max="11779" width="19.85546875" customWidth="1"/>
    <col min="11780" max="11780" width="15.85546875" bestFit="1" customWidth="1"/>
    <col min="11781" max="11781" width="16.7109375" bestFit="1" customWidth="1"/>
    <col min="11782" max="11783" width="16.7109375" customWidth="1"/>
    <col min="11784" max="11784" width="21.7109375" customWidth="1"/>
    <col min="11785" max="11785" width="19.140625" bestFit="1" customWidth="1"/>
    <col min="11786" max="11786" width="13.28515625" customWidth="1"/>
    <col min="12035" max="12035" width="19.85546875" customWidth="1"/>
    <col min="12036" max="12036" width="15.85546875" bestFit="1" customWidth="1"/>
    <col min="12037" max="12037" width="16.7109375" bestFit="1" customWidth="1"/>
    <col min="12038" max="12039" width="16.7109375" customWidth="1"/>
    <col min="12040" max="12040" width="21.7109375" customWidth="1"/>
    <col min="12041" max="12041" width="19.140625" bestFit="1" customWidth="1"/>
    <col min="12042" max="12042" width="13.28515625" customWidth="1"/>
    <col min="12291" max="12291" width="19.85546875" customWidth="1"/>
    <col min="12292" max="12292" width="15.85546875" bestFit="1" customWidth="1"/>
    <col min="12293" max="12293" width="16.7109375" bestFit="1" customWidth="1"/>
    <col min="12294" max="12295" width="16.7109375" customWidth="1"/>
    <col min="12296" max="12296" width="21.7109375" customWidth="1"/>
    <col min="12297" max="12297" width="19.140625" bestFit="1" customWidth="1"/>
    <col min="12298" max="12298" width="13.28515625" customWidth="1"/>
    <col min="12547" max="12547" width="19.85546875" customWidth="1"/>
    <col min="12548" max="12548" width="15.85546875" bestFit="1" customWidth="1"/>
    <col min="12549" max="12549" width="16.7109375" bestFit="1" customWidth="1"/>
    <col min="12550" max="12551" width="16.7109375" customWidth="1"/>
    <col min="12552" max="12552" width="21.7109375" customWidth="1"/>
    <col min="12553" max="12553" width="19.140625" bestFit="1" customWidth="1"/>
    <col min="12554" max="12554" width="13.28515625" customWidth="1"/>
    <col min="12803" max="12803" width="19.85546875" customWidth="1"/>
    <col min="12804" max="12804" width="15.85546875" bestFit="1" customWidth="1"/>
    <col min="12805" max="12805" width="16.7109375" bestFit="1" customWidth="1"/>
    <col min="12806" max="12807" width="16.7109375" customWidth="1"/>
    <col min="12808" max="12808" width="21.7109375" customWidth="1"/>
    <col min="12809" max="12809" width="19.140625" bestFit="1" customWidth="1"/>
    <col min="12810" max="12810" width="13.28515625" customWidth="1"/>
    <col min="13059" max="13059" width="19.85546875" customWidth="1"/>
    <col min="13060" max="13060" width="15.85546875" bestFit="1" customWidth="1"/>
    <col min="13061" max="13061" width="16.7109375" bestFit="1" customWidth="1"/>
    <col min="13062" max="13063" width="16.7109375" customWidth="1"/>
    <col min="13064" max="13064" width="21.7109375" customWidth="1"/>
    <col min="13065" max="13065" width="19.140625" bestFit="1" customWidth="1"/>
    <col min="13066" max="13066" width="13.28515625" customWidth="1"/>
    <col min="13315" max="13315" width="19.85546875" customWidth="1"/>
    <col min="13316" max="13316" width="15.85546875" bestFit="1" customWidth="1"/>
    <col min="13317" max="13317" width="16.7109375" bestFit="1" customWidth="1"/>
    <col min="13318" max="13319" width="16.7109375" customWidth="1"/>
    <col min="13320" max="13320" width="21.7109375" customWidth="1"/>
    <col min="13321" max="13321" width="19.140625" bestFit="1" customWidth="1"/>
    <col min="13322" max="13322" width="13.28515625" customWidth="1"/>
    <col min="13571" max="13571" width="19.85546875" customWidth="1"/>
    <col min="13572" max="13572" width="15.85546875" bestFit="1" customWidth="1"/>
    <col min="13573" max="13573" width="16.7109375" bestFit="1" customWidth="1"/>
    <col min="13574" max="13575" width="16.7109375" customWidth="1"/>
    <col min="13576" max="13576" width="21.7109375" customWidth="1"/>
    <col min="13577" max="13577" width="19.140625" bestFit="1" customWidth="1"/>
    <col min="13578" max="13578" width="13.28515625" customWidth="1"/>
    <col min="13827" max="13827" width="19.85546875" customWidth="1"/>
    <col min="13828" max="13828" width="15.85546875" bestFit="1" customWidth="1"/>
    <col min="13829" max="13829" width="16.7109375" bestFit="1" customWidth="1"/>
    <col min="13830" max="13831" width="16.7109375" customWidth="1"/>
    <col min="13832" max="13832" width="21.7109375" customWidth="1"/>
    <col min="13833" max="13833" width="19.140625" bestFit="1" customWidth="1"/>
    <col min="13834" max="13834" width="13.28515625" customWidth="1"/>
    <col min="14083" max="14083" width="19.85546875" customWidth="1"/>
    <col min="14084" max="14084" width="15.85546875" bestFit="1" customWidth="1"/>
    <col min="14085" max="14085" width="16.7109375" bestFit="1" customWidth="1"/>
    <col min="14086" max="14087" width="16.7109375" customWidth="1"/>
    <col min="14088" max="14088" width="21.7109375" customWidth="1"/>
    <col min="14089" max="14089" width="19.140625" bestFit="1" customWidth="1"/>
    <col min="14090" max="14090" width="13.28515625" customWidth="1"/>
    <col min="14339" max="14339" width="19.85546875" customWidth="1"/>
    <col min="14340" max="14340" width="15.85546875" bestFit="1" customWidth="1"/>
    <col min="14341" max="14341" width="16.7109375" bestFit="1" customWidth="1"/>
    <col min="14342" max="14343" width="16.7109375" customWidth="1"/>
    <col min="14344" max="14344" width="21.7109375" customWidth="1"/>
    <col min="14345" max="14345" width="19.140625" bestFit="1" customWidth="1"/>
    <col min="14346" max="14346" width="13.28515625" customWidth="1"/>
    <col min="14595" max="14595" width="19.85546875" customWidth="1"/>
    <col min="14596" max="14596" width="15.85546875" bestFit="1" customWidth="1"/>
    <col min="14597" max="14597" width="16.7109375" bestFit="1" customWidth="1"/>
    <col min="14598" max="14599" width="16.7109375" customWidth="1"/>
    <col min="14600" max="14600" width="21.7109375" customWidth="1"/>
    <col min="14601" max="14601" width="19.140625" bestFit="1" customWidth="1"/>
    <col min="14602" max="14602" width="13.28515625" customWidth="1"/>
    <col min="14851" max="14851" width="19.85546875" customWidth="1"/>
    <col min="14852" max="14852" width="15.85546875" bestFit="1" customWidth="1"/>
    <col min="14853" max="14853" width="16.7109375" bestFit="1" customWidth="1"/>
    <col min="14854" max="14855" width="16.7109375" customWidth="1"/>
    <col min="14856" max="14856" width="21.7109375" customWidth="1"/>
    <col min="14857" max="14857" width="19.140625" bestFit="1" customWidth="1"/>
    <col min="14858" max="14858" width="13.28515625" customWidth="1"/>
    <col min="15107" max="15107" width="19.85546875" customWidth="1"/>
    <col min="15108" max="15108" width="15.85546875" bestFit="1" customWidth="1"/>
    <col min="15109" max="15109" width="16.7109375" bestFit="1" customWidth="1"/>
    <col min="15110" max="15111" width="16.7109375" customWidth="1"/>
    <col min="15112" max="15112" width="21.7109375" customWidth="1"/>
    <col min="15113" max="15113" width="19.140625" bestFit="1" customWidth="1"/>
    <col min="15114" max="15114" width="13.28515625" customWidth="1"/>
    <col min="15363" max="15363" width="19.85546875" customWidth="1"/>
    <col min="15364" max="15364" width="15.85546875" bestFit="1" customWidth="1"/>
    <col min="15365" max="15365" width="16.7109375" bestFit="1" customWidth="1"/>
    <col min="15366" max="15367" width="16.7109375" customWidth="1"/>
    <col min="15368" max="15368" width="21.7109375" customWidth="1"/>
    <col min="15369" max="15369" width="19.140625" bestFit="1" customWidth="1"/>
    <col min="15370" max="15370" width="13.28515625" customWidth="1"/>
    <col min="15619" max="15619" width="19.85546875" customWidth="1"/>
    <col min="15620" max="15620" width="15.85546875" bestFit="1" customWidth="1"/>
    <col min="15621" max="15621" width="16.7109375" bestFit="1" customWidth="1"/>
    <col min="15622" max="15623" width="16.7109375" customWidth="1"/>
    <col min="15624" max="15624" width="21.7109375" customWidth="1"/>
    <col min="15625" max="15625" width="19.140625" bestFit="1" customWidth="1"/>
    <col min="15626" max="15626" width="13.28515625" customWidth="1"/>
    <col min="15875" max="15875" width="19.85546875" customWidth="1"/>
    <col min="15876" max="15876" width="15.85546875" bestFit="1" customWidth="1"/>
    <col min="15877" max="15877" width="16.7109375" bestFit="1" customWidth="1"/>
    <col min="15878" max="15879" width="16.7109375" customWidth="1"/>
    <col min="15880" max="15880" width="21.7109375" customWidth="1"/>
    <col min="15881" max="15881" width="19.140625" bestFit="1" customWidth="1"/>
    <col min="15882" max="15882" width="13.28515625" customWidth="1"/>
    <col min="16131" max="16131" width="19.85546875" customWidth="1"/>
    <col min="16132" max="16132" width="15.85546875" bestFit="1" customWidth="1"/>
    <col min="16133" max="16133" width="16.7109375" bestFit="1" customWidth="1"/>
    <col min="16134" max="16135" width="16.7109375" customWidth="1"/>
    <col min="16136" max="16136" width="21.7109375" customWidth="1"/>
    <col min="16137" max="16137" width="19.140625" bestFit="1" customWidth="1"/>
    <col min="16138" max="16138" width="13.28515625" customWidth="1"/>
  </cols>
  <sheetData>
    <row r="1" spans="1:15" x14ac:dyDescent="0.25">
      <c r="A1" s="270" t="s">
        <v>134</v>
      </c>
      <c r="B1" s="270"/>
      <c r="C1" s="270"/>
      <c r="D1" s="270"/>
      <c r="E1" s="270"/>
      <c r="F1" s="270"/>
      <c r="G1" s="270"/>
    </row>
    <row r="2" spans="1:15" x14ac:dyDescent="0.25">
      <c r="J2" s="274" t="s">
        <v>193</v>
      </c>
      <c r="K2" s="274"/>
      <c r="L2" s="274"/>
      <c r="M2" s="274"/>
      <c r="N2" s="274"/>
    </row>
    <row r="3" spans="1:15" x14ac:dyDescent="0.25">
      <c r="A3" s="123" t="s">
        <v>135</v>
      </c>
      <c r="B3" s="160" t="s">
        <v>91</v>
      </c>
      <c r="C3" s="271" t="s">
        <v>92</v>
      </c>
      <c r="D3" s="272"/>
      <c r="E3" s="273"/>
      <c r="F3" s="123" t="s">
        <v>93</v>
      </c>
      <c r="G3" s="123" t="s">
        <v>94</v>
      </c>
      <c r="H3" s="163" t="s">
        <v>174</v>
      </c>
      <c r="I3" s="163" t="s">
        <v>175</v>
      </c>
      <c r="J3" s="161" t="s">
        <v>148</v>
      </c>
      <c r="K3" s="163" t="s">
        <v>117</v>
      </c>
      <c r="L3" s="163" t="s">
        <v>113</v>
      </c>
      <c r="M3" s="163" t="s">
        <v>190</v>
      </c>
      <c r="N3" s="161" t="s">
        <v>189</v>
      </c>
      <c r="O3" s="161" t="s">
        <v>194</v>
      </c>
    </row>
    <row r="4" spans="1:15" x14ac:dyDescent="0.25">
      <c r="A4" s="123">
        <v>2019</v>
      </c>
      <c r="B4" s="160" t="s">
        <v>109</v>
      </c>
      <c r="C4" s="162">
        <v>31</v>
      </c>
      <c r="D4" s="162">
        <v>1</v>
      </c>
      <c r="E4" s="162">
        <f>$A$4</f>
        <v>2019</v>
      </c>
      <c r="F4" s="123" t="s">
        <v>112</v>
      </c>
      <c r="G4" s="123" t="s">
        <v>111</v>
      </c>
      <c r="H4" s="160">
        <v>100</v>
      </c>
      <c r="I4" s="160">
        <v>50</v>
      </c>
      <c r="J4" s="123" t="s">
        <v>152</v>
      </c>
      <c r="K4" s="163" t="s">
        <v>154</v>
      </c>
      <c r="L4" s="163" t="s">
        <v>138</v>
      </c>
      <c r="M4" s="163" t="s">
        <v>191</v>
      </c>
      <c r="N4" s="123" t="s">
        <v>214</v>
      </c>
      <c r="O4" s="161" t="s">
        <v>191</v>
      </c>
    </row>
    <row r="5" spans="1:15" x14ac:dyDescent="0.25">
      <c r="A5" s="123"/>
      <c r="B5" s="160" t="s">
        <v>122</v>
      </c>
      <c r="C5" s="162">
        <v>28</v>
      </c>
      <c r="D5" s="162">
        <v>2</v>
      </c>
      <c r="E5" s="162">
        <f t="shared" ref="E5:E15" si="0">$A$4</f>
        <v>2019</v>
      </c>
      <c r="F5" s="123" t="s">
        <v>115</v>
      </c>
      <c r="G5" s="123" t="s">
        <v>114</v>
      </c>
      <c r="J5" s="123" t="s">
        <v>153</v>
      </c>
      <c r="K5" s="163" t="s">
        <v>155</v>
      </c>
      <c r="L5" s="163" t="s">
        <v>139</v>
      </c>
      <c r="M5" s="163" t="s">
        <v>192</v>
      </c>
      <c r="N5" s="123" t="s">
        <v>202</v>
      </c>
      <c r="O5" s="161" t="s">
        <v>192</v>
      </c>
    </row>
    <row r="6" spans="1:15" x14ac:dyDescent="0.25">
      <c r="B6" s="160" t="s">
        <v>121</v>
      </c>
      <c r="C6" s="162">
        <v>31</v>
      </c>
      <c r="D6" s="162">
        <v>3</v>
      </c>
      <c r="E6" s="162">
        <f t="shared" si="0"/>
        <v>2019</v>
      </c>
      <c r="F6" s="123" t="s">
        <v>118</v>
      </c>
      <c r="G6" s="123"/>
      <c r="J6" s="123" t="s">
        <v>149</v>
      </c>
      <c r="K6" s="163" t="s">
        <v>156</v>
      </c>
      <c r="L6" s="163" t="s">
        <v>225</v>
      </c>
      <c r="M6" s="163"/>
      <c r="N6" s="123" t="s">
        <v>195</v>
      </c>
      <c r="O6" s="123" t="s">
        <v>152</v>
      </c>
    </row>
    <row r="7" spans="1:15" x14ac:dyDescent="0.25">
      <c r="B7" s="160"/>
      <c r="C7" s="162">
        <v>30</v>
      </c>
      <c r="D7" s="162">
        <v>4</v>
      </c>
      <c r="E7" s="162">
        <f t="shared" si="0"/>
        <v>2019</v>
      </c>
      <c r="F7" s="123" t="s">
        <v>116</v>
      </c>
      <c r="J7" s="161" t="s">
        <v>131</v>
      </c>
      <c r="K7" s="163" t="s">
        <v>151</v>
      </c>
      <c r="L7" s="163" t="s">
        <v>226</v>
      </c>
      <c r="M7" s="163"/>
      <c r="N7" s="123" t="s">
        <v>203</v>
      </c>
      <c r="O7" s="123" t="s">
        <v>153</v>
      </c>
    </row>
    <row r="8" spans="1:15" x14ac:dyDescent="0.25">
      <c r="B8" s="160"/>
      <c r="C8" s="162">
        <v>31</v>
      </c>
      <c r="D8" s="162">
        <v>5</v>
      </c>
      <c r="E8" s="162">
        <f t="shared" si="0"/>
        <v>2019</v>
      </c>
      <c r="F8" s="123" t="s">
        <v>136</v>
      </c>
      <c r="K8" s="163" t="s">
        <v>177</v>
      </c>
      <c r="L8" s="163" t="s">
        <v>141</v>
      </c>
      <c r="M8" s="163"/>
      <c r="N8" s="123" t="s">
        <v>201</v>
      </c>
      <c r="O8" s="123" t="s">
        <v>149</v>
      </c>
    </row>
    <row r="9" spans="1:15" x14ac:dyDescent="0.25">
      <c r="C9" s="162">
        <v>30</v>
      </c>
      <c r="D9" s="162">
        <v>6</v>
      </c>
      <c r="E9" s="162">
        <f t="shared" si="0"/>
        <v>2019</v>
      </c>
      <c r="F9" s="123" t="s">
        <v>125</v>
      </c>
      <c r="K9" s="161" t="s">
        <v>131</v>
      </c>
      <c r="L9" s="163" t="s">
        <v>142</v>
      </c>
      <c r="M9" s="163"/>
      <c r="N9" s="123" t="s">
        <v>196</v>
      </c>
      <c r="O9" s="161" t="s">
        <v>138</v>
      </c>
    </row>
    <row r="10" spans="1:15" x14ac:dyDescent="0.25">
      <c r="C10" s="162">
        <v>31</v>
      </c>
      <c r="D10" s="162">
        <v>7</v>
      </c>
      <c r="E10" s="162">
        <f t="shared" si="0"/>
        <v>2019</v>
      </c>
      <c r="F10" s="123" t="s">
        <v>110</v>
      </c>
      <c r="L10" s="163" t="s">
        <v>140</v>
      </c>
      <c r="M10" s="163"/>
      <c r="N10" s="123" t="s">
        <v>197</v>
      </c>
      <c r="O10" s="161" t="s">
        <v>139</v>
      </c>
    </row>
    <row r="11" spans="1:15" x14ac:dyDescent="0.25">
      <c r="C11" s="162">
        <v>31</v>
      </c>
      <c r="D11" s="162">
        <v>8</v>
      </c>
      <c r="E11" s="162">
        <f t="shared" si="0"/>
        <v>2019</v>
      </c>
      <c r="F11" s="123" t="s">
        <v>119</v>
      </c>
      <c r="L11" s="163" t="s">
        <v>227</v>
      </c>
      <c r="M11" s="163"/>
      <c r="N11" s="123"/>
      <c r="O11" s="161" t="s">
        <v>143</v>
      </c>
    </row>
    <row r="12" spans="1:15" x14ac:dyDescent="0.25">
      <c r="C12" s="162">
        <v>30</v>
      </c>
      <c r="D12" s="162">
        <v>9</v>
      </c>
      <c r="E12" s="162">
        <f t="shared" si="0"/>
        <v>2019</v>
      </c>
      <c r="F12" s="123" t="s">
        <v>126</v>
      </c>
      <c r="I12" s="123" t="s">
        <v>221</v>
      </c>
      <c r="N12" s="123"/>
      <c r="O12" s="161" t="s">
        <v>144</v>
      </c>
    </row>
    <row r="13" spans="1:15" x14ac:dyDescent="0.25">
      <c r="C13" s="162">
        <v>31</v>
      </c>
      <c r="D13" s="162">
        <v>10</v>
      </c>
      <c r="E13" s="162">
        <f t="shared" si="0"/>
        <v>2019</v>
      </c>
      <c r="F13" s="123" t="s">
        <v>127</v>
      </c>
      <c r="I13" s="123" t="s">
        <v>200</v>
      </c>
      <c r="N13" s="123"/>
      <c r="O13" s="161" t="s">
        <v>141</v>
      </c>
    </row>
    <row r="14" spans="1:15" x14ac:dyDescent="0.25">
      <c r="C14" s="162">
        <v>30</v>
      </c>
      <c r="D14" s="162">
        <v>11</v>
      </c>
      <c r="E14" s="162">
        <f t="shared" si="0"/>
        <v>2019</v>
      </c>
      <c r="F14" s="123" t="s">
        <v>128</v>
      </c>
      <c r="I14" s="123" t="s">
        <v>205</v>
      </c>
      <c r="O14" s="161" t="s">
        <v>142</v>
      </c>
    </row>
    <row r="15" spans="1:15" x14ac:dyDescent="0.25">
      <c r="C15" s="162">
        <v>31</v>
      </c>
      <c r="D15" s="162">
        <v>12</v>
      </c>
      <c r="E15" s="162">
        <f t="shared" si="0"/>
        <v>2019</v>
      </c>
      <c r="F15" s="123" t="s">
        <v>129</v>
      </c>
      <c r="O15" s="161" t="s">
        <v>140</v>
      </c>
    </row>
    <row r="16" spans="1:15" x14ac:dyDescent="0.25">
      <c r="E16" s="162"/>
      <c r="F16" s="123" t="s">
        <v>130</v>
      </c>
      <c r="O16" s="161" t="s">
        <v>131</v>
      </c>
    </row>
    <row r="17" spans="3:11" x14ac:dyDescent="0.25">
      <c r="E17" s="162"/>
      <c r="F17" s="123" t="s">
        <v>137</v>
      </c>
    </row>
    <row r="18" spans="3:11" x14ac:dyDescent="0.25">
      <c r="F18" s="123"/>
    </row>
    <row r="21" spans="3:11" x14ac:dyDescent="0.25">
      <c r="E21" s="123" t="s">
        <v>99</v>
      </c>
      <c r="F21" s="123" t="s">
        <v>100</v>
      </c>
      <c r="G21" s="123" t="s">
        <v>101</v>
      </c>
      <c r="H21" s="123" t="s">
        <v>102</v>
      </c>
      <c r="I21" s="123" t="s">
        <v>103</v>
      </c>
      <c r="J21" s="123" t="s">
        <v>145</v>
      </c>
      <c r="K21" s="123" t="s">
        <v>185</v>
      </c>
    </row>
    <row r="22" spans="3:11" x14ac:dyDescent="0.25">
      <c r="E22" s="123" t="s">
        <v>200</v>
      </c>
      <c r="F22" s="244" t="s">
        <v>200</v>
      </c>
      <c r="G22" s="123" t="s">
        <v>113</v>
      </c>
      <c r="H22" s="123" t="s">
        <v>200</v>
      </c>
      <c r="I22" s="123" t="s">
        <v>200</v>
      </c>
      <c r="J22" s="123" t="s">
        <v>200</v>
      </c>
      <c r="K22" s="123" t="s">
        <v>200</v>
      </c>
    </row>
    <row r="23" spans="3:11" x14ac:dyDescent="0.25">
      <c r="E23" s="123" t="s">
        <v>205</v>
      </c>
      <c r="F23" s="123" t="s">
        <v>205</v>
      </c>
      <c r="G23" s="123" t="s">
        <v>117</v>
      </c>
      <c r="H23" s="123" t="s">
        <v>205</v>
      </c>
      <c r="I23" s="123" t="s">
        <v>205</v>
      </c>
      <c r="J23" s="123" t="s">
        <v>205</v>
      </c>
      <c r="K23" s="123" t="s">
        <v>205</v>
      </c>
    </row>
    <row r="24" spans="3:11" x14ac:dyDescent="0.25">
      <c r="E24" s="123" t="s">
        <v>222</v>
      </c>
      <c r="F24" s="123" t="s">
        <v>222</v>
      </c>
      <c r="H24" s="123" t="s">
        <v>223</v>
      </c>
      <c r="J24" s="123" t="s">
        <v>222</v>
      </c>
    </row>
    <row r="25" spans="3:11" x14ac:dyDescent="0.25">
      <c r="H25" s="123" t="s">
        <v>222</v>
      </c>
      <c r="J25" s="123" t="s">
        <v>224</v>
      </c>
    </row>
    <row r="26" spans="3:11" x14ac:dyDescent="0.25">
      <c r="C26" t="s">
        <v>138</v>
      </c>
      <c r="D26" t="s">
        <v>228</v>
      </c>
      <c r="E26" t="s">
        <v>225</v>
      </c>
      <c r="F26" t="s">
        <v>226</v>
      </c>
      <c r="G26" t="s">
        <v>141</v>
      </c>
      <c r="H26" s="245" t="s">
        <v>142</v>
      </c>
      <c r="I26" s="159" t="s">
        <v>140</v>
      </c>
    </row>
  </sheetData>
  <sheetProtection selectLockedCells="1" selectUnlockedCells="1"/>
  <mergeCells count="3">
    <mergeCell ref="A1:G1"/>
    <mergeCell ref="C3:E3"/>
    <mergeCell ref="J2:N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N182"/>
  <sheetViews>
    <sheetView zoomScale="85" zoomScaleNormal="85" workbookViewId="0">
      <pane xSplit="5" ySplit="2" topLeftCell="F3" activePane="bottomRight" state="frozen"/>
      <selection activeCell="F22" sqref="F22"/>
      <selection pane="topRight" activeCell="F22" sqref="F22"/>
      <selection pane="bottomLeft" activeCell="F22" sqref="F22"/>
      <selection pane="bottomRight" activeCell="G23" sqref="G23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customWidth="1"/>
    <col min="31" max="32" width="18" style="89" customWidth="1"/>
    <col min="33" max="33" width="11.42578125" style="89" customWidth="1"/>
    <col min="34" max="34" width="18.7109375" customWidth="1"/>
    <col min="35" max="35" width="18.7109375" style="168" customWidth="1"/>
    <col min="36" max="36" width="20" style="166" customWidth="1"/>
    <col min="37" max="39" width="18" style="89" customWidth="1"/>
    <col min="40" max="45" width="19" style="89" customWidth="1"/>
    <col min="46" max="46" width="11.42578125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2" width="11.42578125" style="89" customWidth="1"/>
    <col min="113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C1" s="90">
        <f>COLUMN()</f>
        <v>55</v>
      </c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7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220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69" t="s">
        <v>138</v>
      </c>
      <c r="B3" s="170">
        <v>860072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SUM(PORTEFEUILLE_DELPHINE[[#This Row],[PCR COMPTABLE €]:[MONTANT
RESPONSABLE RELATION CLIENT €]])-PORTEFEUILLE_DELPHINE[[#This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205</v>
      </c>
      <c r="AM3" s="191"/>
      <c r="AN3" s="188" t="s">
        <v>199</v>
      </c>
      <c r="AO3" s="188" t="s">
        <v>200</v>
      </c>
      <c r="AP3" s="188">
        <v>36</v>
      </c>
      <c r="AQ3" s="188">
        <v>16</v>
      </c>
      <c r="AR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400</v>
      </c>
      <c r="AT3" s="188" t="str">
        <f>IF(PORTEFEUILLE_DELPHINE[[#This Row],[BONI AAC]]&lt;&gt;0,1,"")</f>
        <v/>
      </c>
      <c r="AU3" s="188">
        <f>IF(PORTEFEUILLE_DELPHINE[[#This Row],[MALI AAC]]&lt;&gt;0,1,"")</f>
        <v>1</v>
      </c>
      <c r="AV3" s="225">
        <f>IF(AP3&lt;&gt;"",IF((AP3*Paramètres!$H$4)-PORTEFEUILLE_DELPHINE[[#This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€]]-(DELPHINE!AP3*Paramètres!$H$4),0),0)</f>
        <v>0</v>
      </c>
      <c r="AW3" s="225">
        <f>IF(AP3&lt;&gt;"",IF(((AP3*Paramètres!$H$4)-PORTEFEUILLE_DELPHINE[[#This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" s="190" t="str">
        <f>IF(PORTEFEUILLE_DELPHINE[[#This Row],[BONI COMPTABLE]]&lt;&gt;0,1,"")</f>
        <v/>
      </c>
      <c r="AY3" s="190" t="str">
        <f>IF(PORTEFEUILLE_DELPHINE[[#This Row],[MALI COMPTABLE]]&lt;&gt;0,1,"")</f>
        <v/>
      </c>
      <c r="AZ3" s="188">
        <v>2</v>
      </c>
      <c r="BA3" s="188" t="s">
        <v>209</v>
      </c>
      <c r="BB3" s="188" t="s">
        <v>209</v>
      </c>
      <c r="BC3" s="188"/>
      <c r="BD3" s="188"/>
      <c r="BE3" s="188"/>
      <c r="BF3" s="188"/>
      <c r="BG3" s="192" t="s">
        <v>214</v>
      </c>
      <c r="BH3" s="192" t="s">
        <v>191</v>
      </c>
      <c r="BI3" s="192" t="s">
        <v>205</v>
      </c>
      <c r="BJ3" s="193"/>
      <c r="BK3" s="192"/>
    </row>
    <row r="4" spans="1:78" x14ac:dyDescent="0.25">
      <c r="A4" s="172" t="s">
        <v>138</v>
      </c>
      <c r="B4" s="170" t="s">
        <v>234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 t="s">
        <v>238</v>
      </c>
      <c r="J4" s="189" t="s">
        <v>239</v>
      </c>
      <c r="K4" s="190">
        <f t="shared" ref="K4:K59" si="0">IF(I4="","",MONTH(I4))</f>
        <v>2</v>
      </c>
      <c r="L4" s="190">
        <f t="shared" ref="L4:L59" si="1">IF(I4="","",DAYS360(E4,I4))</f>
        <v>43</v>
      </c>
      <c r="M4" s="188" t="s">
        <v>200</v>
      </c>
      <c r="N4" s="188" t="s">
        <v>200</v>
      </c>
      <c r="O4" s="188" t="s">
        <v>117</v>
      </c>
      <c r="P4" s="188" t="s">
        <v>223</v>
      </c>
      <c r="Q4" s="188" t="s">
        <v>205</v>
      </c>
      <c r="R4" s="188" t="s">
        <v>222</v>
      </c>
      <c r="S4" s="213">
        <v>0</v>
      </c>
      <c r="T4" s="207">
        <v>100</v>
      </c>
      <c r="U4" s="219" t="s">
        <v>231</v>
      </c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SUM(PORTEFEUILLE_DELPHINE[[#This Row],[PCR COMPTABLE €]:[MONTANT
RESPONSABLE RELATION CLIENT €]])-PORTEFEUILLE_DELPHINE[[#This Row],[MONTANT TOTAL LETTRE DE MISION €]]</f>
        <v>0</v>
      </c>
      <c r="AI4" s="191" t="s">
        <v>153</v>
      </c>
      <c r="AJ4" s="188" t="s">
        <v>154</v>
      </c>
      <c r="AK4" s="188"/>
      <c r="AL4" s="188"/>
      <c r="AM4" s="191"/>
      <c r="AN4" s="188" t="s">
        <v>199</v>
      </c>
      <c r="AO4" s="188" t="s">
        <v>205</v>
      </c>
      <c r="AP4" s="188" t="s">
        <v>235</v>
      </c>
      <c r="AQ4" s="188" t="s">
        <v>236</v>
      </c>
      <c r="AR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1000</v>
      </c>
      <c r="AT4" s="188" t="str">
        <f>IF(PORTEFEUILLE_DELPHINE[[#This Row],[BONI AAC]]&lt;&gt;0,1,"")</f>
        <v/>
      </c>
      <c r="AU4" s="188">
        <f>IF(PORTEFEUILLE_DELPHINE[[#This Row],[MALI AAC]]&lt;&gt;0,1,"")</f>
        <v>1</v>
      </c>
      <c r="AV4" s="225" t="e">
        <f>IF(AP4&lt;&gt;"",IF((AP4*Paramètres!$H$4)-PORTEFEUILLE_DELPHINE[[#This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€]]-(DELPHINE!AP4*Paramètres!$H$4),0),0)</f>
        <v>#VALUE!</v>
      </c>
      <c r="AW4" s="225" t="e">
        <f>IF(AP4&lt;&gt;"",IF(((AP4*Paramètres!$H$4)-PORTEFEUILLE_DELPHINE[[#This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#VALUE!</v>
      </c>
      <c r="AX4" s="190" t="e">
        <f>IF(PORTEFEUILLE_DELPHINE[[#This Row],[BONI COMPTABLE]]&lt;&gt;0,1,"")</f>
        <v>#VALUE!</v>
      </c>
      <c r="AY4" s="190" t="e">
        <f>IF(PORTEFEUILLE_DELPHINE[[#This Row],[MALI COMPTABLE]]&lt;&gt;0,1,"")</f>
        <v>#VALUE!</v>
      </c>
      <c r="AZ4" s="188" t="s">
        <v>237</v>
      </c>
      <c r="BA4" s="188" t="s">
        <v>209</v>
      </c>
      <c r="BB4" s="188" t="s">
        <v>209</v>
      </c>
      <c r="BC4" s="188" t="s">
        <v>209</v>
      </c>
      <c r="BD4" s="188" t="s">
        <v>232</v>
      </c>
      <c r="BE4" s="188" t="s">
        <v>233</v>
      </c>
      <c r="BF4" s="188"/>
      <c r="BG4" s="192" t="s">
        <v>214</v>
      </c>
      <c r="BH4" s="194" t="s">
        <v>138</v>
      </c>
      <c r="BI4" s="194" t="s">
        <v>215</v>
      </c>
      <c r="BJ4" s="195"/>
      <c r="BK4" s="194"/>
    </row>
    <row r="5" spans="1:78" x14ac:dyDescent="0.25">
      <c r="A5" s="172" t="s">
        <v>138</v>
      </c>
      <c r="B5" s="170">
        <v>860071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SUM(PORTEFEUILLE_DELPHINE[[#This Row],[PCR COMPTABLE €]:[MONTANT
RESPONSABLE RELATION CLIENT €]])-PORTEFEUILLE_DELPHINE[[#This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91"/>
      <c r="AN5" s="188"/>
      <c r="AO5" s="188"/>
      <c r="AP5" s="188">
        <v>60</v>
      </c>
      <c r="AQ5" s="188">
        <v>60</v>
      </c>
      <c r="AR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2200</v>
      </c>
      <c r="AT5" s="188" t="str">
        <f>IF(PORTEFEUILLE_DELPHINE[[#This Row],[BONI AAC]]&lt;&gt;0,1,"")</f>
        <v/>
      </c>
      <c r="AU5" s="188">
        <f>IF(PORTEFEUILLE_DELPHINE[[#This Row],[MALI AAC]]&lt;&gt;0,1,"")</f>
        <v>1</v>
      </c>
      <c r="AV5" s="225">
        <f>IF(AP5&lt;&gt;"",IF((AP5*Paramètres!$H$4)-PORTEFEUILLE_DELPHINE[[#This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€]]-(DELPHINE!AP5*Paramètres!$H$4),0),0)</f>
        <v>0</v>
      </c>
      <c r="AW5" s="225">
        <f>IF(AP5&lt;&gt;"",IF(((AP5*Paramètres!$H$4)-PORTEFEUILLE_DELPHINE[[#This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4150</v>
      </c>
      <c r="AX5" s="190" t="str">
        <f>IF(PORTEFEUILLE_DELPHINE[[#This Row],[BONI COMPTABLE]]&lt;&gt;0,1,"")</f>
        <v/>
      </c>
      <c r="AY5" s="190">
        <f>IF(PORTEFEUILLE_DELPHINE[[#This Row],[MALI COMPTABLE]]&lt;&gt;0,1,"")</f>
        <v>1</v>
      </c>
      <c r="AZ5" s="188"/>
      <c r="BA5" s="188"/>
      <c r="BB5" s="188"/>
      <c r="BC5" s="188"/>
      <c r="BD5" s="188"/>
      <c r="BE5" s="188"/>
      <c r="BF5" s="188"/>
      <c r="BG5" s="192" t="s">
        <v>214</v>
      </c>
      <c r="BH5" s="194" t="s">
        <v>140</v>
      </c>
      <c r="BI5" s="194" t="s">
        <v>205</v>
      </c>
      <c r="BJ5" s="195" t="s">
        <v>200</v>
      </c>
      <c r="BK5" s="194"/>
    </row>
    <row r="6" spans="1:78" x14ac:dyDescent="0.25">
      <c r="A6" s="172"/>
      <c r="B6" s="173"/>
      <c r="C6" s="165"/>
      <c r="D6" s="171"/>
      <c r="E6" s="189"/>
      <c r="F6" s="188"/>
      <c r="G6" s="189"/>
      <c r="H6" s="189"/>
      <c r="I6" s="189"/>
      <c r="J6" s="189"/>
      <c r="K6" s="190"/>
      <c r="L6" s="190"/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/>
      <c r="AI6" s="191"/>
      <c r="AJ6" s="188"/>
      <c r="AK6" s="188"/>
      <c r="AL6" s="188"/>
      <c r="AM6" s="191"/>
      <c r="AN6" s="188"/>
      <c r="AO6" s="188"/>
      <c r="AP6" s="188"/>
      <c r="AQ6" s="188"/>
      <c r="AR6" s="225"/>
      <c r="AS6" s="225"/>
      <c r="AT6" s="188"/>
      <c r="AU6" s="188"/>
      <c r="AV6" s="225"/>
      <c r="AW6" s="225"/>
      <c r="AX6" s="190"/>
      <c r="AY6" s="190"/>
      <c r="AZ6" s="188"/>
      <c r="BA6" s="188"/>
      <c r="BB6" s="188"/>
      <c r="BC6" s="188"/>
      <c r="BD6" s="196"/>
      <c r="BE6" s="196"/>
      <c r="BF6" s="196"/>
      <c r="BG6" s="192"/>
      <c r="BH6" s="194"/>
      <c r="BI6" s="194"/>
      <c r="BJ6" s="195"/>
      <c r="BK6" s="194"/>
    </row>
    <row r="7" spans="1:78" x14ac:dyDescent="0.25">
      <c r="A7" s="172"/>
      <c r="B7" s="170"/>
      <c r="C7" s="165"/>
      <c r="D7" s="171"/>
      <c r="E7" s="189"/>
      <c r="F7" s="188"/>
      <c r="G7" s="189"/>
      <c r="H7" s="189"/>
      <c r="I7" s="189"/>
      <c r="J7" s="189"/>
      <c r="K7" s="190"/>
      <c r="L7" s="190"/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/>
      <c r="AI7" s="191"/>
      <c r="AJ7" s="188"/>
      <c r="AK7" s="188"/>
      <c r="AL7" s="188"/>
      <c r="AM7" s="191"/>
      <c r="AN7" s="188"/>
      <c r="AO7" s="188"/>
      <c r="AP7" s="188"/>
      <c r="AQ7" s="188"/>
      <c r="AR7" s="225"/>
      <c r="AS7" s="225"/>
      <c r="AT7" s="188"/>
      <c r="AU7" s="188"/>
      <c r="AV7" s="225"/>
      <c r="AW7" s="225"/>
      <c r="AX7" s="190"/>
      <c r="AY7" s="190"/>
      <c r="AZ7" s="188"/>
      <c r="BA7" s="188"/>
      <c r="BB7" s="188"/>
      <c r="BC7" s="188"/>
      <c r="BD7" s="188"/>
      <c r="BE7" s="188"/>
      <c r="BF7" s="188"/>
      <c r="BG7" s="192"/>
      <c r="BH7" s="194"/>
      <c r="BI7" s="194"/>
      <c r="BJ7" s="195"/>
      <c r="BK7" s="194"/>
    </row>
    <row r="8" spans="1:78" x14ac:dyDescent="0.25">
      <c r="A8" s="172"/>
      <c r="B8" s="170"/>
      <c r="C8" s="165"/>
      <c r="D8" s="171"/>
      <c r="E8" s="189"/>
      <c r="F8" s="188"/>
      <c r="G8" s="188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4"/>
      <c r="T8" s="208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20"/>
      <c r="AG8" s="219"/>
      <c r="AH8" s="225">
        <f>SUM(PORTEFEUILLE_DELPHINE[[#This Row],[PCR COMPTABLE €]:[MONTANT
RESPONSABLE RELATION CLIENT €]])-PORTEFEUILLE_DELPHINE[[#This Row],[MONTANT TOTAL LETTRE DE MISION €]]</f>
        <v>0</v>
      </c>
      <c r="AI8" s="191"/>
      <c r="AJ8" s="188"/>
      <c r="AK8" s="188"/>
      <c r="AL8" s="188"/>
      <c r="AM8" s="191"/>
      <c r="AN8" s="196"/>
      <c r="AO8" s="196"/>
      <c r="AP8" s="196"/>
      <c r="AQ8" s="196"/>
      <c r="AR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8" s="188" t="str">
        <f>IF(PORTEFEUILLE_DELPHINE[[#This Row],[BONI AAC]]&lt;&gt;0,1,"")</f>
        <v/>
      </c>
      <c r="AU8" s="188" t="str">
        <f>IF(PORTEFEUILLE_DELPHINE[[#This Row],[MALI AAC]]&lt;&gt;0,1,"")</f>
        <v/>
      </c>
      <c r="AV8" s="225">
        <f>IF(AP8&lt;&gt;"",IF((AP8*Paramètres!$H$4)-PORTEFEUILLE_DELPHINE[[#This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€]]-(DELPHINE!AP8*Paramètres!$H$4),0),0)</f>
        <v>0</v>
      </c>
      <c r="AW8" s="225">
        <f>IF(AP8&lt;&gt;"",IF(((AP8*Paramètres!$H$4)-PORTEFEUILLE_DELPHINE[[#This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8" s="190" t="str">
        <f>IF(PORTEFEUILLE_DELPHINE[[#This Row],[BONI COMPTABLE]]&lt;&gt;0,1,"")</f>
        <v/>
      </c>
      <c r="AY8" s="190" t="str">
        <f>IF(PORTEFEUILLE_DELPHINE[[#This Row],[MALI COMPTABLE]]&lt;&gt;0,1,"")</f>
        <v/>
      </c>
      <c r="AZ8" s="196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9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3"/>
      <c r="T9" s="207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25">
        <f>SUM(PORTEFEUILLE_DELPHINE[[#This Row],[PCR COMPTABLE €]:[MONTANT
RESPONSABLE RELATION CLIENT €]])-PORTEFEUILLE_DELPHINE[[#This Row],[MONTANT TOTAL LETTRE DE MISION €]]</f>
        <v>0</v>
      </c>
      <c r="AI9" s="191"/>
      <c r="AJ9" s="188"/>
      <c r="AK9" s="188"/>
      <c r="AL9" s="188"/>
      <c r="AM9" s="191"/>
      <c r="AN9" s="188"/>
      <c r="AO9" s="188"/>
      <c r="AP9" s="188"/>
      <c r="AQ9" s="188"/>
      <c r="AR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9" s="188" t="str">
        <f>IF(PORTEFEUILLE_DELPHINE[[#This Row],[BONI AAC]]&lt;&gt;0,1,"")</f>
        <v/>
      </c>
      <c r="AU9" s="188" t="str">
        <f>IF(PORTEFEUILLE_DELPHINE[[#This Row],[MALI AAC]]&lt;&gt;0,1,"")</f>
        <v/>
      </c>
      <c r="AV9" s="225">
        <f>IF(AP9&lt;&gt;"",IF((AP9*Paramètres!$H$4)-PORTEFEUILLE_DELPHINE[[#This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€]]-(DELPHINE!AP9*Paramètres!$H$4),0),0)</f>
        <v>0</v>
      </c>
      <c r="AW9" s="225">
        <f>IF(AP9&lt;&gt;"",IF(((AP9*Paramètres!$H$4)-PORTEFEUILLE_DELPHINE[[#This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9" s="190" t="str">
        <f>IF(PORTEFEUILLE_DELPHINE[[#This Row],[BONI COMPTABLE]]&lt;&gt;0,1,"")</f>
        <v/>
      </c>
      <c r="AY9" s="190" t="str">
        <f>IF(PORTEFEUILLE_DELPHINE[[#This Row],[MALI COMPTABLE]]&lt;&gt;0,1,"")</f>
        <v/>
      </c>
      <c r="AZ9" s="188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3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SUM(PORTEFEUILLE_DELPHINE[[#This Row],[PCR COMPTABLE €]:[MONTANT
RESPONSABLE RELATION CLIENT €]])-PORTEFEUILLE_DELPHINE[[#This Row],[MONTANT TOTAL LETTRE DE MISION €]]</f>
        <v>0</v>
      </c>
      <c r="AI10" s="191"/>
      <c r="AJ10" s="188"/>
      <c r="AK10" s="188"/>
      <c r="AL10" s="188"/>
      <c r="AM10" s="191"/>
      <c r="AN10" s="188"/>
      <c r="AO10" s="188"/>
      <c r="AP10" s="188"/>
      <c r="AQ10" s="188"/>
      <c r="AR1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0" s="188" t="str">
        <f>IF(PORTEFEUILLE_DELPHINE[[#This Row],[BONI AAC]]&lt;&gt;0,1,"")</f>
        <v/>
      </c>
      <c r="AU10" s="188" t="str">
        <f>IF(PORTEFEUILLE_DELPHINE[[#This Row],[MALI AAC]]&lt;&gt;0,1,"")</f>
        <v/>
      </c>
      <c r="AV10" s="225">
        <f>IF(AP10&lt;&gt;"",IF((AP10*Paramètres!$H$4)-PORTEFEUILLE_DELPHINE[[#This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€]]-(DELPHINE!AP10*Paramètres!$H$4),0),0)</f>
        <v>0</v>
      </c>
      <c r="AW10" s="225">
        <f>IF(AP10&lt;&gt;"",IF(((AP10*Paramètres!$H$4)-PORTEFEUILLE_DELPHINE[[#This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0" s="190" t="str">
        <f>IF(PORTEFEUILLE_DELPHINE[[#This Row],[BONI COMPTABLE]]&lt;&gt;0,1,"")</f>
        <v/>
      </c>
      <c r="AY10" s="190" t="str">
        <f>IF(PORTEFEUILLE_DELPHINE[[#This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0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SUM(PORTEFEUILLE_DELPHINE[[#This Row],[PCR COMPTABLE €]:[MONTANT
RESPONSABLE RELATION CLIENT €]])-PORTEFEUILLE_DELPHINE[[#This Row],[MONTANT TOTAL LETTRE DE MISION €]]</f>
        <v>0</v>
      </c>
      <c r="AI11" s="191"/>
      <c r="AJ11" s="188"/>
      <c r="AK11" s="188"/>
      <c r="AL11" s="188"/>
      <c r="AM11" s="191"/>
      <c r="AN11" s="188"/>
      <c r="AO11" s="188"/>
      <c r="AP11" s="188"/>
      <c r="AQ11" s="188"/>
      <c r="AR1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1" s="188" t="str">
        <f>IF(PORTEFEUILLE_DELPHINE[[#This Row],[BONI AAC]]&lt;&gt;0,1,"")</f>
        <v/>
      </c>
      <c r="AU11" s="188" t="str">
        <f>IF(PORTEFEUILLE_DELPHINE[[#This Row],[MALI AAC]]&lt;&gt;0,1,"")</f>
        <v/>
      </c>
      <c r="AV11" s="225">
        <f>IF(AP11&lt;&gt;"",IF((AP11*Paramètres!$H$4)-PORTEFEUILLE_DELPHINE[[#This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€]]-(DELPHINE!AP11*Paramètres!$H$4),0),0)</f>
        <v>0</v>
      </c>
      <c r="AW11" s="225">
        <f>IF(AP11&lt;&gt;"",IF(((AP11*Paramètres!$H$4)-PORTEFEUILLE_DELPHINE[[#This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1" s="190" t="str">
        <f>IF(PORTEFEUILLE_DELPHINE[[#This Row],[BONI COMPTABLE]]&lt;&gt;0,1,"")</f>
        <v/>
      </c>
      <c r="AY11" s="190" t="str">
        <f>IF(PORTEFEUILLE_DELPHINE[[#This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SUM(PORTEFEUILLE_DELPHINE[[#This Row],[PCR COMPTABLE €]:[MONTANT
RESPONSABLE RELATION CLIENT €]])-PORTEFEUILLE_DELPHINE[[#This Row],[MONTANT TOTAL LETTRE DE MISION €]]</f>
        <v>0</v>
      </c>
      <c r="AI12" s="191"/>
      <c r="AJ12" s="188"/>
      <c r="AK12" s="188"/>
      <c r="AL12" s="188"/>
      <c r="AM12" s="191"/>
      <c r="AN12" s="188"/>
      <c r="AO12" s="188"/>
      <c r="AP12" s="188"/>
      <c r="AQ12" s="188"/>
      <c r="AR1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2" s="188" t="str">
        <f>IF(PORTEFEUILLE_DELPHINE[[#This Row],[BONI AAC]]&lt;&gt;0,1,"")</f>
        <v/>
      </c>
      <c r="AU12" s="188" t="str">
        <f>IF(PORTEFEUILLE_DELPHINE[[#This Row],[MALI AAC]]&lt;&gt;0,1,"")</f>
        <v/>
      </c>
      <c r="AV12" s="225">
        <f>IF(AP12&lt;&gt;"",IF((AP12*Paramètres!$H$4)-PORTEFEUILLE_DELPHINE[[#This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€]]-(DELPHINE!AP12*Paramètres!$H$4),0),0)</f>
        <v>0</v>
      </c>
      <c r="AW12" s="225">
        <f>IF(AP12&lt;&gt;"",IF(((AP12*Paramètres!$H$4)-PORTEFEUILLE_DELPHINE[[#This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2" s="190" t="str">
        <f>IF(PORTEFEUILLE_DELPHINE[[#This Row],[BONI COMPTABLE]]&lt;&gt;0,1,"")</f>
        <v/>
      </c>
      <c r="AY12" s="190" t="str">
        <f>IF(PORTEFEUILLE_DELPHINE[[#This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SUM(PORTEFEUILLE_DELPHINE[[#This Row],[PCR COMPTABLE €]:[MONTANT
RESPONSABLE RELATION CLIENT €]])-PORTEFEUILLE_DELPHINE[[#This Row],[MONTANT TOTAL LETTRE DE MISION €]]</f>
        <v>0</v>
      </c>
      <c r="AI13" s="191"/>
      <c r="AJ13" s="188"/>
      <c r="AK13" s="188"/>
      <c r="AL13" s="188"/>
      <c r="AM13" s="191"/>
      <c r="AN13" s="188"/>
      <c r="AO13" s="188"/>
      <c r="AP13" s="188"/>
      <c r="AQ13" s="188"/>
      <c r="AR1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3" s="188" t="str">
        <f>IF(PORTEFEUILLE_DELPHINE[[#This Row],[BONI AAC]]&lt;&gt;0,1,"")</f>
        <v/>
      </c>
      <c r="AU13" s="188" t="str">
        <f>IF(PORTEFEUILLE_DELPHINE[[#This Row],[MALI AAC]]&lt;&gt;0,1,"")</f>
        <v/>
      </c>
      <c r="AV13" s="225">
        <f>IF(AP13&lt;&gt;"",IF((AP13*Paramètres!$H$4)-PORTEFEUILLE_DELPHINE[[#This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€]]-(DELPHINE!AP13*Paramètres!$H$4),0),0)</f>
        <v>0</v>
      </c>
      <c r="AW13" s="225">
        <f>IF(AP13&lt;&gt;"",IF(((AP13*Paramètres!$H$4)-PORTEFEUILLE_DELPHINE[[#This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3" s="190" t="str">
        <f>IF(PORTEFEUILLE_DELPHINE[[#This Row],[BONI COMPTABLE]]&lt;&gt;0,1,"")</f>
        <v/>
      </c>
      <c r="AY13" s="190" t="str">
        <f>IF(PORTEFEUILLE_DELPHINE[[#This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ht="14.25" customHeight="1" x14ac:dyDescent="0.25">
      <c r="A14" s="172"/>
      <c r="B14" s="170"/>
      <c r="C14" s="170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SUM(PORTEFEUILLE_DELPHINE[[#This Row],[PCR COMPTABLE €]:[MONTANT
RESPONSABLE RELATION CLIENT €]])-PORTEFEUILLE_DELPHINE[[#This Row],[MONTANT TOTAL LETTRE DE MISION €]]</f>
        <v>0</v>
      </c>
      <c r="AI14" s="191"/>
      <c r="AJ14" s="188"/>
      <c r="AK14" s="188"/>
      <c r="AL14" s="188"/>
      <c r="AM14" s="191"/>
      <c r="AN14" s="188"/>
      <c r="AO14" s="188"/>
      <c r="AP14" s="188"/>
      <c r="AQ14" s="188"/>
      <c r="AR1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4" s="188" t="str">
        <f>IF(PORTEFEUILLE_DELPHINE[[#This Row],[BONI AAC]]&lt;&gt;0,1,"")</f>
        <v/>
      </c>
      <c r="AU14" s="188" t="str">
        <f>IF(PORTEFEUILLE_DELPHINE[[#This Row],[MALI AAC]]&lt;&gt;0,1,"")</f>
        <v/>
      </c>
      <c r="AV14" s="225">
        <f>IF(AP14&lt;&gt;"",IF((AP14*Paramètres!$H$4)-PORTEFEUILLE_DELPHINE[[#This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€]]-(DELPHINE!AP14*Paramètres!$H$4),0),0)</f>
        <v>0</v>
      </c>
      <c r="AW14" s="225">
        <f>IF(AP14&lt;&gt;"",IF(((AP14*Paramètres!$H$4)-PORTEFEUILLE_DELPHINE[[#This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4" s="190" t="str">
        <f>IF(PORTEFEUILLE_DELPHINE[[#This Row],[BONI COMPTABLE]]&lt;&gt;0,1,"")</f>
        <v/>
      </c>
      <c r="AY14" s="190" t="str">
        <f>IF(PORTEFEUILLE_DELPHINE[[#This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x14ac:dyDescent="0.25">
      <c r="A15" s="172"/>
      <c r="B15" s="170"/>
      <c r="C15" s="174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SUM(PORTEFEUILLE_DELPHINE[[#This Row],[PCR COMPTABLE €]:[MONTANT
RESPONSABLE RELATION CLIENT €]])-PORTEFEUILLE_DELPHINE[[#This Row],[MONTANT TOTAL LETTRE DE MISION €]]</f>
        <v>0</v>
      </c>
      <c r="AI15" s="191"/>
      <c r="AJ15" s="188"/>
      <c r="AK15" s="188"/>
      <c r="AL15" s="188"/>
      <c r="AM15" s="191"/>
      <c r="AN15" s="188"/>
      <c r="AO15" s="188"/>
      <c r="AP15" s="188"/>
      <c r="AQ15" s="188"/>
      <c r="AR1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5" s="188" t="str">
        <f>IF(PORTEFEUILLE_DELPHINE[[#This Row],[BONI AAC]]&lt;&gt;0,1,"")</f>
        <v/>
      </c>
      <c r="AU15" s="188" t="str">
        <f>IF(PORTEFEUILLE_DELPHINE[[#This Row],[MALI AAC]]&lt;&gt;0,1,"")</f>
        <v/>
      </c>
      <c r="AV15" s="225">
        <f>IF(AP15&lt;&gt;"",IF((AP15*Paramètres!$H$4)-PORTEFEUILLE_DELPHINE[[#This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€]]-(DELPHINE!AP15*Paramètres!$H$4),0),0)</f>
        <v>0</v>
      </c>
      <c r="AW15" s="225">
        <f>IF(AP15&lt;&gt;"",IF(((AP15*Paramètres!$H$4)-PORTEFEUILLE_DELPHINE[[#This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5" s="190" t="str">
        <f>IF(PORTEFEUILLE_DELPHINE[[#This Row],[BONI COMPTABLE]]&lt;&gt;0,1,"")</f>
        <v/>
      </c>
      <c r="AY15" s="190" t="str">
        <f>IF(PORTEFEUILLE_DELPHINE[[#This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75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SUM(PORTEFEUILLE_DELPHINE[[#This Row],[PCR COMPTABLE €]:[MONTANT
RESPONSABLE RELATION CLIENT €]])-PORTEFEUILLE_DELPHINE[[#This Row],[MONTANT TOTAL LETTRE DE MISION €]]</f>
        <v>0</v>
      </c>
      <c r="AI16" s="191"/>
      <c r="AJ16" s="188"/>
      <c r="AK16" s="188"/>
      <c r="AL16" s="188"/>
      <c r="AM16" s="191"/>
      <c r="AN16" s="188"/>
      <c r="AO16" s="188"/>
      <c r="AP16" s="188"/>
      <c r="AQ16" s="188"/>
      <c r="AR1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6" s="188" t="str">
        <f>IF(PORTEFEUILLE_DELPHINE[[#This Row],[BONI AAC]]&lt;&gt;0,1,"")</f>
        <v/>
      </c>
      <c r="AU16" s="188" t="str">
        <f>IF(PORTEFEUILLE_DELPHINE[[#This Row],[MALI AAC]]&lt;&gt;0,1,"")</f>
        <v/>
      </c>
      <c r="AV16" s="225">
        <f>IF(AP16&lt;&gt;"",IF((AP16*Paramètres!$H$4)-PORTEFEUILLE_DELPHINE[[#This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€]]-(DELPHINE!AP16*Paramètres!$H$4),0),0)</f>
        <v>0</v>
      </c>
      <c r="AW16" s="225">
        <f>IF(AP16&lt;&gt;"",IF(((AP16*Paramètres!$H$4)-PORTEFEUILLE_DELPHINE[[#This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6" s="190" t="str">
        <f>IF(PORTEFEUILLE_DELPHINE[[#This Row],[BONI COMPTABLE]]&lt;&gt;0,1,"")</f>
        <v/>
      </c>
      <c r="AY16" s="190" t="str">
        <f>IF(PORTEFEUILLE_DELPHINE[[#This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customFormat="1" x14ac:dyDescent="0.25">
      <c r="A17" s="172"/>
      <c r="B17" s="170"/>
      <c r="C17" s="16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SUM(PORTEFEUILLE_DELPHINE[[#This Row],[PCR COMPTABLE €]:[MONTANT
RESPONSABLE RELATION CLIENT €]])-PORTEFEUILLE_DELPHINE[[#This Row],[MONTANT TOTAL LETTRE DE MISION €]]</f>
        <v>0</v>
      </c>
      <c r="AI17" s="191"/>
      <c r="AJ17" s="188"/>
      <c r="AK17" s="188"/>
      <c r="AL17" s="188"/>
      <c r="AM17" s="191"/>
      <c r="AN17" s="188"/>
      <c r="AO17" s="188"/>
      <c r="AP17" s="188"/>
      <c r="AQ17" s="188"/>
      <c r="AR1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7" s="188" t="str">
        <f>IF(PORTEFEUILLE_DELPHINE[[#This Row],[BONI AAC]]&lt;&gt;0,1,"")</f>
        <v/>
      </c>
      <c r="AU17" s="188" t="str">
        <f>IF(PORTEFEUILLE_DELPHINE[[#This Row],[MALI AAC]]&lt;&gt;0,1,"")</f>
        <v/>
      </c>
      <c r="AV17" s="225">
        <f>IF(AP17&lt;&gt;"",IF((AP17*Paramètres!$H$4)-PORTEFEUILLE_DELPHINE[[#This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€]]-(DELPHINE!AP17*Paramètres!$H$4),0),0)</f>
        <v>0</v>
      </c>
      <c r="AW17" s="225">
        <f>IF(AP17&lt;&gt;"",IF(((AP17*Paramètres!$H$4)-PORTEFEUILLE_DELPHINE[[#This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7" s="190" t="str">
        <f>IF(PORTEFEUILLE_DELPHINE[[#This Row],[BONI COMPTABLE]]&lt;&gt;0,1,"")</f>
        <v/>
      </c>
      <c r="AY17" s="190" t="str">
        <f>IF(PORTEFEUILLE_DELPHINE[[#This Row],[MALI COMPTABLE]]&lt;&gt;0,1,"")</f>
        <v/>
      </c>
      <c r="AZ17" s="188"/>
      <c r="BA17" s="188"/>
      <c r="BB17" s="188"/>
      <c r="BC17" s="188"/>
      <c r="BD17" s="188"/>
      <c r="BE17" s="188"/>
      <c r="BF17" s="188"/>
      <c r="BG17" s="192"/>
      <c r="BH17" s="194"/>
      <c r="BI17" s="194"/>
      <c r="BJ17" s="195"/>
      <c r="BK17" s="194"/>
    </row>
    <row r="18" spans="1:63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SUM(PORTEFEUILLE_DELPHINE[[#This Row],[PCR COMPTABLE €]:[MONTANT
RESPONSABLE RELATION CLIENT €]])-PORTEFEUILLE_DELPHINE[[#This Row],[MONTANT TOTAL LETTRE DE MISION €]]</f>
        <v>0</v>
      </c>
      <c r="AI18" s="191"/>
      <c r="AJ18" s="188"/>
      <c r="AK18" s="188"/>
      <c r="AL18" s="188"/>
      <c r="AM18" s="191"/>
      <c r="AN18" s="188"/>
      <c r="AO18" s="188"/>
      <c r="AP18" s="188"/>
      <c r="AQ18" s="188"/>
      <c r="AR1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8" s="188" t="str">
        <f>IF(PORTEFEUILLE_DELPHINE[[#This Row],[BONI AAC]]&lt;&gt;0,1,"")</f>
        <v/>
      </c>
      <c r="AU18" s="188" t="str">
        <f>IF(PORTEFEUILLE_DELPHINE[[#This Row],[MALI AAC]]&lt;&gt;0,1,"")</f>
        <v/>
      </c>
      <c r="AV18" s="225">
        <f>IF(AP18&lt;&gt;"",IF((AP18*Paramètres!$H$4)-PORTEFEUILLE_DELPHINE[[#This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€]]-(DELPHINE!AP18*Paramètres!$H$4),0),0)</f>
        <v>0</v>
      </c>
      <c r="AW18" s="225">
        <f>IF(AP18&lt;&gt;"",IF(((AP18*Paramètres!$H$4)-PORTEFEUILLE_DELPHINE[[#This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8" s="190" t="str">
        <f>IF(PORTEFEUILLE_DELPHINE[[#This Row],[BONI COMPTABLE]]&lt;&gt;0,1,"")</f>
        <v/>
      </c>
      <c r="AY18" s="190" t="str">
        <f>IF(PORTEFEUILLE_DELPHINE[[#This Row],[MALI COMPTABLE]]&lt;&gt;0,1,"")</f>
        <v/>
      </c>
      <c r="AZ18" s="188"/>
      <c r="BA18" s="188"/>
      <c r="BB18" s="188"/>
      <c r="BC18" s="188"/>
      <c r="BD18" s="188"/>
      <c r="BE18" s="188"/>
      <c r="BF18" s="188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8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4"/>
      <c r="T19" s="208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  <c r="AG19" s="219"/>
      <c r="AH19" s="225">
        <f>SUM(PORTEFEUILLE_DELPHINE[[#This Row],[PCR COMPTABLE €]:[MONTANT
RESPONSABLE RELATION CLIENT €]])-PORTEFEUILLE_DELPHINE[[#This Row],[MONTANT TOTAL LETTRE DE MISION €]]</f>
        <v>0</v>
      </c>
      <c r="AI19" s="191"/>
      <c r="AJ19" s="188"/>
      <c r="AK19" s="188"/>
      <c r="AL19" s="188"/>
      <c r="AM19" s="191"/>
      <c r="AN19" s="196"/>
      <c r="AO19" s="196"/>
      <c r="AP19" s="196"/>
      <c r="AQ19" s="196"/>
      <c r="AR1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1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19" s="188" t="str">
        <f>IF(PORTEFEUILLE_DELPHINE[[#This Row],[BONI AAC]]&lt;&gt;0,1,"")</f>
        <v/>
      </c>
      <c r="AU19" s="188" t="str">
        <f>IF(PORTEFEUILLE_DELPHINE[[#This Row],[MALI AAC]]&lt;&gt;0,1,"")</f>
        <v/>
      </c>
      <c r="AV19" s="225">
        <f>IF(AP19&lt;&gt;"",IF((AP19*Paramètres!$H$4)-PORTEFEUILLE_DELPHINE[[#This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€]]-(DELPHINE!AP19*Paramètres!$H$4),0),0)</f>
        <v>0</v>
      </c>
      <c r="AW19" s="225">
        <f>IF(AP19&lt;&gt;"",IF(((AP19*Paramètres!$H$4)-PORTEFEUILLE_DELPHINE[[#This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19" s="190" t="str">
        <f>IF(PORTEFEUILLE_DELPHINE[[#This Row],[BONI COMPTABLE]]&lt;&gt;0,1,"")</f>
        <v/>
      </c>
      <c r="AY19" s="190" t="str">
        <f>IF(PORTEFEUILLE_DELPHINE[[#This Row],[MALI COMPTABLE]]&lt;&gt;0,1,"")</f>
        <v/>
      </c>
      <c r="AZ19" s="196"/>
      <c r="BA19" s="188"/>
      <c r="BB19" s="188"/>
      <c r="BC19" s="188"/>
      <c r="BD19" s="196"/>
      <c r="BE19" s="196"/>
      <c r="BF19" s="196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9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3"/>
      <c r="T20" s="207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25">
        <f>SUM(PORTEFEUILLE_DELPHINE[[#This Row],[PCR COMPTABLE €]:[MONTANT
RESPONSABLE RELATION CLIENT €]])-PORTEFEUILLE_DELPHINE[[#This Row],[MONTANT TOTAL LETTRE DE MISION €]]</f>
        <v>0</v>
      </c>
      <c r="AI20" s="191"/>
      <c r="AJ20" s="188"/>
      <c r="AK20" s="188"/>
      <c r="AL20" s="188"/>
      <c r="AM20" s="191"/>
      <c r="AN20" s="188"/>
      <c r="AO20" s="188"/>
      <c r="AP20" s="188"/>
      <c r="AQ20" s="188"/>
      <c r="AR2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0" s="188" t="str">
        <f>IF(PORTEFEUILLE_DELPHINE[[#This Row],[BONI AAC]]&lt;&gt;0,1,"")</f>
        <v/>
      </c>
      <c r="AU20" s="188" t="str">
        <f>IF(PORTEFEUILLE_DELPHINE[[#This Row],[MALI AAC]]&lt;&gt;0,1,"")</f>
        <v/>
      </c>
      <c r="AV20" s="225">
        <f>IF(AP20&lt;&gt;"",IF((AP20*Paramètres!$H$4)-PORTEFEUILLE_DELPHINE[[#This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€]]-(DELPHINE!AP20*Paramètres!$H$4),0),0)</f>
        <v>0</v>
      </c>
      <c r="AW20" s="225">
        <f>IF(AP20&lt;&gt;"",IF(((AP20*Paramètres!$H$4)-PORTEFEUILLE_DELPHINE[[#This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0" s="190" t="str">
        <f>IF(PORTEFEUILLE_DELPHINE[[#This Row],[BONI COMPTABLE]]&lt;&gt;0,1,"")</f>
        <v/>
      </c>
      <c r="AY20" s="190" t="str">
        <f>IF(PORTEFEUILLE_DELPHINE[[#This Row],[MALI COMPTABLE]]&lt;&gt;0,1,"")</f>
        <v/>
      </c>
      <c r="AZ20" s="188"/>
      <c r="BA20" s="188"/>
      <c r="BB20" s="188"/>
      <c r="BC20" s="188"/>
      <c r="BD20" s="196"/>
      <c r="BE20" s="196"/>
      <c r="BF20" s="196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5"/>
      <c r="T21" s="209"/>
      <c r="U21" s="221"/>
      <c r="V21" s="221"/>
      <c r="W21" s="221"/>
      <c r="X21" s="221"/>
      <c r="Y21" s="221"/>
      <c r="Z21" s="221"/>
      <c r="AA21" s="221"/>
      <c r="AB21" s="221"/>
      <c r="AC21" s="221"/>
      <c r="AD21" s="221"/>
      <c r="AE21" s="221"/>
      <c r="AF21" s="221"/>
      <c r="AG21" s="219"/>
      <c r="AH21" s="225">
        <f>SUM(PORTEFEUILLE_DELPHINE[[#This Row],[PCR COMPTABLE €]:[MONTANT
RESPONSABLE RELATION CLIENT €]])-PORTEFEUILLE_DELPHINE[[#This Row],[MONTANT TOTAL LETTRE DE MISION €]]</f>
        <v>0</v>
      </c>
      <c r="AI21" s="191"/>
      <c r="AJ21" s="188"/>
      <c r="AK21" s="188"/>
      <c r="AL21" s="188"/>
      <c r="AM21" s="191"/>
      <c r="AN21" s="197"/>
      <c r="AO21" s="197"/>
      <c r="AP21" s="197"/>
      <c r="AQ21" s="197"/>
      <c r="AR2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1" s="188" t="str">
        <f>IF(PORTEFEUILLE_DELPHINE[[#This Row],[BONI AAC]]&lt;&gt;0,1,"")</f>
        <v/>
      </c>
      <c r="AU21" s="188" t="str">
        <f>IF(PORTEFEUILLE_DELPHINE[[#This Row],[MALI AAC]]&lt;&gt;0,1,"")</f>
        <v/>
      </c>
      <c r="AV21" s="225">
        <f>IF(AP21&lt;&gt;"",IF((AP21*Paramètres!$H$4)-PORTEFEUILLE_DELPHINE[[#This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€]]-(DELPHINE!AP21*Paramètres!$H$4),0),0)</f>
        <v>0</v>
      </c>
      <c r="AW21" s="225">
        <f>IF(AP21&lt;&gt;"",IF(((AP21*Paramètres!$H$4)-PORTEFEUILLE_DELPHINE[[#This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1" s="190" t="str">
        <f>IF(PORTEFEUILLE_DELPHINE[[#This Row],[BONI COMPTABLE]]&lt;&gt;0,1,"")</f>
        <v/>
      </c>
      <c r="AY21" s="190" t="str">
        <f>IF(PORTEFEUILLE_DELPHINE[[#This Row],[MALI COMPTABLE]]&lt;&gt;0,1,"")</f>
        <v/>
      </c>
      <c r="AZ21" s="188"/>
      <c r="BA21" s="188"/>
      <c r="BB21" s="188"/>
      <c r="BC21" s="188"/>
      <c r="BD21" s="196"/>
      <c r="BE21" s="196"/>
      <c r="BF21" s="196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3"/>
      <c r="T22" s="207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25">
        <f>SUM(PORTEFEUILLE_DELPHINE[[#This Row],[PCR COMPTABLE €]:[MONTANT
RESPONSABLE RELATION CLIENT €]])-PORTEFEUILLE_DELPHINE[[#This Row],[MONTANT TOTAL LETTRE DE MISION €]]</f>
        <v>0</v>
      </c>
      <c r="AI22" s="191"/>
      <c r="AJ22" s="188"/>
      <c r="AK22" s="188"/>
      <c r="AL22" s="188"/>
      <c r="AM22" s="191"/>
      <c r="AN22" s="188"/>
      <c r="AO22" s="188"/>
      <c r="AP22" s="188"/>
      <c r="AQ22" s="188"/>
      <c r="AR2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2" s="188" t="str">
        <f>IF(PORTEFEUILLE_DELPHINE[[#This Row],[BONI AAC]]&lt;&gt;0,1,"")</f>
        <v/>
      </c>
      <c r="AU22" s="188" t="str">
        <f>IF(PORTEFEUILLE_DELPHINE[[#This Row],[MALI AAC]]&lt;&gt;0,1,"")</f>
        <v/>
      </c>
      <c r="AV22" s="225">
        <f>IF(AP22&lt;&gt;"",IF((AP22*Paramètres!$H$4)-PORTEFEUILLE_DELPHINE[[#This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€]]-(DELPHINE!AP22*Paramètres!$H$4),0),0)</f>
        <v>0</v>
      </c>
      <c r="AW22" s="225">
        <f>IF(AP22&lt;&gt;"",IF(((AP22*Paramètres!$H$4)-PORTEFEUILLE_DELPHINE[[#This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2" s="190" t="str">
        <f>IF(PORTEFEUILLE_DELPHINE[[#This Row],[BONI COMPTABLE]]&lt;&gt;0,1,"")</f>
        <v/>
      </c>
      <c r="AY22" s="190" t="str">
        <f>IF(PORTEFEUILLE_DELPHINE[[#This Row],[MALI COMPTABLE]]&lt;&gt;0,1,"")</f>
        <v/>
      </c>
      <c r="AZ22" s="188"/>
      <c r="BA22" s="188"/>
      <c r="BB22" s="188"/>
      <c r="BC22" s="188"/>
      <c r="BD22" s="188"/>
      <c r="BE22" s="188"/>
      <c r="BF22" s="188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8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4"/>
      <c r="T23" s="208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19"/>
      <c r="AH23" s="225">
        <f>SUM(PORTEFEUILLE_DELPHINE[[#This Row],[PCR COMPTABLE €]:[MONTANT
RESPONSABLE RELATION CLIENT €]])-PORTEFEUILLE_DELPHINE[[#This Row],[MONTANT TOTAL LETTRE DE MISION €]]</f>
        <v>0</v>
      </c>
      <c r="AI23" s="191"/>
      <c r="AJ23" s="188"/>
      <c r="AK23" s="188"/>
      <c r="AL23" s="188"/>
      <c r="AM23" s="191"/>
      <c r="AN23" s="196"/>
      <c r="AO23" s="196"/>
      <c r="AP23" s="196"/>
      <c r="AQ23" s="196"/>
      <c r="AR2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3" s="188" t="str">
        <f>IF(PORTEFEUILLE_DELPHINE[[#This Row],[BONI AAC]]&lt;&gt;0,1,"")</f>
        <v/>
      </c>
      <c r="AU23" s="188" t="str">
        <f>IF(PORTEFEUILLE_DELPHINE[[#This Row],[MALI AAC]]&lt;&gt;0,1,"")</f>
        <v/>
      </c>
      <c r="AV23" s="225">
        <f>IF(AP23&lt;&gt;"",IF((AP23*Paramètres!$H$4)-PORTEFEUILLE_DELPHINE[[#This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€]]-(DELPHINE!AP23*Paramètres!$H$4),0),0)</f>
        <v>0</v>
      </c>
      <c r="AW23" s="225">
        <f>IF(AP23&lt;&gt;"",IF(((AP23*Paramètres!$H$4)-PORTEFEUILLE_DELPHINE[[#This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3" s="190" t="str">
        <f>IF(PORTEFEUILLE_DELPHINE[[#This Row],[BONI COMPTABLE]]&lt;&gt;0,1,"")</f>
        <v/>
      </c>
      <c r="AY23" s="190" t="str">
        <f>IF(PORTEFEUILLE_DELPHINE[[#This Row],[MALI COMPTABLE]]&lt;&gt;0,1,"")</f>
        <v/>
      </c>
      <c r="AZ23" s="196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SUM(PORTEFEUILLE_DELPHINE[[#This Row],[PCR COMPTABLE €]:[MONTANT
RESPONSABLE RELATION CLIENT €]])-PORTEFEUILLE_DELPHINE[[#This Row],[MONTANT TOTAL LETTRE DE MISION €]]</f>
        <v>0</v>
      </c>
      <c r="AI24" s="191"/>
      <c r="AJ24" s="188"/>
      <c r="AK24" s="188"/>
      <c r="AL24" s="188"/>
      <c r="AM24" s="191"/>
      <c r="AN24" s="196"/>
      <c r="AO24" s="196"/>
      <c r="AP24" s="196"/>
      <c r="AQ24" s="196"/>
      <c r="AR2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4" s="188" t="str">
        <f>IF(PORTEFEUILLE_DELPHINE[[#This Row],[BONI AAC]]&lt;&gt;0,1,"")</f>
        <v/>
      </c>
      <c r="AU24" s="188" t="str">
        <f>IF(PORTEFEUILLE_DELPHINE[[#This Row],[MALI AAC]]&lt;&gt;0,1,"")</f>
        <v/>
      </c>
      <c r="AV24" s="225">
        <f>IF(AP24&lt;&gt;"",IF((AP24*Paramètres!$H$4)-PORTEFEUILLE_DELPHINE[[#This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€]]-(DELPHINE!AP24*Paramètres!$H$4),0),0)</f>
        <v>0</v>
      </c>
      <c r="AW24" s="225">
        <f>IF(AP24&lt;&gt;"",IF(((AP24*Paramètres!$H$4)-PORTEFEUILLE_DELPHINE[[#This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4" s="190" t="str">
        <f>IF(PORTEFEUILLE_DELPHINE[[#This Row],[BONI COMPTABLE]]&lt;&gt;0,1,"")</f>
        <v/>
      </c>
      <c r="AY24" s="190" t="str">
        <f>IF(PORTEFEUILLE_DELPHINE[[#This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SUM(PORTEFEUILLE_DELPHINE[[#This Row],[PCR COMPTABLE €]:[MONTANT
RESPONSABLE RELATION CLIENT €]])-PORTEFEUILLE_DELPHINE[[#This Row],[MONTANT TOTAL LETTRE DE MISION €]]</f>
        <v>0</v>
      </c>
      <c r="AI25" s="191"/>
      <c r="AJ25" s="188"/>
      <c r="AK25" s="188"/>
      <c r="AL25" s="188"/>
      <c r="AM25" s="191"/>
      <c r="AN25" s="196"/>
      <c r="AO25" s="196"/>
      <c r="AP25" s="196"/>
      <c r="AQ25" s="196"/>
      <c r="AR2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5" s="188" t="str">
        <f>IF(PORTEFEUILLE_DELPHINE[[#This Row],[BONI AAC]]&lt;&gt;0,1,"")</f>
        <v/>
      </c>
      <c r="AU25" s="188" t="str">
        <f>IF(PORTEFEUILLE_DELPHINE[[#This Row],[MALI AAC]]&lt;&gt;0,1,"")</f>
        <v/>
      </c>
      <c r="AV25" s="225">
        <f>IF(AP25&lt;&gt;"",IF((AP25*Paramètres!$H$4)-PORTEFEUILLE_DELPHINE[[#This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€]]-(DELPHINE!AP25*Paramètres!$H$4),0),0)</f>
        <v>0</v>
      </c>
      <c r="AW25" s="225">
        <f>IF(AP25&lt;&gt;"",IF(((AP25*Paramètres!$H$4)-PORTEFEUILLE_DELPHINE[[#This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5" s="190" t="str">
        <f>IF(PORTEFEUILLE_DELPHINE[[#This Row],[BONI COMPTABLE]]&lt;&gt;0,1,"")</f>
        <v/>
      </c>
      <c r="AY25" s="190" t="str">
        <f>IF(PORTEFEUILLE_DELPHINE[[#This Row],[MALI COMPTABLE]]&lt;&gt;0,1,"")</f>
        <v/>
      </c>
      <c r="AZ25" s="196"/>
      <c r="BA25" s="188"/>
      <c r="BB25" s="188"/>
      <c r="BC25" s="188"/>
      <c r="BD25" s="188"/>
      <c r="BE25" s="188"/>
      <c r="BF25" s="188"/>
      <c r="BG25" s="192"/>
      <c r="BH25" s="194"/>
      <c r="BI25" s="194"/>
      <c r="BJ25" s="195"/>
      <c r="BK25" s="194"/>
    </row>
    <row r="26" spans="1:63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SUM(PORTEFEUILLE_DELPHINE[[#This Row],[PCR COMPTABLE €]:[MONTANT
RESPONSABLE RELATION CLIENT €]])-PORTEFEUILLE_DELPHINE[[#This Row],[MONTANT TOTAL LETTRE DE MISION €]]</f>
        <v>0</v>
      </c>
      <c r="AI26" s="191"/>
      <c r="AJ26" s="188"/>
      <c r="AK26" s="188"/>
      <c r="AL26" s="188"/>
      <c r="AM26" s="191"/>
      <c r="AN26" s="196"/>
      <c r="AO26" s="196"/>
      <c r="AP26" s="196"/>
      <c r="AQ26" s="196"/>
      <c r="AR2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6" s="188" t="str">
        <f>IF(PORTEFEUILLE_DELPHINE[[#This Row],[BONI AAC]]&lt;&gt;0,1,"")</f>
        <v/>
      </c>
      <c r="AU26" s="188" t="str">
        <f>IF(PORTEFEUILLE_DELPHINE[[#This Row],[MALI AAC]]&lt;&gt;0,1,"")</f>
        <v/>
      </c>
      <c r="AV26" s="225">
        <f>IF(AP26&lt;&gt;"",IF((AP26*Paramètres!$H$4)-PORTEFEUILLE_DELPHINE[[#This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€]]-(DELPHINE!AP26*Paramètres!$H$4),0),0)</f>
        <v>0</v>
      </c>
      <c r="AW26" s="225">
        <f>IF(AP26&lt;&gt;"",IF(((AP26*Paramètres!$H$4)-PORTEFEUILLE_DELPHINE[[#This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6" s="190" t="str">
        <f>IF(PORTEFEUILLE_DELPHINE[[#This Row],[BONI COMPTABLE]]&lt;&gt;0,1,"")</f>
        <v/>
      </c>
      <c r="AY26" s="190" t="str">
        <f>IF(PORTEFEUILLE_DELPHINE[[#This Row],[MALI COMPTABLE]]&lt;&gt;0,1,"")</f>
        <v/>
      </c>
      <c r="AZ26" s="196"/>
      <c r="BA26" s="188"/>
      <c r="BB26" s="188"/>
      <c r="BC26" s="188"/>
      <c r="BD26" s="188"/>
      <c r="BE26" s="188"/>
      <c r="BF26" s="188"/>
      <c r="BG26" s="192"/>
      <c r="BH26" s="194"/>
      <c r="BI26" s="194"/>
      <c r="BJ26" s="195"/>
      <c r="BK26" s="194"/>
    </row>
    <row r="27" spans="1:63" s="90" customFormat="1" x14ac:dyDescent="0.25">
      <c r="A27" s="176"/>
      <c r="B27" s="170"/>
      <c r="C27" s="165"/>
      <c r="D27" s="171"/>
      <c r="E27" s="189"/>
      <c r="F27" s="188"/>
      <c r="G27" s="189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3"/>
      <c r="T27" s="207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25">
        <f>SUM(PORTEFEUILLE_DELPHINE[[#This Row],[PCR COMPTABLE €]:[MONTANT
RESPONSABLE RELATION CLIENT €]])-PORTEFEUILLE_DELPHINE[[#This Row],[MONTANT TOTAL LETTRE DE MISION €]]</f>
        <v>0</v>
      </c>
      <c r="AI27" s="191"/>
      <c r="AJ27" s="188"/>
      <c r="AK27" s="188"/>
      <c r="AL27" s="188"/>
      <c r="AM27" s="191"/>
      <c r="AN27" s="188"/>
      <c r="AO27" s="188"/>
      <c r="AP27" s="188"/>
      <c r="AQ27" s="188"/>
      <c r="AR2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7" s="188" t="str">
        <f>IF(PORTEFEUILLE_DELPHINE[[#This Row],[BONI AAC]]&lt;&gt;0,1,"")</f>
        <v/>
      </c>
      <c r="AU27" s="188" t="str">
        <f>IF(PORTEFEUILLE_DELPHINE[[#This Row],[MALI AAC]]&lt;&gt;0,1,"")</f>
        <v/>
      </c>
      <c r="AV27" s="225">
        <f>IF(AP27&lt;&gt;"",IF((AP27*Paramètres!$H$4)-PORTEFEUILLE_DELPHINE[[#This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€]]-(DELPHINE!AP27*Paramètres!$H$4),0),0)</f>
        <v>0</v>
      </c>
      <c r="AW27" s="225">
        <f>IF(AP27&lt;&gt;"",IF(((AP27*Paramètres!$H$4)-PORTEFEUILLE_DELPHINE[[#This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7" s="190" t="str">
        <f>IF(PORTEFEUILLE_DELPHINE[[#This Row],[BONI COMPTABLE]]&lt;&gt;0,1,"")</f>
        <v/>
      </c>
      <c r="AY27" s="190" t="str">
        <f>IF(PORTEFEUILLE_DELPHINE[[#This Row],[MALI COMPTABLE]]&lt;&gt;0,1,"")</f>
        <v/>
      </c>
      <c r="AZ27" s="188"/>
      <c r="BA27" s="188"/>
      <c r="BB27" s="188"/>
      <c r="BC27" s="188"/>
      <c r="BD27" s="196"/>
      <c r="BE27" s="196"/>
      <c r="BF27" s="196"/>
      <c r="BG27" s="192"/>
      <c r="BH27" s="196"/>
      <c r="BI27" s="196"/>
      <c r="BJ27" s="198"/>
      <c r="BK27" s="196"/>
    </row>
    <row r="28" spans="1:63" x14ac:dyDescent="0.25">
      <c r="A28" s="172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SUM(PORTEFEUILLE_DELPHINE[[#This Row],[PCR COMPTABLE €]:[MONTANT
RESPONSABLE RELATION CLIENT €]])-PORTEFEUILLE_DELPHINE[[#This Row],[MONTANT TOTAL LETTRE DE MISION €]]</f>
        <v>0</v>
      </c>
      <c r="AI28" s="191"/>
      <c r="AJ28" s="188"/>
      <c r="AK28" s="188"/>
      <c r="AL28" s="188"/>
      <c r="AM28" s="191"/>
      <c r="AN28" s="188"/>
      <c r="AO28" s="188"/>
      <c r="AP28" s="188"/>
      <c r="AQ28" s="188"/>
      <c r="AR2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8" s="188" t="str">
        <f>IF(PORTEFEUILLE_DELPHINE[[#This Row],[BONI AAC]]&lt;&gt;0,1,"")</f>
        <v/>
      </c>
      <c r="AU28" s="188" t="str">
        <f>IF(PORTEFEUILLE_DELPHINE[[#This Row],[MALI AAC]]&lt;&gt;0,1,"")</f>
        <v/>
      </c>
      <c r="AV28" s="225">
        <f>IF(AP28&lt;&gt;"",IF((AP28*Paramètres!$H$4)-PORTEFEUILLE_DELPHINE[[#This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€]]-(DELPHINE!AP28*Paramètres!$H$4),0),0)</f>
        <v>0</v>
      </c>
      <c r="AW28" s="225">
        <f>IF(AP28&lt;&gt;"",IF(((AP28*Paramètres!$H$4)-PORTEFEUILLE_DELPHINE[[#This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8" s="190" t="str">
        <f>IF(PORTEFEUILLE_DELPHINE[[#This Row],[BONI COMPTABLE]]&lt;&gt;0,1,"")</f>
        <v/>
      </c>
      <c r="AY28" s="190" t="str">
        <f>IF(PORTEFEUILLE_DELPHINE[[#This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4"/>
      <c r="BI28" s="194"/>
      <c r="BJ28" s="195"/>
      <c r="BK28" s="194"/>
    </row>
    <row r="29" spans="1:63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SUM(PORTEFEUILLE_DELPHINE[[#This Row],[PCR COMPTABLE €]:[MONTANT
RESPONSABLE RELATION CLIENT €]])-PORTEFEUILLE_DELPHINE[[#This Row],[MONTANT TOTAL LETTRE DE MISION €]]</f>
        <v>0</v>
      </c>
      <c r="AI29" s="191"/>
      <c r="AJ29" s="188"/>
      <c r="AK29" s="188"/>
      <c r="AL29" s="188"/>
      <c r="AM29" s="191"/>
      <c r="AN29" s="188"/>
      <c r="AO29" s="188"/>
      <c r="AP29" s="188"/>
      <c r="AQ29" s="188"/>
      <c r="AR2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2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29" s="188" t="str">
        <f>IF(PORTEFEUILLE_DELPHINE[[#This Row],[BONI AAC]]&lt;&gt;0,1,"")</f>
        <v/>
      </c>
      <c r="AU29" s="188" t="str">
        <f>IF(PORTEFEUILLE_DELPHINE[[#This Row],[MALI AAC]]&lt;&gt;0,1,"")</f>
        <v/>
      </c>
      <c r="AV29" s="225">
        <f>IF(AP29&lt;&gt;"",IF((AP29*Paramètres!$H$4)-PORTEFEUILLE_DELPHINE[[#This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€]]-(DELPHINE!AP29*Paramètres!$H$4),0),0)</f>
        <v>0</v>
      </c>
      <c r="AW29" s="225">
        <f>IF(AP29&lt;&gt;"",IF(((AP29*Paramètres!$H$4)-PORTEFEUILLE_DELPHINE[[#This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29" s="190" t="str">
        <f>IF(PORTEFEUILLE_DELPHINE[[#This Row],[BONI COMPTABLE]]&lt;&gt;0,1,"")</f>
        <v/>
      </c>
      <c r="AY29" s="190" t="str">
        <f>IF(PORTEFEUILLE_DELPHINE[[#This Row],[MALI COMPTABLE]]&lt;&gt;0,1,"")</f>
        <v/>
      </c>
      <c r="AZ29" s="188"/>
      <c r="BA29" s="188"/>
      <c r="BB29" s="188"/>
      <c r="BC29" s="188"/>
      <c r="BD29" s="188"/>
      <c r="BE29" s="188"/>
      <c r="BF29" s="188"/>
      <c r="BG29" s="192"/>
      <c r="BH29" s="194"/>
      <c r="BI29" s="194"/>
      <c r="BJ29" s="195"/>
      <c r="BK29" s="194"/>
    </row>
    <row r="30" spans="1:63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SUM(PORTEFEUILLE_DELPHINE[[#This Row],[PCR COMPTABLE €]:[MONTANT
RESPONSABLE RELATION CLIENT €]])-PORTEFEUILLE_DELPHINE[[#This Row],[MONTANT TOTAL LETTRE DE MISION €]]</f>
        <v>0</v>
      </c>
      <c r="AI30" s="191"/>
      <c r="AJ30" s="188"/>
      <c r="AK30" s="188"/>
      <c r="AL30" s="188"/>
      <c r="AM30" s="191"/>
      <c r="AN30" s="188"/>
      <c r="AO30" s="188"/>
      <c r="AP30" s="188"/>
      <c r="AQ30" s="188"/>
      <c r="AR3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0" s="188" t="str">
        <f>IF(PORTEFEUILLE_DELPHINE[[#This Row],[BONI AAC]]&lt;&gt;0,1,"")</f>
        <v/>
      </c>
      <c r="AU30" s="188" t="str">
        <f>IF(PORTEFEUILLE_DELPHINE[[#This Row],[MALI AAC]]&lt;&gt;0,1,"")</f>
        <v/>
      </c>
      <c r="AV30" s="225">
        <f>IF(AP30&lt;&gt;"",IF((AP30*Paramètres!$H$4)-PORTEFEUILLE_DELPHINE[[#This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€]]-(DELPHINE!AP30*Paramètres!$H$4),0),0)</f>
        <v>0</v>
      </c>
      <c r="AW30" s="225">
        <f>IF(AP30&lt;&gt;"",IF(((AP30*Paramètres!$H$4)-PORTEFEUILLE_DELPHINE[[#This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0" s="190" t="str">
        <f>IF(PORTEFEUILLE_DELPHINE[[#This Row],[BONI COMPTABLE]]&lt;&gt;0,1,"")</f>
        <v/>
      </c>
      <c r="AY30" s="190" t="str">
        <f>IF(PORTEFEUILLE_DELPHINE[[#This Row],[MALI COMPTABLE]]&lt;&gt;0,1,"")</f>
        <v/>
      </c>
      <c r="AZ30" s="188"/>
      <c r="BA30" s="188"/>
      <c r="BB30" s="188"/>
      <c r="BC30" s="188"/>
      <c r="BD30" s="196"/>
      <c r="BE30" s="196"/>
      <c r="BF30" s="196"/>
      <c r="BG30" s="192"/>
      <c r="BH30" s="194"/>
      <c r="BI30" s="194"/>
      <c r="BJ30" s="195"/>
      <c r="BK30" s="194"/>
    </row>
    <row r="31" spans="1:63" x14ac:dyDescent="0.25">
      <c r="A31" s="172"/>
      <c r="B31" s="177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SUM(PORTEFEUILLE_DELPHINE[[#This Row],[PCR COMPTABLE €]:[MONTANT
RESPONSABLE RELATION CLIENT €]])-PORTEFEUILLE_DELPHINE[[#This Row],[MONTANT TOTAL LETTRE DE MISION €]]</f>
        <v>0</v>
      </c>
      <c r="AI31" s="191"/>
      <c r="AJ31" s="188"/>
      <c r="AK31" s="188"/>
      <c r="AL31" s="188"/>
      <c r="AM31" s="191"/>
      <c r="AN31" s="188"/>
      <c r="AO31" s="188"/>
      <c r="AP31" s="188"/>
      <c r="AQ31" s="188"/>
      <c r="AR3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1" s="188" t="str">
        <f>IF(PORTEFEUILLE_DELPHINE[[#This Row],[BONI AAC]]&lt;&gt;0,1,"")</f>
        <v/>
      </c>
      <c r="AU31" s="188" t="str">
        <f>IF(PORTEFEUILLE_DELPHINE[[#This Row],[MALI AAC]]&lt;&gt;0,1,"")</f>
        <v/>
      </c>
      <c r="AV31" s="225">
        <f>IF(AP31&lt;&gt;"",IF((AP31*Paramètres!$H$4)-PORTEFEUILLE_DELPHINE[[#This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€]]-(DELPHINE!AP31*Paramètres!$H$4),0),0)</f>
        <v>0</v>
      </c>
      <c r="AW31" s="225">
        <f>IF(AP31&lt;&gt;"",IF(((AP31*Paramètres!$H$4)-PORTEFEUILLE_DELPHINE[[#This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1" s="190" t="str">
        <f>IF(PORTEFEUILLE_DELPHINE[[#This Row],[BONI COMPTABLE]]&lt;&gt;0,1,"")</f>
        <v/>
      </c>
      <c r="AY31" s="190" t="str">
        <f>IF(PORTEFEUILLE_DELPHINE[[#This Row],[MALI COMPTABLE]]&lt;&gt;0,1,"")</f>
        <v/>
      </c>
      <c r="AZ31" s="188"/>
      <c r="BA31" s="188"/>
      <c r="BB31" s="188"/>
      <c r="BC31" s="188"/>
      <c r="BD31" s="188"/>
      <c r="BE31" s="188"/>
      <c r="BF31" s="188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8"/>
      <c r="H32" s="189"/>
      <c r="I32" s="188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4"/>
      <c r="T32" s="208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220"/>
      <c r="AG32" s="219"/>
      <c r="AH32" s="225">
        <f>SUM(PORTEFEUILLE_DELPHINE[[#This Row],[PCR COMPTABLE €]:[MONTANT
RESPONSABLE RELATION CLIENT €]])-PORTEFEUILLE_DELPHINE[[#This Row],[MONTANT TOTAL LETTRE DE MISION €]]</f>
        <v>0</v>
      </c>
      <c r="AI32" s="191"/>
      <c r="AJ32" s="188"/>
      <c r="AK32" s="188"/>
      <c r="AL32" s="188"/>
      <c r="AM32" s="191"/>
      <c r="AN32" s="196"/>
      <c r="AO32" s="196"/>
      <c r="AP32" s="196"/>
      <c r="AQ32" s="196"/>
      <c r="AR3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2" s="188" t="str">
        <f>IF(PORTEFEUILLE_DELPHINE[[#This Row],[BONI AAC]]&lt;&gt;0,1,"")</f>
        <v/>
      </c>
      <c r="AU32" s="188" t="str">
        <f>IF(PORTEFEUILLE_DELPHINE[[#This Row],[MALI AAC]]&lt;&gt;0,1,"")</f>
        <v/>
      </c>
      <c r="AV32" s="225">
        <f>IF(AP32&lt;&gt;"",IF((AP32*Paramètres!$H$4)-PORTEFEUILLE_DELPHINE[[#This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€]]-(DELPHINE!AP32*Paramètres!$H$4),0),0)</f>
        <v>0</v>
      </c>
      <c r="AW32" s="225">
        <f>IF(AP32&lt;&gt;"",IF(((AP32*Paramètres!$H$4)-PORTEFEUILLE_DELPHINE[[#This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2" s="190" t="str">
        <f>IF(PORTEFEUILLE_DELPHINE[[#This Row],[BONI COMPTABLE]]&lt;&gt;0,1,"")</f>
        <v/>
      </c>
      <c r="AY32" s="190" t="str">
        <f>IF(PORTEFEUILLE_DELPHINE[[#This Row],[MALI COMPTABLE]]&lt;&gt;0,1,"")</f>
        <v/>
      </c>
      <c r="AZ32" s="196"/>
      <c r="BA32" s="188"/>
      <c r="BB32" s="188"/>
      <c r="BC32" s="188"/>
      <c r="BD32" s="196"/>
      <c r="BE32" s="196"/>
      <c r="BF32" s="196"/>
      <c r="BG32" s="192"/>
      <c r="BH32" s="194"/>
      <c r="BI32" s="194"/>
      <c r="BJ32" s="195"/>
      <c r="BK32" s="194"/>
    </row>
    <row r="33" spans="1:63" x14ac:dyDescent="0.25">
      <c r="A33" s="172"/>
      <c r="B33" s="177"/>
      <c r="C33" s="165"/>
      <c r="D33" s="171"/>
      <c r="E33" s="189"/>
      <c r="F33" s="188"/>
      <c r="G33" s="188"/>
      <c r="H33" s="189"/>
      <c r="I33" s="189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SUM(PORTEFEUILLE_DELPHINE[[#This Row],[PCR COMPTABLE €]:[MONTANT
RESPONSABLE RELATION CLIENT €]])-PORTEFEUILLE_DELPHINE[[#This Row],[MONTANT TOTAL LETTRE DE MISION €]]</f>
        <v>0</v>
      </c>
      <c r="AI33" s="191"/>
      <c r="AJ33" s="188"/>
      <c r="AK33" s="188"/>
      <c r="AL33" s="188"/>
      <c r="AM33" s="191"/>
      <c r="AN33" s="196"/>
      <c r="AO33" s="196"/>
      <c r="AP33" s="196"/>
      <c r="AQ33" s="196"/>
      <c r="AR3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3" s="188" t="str">
        <f>IF(PORTEFEUILLE_DELPHINE[[#This Row],[BONI AAC]]&lt;&gt;0,1,"")</f>
        <v/>
      </c>
      <c r="AU33" s="188" t="str">
        <f>IF(PORTEFEUILLE_DELPHINE[[#This Row],[MALI AAC]]&lt;&gt;0,1,"")</f>
        <v/>
      </c>
      <c r="AV33" s="225">
        <f>IF(AP33&lt;&gt;"",IF((AP33*Paramètres!$H$4)-PORTEFEUILLE_DELPHINE[[#This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€]]-(DELPHINE!AP33*Paramètres!$H$4),0),0)</f>
        <v>0</v>
      </c>
      <c r="AW33" s="225">
        <f>IF(AP33&lt;&gt;"",IF(((AP33*Paramètres!$H$4)-PORTEFEUILLE_DELPHINE[[#This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3" s="190" t="str">
        <f>IF(PORTEFEUILLE_DELPHINE[[#This Row],[BONI COMPTABLE]]&lt;&gt;0,1,"")</f>
        <v/>
      </c>
      <c r="AY33" s="190" t="str">
        <f>IF(PORTEFEUILLE_DELPHINE[[#This Row],[MALI COMPTABLE]]&lt;&gt;0,1,"")</f>
        <v/>
      </c>
      <c r="AZ33" s="196"/>
      <c r="BA33" s="188"/>
      <c r="BB33" s="188"/>
      <c r="BC33" s="188"/>
      <c r="BD33" s="188"/>
      <c r="BE33" s="188"/>
      <c r="BF33" s="188"/>
      <c r="BG33" s="192"/>
      <c r="BH33" s="194"/>
      <c r="BI33" s="194"/>
      <c r="BJ33" s="195"/>
      <c r="BK33" s="194"/>
    </row>
    <row r="34" spans="1:63" x14ac:dyDescent="0.25">
      <c r="A34" s="172"/>
      <c r="B34" s="177"/>
      <c r="C34" s="165"/>
      <c r="D34" s="171"/>
      <c r="E34" s="189"/>
      <c r="F34" s="188"/>
      <c r="G34" s="189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3"/>
      <c r="T34" s="207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19"/>
      <c r="AF34" s="219"/>
      <c r="AG34" s="219"/>
      <c r="AH34" s="225">
        <f>SUM(PORTEFEUILLE_DELPHINE[[#This Row],[PCR COMPTABLE €]:[MONTANT
RESPONSABLE RELATION CLIENT €]])-PORTEFEUILLE_DELPHINE[[#This Row],[MONTANT TOTAL LETTRE DE MISION €]]</f>
        <v>0</v>
      </c>
      <c r="AI34" s="191"/>
      <c r="AJ34" s="188"/>
      <c r="AK34" s="188"/>
      <c r="AL34" s="188"/>
      <c r="AM34" s="191"/>
      <c r="AN34" s="188"/>
      <c r="AO34" s="188"/>
      <c r="AP34" s="188"/>
      <c r="AQ34" s="188"/>
      <c r="AR3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4" s="188" t="str">
        <f>IF(PORTEFEUILLE_DELPHINE[[#This Row],[BONI AAC]]&lt;&gt;0,1,"")</f>
        <v/>
      </c>
      <c r="AU34" s="188" t="str">
        <f>IF(PORTEFEUILLE_DELPHINE[[#This Row],[MALI AAC]]&lt;&gt;0,1,"")</f>
        <v/>
      </c>
      <c r="AV34" s="225">
        <f>IF(AP34&lt;&gt;"",IF((AP34*Paramètres!$H$4)-PORTEFEUILLE_DELPHINE[[#This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€]]-(DELPHINE!AP34*Paramètres!$H$4),0),0)</f>
        <v>0</v>
      </c>
      <c r="AW34" s="225">
        <f>IF(AP34&lt;&gt;"",IF(((AP34*Paramètres!$H$4)-PORTEFEUILLE_DELPHINE[[#This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4" s="190" t="str">
        <f>IF(PORTEFEUILLE_DELPHINE[[#This Row],[BONI COMPTABLE]]&lt;&gt;0,1,"")</f>
        <v/>
      </c>
      <c r="AY34" s="190" t="str">
        <f>IF(PORTEFEUILLE_DELPHINE[[#This Row],[MALI COMPTABLE]]&lt;&gt;0,1,"")</f>
        <v/>
      </c>
      <c r="AZ34" s="188"/>
      <c r="BA34" s="188"/>
      <c r="BB34" s="188"/>
      <c r="BC34" s="188"/>
      <c r="BD34" s="188"/>
      <c r="BE34" s="188"/>
      <c r="BF34" s="188"/>
      <c r="BG34" s="192"/>
      <c r="BH34" s="194"/>
      <c r="BI34" s="194"/>
      <c r="BJ34" s="195"/>
      <c r="BK34" s="194"/>
    </row>
    <row r="35" spans="1:63" x14ac:dyDescent="0.25">
      <c r="A35" s="172"/>
      <c r="B35" s="178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SUM(PORTEFEUILLE_DELPHINE[[#This Row],[PCR COMPTABLE €]:[MONTANT
RESPONSABLE RELATION CLIENT €]])-PORTEFEUILLE_DELPHINE[[#This Row],[MONTANT TOTAL LETTRE DE MISION €]]</f>
        <v>0</v>
      </c>
      <c r="AI35" s="191"/>
      <c r="AJ35" s="188"/>
      <c r="AK35" s="188"/>
      <c r="AL35" s="188"/>
      <c r="AM35" s="191"/>
      <c r="AN35" s="188"/>
      <c r="AO35" s="188"/>
      <c r="AP35" s="188"/>
      <c r="AQ35" s="188"/>
      <c r="AR3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5" s="188" t="str">
        <f>IF(PORTEFEUILLE_DELPHINE[[#This Row],[BONI AAC]]&lt;&gt;0,1,"")</f>
        <v/>
      </c>
      <c r="AU35" s="188" t="str">
        <f>IF(PORTEFEUILLE_DELPHINE[[#This Row],[MALI AAC]]&lt;&gt;0,1,"")</f>
        <v/>
      </c>
      <c r="AV35" s="225">
        <f>IF(AP35&lt;&gt;"",IF((AP35*Paramètres!$H$4)-PORTEFEUILLE_DELPHINE[[#This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€]]-(DELPHINE!AP35*Paramètres!$H$4),0),0)</f>
        <v>0</v>
      </c>
      <c r="AW35" s="225">
        <f>IF(AP35&lt;&gt;"",IF(((AP35*Paramètres!$H$4)-PORTEFEUILLE_DELPHINE[[#This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5" s="190" t="str">
        <f>IF(PORTEFEUILLE_DELPHINE[[#This Row],[BONI COMPTABLE]]&lt;&gt;0,1,"")</f>
        <v/>
      </c>
      <c r="AY35" s="190" t="str">
        <f>IF(PORTEFEUILLE_DELPHINE[[#This Row],[MALI COMPTABLE]]&lt;&gt;0,1,"")</f>
        <v/>
      </c>
      <c r="AZ35" s="188"/>
      <c r="BA35" s="188"/>
      <c r="BB35" s="188"/>
      <c r="BC35" s="188"/>
      <c r="BD35" s="196"/>
      <c r="BE35" s="196"/>
      <c r="BF35" s="196"/>
      <c r="BG35" s="192"/>
      <c r="BH35" s="194"/>
      <c r="BI35" s="194"/>
      <c r="BJ35" s="195"/>
      <c r="BK35" s="194"/>
    </row>
    <row r="36" spans="1:63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SUM(PORTEFEUILLE_DELPHINE[[#This Row],[PCR COMPTABLE €]:[MONTANT
RESPONSABLE RELATION CLIENT €]])-PORTEFEUILLE_DELPHINE[[#This Row],[MONTANT TOTAL LETTRE DE MISION €]]</f>
        <v>0</v>
      </c>
      <c r="AI36" s="191"/>
      <c r="AJ36" s="188"/>
      <c r="AK36" s="188"/>
      <c r="AL36" s="188"/>
      <c r="AM36" s="191"/>
      <c r="AN36" s="188"/>
      <c r="AO36" s="188"/>
      <c r="AP36" s="188"/>
      <c r="AQ36" s="188"/>
      <c r="AR3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6" s="188" t="str">
        <f>IF(PORTEFEUILLE_DELPHINE[[#This Row],[BONI AAC]]&lt;&gt;0,1,"")</f>
        <v/>
      </c>
      <c r="AU36" s="188" t="str">
        <f>IF(PORTEFEUILLE_DELPHINE[[#This Row],[MALI AAC]]&lt;&gt;0,1,"")</f>
        <v/>
      </c>
      <c r="AV36" s="225">
        <f>IF(AP36&lt;&gt;"",IF((AP36*Paramètres!$H$4)-PORTEFEUILLE_DELPHINE[[#This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€]]-(DELPHINE!AP36*Paramètres!$H$4),0),0)</f>
        <v>0</v>
      </c>
      <c r="AW36" s="225">
        <f>IF(AP36&lt;&gt;"",IF(((AP36*Paramètres!$H$4)-PORTEFEUILLE_DELPHINE[[#This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6" s="190" t="str">
        <f>IF(PORTEFEUILLE_DELPHINE[[#This Row],[BONI COMPTABLE]]&lt;&gt;0,1,"")</f>
        <v/>
      </c>
      <c r="AY36" s="190" t="str">
        <f>IF(PORTEFEUILLE_DELPHINE[[#This Row],[MALI COMPTABLE]]&lt;&gt;0,1,"")</f>
        <v/>
      </c>
      <c r="AZ36" s="188"/>
      <c r="BA36" s="188"/>
      <c r="BB36" s="188"/>
      <c r="BC36" s="188"/>
      <c r="BD36" s="196"/>
      <c r="BE36" s="196"/>
      <c r="BF36" s="196"/>
      <c r="BG36" s="192"/>
      <c r="BH36" s="194"/>
      <c r="BI36" s="194"/>
      <c r="BJ36" s="195"/>
      <c r="BK36" s="194"/>
    </row>
    <row r="37" spans="1:63" x14ac:dyDescent="0.25">
      <c r="A37" s="172"/>
      <c r="B37" s="179"/>
      <c r="C37" s="165"/>
      <c r="D37" s="171"/>
      <c r="E37" s="189"/>
      <c r="F37" s="188"/>
      <c r="G37" s="188"/>
      <c r="H37" s="189"/>
      <c r="I37" s="189"/>
      <c r="J37" s="19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SUM(PORTEFEUILLE_DELPHINE[[#This Row],[PCR COMPTABLE €]:[MONTANT
RESPONSABLE RELATION CLIENT €]])-PORTEFEUILLE_DELPHINE[[#This Row],[MONTANT TOTAL LETTRE DE MISION €]]</f>
        <v>0</v>
      </c>
      <c r="AI37" s="191"/>
      <c r="AJ37" s="188"/>
      <c r="AK37" s="188"/>
      <c r="AL37" s="188"/>
      <c r="AM37" s="191"/>
      <c r="AN37" s="188"/>
      <c r="AO37" s="188"/>
      <c r="AP37" s="188"/>
      <c r="AQ37" s="188"/>
      <c r="AR3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7" s="188" t="str">
        <f>IF(PORTEFEUILLE_DELPHINE[[#This Row],[BONI AAC]]&lt;&gt;0,1,"")</f>
        <v/>
      </c>
      <c r="AU37" s="188" t="str">
        <f>IF(PORTEFEUILLE_DELPHINE[[#This Row],[MALI AAC]]&lt;&gt;0,1,"")</f>
        <v/>
      </c>
      <c r="AV37" s="225">
        <f>IF(AP37&lt;&gt;"",IF((AP37*Paramètres!$H$4)-PORTEFEUILLE_DELPHINE[[#This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€]]-(DELPHINE!AP37*Paramètres!$H$4),0),0)</f>
        <v>0</v>
      </c>
      <c r="AW37" s="225">
        <f>IF(AP37&lt;&gt;"",IF(((AP37*Paramètres!$H$4)-PORTEFEUILLE_DELPHINE[[#This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7" s="190" t="str">
        <f>IF(PORTEFEUILLE_DELPHINE[[#This Row],[BONI COMPTABLE]]&lt;&gt;0,1,"")</f>
        <v/>
      </c>
      <c r="AY37" s="190" t="str">
        <f>IF(PORTEFEUILLE_DELPHINE[[#This Row],[MALI COMPTABLE]]&lt;&gt;0,1,"")</f>
        <v/>
      </c>
      <c r="AZ37" s="188"/>
      <c r="BA37" s="188"/>
      <c r="BB37" s="188"/>
      <c r="BC37" s="188"/>
      <c r="BD37" s="196"/>
      <c r="BE37" s="196"/>
      <c r="BF37" s="196"/>
      <c r="BG37" s="192"/>
      <c r="BH37" s="194"/>
      <c r="BI37" s="194"/>
      <c r="BJ37" s="195"/>
      <c r="BK37" s="194"/>
    </row>
    <row r="38" spans="1:63" x14ac:dyDescent="0.25">
      <c r="A38" s="172"/>
      <c r="B38" s="180"/>
      <c r="C38" s="165"/>
      <c r="D38" s="171"/>
      <c r="E38" s="189"/>
      <c r="F38" s="188"/>
      <c r="G38" s="189"/>
      <c r="H38" s="189"/>
      <c r="I38" s="189"/>
      <c r="J38" s="18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SUM(PORTEFEUILLE_DELPHINE[[#This Row],[PCR COMPTABLE €]:[MONTANT
RESPONSABLE RELATION CLIENT €]])-PORTEFEUILLE_DELPHINE[[#This Row],[MONTANT TOTAL LETTRE DE MISION €]]</f>
        <v>0</v>
      </c>
      <c r="AI38" s="191"/>
      <c r="AJ38" s="188"/>
      <c r="AK38" s="188"/>
      <c r="AL38" s="188"/>
      <c r="AM38" s="191"/>
      <c r="AN38" s="188"/>
      <c r="AO38" s="188"/>
      <c r="AP38" s="188"/>
      <c r="AQ38" s="188"/>
      <c r="AR3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8" s="188" t="str">
        <f>IF(PORTEFEUILLE_DELPHINE[[#This Row],[BONI AAC]]&lt;&gt;0,1,"")</f>
        <v/>
      </c>
      <c r="AU38" s="188" t="str">
        <f>IF(PORTEFEUILLE_DELPHINE[[#This Row],[MALI AAC]]&lt;&gt;0,1,"")</f>
        <v/>
      </c>
      <c r="AV38" s="225">
        <f>IF(AP38&lt;&gt;"",IF((AP38*Paramètres!$H$4)-PORTEFEUILLE_DELPHINE[[#This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€]]-(DELPHINE!AP38*Paramètres!$H$4),0),0)</f>
        <v>0</v>
      </c>
      <c r="AW38" s="225">
        <f>IF(AP38&lt;&gt;"",IF(((AP38*Paramètres!$H$4)-PORTEFEUILLE_DELPHINE[[#This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8" s="190" t="str">
        <f>IF(PORTEFEUILLE_DELPHINE[[#This Row],[BONI COMPTABLE]]&lt;&gt;0,1,"")</f>
        <v/>
      </c>
      <c r="AY38" s="190" t="str">
        <f>IF(PORTEFEUILLE_DELPHINE[[#This Row],[MALI COMPTABLE]]&lt;&gt;0,1,"")</f>
        <v/>
      </c>
      <c r="AZ38" s="188"/>
      <c r="BA38" s="188"/>
      <c r="BB38" s="188"/>
      <c r="BC38" s="188"/>
      <c r="BD38" s="188"/>
      <c r="BE38" s="188"/>
      <c r="BF38" s="188"/>
      <c r="BG38" s="192"/>
      <c r="BH38" s="194"/>
      <c r="BI38" s="194"/>
      <c r="BJ38" s="195"/>
      <c r="BK38" s="194"/>
    </row>
    <row r="39" spans="1:63" x14ac:dyDescent="0.25">
      <c r="A39" s="172"/>
      <c r="B39" s="178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SUM(PORTEFEUILLE_DELPHINE[[#This Row],[PCR COMPTABLE €]:[MONTANT
RESPONSABLE RELATION CLIENT €]])-PORTEFEUILLE_DELPHINE[[#This Row],[MONTANT TOTAL LETTRE DE MISION €]]</f>
        <v>0</v>
      </c>
      <c r="AI39" s="191"/>
      <c r="AJ39" s="188"/>
      <c r="AK39" s="188"/>
      <c r="AL39" s="188"/>
      <c r="AM39" s="191"/>
      <c r="AN39" s="188"/>
      <c r="AO39" s="188"/>
      <c r="AP39" s="188"/>
      <c r="AQ39" s="188"/>
      <c r="AR3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3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39" s="188" t="str">
        <f>IF(PORTEFEUILLE_DELPHINE[[#This Row],[BONI AAC]]&lt;&gt;0,1,"")</f>
        <v/>
      </c>
      <c r="AU39" s="188" t="str">
        <f>IF(PORTEFEUILLE_DELPHINE[[#This Row],[MALI AAC]]&lt;&gt;0,1,"")</f>
        <v/>
      </c>
      <c r="AV39" s="225">
        <f>IF(AP39&lt;&gt;"",IF((AP39*Paramètres!$H$4)-PORTEFEUILLE_DELPHINE[[#This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€]]-(DELPHINE!AP39*Paramètres!$H$4),0),0)</f>
        <v>0</v>
      </c>
      <c r="AW39" s="225">
        <f>IF(AP39&lt;&gt;"",IF(((AP39*Paramètres!$H$4)-PORTEFEUILLE_DELPHINE[[#This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39" s="190" t="str">
        <f>IF(PORTEFEUILLE_DELPHINE[[#This Row],[BONI COMPTABLE]]&lt;&gt;0,1,"")</f>
        <v/>
      </c>
      <c r="AY39" s="190" t="str">
        <f>IF(PORTEFEUILLE_DELPHINE[[#This Row],[MALI COMPTABLE]]&lt;&gt;0,1,"")</f>
        <v/>
      </c>
      <c r="AZ39" s="188"/>
      <c r="BA39" s="188"/>
      <c r="BB39" s="188"/>
      <c r="BC39" s="188"/>
      <c r="BD39" s="188"/>
      <c r="BE39" s="188"/>
      <c r="BF39" s="188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8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4"/>
      <c r="T40" s="208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19"/>
      <c r="AH40" s="225">
        <f>SUM(PORTEFEUILLE_DELPHINE[[#This Row],[PCR COMPTABLE €]:[MONTANT
RESPONSABLE RELATION CLIENT €]])-PORTEFEUILLE_DELPHINE[[#This Row],[MONTANT TOTAL LETTRE DE MISION €]]</f>
        <v>0</v>
      </c>
      <c r="AI40" s="191"/>
      <c r="AJ40" s="188"/>
      <c r="AK40" s="188"/>
      <c r="AL40" s="188"/>
      <c r="AM40" s="191"/>
      <c r="AN40" s="196"/>
      <c r="AO40" s="196"/>
      <c r="AP40" s="196"/>
      <c r="AQ40" s="196"/>
      <c r="AR4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0" s="188" t="str">
        <f>IF(PORTEFEUILLE_DELPHINE[[#This Row],[BONI AAC]]&lt;&gt;0,1,"")</f>
        <v/>
      </c>
      <c r="AU40" s="188" t="str">
        <f>IF(PORTEFEUILLE_DELPHINE[[#This Row],[MALI AAC]]&lt;&gt;0,1,"")</f>
        <v/>
      </c>
      <c r="AV40" s="225">
        <f>IF(AP40&lt;&gt;"",IF((AP40*Paramètres!$H$4)-PORTEFEUILLE_DELPHINE[[#This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€]]-(DELPHINE!AP40*Paramètres!$H$4),0),0)</f>
        <v>0</v>
      </c>
      <c r="AW40" s="225">
        <f>IF(AP40&lt;&gt;"",IF(((AP40*Paramètres!$H$4)-PORTEFEUILLE_DELPHINE[[#This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0" s="190" t="str">
        <f>IF(PORTEFEUILLE_DELPHINE[[#This Row],[BONI COMPTABLE]]&lt;&gt;0,1,"")</f>
        <v/>
      </c>
      <c r="AY40" s="190" t="str">
        <f>IF(PORTEFEUILLE_DELPHINE[[#This Row],[MALI COMPTABLE]]&lt;&gt;0,1,"")</f>
        <v/>
      </c>
      <c r="AZ40" s="196"/>
      <c r="BA40" s="188"/>
      <c r="BB40" s="188"/>
      <c r="BC40" s="188"/>
      <c r="BD40" s="188"/>
      <c r="BE40" s="188"/>
      <c r="BF40" s="188"/>
      <c r="BG40" s="192"/>
      <c r="BH40" s="194"/>
      <c r="BI40" s="194"/>
      <c r="BJ40" s="195"/>
      <c r="BK40" s="194"/>
    </row>
    <row r="41" spans="1:63" x14ac:dyDescent="0.25">
      <c r="A41" s="172"/>
      <c r="B41" s="178"/>
      <c r="C41" s="165"/>
      <c r="D41" s="171"/>
      <c r="E41" s="189"/>
      <c r="F41" s="188"/>
      <c r="G41" s="188"/>
      <c r="H41" s="189"/>
      <c r="I41" s="188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SUM(PORTEFEUILLE_DELPHINE[[#This Row],[PCR COMPTABLE €]:[MONTANT
RESPONSABLE RELATION CLIENT €]])-PORTEFEUILLE_DELPHINE[[#This Row],[MONTANT TOTAL LETTRE DE MISION €]]</f>
        <v>0</v>
      </c>
      <c r="AI41" s="191"/>
      <c r="AJ41" s="188"/>
      <c r="AK41" s="188"/>
      <c r="AL41" s="188"/>
      <c r="AM41" s="191"/>
      <c r="AN41" s="196"/>
      <c r="AO41" s="196"/>
      <c r="AP41" s="196"/>
      <c r="AQ41" s="196"/>
      <c r="AR4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1" s="188" t="str">
        <f>IF(PORTEFEUILLE_DELPHINE[[#This Row],[BONI AAC]]&lt;&gt;0,1,"")</f>
        <v/>
      </c>
      <c r="AU41" s="188" t="str">
        <f>IF(PORTEFEUILLE_DELPHINE[[#This Row],[MALI AAC]]&lt;&gt;0,1,"")</f>
        <v/>
      </c>
      <c r="AV41" s="225">
        <f>IF(AP41&lt;&gt;"",IF((AP41*Paramètres!$H$4)-PORTEFEUILLE_DELPHINE[[#This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€]]-(DELPHINE!AP41*Paramètres!$H$4),0),0)</f>
        <v>0</v>
      </c>
      <c r="AW41" s="225">
        <f>IF(AP41&lt;&gt;"",IF(((AP41*Paramètres!$H$4)-PORTEFEUILLE_DELPHINE[[#This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1" s="190" t="str">
        <f>IF(PORTEFEUILLE_DELPHINE[[#This Row],[BONI COMPTABLE]]&lt;&gt;0,1,"")</f>
        <v/>
      </c>
      <c r="AY41" s="190" t="str">
        <f>IF(PORTEFEUILLE_DELPHINE[[#This Row],[MALI COMPTABLE]]&lt;&gt;0,1,"")</f>
        <v/>
      </c>
      <c r="AZ41" s="196"/>
      <c r="BA41" s="188"/>
      <c r="BB41" s="188"/>
      <c r="BC41" s="188"/>
      <c r="BD41" s="196"/>
      <c r="BE41" s="196"/>
      <c r="BF41" s="196"/>
      <c r="BG41" s="192"/>
      <c r="BH41" s="194"/>
      <c r="BI41" s="194"/>
      <c r="BJ41" s="195"/>
      <c r="BK41" s="194"/>
    </row>
    <row r="42" spans="1:63" x14ac:dyDescent="0.25">
      <c r="A42" s="172"/>
      <c r="B42" s="178"/>
      <c r="C42" s="165"/>
      <c r="D42" s="171"/>
      <c r="E42" s="189"/>
      <c r="F42" s="188"/>
      <c r="G42" s="189"/>
      <c r="H42" s="189"/>
      <c r="I42" s="189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3"/>
      <c r="T42" s="207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25">
        <f>SUM(PORTEFEUILLE_DELPHINE[[#This Row],[PCR COMPTABLE €]:[MONTANT
RESPONSABLE RELATION CLIENT €]])-PORTEFEUILLE_DELPHINE[[#This Row],[MONTANT TOTAL LETTRE DE MISION €]]</f>
        <v>0</v>
      </c>
      <c r="AI42" s="191"/>
      <c r="AJ42" s="188"/>
      <c r="AK42" s="188"/>
      <c r="AL42" s="188"/>
      <c r="AM42" s="191"/>
      <c r="AN42" s="188"/>
      <c r="AO42" s="188"/>
      <c r="AP42" s="188"/>
      <c r="AQ42" s="188"/>
      <c r="AR4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2" s="188" t="str">
        <f>IF(PORTEFEUILLE_DELPHINE[[#This Row],[BONI AAC]]&lt;&gt;0,1,"")</f>
        <v/>
      </c>
      <c r="AU42" s="188" t="str">
        <f>IF(PORTEFEUILLE_DELPHINE[[#This Row],[MALI AAC]]&lt;&gt;0,1,"")</f>
        <v/>
      </c>
      <c r="AV42" s="225">
        <f>IF(AP42&lt;&gt;"",IF((AP42*Paramètres!$H$4)-PORTEFEUILLE_DELPHINE[[#This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€]]-(DELPHINE!AP42*Paramètres!$H$4),0),0)</f>
        <v>0</v>
      </c>
      <c r="AW42" s="225">
        <f>IF(AP42&lt;&gt;"",IF(((AP42*Paramètres!$H$4)-PORTEFEUILLE_DELPHINE[[#This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2" s="190" t="str">
        <f>IF(PORTEFEUILLE_DELPHINE[[#This Row],[BONI COMPTABLE]]&lt;&gt;0,1,"")</f>
        <v/>
      </c>
      <c r="AY42" s="190" t="str">
        <f>IF(PORTEFEUILLE_DELPHINE[[#This Row],[MALI COMPTABLE]]&lt;&gt;0,1,"")</f>
        <v/>
      </c>
      <c r="AZ42" s="188"/>
      <c r="BA42" s="188"/>
      <c r="BB42" s="188"/>
      <c r="BC42" s="188"/>
      <c r="BD42" s="196"/>
      <c r="BE42" s="196"/>
      <c r="BF42" s="196"/>
      <c r="BG42" s="192"/>
      <c r="BH42" s="194"/>
      <c r="BI42" s="194"/>
      <c r="BJ42" s="195"/>
      <c r="BK42" s="194"/>
    </row>
    <row r="43" spans="1:63" customFormat="1" x14ac:dyDescent="0.25">
      <c r="A43" s="172"/>
      <c r="B43" s="181"/>
      <c r="C43" s="165"/>
      <c r="D43" s="165"/>
      <c r="E43" s="189"/>
      <c r="F43" s="188"/>
      <c r="G43" s="189"/>
      <c r="H43" s="189"/>
      <c r="I43" s="189"/>
      <c r="J43" s="19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SUM(PORTEFEUILLE_DELPHINE[[#This Row],[PCR COMPTABLE €]:[MONTANT
RESPONSABLE RELATION CLIENT €]])-PORTEFEUILLE_DELPHINE[[#This Row],[MONTANT TOTAL LETTRE DE MISION €]]</f>
        <v>0</v>
      </c>
      <c r="AI43" s="191"/>
      <c r="AJ43" s="188"/>
      <c r="AK43" s="188"/>
      <c r="AL43" s="188"/>
      <c r="AM43" s="191"/>
      <c r="AN43" s="188"/>
      <c r="AO43" s="188"/>
      <c r="AP43" s="188"/>
      <c r="AQ43" s="188"/>
      <c r="AR4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3" s="188" t="str">
        <f>IF(PORTEFEUILLE_DELPHINE[[#This Row],[BONI AAC]]&lt;&gt;0,1,"")</f>
        <v/>
      </c>
      <c r="AU43" s="188" t="str">
        <f>IF(PORTEFEUILLE_DELPHINE[[#This Row],[MALI AAC]]&lt;&gt;0,1,"")</f>
        <v/>
      </c>
      <c r="AV43" s="225">
        <f>IF(AP43&lt;&gt;"",IF((AP43*Paramètres!$H$4)-PORTEFEUILLE_DELPHINE[[#This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€]]-(DELPHINE!AP43*Paramètres!$H$4),0),0)</f>
        <v>0</v>
      </c>
      <c r="AW43" s="225">
        <f>IF(AP43&lt;&gt;"",IF(((AP43*Paramètres!$H$4)-PORTEFEUILLE_DELPHINE[[#This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3" s="190" t="str">
        <f>IF(PORTEFEUILLE_DELPHINE[[#This Row],[BONI COMPTABLE]]&lt;&gt;0,1,"")</f>
        <v/>
      </c>
      <c r="AY43" s="190" t="str">
        <f>IF(PORTEFEUILLE_DELPHINE[[#This Row],[MALI COMPTABLE]]&lt;&gt;0,1,"")</f>
        <v/>
      </c>
      <c r="AZ43" s="188"/>
      <c r="BA43" s="188"/>
      <c r="BB43" s="188"/>
      <c r="BC43" s="188"/>
      <c r="BD43" s="196"/>
      <c r="BE43" s="196"/>
      <c r="BF43" s="196"/>
      <c r="BG43" s="192"/>
      <c r="BH43" s="194"/>
      <c r="BI43" s="194"/>
      <c r="BJ43" s="195"/>
      <c r="BK43" s="194"/>
    </row>
    <row r="44" spans="1:63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8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SUM(PORTEFEUILLE_DELPHINE[[#This Row],[PCR COMPTABLE €]:[MONTANT
RESPONSABLE RELATION CLIENT €]])-PORTEFEUILLE_DELPHINE[[#This Row],[MONTANT TOTAL LETTRE DE MISION €]]</f>
        <v>0</v>
      </c>
      <c r="AI44" s="191"/>
      <c r="AJ44" s="188"/>
      <c r="AK44" s="188"/>
      <c r="AL44" s="188"/>
      <c r="AM44" s="191"/>
      <c r="AN44" s="188"/>
      <c r="AO44" s="188"/>
      <c r="AP44" s="188"/>
      <c r="AQ44" s="188"/>
      <c r="AR4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4" s="188" t="str">
        <f>IF(PORTEFEUILLE_DELPHINE[[#This Row],[BONI AAC]]&lt;&gt;0,1,"")</f>
        <v/>
      </c>
      <c r="AU44" s="188" t="str">
        <f>IF(PORTEFEUILLE_DELPHINE[[#This Row],[MALI AAC]]&lt;&gt;0,1,"")</f>
        <v/>
      </c>
      <c r="AV44" s="225">
        <f>IF(AP44&lt;&gt;"",IF((AP44*Paramètres!$H$4)-PORTEFEUILLE_DELPHINE[[#This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€]]-(DELPHINE!AP44*Paramètres!$H$4),0),0)</f>
        <v>0</v>
      </c>
      <c r="AW44" s="225">
        <f>IF(AP44&lt;&gt;"",IF(((AP44*Paramètres!$H$4)-PORTEFEUILLE_DELPHINE[[#This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4" s="190" t="str">
        <f>IF(PORTEFEUILLE_DELPHINE[[#This Row],[BONI COMPTABLE]]&lt;&gt;0,1,"")</f>
        <v/>
      </c>
      <c r="AY44" s="190" t="str">
        <f>IF(PORTEFEUILLE_DELPHINE[[#This Row],[MALI COMPTABLE]]&lt;&gt;0,1,"")</f>
        <v/>
      </c>
      <c r="AZ44" s="188"/>
      <c r="BA44" s="188"/>
      <c r="BB44" s="188"/>
      <c r="BC44" s="188"/>
      <c r="BD44" s="188"/>
      <c r="BE44" s="188"/>
      <c r="BF44" s="188"/>
      <c r="BG44" s="192"/>
      <c r="BH44" s="194"/>
      <c r="BI44" s="194"/>
      <c r="BJ44" s="195"/>
      <c r="BK44" s="194"/>
    </row>
    <row r="45" spans="1:63" x14ac:dyDescent="0.25">
      <c r="A45" s="172"/>
      <c r="B45" s="181"/>
      <c r="C45" s="165"/>
      <c r="D45" s="171"/>
      <c r="E45" s="189"/>
      <c r="F45" s="188"/>
      <c r="G45" s="188"/>
      <c r="H45" s="189"/>
      <c r="I45" s="188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4"/>
      <c r="T45" s="208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  <c r="AG45" s="219"/>
      <c r="AH45" s="225">
        <f>SUM(PORTEFEUILLE_DELPHINE[[#This Row],[PCR COMPTABLE €]:[MONTANT
RESPONSABLE RELATION CLIENT €]])-PORTEFEUILLE_DELPHINE[[#This Row],[MONTANT TOTAL LETTRE DE MISION €]]</f>
        <v>0</v>
      </c>
      <c r="AI45" s="191"/>
      <c r="AJ45" s="188"/>
      <c r="AK45" s="188"/>
      <c r="AL45" s="188"/>
      <c r="AM45" s="191"/>
      <c r="AN45" s="196"/>
      <c r="AO45" s="196"/>
      <c r="AP45" s="196"/>
      <c r="AQ45" s="196"/>
      <c r="AR4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5" s="188" t="str">
        <f>IF(PORTEFEUILLE_DELPHINE[[#This Row],[BONI AAC]]&lt;&gt;0,1,"")</f>
        <v/>
      </c>
      <c r="AU45" s="188" t="str">
        <f>IF(PORTEFEUILLE_DELPHINE[[#This Row],[MALI AAC]]&lt;&gt;0,1,"")</f>
        <v/>
      </c>
      <c r="AV45" s="225">
        <f>IF(AP45&lt;&gt;"",IF((AP45*Paramètres!$H$4)-PORTEFEUILLE_DELPHINE[[#This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€]]-(DELPHINE!AP45*Paramètres!$H$4),0),0)</f>
        <v>0</v>
      </c>
      <c r="AW45" s="225">
        <f>IF(AP45&lt;&gt;"",IF(((AP45*Paramètres!$H$4)-PORTEFEUILLE_DELPHINE[[#This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5" s="190" t="str">
        <f>IF(PORTEFEUILLE_DELPHINE[[#This Row],[BONI COMPTABLE]]&lt;&gt;0,1,"")</f>
        <v/>
      </c>
      <c r="AY45" s="190" t="str">
        <f>IF(PORTEFEUILLE_DELPHINE[[#This Row],[MALI COMPTABLE]]&lt;&gt;0,1,"")</f>
        <v/>
      </c>
      <c r="AZ45" s="196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1"/>
      <c r="C46" s="165"/>
      <c r="D46" s="171"/>
      <c r="E46" s="189"/>
      <c r="F46" s="188"/>
      <c r="G46" s="189"/>
      <c r="H46" s="189"/>
      <c r="I46" s="189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3"/>
      <c r="T46" s="207"/>
      <c r="U46" s="219"/>
      <c r="V46" s="219"/>
      <c r="W46" s="219"/>
      <c r="X46" s="219"/>
      <c r="Y46" s="219"/>
      <c r="Z46" s="219"/>
      <c r="AA46" s="219"/>
      <c r="AB46" s="219"/>
      <c r="AC46" s="219"/>
      <c r="AD46" s="219"/>
      <c r="AE46" s="219"/>
      <c r="AF46" s="219"/>
      <c r="AG46" s="219"/>
      <c r="AH46" s="225">
        <f>SUM(PORTEFEUILLE_DELPHINE[[#This Row],[PCR COMPTABLE €]:[MONTANT
RESPONSABLE RELATION CLIENT €]])-PORTEFEUILLE_DELPHINE[[#This Row],[MONTANT TOTAL LETTRE DE MISION €]]</f>
        <v>0</v>
      </c>
      <c r="AI46" s="191"/>
      <c r="AJ46" s="188"/>
      <c r="AK46" s="188"/>
      <c r="AL46" s="188"/>
      <c r="AM46" s="191"/>
      <c r="AN46" s="188"/>
      <c r="AO46" s="188"/>
      <c r="AP46" s="188"/>
      <c r="AQ46" s="188"/>
      <c r="AR4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6" s="188" t="str">
        <f>IF(PORTEFEUILLE_DELPHINE[[#This Row],[BONI AAC]]&lt;&gt;0,1,"")</f>
        <v/>
      </c>
      <c r="AU46" s="188" t="str">
        <f>IF(PORTEFEUILLE_DELPHINE[[#This Row],[MALI AAC]]&lt;&gt;0,1,"")</f>
        <v/>
      </c>
      <c r="AV46" s="225">
        <f>IF(AP46&lt;&gt;"",IF((AP46*Paramètres!$H$4)-PORTEFEUILLE_DELPHINE[[#This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€]]-(DELPHINE!AP46*Paramètres!$H$4),0),0)</f>
        <v>0</v>
      </c>
      <c r="AW46" s="225">
        <f>IF(AP46&lt;&gt;"",IF(((AP46*Paramètres!$H$4)-PORTEFEUILLE_DELPHINE[[#This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6" s="190" t="str">
        <f>IF(PORTEFEUILLE_DELPHINE[[#This Row],[BONI COMPTABLE]]&lt;&gt;0,1,"")</f>
        <v/>
      </c>
      <c r="AY46" s="190" t="str">
        <f>IF(PORTEFEUILLE_DELPHINE[[#This Row],[MALI COMPTABLE]]&lt;&gt;0,1,"")</f>
        <v/>
      </c>
      <c r="AZ46" s="188"/>
      <c r="BA46" s="188"/>
      <c r="BB46" s="188"/>
      <c r="BC46" s="188"/>
      <c r="BD46" s="188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80"/>
      <c r="C47" s="165"/>
      <c r="D47" s="171"/>
      <c r="E47" s="189"/>
      <c r="F47" s="188"/>
      <c r="G47" s="188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4"/>
      <c r="T47" s="208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  <c r="AG47" s="219"/>
      <c r="AH47" s="225">
        <f>SUM(PORTEFEUILLE_DELPHINE[[#This Row],[PCR COMPTABLE €]:[MONTANT
RESPONSABLE RELATION CLIENT €]])-PORTEFEUILLE_DELPHINE[[#This Row],[MONTANT TOTAL LETTRE DE MISION €]]</f>
        <v>0</v>
      </c>
      <c r="AI47" s="191"/>
      <c r="AJ47" s="188"/>
      <c r="AK47" s="188"/>
      <c r="AL47" s="188"/>
      <c r="AM47" s="191"/>
      <c r="AN47" s="196"/>
      <c r="AO47" s="196"/>
      <c r="AP47" s="196"/>
      <c r="AQ47" s="196"/>
      <c r="AR4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7" s="188" t="str">
        <f>IF(PORTEFEUILLE_DELPHINE[[#This Row],[BONI AAC]]&lt;&gt;0,1,"")</f>
        <v/>
      </c>
      <c r="AU47" s="188" t="str">
        <f>IF(PORTEFEUILLE_DELPHINE[[#This Row],[MALI AAC]]&lt;&gt;0,1,"")</f>
        <v/>
      </c>
      <c r="AV47" s="225">
        <f>IF(AP47&lt;&gt;"",IF((AP47*Paramètres!$H$4)-PORTEFEUILLE_DELPHINE[[#This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€]]-(DELPHINE!AP47*Paramètres!$H$4),0),0)</f>
        <v>0</v>
      </c>
      <c r="AW47" s="225">
        <f>IF(AP47&lt;&gt;"",IF(((AP47*Paramètres!$H$4)-PORTEFEUILLE_DELPHINE[[#This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7" s="190" t="str">
        <f>IF(PORTEFEUILLE_DELPHINE[[#This Row],[BONI COMPTABLE]]&lt;&gt;0,1,"")</f>
        <v/>
      </c>
      <c r="AY47" s="190" t="str">
        <f>IF(PORTEFEUILLE_DELPHINE[[#This Row],[MALI COMPTABLE]]&lt;&gt;0,1,"")</f>
        <v/>
      </c>
      <c r="AZ47" s="196"/>
      <c r="BA47" s="188"/>
      <c r="BB47" s="188"/>
      <c r="BC47" s="188"/>
      <c r="BD47" s="188"/>
      <c r="BE47" s="188"/>
      <c r="BF47" s="188"/>
      <c r="BG47" s="192"/>
      <c r="BH47" s="194"/>
      <c r="BI47" s="194"/>
      <c r="BJ47" s="195"/>
      <c r="BK47" s="194"/>
    </row>
    <row r="48" spans="1:63" x14ac:dyDescent="0.25">
      <c r="A48" s="172"/>
      <c r="B48" s="180"/>
      <c r="C48" s="165"/>
      <c r="D48" s="171"/>
      <c r="E48" s="189"/>
      <c r="F48" s="188"/>
      <c r="G48" s="189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3"/>
      <c r="T48" s="207"/>
      <c r="U48" s="219"/>
      <c r="V48" s="219"/>
      <c r="W48" s="219"/>
      <c r="X48" s="219"/>
      <c r="Y48" s="219"/>
      <c r="Z48" s="219"/>
      <c r="AA48" s="219"/>
      <c r="AB48" s="219"/>
      <c r="AC48" s="219"/>
      <c r="AD48" s="219"/>
      <c r="AE48" s="219"/>
      <c r="AF48" s="219"/>
      <c r="AG48" s="219"/>
      <c r="AH48" s="225">
        <f>SUM(PORTEFEUILLE_DELPHINE[[#This Row],[PCR COMPTABLE €]:[MONTANT
RESPONSABLE RELATION CLIENT €]])-PORTEFEUILLE_DELPHINE[[#This Row],[MONTANT TOTAL LETTRE DE MISION €]]</f>
        <v>0</v>
      </c>
      <c r="AI48" s="191"/>
      <c r="AJ48" s="188"/>
      <c r="AK48" s="188"/>
      <c r="AL48" s="188"/>
      <c r="AM48" s="191"/>
      <c r="AN48" s="188"/>
      <c r="AO48" s="188"/>
      <c r="AP48" s="188"/>
      <c r="AQ48" s="188"/>
      <c r="AR4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8" s="188" t="str">
        <f>IF(PORTEFEUILLE_DELPHINE[[#This Row],[BONI AAC]]&lt;&gt;0,1,"")</f>
        <v/>
      </c>
      <c r="AU48" s="188" t="str">
        <f>IF(PORTEFEUILLE_DELPHINE[[#This Row],[MALI AAC]]&lt;&gt;0,1,"")</f>
        <v/>
      </c>
      <c r="AV48" s="225">
        <f>IF(AP48&lt;&gt;"",IF((AP48*Paramètres!$H$4)-PORTEFEUILLE_DELPHINE[[#This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€]]-(DELPHINE!AP48*Paramètres!$H$4),0),0)</f>
        <v>0</v>
      </c>
      <c r="AW48" s="225">
        <f>IF(AP48&lt;&gt;"",IF(((AP48*Paramètres!$H$4)-PORTEFEUILLE_DELPHINE[[#This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8" s="190" t="str">
        <f>IF(PORTEFEUILLE_DELPHINE[[#This Row],[BONI COMPTABLE]]&lt;&gt;0,1,"")</f>
        <v/>
      </c>
      <c r="AY48" s="190" t="str">
        <f>IF(PORTEFEUILLE_DELPHINE[[#This Row],[MALI COMPTABLE]]&lt;&gt;0,1,"")</f>
        <v/>
      </c>
      <c r="AZ48" s="188"/>
      <c r="BA48" s="188"/>
      <c r="BB48" s="188"/>
      <c r="BC48" s="188"/>
      <c r="BD48" s="196"/>
      <c r="BE48" s="188"/>
      <c r="BF48" s="188"/>
      <c r="BG48" s="192"/>
      <c r="BH48" s="194"/>
      <c r="BI48" s="194"/>
      <c r="BJ48" s="195"/>
      <c r="BK48" s="194"/>
    </row>
    <row r="49" spans="1:63" x14ac:dyDescent="0.25">
      <c r="A49" s="172"/>
      <c r="B49" s="170"/>
      <c r="C49" s="165"/>
      <c r="D49" s="171"/>
      <c r="E49" s="189"/>
      <c r="F49" s="188"/>
      <c r="G49" s="188"/>
      <c r="H49" s="189"/>
      <c r="I49" s="188"/>
      <c r="J49" s="188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4"/>
      <c r="T49" s="208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  <c r="AG49" s="219"/>
      <c r="AH49" s="225">
        <f>SUM(PORTEFEUILLE_DELPHINE[[#This Row],[PCR COMPTABLE €]:[MONTANT
RESPONSABLE RELATION CLIENT €]])-PORTEFEUILLE_DELPHINE[[#This Row],[MONTANT TOTAL LETTRE DE MISION €]]</f>
        <v>0</v>
      </c>
      <c r="AI49" s="191"/>
      <c r="AJ49" s="188"/>
      <c r="AK49" s="188"/>
      <c r="AL49" s="188"/>
      <c r="AM49" s="191"/>
      <c r="AN49" s="196"/>
      <c r="AO49" s="196"/>
      <c r="AP49" s="196"/>
      <c r="AQ49" s="196"/>
      <c r="AR4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4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49" s="188" t="str">
        <f>IF(PORTEFEUILLE_DELPHINE[[#This Row],[BONI AAC]]&lt;&gt;0,1,"")</f>
        <v/>
      </c>
      <c r="AU49" s="188" t="str">
        <f>IF(PORTEFEUILLE_DELPHINE[[#This Row],[MALI AAC]]&lt;&gt;0,1,"")</f>
        <v/>
      </c>
      <c r="AV49" s="225">
        <f>IF(AP49&lt;&gt;"",IF((AP49*Paramètres!$H$4)-PORTEFEUILLE_DELPHINE[[#This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€]]-(DELPHINE!AP49*Paramètres!$H$4),0),0)</f>
        <v>0</v>
      </c>
      <c r="AW49" s="225">
        <f>IF(AP49&lt;&gt;"",IF(((AP49*Paramètres!$H$4)-PORTEFEUILLE_DELPHINE[[#This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49" s="190" t="str">
        <f>IF(PORTEFEUILLE_DELPHINE[[#This Row],[BONI COMPTABLE]]&lt;&gt;0,1,"")</f>
        <v/>
      </c>
      <c r="AY49" s="190" t="str">
        <f>IF(PORTEFEUILLE_DELPHINE[[#This Row],[MALI COMPTABLE]]&lt;&gt;0,1,"")</f>
        <v/>
      </c>
      <c r="AZ49" s="196"/>
      <c r="BA49" s="188"/>
      <c r="BB49" s="188"/>
      <c r="BC49" s="188"/>
      <c r="BD49" s="196"/>
      <c r="BE49" s="196"/>
      <c r="BF49" s="196"/>
      <c r="BG49" s="192"/>
      <c r="BH49" s="194"/>
      <c r="BI49" s="194"/>
      <c r="BJ49" s="195"/>
      <c r="BK49" s="194"/>
    </row>
    <row r="50" spans="1:63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9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SUM(PORTEFEUILLE_DELPHINE[[#This Row],[PCR COMPTABLE €]:[MONTANT
RESPONSABLE RELATION CLIENT €]])-PORTEFEUILLE_DELPHINE[[#This Row],[MONTANT TOTAL LETTRE DE MISION €]]</f>
        <v>0</v>
      </c>
      <c r="AI50" s="191"/>
      <c r="AJ50" s="188"/>
      <c r="AK50" s="188"/>
      <c r="AL50" s="188"/>
      <c r="AM50" s="191"/>
      <c r="AN50" s="196"/>
      <c r="AO50" s="196"/>
      <c r="AP50" s="196"/>
      <c r="AQ50" s="196"/>
      <c r="AR5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0" s="188" t="str">
        <f>IF(PORTEFEUILLE_DELPHINE[[#This Row],[BONI AAC]]&lt;&gt;0,1,"")</f>
        <v/>
      </c>
      <c r="AU50" s="188" t="str">
        <f>IF(PORTEFEUILLE_DELPHINE[[#This Row],[MALI AAC]]&lt;&gt;0,1,"")</f>
        <v/>
      </c>
      <c r="AV50" s="225">
        <f>IF(AP50&lt;&gt;"",IF((AP50*Paramètres!$H$4)-PORTEFEUILLE_DELPHINE[[#This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€]]-(DELPHINE!AP50*Paramètres!$H$4),0),0)</f>
        <v>0</v>
      </c>
      <c r="AW50" s="225">
        <f>IF(AP50&lt;&gt;"",IF(((AP50*Paramètres!$H$4)-PORTEFEUILLE_DELPHINE[[#This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0" s="190" t="str">
        <f>IF(PORTEFEUILLE_DELPHINE[[#This Row],[BONI COMPTABLE]]&lt;&gt;0,1,"")</f>
        <v/>
      </c>
      <c r="AY50" s="190" t="str">
        <f>IF(PORTEFEUILLE_DELPHINE[[#This Row],[MALI COMPTABLE]]&lt;&gt;0,1,"")</f>
        <v/>
      </c>
      <c r="AZ50" s="196"/>
      <c r="BA50" s="188"/>
      <c r="BB50" s="188"/>
      <c r="BC50" s="188"/>
      <c r="BD50" s="196"/>
      <c r="BE50" s="196"/>
      <c r="BF50" s="196"/>
      <c r="BG50" s="192"/>
      <c r="BH50" s="194"/>
      <c r="BI50" s="194"/>
      <c r="BJ50" s="195"/>
      <c r="BK50" s="194"/>
    </row>
    <row r="51" spans="1:63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SUM(PORTEFEUILLE_DELPHINE[[#This Row],[PCR COMPTABLE €]:[MONTANT
RESPONSABLE RELATION CLIENT €]])-PORTEFEUILLE_DELPHINE[[#This Row],[MONTANT TOTAL LETTRE DE MISION €]]</f>
        <v>0</v>
      </c>
      <c r="AI51" s="191"/>
      <c r="AJ51" s="188"/>
      <c r="AK51" s="188"/>
      <c r="AL51" s="188"/>
      <c r="AM51" s="191"/>
      <c r="AN51" s="196"/>
      <c r="AO51" s="196"/>
      <c r="AP51" s="196"/>
      <c r="AQ51" s="196"/>
      <c r="AR5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1" s="188" t="str">
        <f>IF(PORTEFEUILLE_DELPHINE[[#This Row],[BONI AAC]]&lt;&gt;0,1,"")</f>
        <v/>
      </c>
      <c r="AU51" s="188" t="str">
        <f>IF(PORTEFEUILLE_DELPHINE[[#This Row],[MALI AAC]]&lt;&gt;0,1,"")</f>
        <v/>
      </c>
      <c r="AV51" s="225">
        <f>IF(AP51&lt;&gt;"",IF((AP51*Paramètres!$H$4)-PORTEFEUILLE_DELPHINE[[#This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€]]-(DELPHINE!AP51*Paramètres!$H$4),0),0)</f>
        <v>0</v>
      </c>
      <c r="AW51" s="225">
        <f>IF(AP51&lt;&gt;"",IF(((AP51*Paramètres!$H$4)-PORTEFEUILLE_DELPHINE[[#This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1" s="190" t="str">
        <f>IF(PORTEFEUILLE_DELPHINE[[#This Row],[BONI COMPTABLE]]&lt;&gt;0,1,"")</f>
        <v/>
      </c>
      <c r="AY51" s="190" t="str">
        <f>IF(PORTEFEUILLE_DELPHINE[[#This Row],[MALI COMPTABLE]]&lt;&gt;0,1,"")</f>
        <v/>
      </c>
      <c r="AZ51" s="196"/>
      <c r="BA51" s="188"/>
      <c r="BB51" s="188"/>
      <c r="BC51" s="188"/>
      <c r="BD51" s="196"/>
      <c r="BE51" s="196"/>
      <c r="BF51" s="196"/>
      <c r="BG51" s="192"/>
      <c r="BH51" s="194"/>
      <c r="BI51" s="194"/>
      <c r="BJ51" s="195"/>
      <c r="BK51" s="194"/>
    </row>
    <row r="52" spans="1:63" x14ac:dyDescent="0.25">
      <c r="A52" s="172"/>
      <c r="B52" s="182"/>
      <c r="C52" s="183"/>
      <c r="D52" s="184"/>
      <c r="E52" s="200"/>
      <c r="F52" s="201"/>
      <c r="G52" s="201"/>
      <c r="H52" s="189"/>
      <c r="I52" s="201"/>
      <c r="J52" s="201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6"/>
      <c r="T52" s="210"/>
      <c r="U52" s="222"/>
      <c r="V52" s="222"/>
      <c r="W52" s="222"/>
      <c r="X52" s="222"/>
      <c r="Y52" s="222"/>
      <c r="Z52" s="222"/>
      <c r="AA52" s="222"/>
      <c r="AB52" s="222"/>
      <c r="AC52" s="222"/>
      <c r="AD52" s="222"/>
      <c r="AE52" s="222"/>
      <c r="AF52" s="222"/>
      <c r="AG52" s="219"/>
      <c r="AH52" s="225">
        <f>SUM(PORTEFEUILLE_DELPHINE[[#This Row],[PCR COMPTABLE €]:[MONTANT
RESPONSABLE RELATION CLIENT €]])-PORTEFEUILLE_DELPHINE[[#This Row],[MONTANT TOTAL LETTRE DE MISION €]]</f>
        <v>0</v>
      </c>
      <c r="AI52" s="191"/>
      <c r="AJ52" s="188"/>
      <c r="AK52" s="201"/>
      <c r="AL52" s="201"/>
      <c r="AM52" s="246"/>
      <c r="AN52" s="202"/>
      <c r="AO52" s="202"/>
      <c r="AP52" s="202"/>
      <c r="AQ52" s="202"/>
      <c r="AR5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2" s="188" t="str">
        <f>IF(PORTEFEUILLE_DELPHINE[[#This Row],[BONI AAC]]&lt;&gt;0,1,"")</f>
        <v/>
      </c>
      <c r="AU52" s="188" t="str">
        <f>IF(PORTEFEUILLE_DELPHINE[[#This Row],[MALI AAC]]&lt;&gt;0,1,"")</f>
        <v/>
      </c>
      <c r="AV52" s="225">
        <f>IF(AP52&lt;&gt;"",IF((AP52*Paramètres!$H$4)-PORTEFEUILLE_DELPHINE[[#This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€]]-(DELPHINE!AP52*Paramètres!$H$4),0),0)</f>
        <v>0</v>
      </c>
      <c r="AW52" s="225">
        <f>IF(AP52&lt;&gt;"",IF(((AP52*Paramètres!$H$4)-PORTEFEUILLE_DELPHINE[[#This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2" s="190" t="str">
        <f>IF(PORTEFEUILLE_DELPHINE[[#This Row],[BONI COMPTABLE]]&lt;&gt;0,1,"")</f>
        <v/>
      </c>
      <c r="AY52" s="190" t="str">
        <f>IF(PORTEFEUILLE_DELPHINE[[#This Row],[MALI COMPTABLE]]&lt;&gt;0,1,"")</f>
        <v/>
      </c>
      <c r="AZ52" s="202"/>
      <c r="BA52" s="188"/>
      <c r="BB52" s="188"/>
      <c r="BC52" s="188"/>
      <c r="BD52" s="202"/>
      <c r="BE52" s="202"/>
      <c r="BF52" s="202"/>
      <c r="BG52" s="192"/>
      <c r="BH52" s="194"/>
      <c r="BI52" s="194"/>
      <c r="BJ52" s="195"/>
      <c r="BK52" s="194"/>
    </row>
    <row r="53" spans="1:63" x14ac:dyDescent="0.25">
      <c r="A53" s="172"/>
      <c r="B53" s="185"/>
      <c r="C53" s="172"/>
      <c r="D53" s="172"/>
      <c r="E53" s="203"/>
      <c r="F53" s="194"/>
      <c r="G53" s="194"/>
      <c r="H53" s="189"/>
      <c r="I53" s="194"/>
      <c r="J53" s="194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7"/>
      <c r="T53" s="211"/>
      <c r="U53" s="223"/>
      <c r="V53" s="223"/>
      <c r="W53" s="223"/>
      <c r="X53" s="223"/>
      <c r="Y53" s="223"/>
      <c r="Z53" s="223"/>
      <c r="AA53" s="223"/>
      <c r="AB53" s="223"/>
      <c r="AC53" s="223"/>
      <c r="AD53" s="223"/>
      <c r="AE53" s="223"/>
      <c r="AF53" s="223"/>
      <c r="AG53" s="219"/>
      <c r="AH53" s="225">
        <f>SUM(PORTEFEUILLE_DELPHINE[[#This Row],[PCR COMPTABLE €]:[MONTANT
RESPONSABLE RELATION CLIENT €]])-PORTEFEUILLE_DELPHINE[[#This Row],[MONTANT TOTAL LETTRE DE MISION €]]</f>
        <v>0</v>
      </c>
      <c r="AI53" s="191"/>
      <c r="AJ53" s="188"/>
      <c r="AK53" s="188"/>
      <c r="AL53" s="188"/>
      <c r="AM53" s="191"/>
      <c r="AN53" s="194"/>
      <c r="AO53" s="194"/>
      <c r="AP53" s="194"/>
      <c r="AQ53" s="194"/>
      <c r="AR5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3" s="188" t="str">
        <f>IF(PORTEFEUILLE_DELPHINE[[#This Row],[BONI AAC]]&lt;&gt;0,1,"")</f>
        <v/>
      </c>
      <c r="AU53" s="188" t="str">
        <f>IF(PORTEFEUILLE_DELPHINE[[#This Row],[MALI AAC]]&lt;&gt;0,1,"")</f>
        <v/>
      </c>
      <c r="AV53" s="225">
        <f>IF(AP53&lt;&gt;"",IF((AP53*Paramètres!$H$4)-PORTEFEUILLE_DELPHINE[[#This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€]]-(DELPHINE!AP53*Paramètres!$H$4),0),0)</f>
        <v>0</v>
      </c>
      <c r="AW53" s="225">
        <f>IF(AP53&lt;&gt;"",IF(((AP53*Paramètres!$H$4)-PORTEFEUILLE_DELPHINE[[#This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3" s="190" t="str">
        <f>IF(PORTEFEUILLE_DELPHINE[[#This Row],[BONI COMPTABLE]]&lt;&gt;0,1,"")</f>
        <v/>
      </c>
      <c r="AY53" s="190" t="str">
        <f>IF(PORTEFEUILLE_DELPHINE[[#This Row],[MALI COMPTABLE]]&lt;&gt;0,1,"")</f>
        <v/>
      </c>
      <c r="AZ53" s="194"/>
      <c r="BA53" s="188"/>
      <c r="BB53" s="188"/>
      <c r="BC53" s="188"/>
      <c r="BD53" s="194"/>
      <c r="BE53" s="194"/>
      <c r="BF53" s="194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SUM(PORTEFEUILLE_DELPHINE[[#This Row],[PCR COMPTABLE €]:[MONTANT
RESPONSABLE RELATION CLIENT €]])-PORTEFEUILLE_DELPHINE[[#This Row],[MONTANT TOTAL LETTRE DE MISION €]]</f>
        <v>0</v>
      </c>
      <c r="AI54" s="191"/>
      <c r="AJ54" s="188"/>
      <c r="AK54" s="188"/>
      <c r="AL54" s="188"/>
      <c r="AM54" s="191"/>
      <c r="AN54" s="194"/>
      <c r="AO54" s="194"/>
      <c r="AP54" s="194"/>
      <c r="AQ54" s="194"/>
      <c r="AR5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4" s="188" t="str">
        <f>IF(PORTEFEUILLE_DELPHINE[[#This Row],[BONI AAC]]&lt;&gt;0,1,"")</f>
        <v/>
      </c>
      <c r="AU54" s="188" t="str">
        <f>IF(PORTEFEUILLE_DELPHINE[[#This Row],[MALI AAC]]&lt;&gt;0,1,"")</f>
        <v/>
      </c>
      <c r="AV54" s="225">
        <f>IF(AP54&lt;&gt;"",IF((AP54*Paramètres!$H$4)-PORTEFEUILLE_DELPHINE[[#This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€]]-(DELPHINE!AP54*Paramètres!$H$4),0),0)</f>
        <v>0</v>
      </c>
      <c r="AW54" s="225">
        <f>IF(AP54&lt;&gt;"",IF(((AP54*Paramètres!$H$4)-PORTEFEUILLE_DELPHINE[[#This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4" s="190" t="str">
        <f>IF(PORTEFEUILLE_DELPHINE[[#This Row],[BONI COMPTABLE]]&lt;&gt;0,1,"")</f>
        <v/>
      </c>
      <c r="AY54" s="190" t="str">
        <f>IF(PORTEFEUILLE_DELPHINE[[#This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SUM(PORTEFEUILLE_DELPHINE[[#This Row],[PCR COMPTABLE €]:[MONTANT
RESPONSABLE RELATION CLIENT €]])-PORTEFEUILLE_DELPHINE[[#This Row],[MONTANT TOTAL LETTRE DE MISION €]]</f>
        <v>0</v>
      </c>
      <c r="AI55" s="191"/>
      <c r="AJ55" s="188"/>
      <c r="AK55" s="188"/>
      <c r="AL55" s="188"/>
      <c r="AM55" s="191"/>
      <c r="AN55" s="194"/>
      <c r="AO55" s="194"/>
      <c r="AP55" s="194"/>
      <c r="AQ55" s="194"/>
      <c r="AR5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5" s="188" t="str">
        <f>IF(PORTEFEUILLE_DELPHINE[[#This Row],[BONI AAC]]&lt;&gt;0,1,"")</f>
        <v/>
      </c>
      <c r="AU55" s="188" t="str">
        <f>IF(PORTEFEUILLE_DELPHINE[[#This Row],[MALI AAC]]&lt;&gt;0,1,"")</f>
        <v/>
      </c>
      <c r="AV55" s="225">
        <f>IF(AP55&lt;&gt;"",IF((AP55*Paramètres!$H$4)-PORTEFEUILLE_DELPHINE[[#This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€]]-(DELPHINE!AP55*Paramètres!$H$4),0),0)</f>
        <v>0</v>
      </c>
      <c r="AW55" s="225">
        <f>IF(AP55&lt;&gt;"",IF(((AP55*Paramètres!$H$4)-PORTEFEUILLE_DELPHINE[[#This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5" s="190" t="str">
        <f>IF(PORTEFEUILLE_DELPHINE[[#This Row],[BONI COMPTABLE]]&lt;&gt;0,1,"")</f>
        <v/>
      </c>
      <c r="AY55" s="190" t="str">
        <f>IF(PORTEFEUILLE_DELPHINE[[#This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SUM(PORTEFEUILLE_DELPHINE[[#This Row],[PCR COMPTABLE €]:[MONTANT
RESPONSABLE RELATION CLIENT €]])-PORTEFEUILLE_DELPHINE[[#This Row],[MONTANT TOTAL LETTRE DE MISION €]]</f>
        <v>0</v>
      </c>
      <c r="AI56" s="191"/>
      <c r="AJ56" s="188"/>
      <c r="AK56" s="188"/>
      <c r="AL56" s="188"/>
      <c r="AM56" s="191"/>
      <c r="AN56" s="194"/>
      <c r="AO56" s="194"/>
      <c r="AP56" s="194"/>
      <c r="AQ56" s="194"/>
      <c r="AR5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6" s="188" t="str">
        <f>IF(PORTEFEUILLE_DELPHINE[[#This Row],[BONI AAC]]&lt;&gt;0,1,"")</f>
        <v/>
      </c>
      <c r="AU56" s="188" t="str">
        <f>IF(PORTEFEUILLE_DELPHINE[[#This Row],[MALI AAC]]&lt;&gt;0,1,"")</f>
        <v/>
      </c>
      <c r="AV56" s="225">
        <f>IF(AP56&lt;&gt;"",IF((AP56*Paramètres!$H$4)-PORTEFEUILLE_DELPHINE[[#This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€]]-(DELPHINE!AP56*Paramètres!$H$4),0),0)</f>
        <v>0</v>
      </c>
      <c r="AW56" s="225">
        <f>IF(AP56&lt;&gt;"",IF(((AP56*Paramètres!$H$4)-PORTEFEUILLE_DELPHINE[[#This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6" s="190" t="str">
        <f>IF(PORTEFEUILLE_DELPHINE[[#This Row],[BONI COMPTABLE]]&lt;&gt;0,1,"")</f>
        <v/>
      </c>
      <c r="AY56" s="190" t="str">
        <f>IF(PORTEFEUILLE_DELPHINE[[#This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72"/>
      <c r="B57" s="179"/>
      <c r="C57" s="176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SUM(PORTEFEUILLE_DELPHINE[[#This Row],[PCR COMPTABLE €]:[MONTANT
RESPONSABLE RELATION CLIENT €]])-PORTEFEUILLE_DELPHINE[[#This Row],[MONTANT TOTAL LETTRE DE MISION €]]</f>
        <v>0</v>
      </c>
      <c r="AI57" s="191"/>
      <c r="AJ57" s="188"/>
      <c r="AK57" s="188"/>
      <c r="AL57" s="188"/>
      <c r="AM57" s="191"/>
      <c r="AN57" s="194"/>
      <c r="AO57" s="194"/>
      <c r="AP57" s="194"/>
      <c r="AQ57" s="194"/>
      <c r="AR5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7" s="188" t="str">
        <f>IF(PORTEFEUILLE_DELPHINE[[#This Row],[BONI AAC]]&lt;&gt;0,1,"")</f>
        <v/>
      </c>
      <c r="AU57" s="188" t="str">
        <f>IF(PORTEFEUILLE_DELPHINE[[#This Row],[MALI AAC]]&lt;&gt;0,1,"")</f>
        <v/>
      </c>
      <c r="AV57" s="225">
        <f>IF(AP57&lt;&gt;"",IF((AP57*Paramètres!$H$4)-PORTEFEUILLE_DELPHINE[[#This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€]]-(DELPHINE!AP57*Paramètres!$H$4),0),0)</f>
        <v>0</v>
      </c>
      <c r="AW57" s="225">
        <f>IF(AP57&lt;&gt;"",IF(((AP57*Paramètres!$H$4)-PORTEFEUILLE_DELPHINE[[#This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7" s="190" t="str">
        <f>IF(PORTEFEUILLE_DELPHINE[[#This Row],[BONI COMPTABLE]]&lt;&gt;0,1,"")</f>
        <v/>
      </c>
      <c r="AY57" s="190" t="str">
        <f>IF(PORTEFEUILLE_DELPHINE[[#This Row],[MALI COMPTABLE]]&lt;&gt;0,1,"")</f>
        <v/>
      </c>
      <c r="AZ57" s="194"/>
      <c r="BA57" s="188"/>
      <c r="BB57" s="188"/>
      <c r="BC57" s="188"/>
      <c r="BD57" s="194"/>
      <c r="BE57" s="194"/>
      <c r="BF57" s="194"/>
      <c r="BG57" s="192"/>
      <c r="BH57" s="194"/>
      <c r="BI57" s="194"/>
      <c r="BJ57" s="195"/>
      <c r="BK57" s="194"/>
    </row>
    <row r="58" spans="1:63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SUM(PORTEFEUILLE_DELPHINE[[#This Row],[PCR COMPTABLE €]:[MONTANT
RESPONSABLE RELATION CLIENT €]])-PORTEFEUILLE_DELPHINE[[#This Row],[MONTANT TOTAL LETTRE DE MISION €]]</f>
        <v>0</v>
      </c>
      <c r="AI58" s="191"/>
      <c r="AJ58" s="188"/>
      <c r="AK58" s="188"/>
      <c r="AL58" s="188"/>
      <c r="AM58" s="191"/>
      <c r="AN58" s="194"/>
      <c r="AO58" s="194"/>
      <c r="AP58" s="194"/>
      <c r="AQ58" s="194"/>
      <c r="AR5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8" s="188" t="str">
        <f>IF(PORTEFEUILLE_DELPHINE[[#This Row],[BONI AAC]]&lt;&gt;0,1,"")</f>
        <v/>
      </c>
      <c r="AU58" s="188" t="str">
        <f>IF(PORTEFEUILLE_DELPHINE[[#This Row],[MALI AAC]]&lt;&gt;0,1,"")</f>
        <v/>
      </c>
      <c r="AV58" s="225">
        <f>IF(AP58&lt;&gt;"",IF((AP58*Paramètres!$H$4)-PORTEFEUILLE_DELPHINE[[#This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€]]-(DELPHINE!AP58*Paramètres!$H$4),0),0)</f>
        <v>0</v>
      </c>
      <c r="AW58" s="225">
        <f>IF(AP58&lt;&gt;"",IF(((AP58*Paramètres!$H$4)-PORTEFEUILLE_DELPHINE[[#This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8" s="190" t="str">
        <f>IF(PORTEFEUILLE_DELPHINE[[#This Row],[BONI COMPTABLE]]&lt;&gt;0,1,"")</f>
        <v/>
      </c>
      <c r="AY58" s="190" t="str">
        <f>IF(PORTEFEUILLE_DELPHINE[[#This Row],[MALI COMPTABLE]]&lt;&gt;0,1,"")</f>
        <v/>
      </c>
      <c r="AZ58" s="194"/>
      <c r="BA58" s="188"/>
      <c r="BB58" s="188"/>
      <c r="BC58" s="188"/>
      <c r="BD58" s="194"/>
      <c r="BE58" s="194"/>
      <c r="BF58" s="194"/>
      <c r="BG58" s="192"/>
      <c r="BH58" s="194"/>
      <c r="BI58" s="194"/>
      <c r="BJ58" s="195"/>
      <c r="BK58" s="194"/>
    </row>
    <row r="59" spans="1:63" x14ac:dyDescent="0.25">
      <c r="A59" s="186"/>
      <c r="B59" s="187"/>
      <c r="C59" s="186"/>
      <c r="D59" s="186"/>
      <c r="E59" s="204"/>
      <c r="F59" s="205"/>
      <c r="G59" s="205"/>
      <c r="H59" s="189"/>
      <c r="I59" s="205"/>
      <c r="J59" s="205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8"/>
      <c r="T59" s="212"/>
      <c r="U59" s="224"/>
      <c r="V59" s="224"/>
      <c r="W59" s="224"/>
      <c r="X59" s="224"/>
      <c r="Y59" s="224"/>
      <c r="Z59" s="224"/>
      <c r="AA59" s="224"/>
      <c r="AB59" s="224"/>
      <c r="AC59" s="224"/>
      <c r="AD59" s="224"/>
      <c r="AE59" s="224"/>
      <c r="AF59" s="224"/>
      <c r="AG59" s="219"/>
      <c r="AH59" s="225">
        <f>SUM(PORTEFEUILLE_DELPHINE[[#This Row],[PCR COMPTABLE €]:[MONTANT
RESPONSABLE RELATION CLIENT €]])-PORTEFEUILLE_DELPHINE[[#This Row],[MONTANT TOTAL LETTRE DE MISION €]]</f>
        <v>0</v>
      </c>
      <c r="AI59" s="191"/>
      <c r="AJ59" s="188"/>
      <c r="AK59" s="201"/>
      <c r="AL59" s="201"/>
      <c r="AM59" s="246"/>
      <c r="AN59" s="205"/>
      <c r="AO59" s="205"/>
      <c r="AP59" s="205"/>
      <c r="AQ59" s="205"/>
      <c r="AR5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S5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T59" s="188" t="str">
        <f>IF(PORTEFEUILLE_DELPHINE[[#This Row],[BONI AAC]]&lt;&gt;0,1,"")</f>
        <v/>
      </c>
      <c r="AU59" s="188" t="str">
        <f>IF(PORTEFEUILLE_DELPHINE[[#This Row],[MALI AAC]]&lt;&gt;0,1,"")</f>
        <v/>
      </c>
      <c r="AV59" s="225">
        <f>IF(AP59&lt;&gt;"",IF((AP59*Paramètres!$H$4)-PORTEFEUILLE_DELPHINE[[#This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€]]-(DELPHINE!AP59*Paramètres!$H$4),0),0)</f>
        <v>0</v>
      </c>
      <c r="AW59" s="225">
        <f>IF(AP59&lt;&gt;"",IF(((AP59*Paramètres!$H$4)-PORTEFEUILLE_DELPHINE[[#This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€]])&gt;0,(AP59*Paramètres!$H$4)-PORTEFEUILLE_DELPHINE[[#This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X59" s="190" t="str">
        <f>IF(PORTEFEUILLE_DELPHINE[[#This Row],[BONI COMPTABLE]]&lt;&gt;0,1,"")</f>
        <v/>
      </c>
      <c r="AY59" s="190" t="str">
        <f>IF(PORTEFEUILLE_DELPHINE[[#This Row],[MALI COMPTABLE]]&lt;&gt;0,1,"")</f>
        <v/>
      </c>
      <c r="AZ59" s="205"/>
      <c r="BA59" s="188"/>
      <c r="BB59" s="188"/>
      <c r="BC59" s="188"/>
      <c r="BD59" s="205"/>
      <c r="BE59" s="205"/>
      <c r="BF59" s="205"/>
      <c r="BG59" s="192"/>
      <c r="BH59" s="205"/>
      <c r="BI59" s="205"/>
      <c r="BJ59" s="206"/>
      <c r="BK59" s="205"/>
    </row>
    <row r="62" spans="1:63" x14ac:dyDescent="0.25">
      <c r="B62" s="89" t="s">
        <v>120</v>
      </c>
    </row>
    <row r="64" spans="1:63" x14ac:dyDescent="0.25">
      <c r="B64" s="279" t="s">
        <v>120</v>
      </c>
      <c r="C64" s="122"/>
      <c r="D64" s="122"/>
      <c r="E64" s="125" t="s">
        <v>112</v>
      </c>
      <c r="F64" s="121" t="s">
        <v>115</v>
      </c>
      <c r="G64" s="126" t="s">
        <v>118</v>
      </c>
      <c r="H64" s="127" t="s">
        <v>116</v>
      </c>
      <c r="I64" s="127" t="s">
        <v>136</v>
      </c>
      <c r="J64" s="128" t="s">
        <v>125</v>
      </c>
      <c r="K64" s="128" t="s">
        <v>110</v>
      </c>
      <c r="L64" s="128" t="s">
        <v>119</v>
      </c>
      <c r="M64" s="128" t="s">
        <v>126</v>
      </c>
      <c r="N64" s="128" t="s">
        <v>127</v>
      </c>
      <c r="O64" s="128" t="s">
        <v>128</v>
      </c>
      <c r="P64" s="128" t="s">
        <v>129</v>
      </c>
      <c r="Q64" s="128" t="s">
        <v>130</v>
      </c>
      <c r="R64" s="128" t="s">
        <v>137</v>
      </c>
      <c r="S64" s="128"/>
      <c r="T64" s="121"/>
      <c r="U64" s="164"/>
      <c r="V64" s="164"/>
      <c r="W64" s="164"/>
      <c r="X64" s="164"/>
      <c r="Y64" s="164"/>
      <c r="Z64" s="164"/>
      <c r="AA64" s="164"/>
      <c r="AB64" s="164"/>
      <c r="AC64" s="164"/>
      <c r="AE64" s="164"/>
      <c r="AF64" s="164"/>
      <c r="AG64" s="164"/>
      <c r="AH64" s="164"/>
      <c r="AI64" s="164"/>
      <c r="AJ64" s="164"/>
      <c r="AK64" s="164"/>
      <c r="AL64" s="164"/>
      <c r="AM64" s="164"/>
      <c r="AN64" s="164"/>
      <c r="AO64" s="164"/>
      <c r="AP64" s="164"/>
      <c r="AQ64" s="164"/>
      <c r="AR64" s="164"/>
      <c r="AS64" s="164"/>
      <c r="AT64" s="164"/>
      <c r="AU64" s="164"/>
      <c r="AV64" s="164"/>
      <c r="AW64" s="164"/>
      <c r="AX64" s="164"/>
      <c r="AY64" s="164"/>
      <c r="AZ64" s="164"/>
    </row>
    <row r="65" spans="2:52" x14ac:dyDescent="0.25">
      <c r="B65" s="280"/>
      <c r="C65" s="120" t="s">
        <v>109</v>
      </c>
      <c r="D65" s="122">
        <f>COUNTIF($D$3:$D$59,"ACS")</f>
        <v>3</v>
      </c>
      <c r="E65" s="129">
        <f>+COUNTIF($F$3:$F$59,"SARL")</f>
        <v>1</v>
      </c>
      <c r="F65" s="121">
        <f>+COUNTIF($F$3:$F$59,"EURL")</f>
        <v>1</v>
      </c>
      <c r="G65" s="124">
        <f>COUNTIFS($F$3:$F$59,"SAS",$D$3:$D$59,"ACS")</f>
        <v>0</v>
      </c>
      <c r="H65" s="122">
        <f>COUNTIFS($F$3:$F$59,"INDIVIDUEL",$D$3:$D$59,"ACS")</f>
        <v>0</v>
      </c>
      <c r="I65" s="122">
        <f>COUNTIF($F$3:$F$59,"ASSOCIATION")</f>
        <v>0</v>
      </c>
      <c r="J65" s="122"/>
      <c r="K65" s="122">
        <f>COUNTIF($F$3:$F$59,"SNC")</f>
        <v>0</v>
      </c>
      <c r="L65" s="122">
        <f>+COUNTIF($F$3:$F$59,"SCI")</f>
        <v>0</v>
      </c>
      <c r="M65" s="130"/>
      <c r="N65" s="131"/>
      <c r="O65" s="132"/>
      <c r="P65" s="122">
        <f>+COUNTIF($F$3:$F$59,"GROUPEMENT")</f>
        <v>0</v>
      </c>
      <c r="Q65" s="121">
        <f>COUNTIF($F$3:$F$59,"EIRL")</f>
        <v>1</v>
      </c>
      <c r="R65" s="121">
        <f>COUNTIF($F$3:$F$59,"AUTRE")</f>
        <v>0</v>
      </c>
      <c r="S65" s="121"/>
      <c r="T65" s="122">
        <f>+SUM(E65:P65)</f>
        <v>2</v>
      </c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80"/>
      <c r="C66" s="120" t="s">
        <v>121</v>
      </c>
      <c r="D66" s="122">
        <f>COUNTIF($D$3:$D$59,"BNC")</f>
        <v>0</v>
      </c>
      <c r="E66" s="133"/>
      <c r="F66" s="121"/>
      <c r="G66" s="134"/>
      <c r="H66" s="135"/>
      <c r="I66" s="132"/>
      <c r="J66" s="122">
        <f>+COUNTIF($F$3:$F$59,"PROFESSION LIBERALE")</f>
        <v>0</v>
      </c>
      <c r="K66" s="122"/>
      <c r="L66" s="122"/>
      <c r="M66" s="122"/>
      <c r="N66" s="122"/>
      <c r="O66" s="122"/>
      <c r="P66" s="122"/>
      <c r="Q66" s="121"/>
      <c r="R66" s="121"/>
      <c r="S66" s="121"/>
      <c r="T66" s="122">
        <f>+SUM(E66:P66)</f>
        <v>0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281"/>
      <c r="C67" s="122" t="s">
        <v>122</v>
      </c>
      <c r="D67" s="122">
        <f>COUNTIF($D$3:$D$59,"AGRI")</f>
        <v>0</v>
      </c>
      <c r="E67" s="129"/>
      <c r="F67" s="121"/>
      <c r="G67" s="124">
        <f>COUNTIFS($F$3:$F$59,"SAS",$D$3:$D$59,"AGRI")</f>
        <v>0</v>
      </c>
      <c r="H67" s="122">
        <f>COUNTIFS($F$3:$F$59,"INDIVIDUEL",$D$3:$D$59,"AGRI")</f>
        <v>0</v>
      </c>
      <c r="I67" s="122"/>
      <c r="J67" s="122"/>
      <c r="K67" s="122"/>
      <c r="L67" s="122"/>
      <c r="M67" s="122">
        <f>COUNTIF($F$5:$F$61,"EARL")</f>
        <v>0</v>
      </c>
      <c r="N67" s="122">
        <f>COUNTIF($F$5:$F$61,"ETA")</f>
        <v>0</v>
      </c>
      <c r="O67" s="122">
        <f>COUNTIF($F$5:$F$61,"SCEA")</f>
        <v>0</v>
      </c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75" t="s">
        <v>123</v>
      </c>
      <c r="C68" s="275"/>
      <c r="D68" s="122">
        <f>+SUM(D65:D67)</f>
        <v>3</v>
      </c>
      <c r="E68" s="129">
        <f>+SUM(E65:E67)</f>
        <v>1</v>
      </c>
      <c r="F68" s="129">
        <f t="shared" ref="F68:R68" si="2">+SUM(F65:F67)</f>
        <v>1</v>
      </c>
      <c r="G68" s="129">
        <f t="shared" si="2"/>
        <v>0</v>
      </c>
      <c r="H68" s="129">
        <f t="shared" si="2"/>
        <v>0</v>
      </c>
      <c r="I68" s="129">
        <f t="shared" si="2"/>
        <v>0</v>
      </c>
      <c r="J68" s="129">
        <f t="shared" si="2"/>
        <v>0</v>
      </c>
      <c r="K68" s="129">
        <f t="shared" si="2"/>
        <v>0</v>
      </c>
      <c r="L68" s="129">
        <f t="shared" si="2"/>
        <v>0</v>
      </c>
      <c r="M68" s="129">
        <f t="shared" si="2"/>
        <v>0</v>
      </c>
      <c r="N68" s="129">
        <f t="shared" si="2"/>
        <v>0</v>
      </c>
      <c r="O68" s="129">
        <f t="shared" si="2"/>
        <v>0</v>
      </c>
      <c r="P68" s="129">
        <f t="shared" si="2"/>
        <v>0</v>
      </c>
      <c r="Q68" s="129">
        <f t="shared" si="2"/>
        <v>1</v>
      </c>
      <c r="R68" s="129">
        <f t="shared" si="2"/>
        <v>0</v>
      </c>
      <c r="S68" s="129"/>
      <c r="T68" s="122">
        <f>+SUM(T65:T67)</f>
        <v>2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90"/>
      <c r="C69" s="90"/>
      <c r="D69" s="90"/>
      <c r="E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T69" s="90"/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282">
        <v>44196</v>
      </c>
      <c r="C70" s="122"/>
      <c r="D70" s="122"/>
      <c r="E70" s="125" t="str">
        <f t="shared" ref="E70:R70" si="3">E64</f>
        <v>SARL</v>
      </c>
      <c r="F70" s="122" t="str">
        <f t="shared" si="3"/>
        <v>EURL</v>
      </c>
      <c r="G70" s="126" t="str">
        <f t="shared" si="3"/>
        <v>SAS</v>
      </c>
      <c r="H70" s="127" t="str">
        <f t="shared" si="3"/>
        <v>INDIVIDUEL</v>
      </c>
      <c r="I70" s="127" t="str">
        <f t="shared" si="3"/>
        <v>ASSOCIATION</v>
      </c>
      <c r="J70" s="128" t="str">
        <f t="shared" si="3"/>
        <v>PROFESSION LIBERALE</v>
      </c>
      <c r="K70" s="128" t="str">
        <f t="shared" si="3"/>
        <v>SNC</v>
      </c>
      <c r="L70" s="128" t="str">
        <f t="shared" si="3"/>
        <v>SCI</v>
      </c>
      <c r="M70" s="128" t="str">
        <f t="shared" si="3"/>
        <v>EARL</v>
      </c>
      <c r="N70" s="128" t="str">
        <f t="shared" si="3"/>
        <v>ETA</v>
      </c>
      <c r="O70" s="128" t="str">
        <f t="shared" si="3"/>
        <v>SCEA</v>
      </c>
      <c r="P70" s="128" t="str">
        <f t="shared" si="3"/>
        <v>GROUPEMENT</v>
      </c>
      <c r="Q70" s="122" t="str">
        <f t="shared" si="3"/>
        <v>EIRL</v>
      </c>
      <c r="R70" s="122" t="str">
        <f t="shared" si="3"/>
        <v>AUTRES</v>
      </c>
      <c r="S70" s="122"/>
      <c r="T70" s="128" t="s">
        <v>86</v>
      </c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0"/>
      <c r="C71" s="120" t="s">
        <v>109</v>
      </c>
      <c r="D71" s="122">
        <f>COUNTIFS($E$3:$E$59,DATE(Paramètres!A4,Paramètres!D15,Paramètres!C15),$D$3:$D$59,"ACS")</f>
        <v>3</v>
      </c>
      <c r="E71" s="129">
        <f>COUNTIFS($E$3:$E$59,DATE(Paramètres!A4,Paramètres!D15,Paramètres!C15),$F$3:$F$59,"SARL")</f>
        <v>1</v>
      </c>
      <c r="F71" s="122">
        <f>+COUNTIFS($E$3:$E$59,DATE(Paramètres!A4,Paramètres!D15,Paramètres!C15),$F$3:$F$59,"EURL")</f>
        <v>1</v>
      </c>
      <c r="G71" s="124">
        <f>COUNTIFS($E$3:$E$59,DATE(Paramètres!A4,Paramètres!D15,Paramètres!C15),$F$3:$F$59,"SAS",$D$3:$D$59,"ACS")</f>
        <v>0</v>
      </c>
      <c r="H71" s="122">
        <f>COUNTIFS($E$3:$E$59,DATE(Paramètres!A4,Paramètres!D15,Paramètres!C15),$F$3:$F$59,"INDIVIDUEL",$D$3:$D$59,"ACS")</f>
        <v>0</v>
      </c>
      <c r="I71" s="122">
        <f>+COUNTIFS($E$3:$E$59,DATE(Paramètres!A4,Paramètres!D15,Paramètres!C15),$F$3:$F$59,"ASSOCIATION")</f>
        <v>0</v>
      </c>
      <c r="J71" s="122"/>
      <c r="K71" s="122">
        <f>COUNTIFS($E$3:$E$59,DATE(Paramètres!A4,Paramètres!D15,Paramètres!C15),$F$3:$F$59,"SNC")</f>
        <v>0</v>
      </c>
      <c r="L71" s="122">
        <f>COUNTIFS($E$3:$E$59,DATE(Paramètres!A4,Paramètres!D15,Paramètres!C15),$F$3:$F$59,"SCI")</f>
        <v>0</v>
      </c>
      <c r="M71" s="130"/>
      <c r="N71" s="131"/>
      <c r="O71" s="132"/>
      <c r="P71" s="122">
        <f>COUNTIFS($E$3:$E$59,DATE(Paramètres!A4,Paramètres!D15,Paramètres!C15),$F$3:$F$59,"GROUPEMENT")</f>
        <v>0</v>
      </c>
      <c r="Q71" s="122">
        <f>+COUNTIFS($E$3:$E$59,DATE(Paramètres!A4,Paramètres!D15,Paramètres!C15),$F$3:$F$59,"EIRL")</f>
        <v>1</v>
      </c>
      <c r="R71" s="122">
        <f>+COUNTIFS($E$3:$E$59,DATE(Paramètres!B4,Paramètres!E15,Paramètres!D15),$F$3:$F$59,"AUTRES")</f>
        <v>0</v>
      </c>
      <c r="S71" s="122"/>
      <c r="T71" s="122">
        <f>+SUM(E71:P71)</f>
        <v>2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80"/>
      <c r="C72" s="120" t="s">
        <v>121</v>
      </c>
      <c r="D72" s="122">
        <f>COUNTIFS($E$3:$E$59,DATE(Paramètres!A4,Paramètres!D15,Paramètres!C15),$D$3:$D$59,"BNC")</f>
        <v>0</v>
      </c>
      <c r="E72" s="133"/>
      <c r="F72" s="122"/>
      <c r="G72" s="134"/>
      <c r="H72" s="135"/>
      <c r="I72" s="132"/>
      <c r="J72" s="122">
        <f>COUNTIFS($E$3:$E$59,DATE(Paramètres!A4,Paramètres!D15,Paramètres!C15),$D$3:$D$59,"BNC")</f>
        <v>0</v>
      </c>
      <c r="K72" s="130"/>
      <c r="L72" s="131"/>
      <c r="M72" s="131"/>
      <c r="N72" s="131"/>
      <c r="O72" s="131"/>
      <c r="P72" s="132"/>
      <c r="Q72" s="122"/>
      <c r="R72" s="122"/>
      <c r="S72" s="122"/>
      <c r="T72" s="122">
        <f>+SUM(E72:P72)</f>
        <v>0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281"/>
      <c r="C73" s="122" t="s">
        <v>122</v>
      </c>
      <c r="D73" s="122">
        <f>COUNTIFS($E$3:$E$59,DATE(Paramètres!A4,Paramètres!D15,Paramètres!C15),$D$3:$D$59,"AGRI")</f>
        <v>0</v>
      </c>
      <c r="E73" s="133"/>
      <c r="F73" s="122"/>
      <c r="G73" s="134">
        <f>COUNTIFS($E$3:$E$59,DATE(Paramètres!A4,Paramètres!D15,Paramètres!C15),$F$3:$F$59,"SAS",$D$3:$D$59,"AGRI")</f>
        <v>0</v>
      </c>
      <c r="H73" s="122">
        <f>COUNTIFS($E$3:$E$59,DATE(Paramètres!A4,Paramètres!D15,Paramètres!C15),$F$3:$F$59,"INDIVIDUEL",$D$3:$D$59,"AGRI")</f>
        <v>0</v>
      </c>
      <c r="I73" s="136"/>
      <c r="J73" s="131"/>
      <c r="K73" s="131"/>
      <c r="L73" s="132"/>
      <c r="M73" s="122">
        <f>COUNTIFS($E$3:$E$59,DATE(Paramètres!A4,Paramètres!D15,Paramètres!C15),$F$3:$F$59,"EARL")</f>
        <v>0</v>
      </c>
      <c r="N73" s="122">
        <f>COUNTIFS($E$3:$E$59,DATE(Paramètres!A4,Paramètres!D15,Paramètres!C15),$F$3:$F$59,"ETA")</f>
        <v>0</v>
      </c>
      <c r="O73" s="122">
        <f>COUNTIFS($E$3:$E$59,DATE(Paramètres!A4,Paramètres!D15,Paramètres!C15),$F$3:$F$59,"SCEA")</f>
        <v>0</v>
      </c>
      <c r="P73" s="12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75" t="s">
        <v>123</v>
      </c>
      <c r="C74" s="275"/>
      <c r="D74" s="122">
        <f>+SUM(D71:D73)</f>
        <v>3</v>
      </c>
      <c r="E74" s="129">
        <f>+SUM(E71:E73)</f>
        <v>1</v>
      </c>
      <c r="F74" s="129">
        <f>+SUM(F71:F73)</f>
        <v>1</v>
      </c>
      <c r="G74" s="124">
        <f>+SUM(G71:G73)</f>
        <v>0</v>
      </c>
      <c r="H74" s="122">
        <f>+SUM(H71:H73)</f>
        <v>0</v>
      </c>
      <c r="I74" s="122">
        <f t="shared" ref="I74:R74" si="4">+SUM(I71:I73)</f>
        <v>0</v>
      </c>
      <c r="J74" s="122">
        <f t="shared" si="4"/>
        <v>0</v>
      </c>
      <c r="K74" s="122">
        <f t="shared" si="4"/>
        <v>0</v>
      </c>
      <c r="L74" s="122">
        <f t="shared" si="4"/>
        <v>0</v>
      </c>
      <c r="M74" s="122">
        <f t="shared" si="4"/>
        <v>0</v>
      </c>
      <c r="N74" s="122">
        <f t="shared" si="4"/>
        <v>0</v>
      </c>
      <c r="O74" s="122">
        <f t="shared" si="4"/>
        <v>0</v>
      </c>
      <c r="P74" s="122">
        <f t="shared" si="4"/>
        <v>0</v>
      </c>
      <c r="Q74" s="122">
        <f t="shared" si="4"/>
        <v>1</v>
      </c>
      <c r="R74" s="122">
        <f t="shared" si="4"/>
        <v>0</v>
      </c>
      <c r="S74" s="122"/>
      <c r="T74" s="122">
        <f>+SUM(E74:R74)</f>
        <v>3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90"/>
      <c r="C75" s="90"/>
      <c r="D75" s="90"/>
      <c r="E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T75" s="90"/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282" t="s">
        <v>40</v>
      </c>
      <c r="C76" s="122"/>
      <c r="D76" s="122"/>
      <c r="E76" s="125" t="s">
        <v>112</v>
      </c>
      <c r="F76" s="121" t="s">
        <v>115</v>
      </c>
      <c r="G76" s="126" t="s">
        <v>118</v>
      </c>
      <c r="H76" s="127" t="s">
        <v>116</v>
      </c>
      <c r="I76" s="127" t="s">
        <v>124</v>
      </c>
      <c r="J76" s="128" t="s">
        <v>125</v>
      </c>
      <c r="K76" s="128" t="s">
        <v>110</v>
      </c>
      <c r="L76" s="128" t="s">
        <v>119</v>
      </c>
      <c r="M76" s="128" t="s">
        <v>126</v>
      </c>
      <c r="N76" s="128" t="s">
        <v>127</v>
      </c>
      <c r="O76" s="128" t="s">
        <v>128</v>
      </c>
      <c r="P76" s="128" t="s">
        <v>129</v>
      </c>
      <c r="Q76" s="128" t="s">
        <v>130</v>
      </c>
      <c r="R76" s="128" t="s">
        <v>131</v>
      </c>
      <c r="S76" s="128"/>
      <c r="T76" s="128" t="s">
        <v>86</v>
      </c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0"/>
      <c r="C77" s="120" t="s">
        <v>109</v>
      </c>
      <c r="D77" s="122">
        <f>+D65-D71</f>
        <v>0</v>
      </c>
      <c r="E77" s="122">
        <f>+E65-E71</f>
        <v>0</v>
      </c>
      <c r="F77" s="122">
        <f t="shared" ref="F77:R77" si="5">+F65-F71</f>
        <v>0</v>
      </c>
      <c r="G77" s="122">
        <f t="shared" si="5"/>
        <v>0</v>
      </c>
      <c r="H77" s="122">
        <f t="shared" si="5"/>
        <v>0</v>
      </c>
      <c r="I77" s="122">
        <f t="shared" si="5"/>
        <v>0</v>
      </c>
      <c r="J77" s="122">
        <f t="shared" si="5"/>
        <v>0</v>
      </c>
      <c r="K77" s="122">
        <f t="shared" si="5"/>
        <v>0</v>
      </c>
      <c r="L77" s="122">
        <f t="shared" si="5"/>
        <v>0</v>
      </c>
      <c r="M77" s="122">
        <f t="shared" si="5"/>
        <v>0</v>
      </c>
      <c r="N77" s="122">
        <f t="shared" si="5"/>
        <v>0</v>
      </c>
      <c r="O77" s="122">
        <f t="shared" si="5"/>
        <v>0</v>
      </c>
      <c r="P77" s="122">
        <f t="shared" si="5"/>
        <v>0</v>
      </c>
      <c r="Q77" s="122">
        <f t="shared" si="5"/>
        <v>0</v>
      </c>
      <c r="R77" s="122">
        <f t="shared" si="5"/>
        <v>0</v>
      </c>
      <c r="S77" s="122"/>
      <c r="T77" s="122">
        <f>+SUM(E77:P77)</f>
        <v>0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80"/>
      <c r="C78" s="120" t="s">
        <v>121</v>
      </c>
      <c r="D78" s="122">
        <f>+D66-D72</f>
        <v>0</v>
      </c>
      <c r="E78" s="122">
        <f t="shared" ref="E78:R80" si="6">+E66-E72</f>
        <v>0</v>
      </c>
      <c r="F78" s="122">
        <f t="shared" si="6"/>
        <v>0</v>
      </c>
      <c r="G78" s="122">
        <f t="shared" si="6"/>
        <v>0</v>
      </c>
      <c r="H78" s="122">
        <f t="shared" si="6"/>
        <v>0</v>
      </c>
      <c r="I78" s="122">
        <f t="shared" si="6"/>
        <v>0</v>
      </c>
      <c r="J78" s="122">
        <f t="shared" si="6"/>
        <v>0</v>
      </c>
      <c r="K78" s="122">
        <f t="shared" si="6"/>
        <v>0</v>
      </c>
      <c r="L78" s="122">
        <f t="shared" si="6"/>
        <v>0</v>
      </c>
      <c r="M78" s="122">
        <f t="shared" si="6"/>
        <v>0</v>
      </c>
      <c r="N78" s="122">
        <f t="shared" si="6"/>
        <v>0</v>
      </c>
      <c r="O78" s="122">
        <f t="shared" si="6"/>
        <v>0</v>
      </c>
      <c r="P78" s="122">
        <f t="shared" si="6"/>
        <v>0</v>
      </c>
      <c r="Q78" s="122">
        <f t="shared" si="6"/>
        <v>0</v>
      </c>
      <c r="R78" s="122">
        <f t="shared" si="6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B79" s="281"/>
      <c r="C79" s="122" t="s">
        <v>122</v>
      </c>
      <c r="D79" s="122">
        <f>+D67-D73</f>
        <v>0</v>
      </c>
      <c r="E79" s="122">
        <f t="shared" si="6"/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275" t="s">
        <v>123</v>
      </c>
      <c r="C80" s="275"/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+SUM(T77:T79)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B82" s="137" t="s">
        <v>132</v>
      </c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8"/>
      <c r="S82" s="139"/>
      <c r="T82" s="137"/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276" t="s">
        <v>120</v>
      </c>
      <c r="C83" s="138"/>
      <c r="D83" s="138"/>
      <c r="E83" s="140" t="str">
        <f t="shared" ref="E83:R83" si="7">E64</f>
        <v>SARL</v>
      </c>
      <c r="F83" s="138" t="str">
        <f t="shared" si="7"/>
        <v>EURL</v>
      </c>
      <c r="G83" s="141" t="str">
        <f t="shared" si="7"/>
        <v>SAS</v>
      </c>
      <c r="H83" s="142" t="str">
        <f t="shared" si="7"/>
        <v>INDIVIDUEL</v>
      </c>
      <c r="I83" s="142" t="str">
        <f t="shared" si="7"/>
        <v>ASSOCIATION</v>
      </c>
      <c r="J83" s="143" t="str">
        <f t="shared" si="7"/>
        <v>PROFESSION LIBERALE</v>
      </c>
      <c r="K83" s="143" t="str">
        <f t="shared" si="7"/>
        <v>SNC</v>
      </c>
      <c r="L83" s="143" t="str">
        <f t="shared" si="7"/>
        <v>SCI</v>
      </c>
      <c r="M83" s="143" t="str">
        <f t="shared" si="7"/>
        <v>EARL</v>
      </c>
      <c r="N83" s="143" t="str">
        <f t="shared" si="7"/>
        <v>ETA</v>
      </c>
      <c r="O83" s="143" t="str">
        <f t="shared" si="7"/>
        <v>SCEA</v>
      </c>
      <c r="P83" s="143" t="str">
        <f t="shared" si="7"/>
        <v>GROUPEMENT</v>
      </c>
      <c r="Q83" s="143" t="str">
        <f t="shared" si="7"/>
        <v>EIRL</v>
      </c>
      <c r="R83" s="143" t="str">
        <f t="shared" si="7"/>
        <v>AUTRES</v>
      </c>
      <c r="S83" s="144"/>
      <c r="T83" s="145" t="s">
        <v>86</v>
      </c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7"/>
      <c r="C84" s="146" t="s">
        <v>109</v>
      </c>
      <c r="D84" s="138">
        <f>COUNTIFS($I$3:$I$59,"&lt;&gt;",$D$3:$D$59,"ACS")</f>
        <v>2</v>
      </c>
      <c r="E84" s="147">
        <f>+COUNTIFS($I$3:$I$59,"&lt;&gt;",$F$3:$F$59,"SARL")</f>
        <v>1</v>
      </c>
      <c r="F84" s="138">
        <f>+COUNTIFS($I3:$I59,"&lt;&gt;",$F$3:$F$59,"EURL")</f>
        <v>1</v>
      </c>
      <c r="G84" s="148">
        <f>COUNTIFS($I$3:$I$59,"&lt;&gt;",$F$3:$F$59,"SAS",$D$3:$D$59,"ACS")</f>
        <v>0</v>
      </c>
      <c r="H84" s="138">
        <f>COUNTIFS($I$3:$I$59,"&lt;&gt;",$F$3:$F$59,"INDIVIDUEL",$D$3:$D$59,"ACS")</f>
        <v>0</v>
      </c>
      <c r="I84" s="138">
        <f>COUNTIFS($I$3:$I$59,"&lt;&gt;",$F$3:$F$59,"ASSOCIATION")</f>
        <v>0</v>
      </c>
      <c r="J84" s="138"/>
      <c r="K84" s="138">
        <f>COUNTIFS($I$3:$I$59,"&lt;&gt;",$F$3:$F$59,"SNC")</f>
        <v>0</v>
      </c>
      <c r="L84" s="138">
        <f>COUNTIFS($I$3:$I$59,"&lt;&gt;",$F$3:$F$59,"SCI")</f>
        <v>0</v>
      </c>
      <c r="M84" s="149"/>
      <c r="N84" s="150"/>
      <c r="O84" s="151"/>
      <c r="P84" s="138">
        <f>COUNTIFS($I$3:$I$59,"&lt;&gt;",$F$3:$F$59,"GROUPEMENT")</f>
        <v>0</v>
      </c>
      <c r="Q84" s="152">
        <f>COUNTIFS($I$3:$I$59,"&lt;&gt;",$F$3:$F$59,"EIRL")</f>
        <v>0</v>
      </c>
      <c r="R84" s="138">
        <f>COUNTIFS($I$3:$I$59,"&lt;&gt;",$F$3:$F$59,"AUTRES")</f>
        <v>0</v>
      </c>
      <c r="S84" s="148"/>
      <c r="T84" s="148">
        <f>+SUM(E84:P84)</f>
        <v>2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/>
      <c r="C85" s="146" t="s">
        <v>121</v>
      </c>
      <c r="D85" s="138">
        <f>COUNTIFS($I$3:$I$59,"&lt;&gt;",$D$3:$D$59,"BNC")</f>
        <v>0</v>
      </c>
      <c r="E85" s="153"/>
      <c r="F85" s="138"/>
      <c r="G85" s="154"/>
      <c r="H85" s="155"/>
      <c r="I85" s="151"/>
      <c r="J85" s="138">
        <f>COUNTIFS($I$3:$I$59,"&lt;&gt;",$D$3:$D$59,"BNC")</f>
        <v>0</v>
      </c>
      <c r="K85" s="138"/>
      <c r="L85" s="138"/>
      <c r="M85" s="138"/>
      <c r="N85" s="138"/>
      <c r="O85" s="138"/>
      <c r="P85" s="138"/>
      <c r="Q85" s="152"/>
      <c r="R85" s="138"/>
      <c r="S85" s="148"/>
      <c r="T85" s="148">
        <f>+SUM(E85:P85)</f>
        <v>0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277"/>
      <c r="C86" s="138" t="s">
        <v>122</v>
      </c>
      <c r="D86" s="138">
        <f>COUNTIFS($I$3:$I$59,"&lt;&gt;",$D$3:$D$59,"AGRI")</f>
        <v>0</v>
      </c>
      <c r="E86" s="152"/>
      <c r="F86" s="138"/>
      <c r="G86" s="148">
        <f>COUNTIFS($I$3:$I$59,"&lt;&gt;",$F$3:$F$59,"SAS",$D$3:$D$59,"AGRI")</f>
        <v>0</v>
      </c>
      <c r="H86" s="138">
        <f>COUNTIFS($F$3:$F$59,"INDIVIDUEL",$D$3:$D$59,"AGRI",$I3:$I$59,"&lt;&gt;")</f>
        <v>0</v>
      </c>
      <c r="I86" s="138"/>
      <c r="J86" s="138"/>
      <c r="K86" s="138"/>
      <c r="L86" s="138"/>
      <c r="M86" s="138">
        <f>COUNTIFS($I$3:$I$59,"&lt;&gt;",$F$5:$F$61,"EARL")</f>
        <v>0</v>
      </c>
      <c r="N86" s="138">
        <f>COUNTIFS($I$3:$I$59,"&lt;&gt;",$F$5:$F$61,"ETA")</f>
        <v>0</v>
      </c>
      <c r="O86" s="138">
        <f>COUNTIFS($I$3:$I$59,"&lt;&gt;",$F$5:$F$61,"SCEA")</f>
        <v>0</v>
      </c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7" t="s">
        <v>123</v>
      </c>
      <c r="C87" s="277"/>
      <c r="D87" s="138">
        <f t="shared" ref="D87:R87" si="8">+SUM(D84:D86)</f>
        <v>2</v>
      </c>
      <c r="E87" s="152">
        <f t="shared" si="8"/>
        <v>1</v>
      </c>
      <c r="F87" s="152">
        <f t="shared" si="8"/>
        <v>1</v>
      </c>
      <c r="G87" s="152">
        <f t="shared" si="8"/>
        <v>0</v>
      </c>
      <c r="H87" s="152">
        <f t="shared" si="8"/>
        <v>0</v>
      </c>
      <c r="I87" s="152">
        <f t="shared" si="8"/>
        <v>0</v>
      </c>
      <c r="J87" s="152">
        <f t="shared" si="8"/>
        <v>0</v>
      </c>
      <c r="K87" s="152">
        <f t="shared" si="8"/>
        <v>0</v>
      </c>
      <c r="L87" s="152">
        <f t="shared" si="8"/>
        <v>0</v>
      </c>
      <c r="M87" s="152">
        <f t="shared" si="8"/>
        <v>0</v>
      </c>
      <c r="N87" s="152">
        <f t="shared" si="8"/>
        <v>0</v>
      </c>
      <c r="O87" s="152">
        <f t="shared" si="8"/>
        <v>0</v>
      </c>
      <c r="P87" s="152">
        <f t="shared" si="8"/>
        <v>0</v>
      </c>
      <c r="Q87" s="152">
        <f t="shared" si="8"/>
        <v>0</v>
      </c>
      <c r="R87" s="152">
        <f t="shared" si="8"/>
        <v>0</v>
      </c>
      <c r="S87" s="156"/>
      <c r="T87" s="148">
        <f>+SUM(T84:T86)</f>
        <v>2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137"/>
      <c r="C88" s="137"/>
      <c r="D88" s="137"/>
      <c r="E88" s="137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278">
        <v>44196</v>
      </c>
      <c r="C89" s="138"/>
      <c r="D89" s="138"/>
      <c r="E89" s="140" t="str">
        <f t="shared" ref="E89:R89" si="9">E64</f>
        <v>SARL</v>
      </c>
      <c r="F89" s="138" t="str">
        <f t="shared" si="9"/>
        <v>EURL</v>
      </c>
      <c r="G89" s="141" t="str">
        <f t="shared" si="9"/>
        <v>SAS</v>
      </c>
      <c r="H89" s="142" t="str">
        <f t="shared" si="9"/>
        <v>INDIVIDUEL</v>
      </c>
      <c r="I89" s="142" t="str">
        <f t="shared" si="9"/>
        <v>ASSOCIATION</v>
      </c>
      <c r="J89" s="143" t="str">
        <f t="shared" si="9"/>
        <v>PROFESSION LIBERALE</v>
      </c>
      <c r="K89" s="143" t="str">
        <f t="shared" si="9"/>
        <v>SNC</v>
      </c>
      <c r="L89" s="143" t="str">
        <f t="shared" si="9"/>
        <v>SCI</v>
      </c>
      <c r="M89" s="143" t="str">
        <f t="shared" si="9"/>
        <v>EARL</v>
      </c>
      <c r="N89" s="143" t="str">
        <f t="shared" si="9"/>
        <v>ETA</v>
      </c>
      <c r="O89" s="143" t="str">
        <f t="shared" si="9"/>
        <v>SCEA</v>
      </c>
      <c r="P89" s="143" t="str">
        <f t="shared" si="9"/>
        <v>GROUPEMENT</v>
      </c>
      <c r="Q89" s="138" t="str">
        <f t="shared" si="9"/>
        <v>EIRL</v>
      </c>
      <c r="R89" s="138" t="str">
        <f t="shared" si="9"/>
        <v>AUTRES</v>
      </c>
      <c r="S89" s="138"/>
      <c r="T89" s="143" t="s">
        <v>86</v>
      </c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7"/>
      <c r="C90" s="146" t="s">
        <v>109</v>
      </c>
      <c r="D90" s="138">
        <f>COUNTIFS($I$3:$I$59,"&lt;&gt;",$E$3:$E$59,DATE(Paramètres!A4,Paramètres!D15,Paramètres!C15),$D$3:$D$59,"ACS")</f>
        <v>2</v>
      </c>
      <c r="E90" s="147">
        <f>COUNTIFS($I$3:$I$59,"&lt;&gt;",$E$3:$E$59,DATE(Paramètres!A4,Paramètres!D15,Paramètres!C15),$F$3:$F$59,"SARL")</f>
        <v>1</v>
      </c>
      <c r="F90" s="138">
        <f>+COUNTIFS($I$3:$I$59,"&lt;&gt;",$E$3:$E$59,DATE(Paramètres!A4,Paramètres!D15,Paramètres!C15),$F$3:$F$59,"EURL")</f>
        <v>1</v>
      </c>
      <c r="G90" s="148">
        <f>COUNTIFS($I$3:$I$59,"&lt;&gt;",$E$3:$E$59,DATE(Paramètres!A4,Paramètres!D15,Paramètres!C15),$F$3:$F$59,"SAS",$D$3:$D$59,"ACS")</f>
        <v>0</v>
      </c>
      <c r="H90" s="138">
        <f>COUNTIFS($I$3:$I$59,"&lt;&gt;",$E$3:$E$59,DATE(Paramètres!A4,Paramètres!D15,Paramètres!C15),$F$3:$F$59,"INDIVIDUEL",$D$3:$D$59,"ACS")</f>
        <v>0</v>
      </c>
      <c r="I90" s="138">
        <f>+COUNTIFS($I$3:$I$59,"&lt;&gt;",$E$3:$E$59,DATE(Paramètres!A4,Paramètres!D15,Paramètres!C15),$F$3:$F$59,"ASSOCIATION")</f>
        <v>0</v>
      </c>
      <c r="J90" s="138"/>
      <c r="K90" s="138">
        <f>COUNTIFS($I$3:$I$59,"&lt;&gt;",$E$3:$E$59,DATE(Paramètres!A4,Paramètres!D15,Paramètres!C15),$F$3:$F$59,"SNC")</f>
        <v>0</v>
      </c>
      <c r="L90" s="138">
        <f>COUNTIFS($I$3:$I$59,"&lt;&gt;",$E$3:$E$59,DATE(Paramètres!A4,Paramètres!D15,Paramètres!C15),$F$3:$F$59,"SCI")</f>
        <v>0</v>
      </c>
      <c r="M90" s="149"/>
      <c r="N90" s="150"/>
      <c r="O90" s="151"/>
      <c r="P90" s="138">
        <f>COUNTIFS($I$3:$I$59,"&lt;&gt;",$E$3:$E$59,DATE(Paramètres!A4,Paramètres!D15,Paramètres!C15),$F$3:$F$59,"GROUPEMENT")</f>
        <v>0</v>
      </c>
      <c r="Q90" s="138">
        <f>COUNTIFS($I$3:$I$59,"&lt;&gt;",$E$3:$E$59,DATE(Paramètres!A4,Paramètres!D15,Paramètres!C15),$F$3:$F$59,"EIRL")</f>
        <v>0</v>
      </c>
      <c r="R90" s="138">
        <f>COUNTIFS($I$3:$I$59,"&lt;&gt;",$E$3:$E$59,DATE(Paramètres!A4,Paramètres!D15,Paramètres!C15),$F$3:$F$59,"AUTRES")</f>
        <v>0</v>
      </c>
      <c r="S90" s="138"/>
      <c r="T90" s="138">
        <f>+SUM(E90:P90)</f>
        <v>2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/>
      <c r="C91" s="146" t="s">
        <v>121</v>
      </c>
      <c r="D91" s="138">
        <f>COUNTIFS($I$3:$I$59,"&lt;&gt;",$E$3:$E$59,DATE(Paramètres!A4,Paramètres!D15,Paramètres!C15),$D$3:$D$59,"BNC")</f>
        <v>0</v>
      </c>
      <c r="E91" s="153"/>
      <c r="F91" s="138"/>
      <c r="G91" s="154"/>
      <c r="H91" s="155"/>
      <c r="I91" s="151"/>
      <c r="J91" s="138">
        <f>COUNTIFS($I$3:$I$59,"&lt;&gt;",$E$3:$E$59,DATE(Paramètres!A4,Paramètres!D15,Paramètres!C15),$D$3:$D$59,"BNC")</f>
        <v>0</v>
      </c>
      <c r="K91" s="149"/>
      <c r="L91" s="150"/>
      <c r="M91" s="150"/>
      <c r="N91" s="150"/>
      <c r="O91" s="150"/>
      <c r="P91" s="151"/>
      <c r="Q91" s="138"/>
      <c r="R91" s="138"/>
      <c r="S91" s="138"/>
      <c r="T91" s="138">
        <f>+SUM(E91:P91)</f>
        <v>0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277"/>
      <c r="C92" s="138" t="s">
        <v>122</v>
      </c>
      <c r="D92" s="138">
        <f>COUNTIFS($I$3:$I$59,"&lt;&gt;",$E$3:$E$59,DATE(Paramètres!A4,Paramètres!D15,Paramètres!C15),$D$3:$D$59,"AGRI")</f>
        <v>0</v>
      </c>
      <c r="E92" s="153"/>
      <c r="F92" s="138"/>
      <c r="G92" s="154">
        <f>COUNTIFS($I$3:$I$59,"&lt;&gt;",$E$3:$E$59,DATE(Paramètres!A4,Paramètres!D15,Paramètres!C15),$F$3:$F$59,"SAS",$D$3:$D$59,"AGRI")</f>
        <v>0</v>
      </c>
      <c r="H92" s="138">
        <f>COUNTIFS($I$3:$I$59,"&lt;&gt;",$E$3:$E$59,DATE(Paramètres!A4,Paramètres!D15,Paramètres!C15),$F$3:$F$59,"INDIVIDUEL",$D$3:$D$59,"AGRI")</f>
        <v>0</v>
      </c>
      <c r="I92" s="152"/>
      <c r="J92" s="149"/>
      <c r="K92" s="150"/>
      <c r="L92" s="151"/>
      <c r="M92" s="138">
        <f>COUNTIFS($I$3:$I$59,"&lt;&gt;",$BB$3:$BB$59,"X",$E$3:$E$59,DATE(Paramètres!A4,Paramètres!D15,Paramètres!C15),$F$3:$F$59,"EARL")</f>
        <v>0</v>
      </c>
      <c r="N92" s="138">
        <f>COUNTIFS($I$3:$I$59,"&lt;&gt;",$E$3:$E$59,DATE(Paramètres!A4,Paramètres!D15,Paramètres!C15),$F$3:$F$59,"ETA")</f>
        <v>0</v>
      </c>
      <c r="O92" s="138">
        <f>COUNTIFS($I$3:$I$59,"&lt;&gt;",$E$3:$E$59,DATE(Paramètres!A4,Paramètres!D15,Paramètres!C15),$F$3:$F$59,"SCEA")</f>
        <v>0</v>
      </c>
      <c r="P92" s="138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 t="s">
        <v>123</v>
      </c>
      <c r="C93" s="277"/>
      <c r="D93" s="138">
        <f t="shared" ref="D93:R93" si="10">+SUM(D90:D92)</f>
        <v>2</v>
      </c>
      <c r="E93" s="152">
        <f t="shared" si="10"/>
        <v>1</v>
      </c>
      <c r="F93" s="152">
        <f t="shared" si="10"/>
        <v>1</v>
      </c>
      <c r="G93" s="152">
        <f t="shared" si="10"/>
        <v>0</v>
      </c>
      <c r="H93" s="152">
        <f t="shared" si="10"/>
        <v>0</v>
      </c>
      <c r="I93" s="152">
        <f t="shared" si="10"/>
        <v>0</v>
      </c>
      <c r="J93" s="152">
        <f t="shared" si="10"/>
        <v>0</v>
      </c>
      <c r="K93" s="152">
        <f t="shared" si="10"/>
        <v>0</v>
      </c>
      <c r="L93" s="152">
        <f t="shared" si="10"/>
        <v>0</v>
      </c>
      <c r="M93" s="152">
        <f t="shared" si="10"/>
        <v>0</v>
      </c>
      <c r="N93" s="152">
        <f t="shared" si="10"/>
        <v>0</v>
      </c>
      <c r="O93" s="152">
        <f t="shared" si="10"/>
        <v>0</v>
      </c>
      <c r="P93" s="152">
        <f t="shared" si="10"/>
        <v>0</v>
      </c>
      <c r="Q93" s="152">
        <f t="shared" si="10"/>
        <v>0</v>
      </c>
      <c r="R93" s="152">
        <f t="shared" si="10"/>
        <v>0</v>
      </c>
      <c r="S93" s="152"/>
      <c r="T93" s="138">
        <f>+SUM(T90:T92)</f>
        <v>2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137"/>
      <c r="C94" s="137"/>
      <c r="D94" s="137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277" t="s">
        <v>40</v>
      </c>
      <c r="C95" s="138"/>
      <c r="D95" s="138"/>
      <c r="E95" s="140" t="str">
        <f t="shared" ref="E95:R95" si="11">E64</f>
        <v>SARL</v>
      </c>
      <c r="F95" s="138" t="str">
        <f t="shared" si="11"/>
        <v>EURL</v>
      </c>
      <c r="G95" s="141" t="str">
        <f t="shared" si="11"/>
        <v>SAS</v>
      </c>
      <c r="H95" s="142" t="str">
        <f t="shared" si="11"/>
        <v>INDIVIDUEL</v>
      </c>
      <c r="I95" s="142" t="str">
        <f t="shared" si="11"/>
        <v>ASSOCIATION</v>
      </c>
      <c r="J95" s="143" t="str">
        <f t="shared" si="11"/>
        <v>PROFESSION LIBERALE</v>
      </c>
      <c r="K95" s="143" t="str">
        <f t="shared" si="11"/>
        <v>SNC</v>
      </c>
      <c r="L95" s="143" t="str">
        <f t="shared" si="11"/>
        <v>SCI</v>
      </c>
      <c r="M95" s="143" t="str">
        <f t="shared" si="11"/>
        <v>EARL</v>
      </c>
      <c r="N95" s="143" t="str">
        <f t="shared" si="11"/>
        <v>ETA</v>
      </c>
      <c r="O95" s="143" t="str">
        <f t="shared" si="11"/>
        <v>SCEA</v>
      </c>
      <c r="P95" s="143" t="str">
        <f t="shared" si="11"/>
        <v>GROUPEMENT</v>
      </c>
      <c r="Q95" s="138" t="str">
        <f t="shared" si="11"/>
        <v>EIRL</v>
      </c>
      <c r="R95" s="138" t="str">
        <f t="shared" si="11"/>
        <v>AUTRES</v>
      </c>
      <c r="S95" s="138"/>
      <c r="T95" s="143" t="s">
        <v>86</v>
      </c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/>
      <c r="C96" s="146" t="s">
        <v>109</v>
      </c>
      <c r="D96" s="138">
        <f>+D84-D90</f>
        <v>0</v>
      </c>
      <c r="E96" s="152">
        <f>+E84-E90</f>
        <v>0</v>
      </c>
      <c r="F96" s="152">
        <f t="shared" ref="F96:R96" si="12">+F84-F90</f>
        <v>0</v>
      </c>
      <c r="G96" s="152">
        <f t="shared" si="12"/>
        <v>0</v>
      </c>
      <c r="H96" s="152">
        <f t="shared" si="12"/>
        <v>0</v>
      </c>
      <c r="I96" s="152">
        <f t="shared" si="12"/>
        <v>0</v>
      </c>
      <c r="J96" s="152">
        <f t="shared" si="12"/>
        <v>0</v>
      </c>
      <c r="K96" s="152">
        <f t="shared" si="12"/>
        <v>0</v>
      </c>
      <c r="L96" s="152">
        <f t="shared" si="12"/>
        <v>0</v>
      </c>
      <c r="M96" s="152">
        <f t="shared" si="12"/>
        <v>0</v>
      </c>
      <c r="N96" s="152">
        <f t="shared" si="12"/>
        <v>0</v>
      </c>
      <c r="O96" s="152">
        <f t="shared" si="12"/>
        <v>0</v>
      </c>
      <c r="P96" s="152">
        <f t="shared" si="12"/>
        <v>0</v>
      </c>
      <c r="Q96" s="152">
        <f t="shared" si="12"/>
        <v>0</v>
      </c>
      <c r="R96" s="152">
        <f t="shared" si="12"/>
        <v>0</v>
      </c>
      <c r="S96" s="152"/>
      <c r="T96" s="138">
        <f>+SUM(E96:P96)</f>
        <v>0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/>
      <c r="C97" s="146" t="s">
        <v>121</v>
      </c>
      <c r="D97" s="138">
        <f>+D85-D91</f>
        <v>0</v>
      </c>
      <c r="E97" s="138">
        <f t="shared" ref="E97:R99" si="13">+E85-E91</f>
        <v>0</v>
      </c>
      <c r="F97" s="138">
        <f t="shared" si="13"/>
        <v>0</v>
      </c>
      <c r="G97" s="138">
        <f t="shared" si="13"/>
        <v>0</v>
      </c>
      <c r="H97" s="138">
        <f t="shared" si="13"/>
        <v>0</v>
      </c>
      <c r="I97" s="138">
        <f t="shared" si="13"/>
        <v>0</v>
      </c>
      <c r="J97" s="138">
        <f t="shared" si="13"/>
        <v>0</v>
      </c>
      <c r="K97" s="138">
        <f t="shared" si="13"/>
        <v>0</v>
      </c>
      <c r="L97" s="138">
        <f t="shared" si="13"/>
        <v>0</v>
      </c>
      <c r="M97" s="138">
        <f t="shared" si="13"/>
        <v>0</v>
      </c>
      <c r="N97" s="138">
        <f t="shared" si="13"/>
        <v>0</v>
      </c>
      <c r="O97" s="138">
        <f t="shared" si="13"/>
        <v>0</v>
      </c>
      <c r="P97" s="138">
        <f t="shared" si="13"/>
        <v>0</v>
      </c>
      <c r="Q97" s="138">
        <f t="shared" si="13"/>
        <v>0</v>
      </c>
      <c r="R97" s="138">
        <f t="shared" si="13"/>
        <v>0</v>
      </c>
      <c r="S97" s="138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B98" s="277"/>
      <c r="C98" s="138" t="s">
        <v>122</v>
      </c>
      <c r="D98" s="138">
        <f>+D86-D92</f>
        <v>0</v>
      </c>
      <c r="E98" s="138">
        <f t="shared" si="13"/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277" t="s">
        <v>123</v>
      </c>
      <c r="C99" s="277"/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+SUM(T96:T98)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B101" s="89" t="s">
        <v>133</v>
      </c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B103" s="279" t="s">
        <v>120</v>
      </c>
      <c r="C103" s="122"/>
      <c r="D103" s="122"/>
      <c r="E103" s="157" t="str">
        <f t="shared" ref="E103:R103" si="14">E64</f>
        <v>SARL</v>
      </c>
      <c r="F103" s="121" t="str">
        <f t="shared" si="14"/>
        <v>EURL</v>
      </c>
      <c r="G103" s="158" t="str">
        <f t="shared" si="14"/>
        <v>SAS</v>
      </c>
      <c r="H103" s="158" t="str">
        <f t="shared" si="14"/>
        <v>INDIVIDUEL</v>
      </c>
      <c r="I103" s="158" t="str">
        <f t="shared" si="14"/>
        <v>ASSOCIATION</v>
      </c>
      <c r="J103" s="157" t="str">
        <f t="shared" si="14"/>
        <v>PROFESSION LIBERALE</v>
      </c>
      <c r="K103" s="157" t="str">
        <f t="shared" si="14"/>
        <v>SNC</v>
      </c>
      <c r="L103" s="157" t="str">
        <f t="shared" si="14"/>
        <v>SCI</v>
      </c>
      <c r="M103" s="157" t="str">
        <f t="shared" si="14"/>
        <v>EARL</v>
      </c>
      <c r="N103" s="157" t="str">
        <f t="shared" si="14"/>
        <v>ETA</v>
      </c>
      <c r="O103" s="157" t="str">
        <f t="shared" si="14"/>
        <v>SCEA</v>
      </c>
      <c r="P103" s="157" t="str">
        <f t="shared" si="14"/>
        <v>GROUPEMENT</v>
      </c>
      <c r="Q103" s="121" t="str">
        <f t="shared" si="14"/>
        <v>EIRL</v>
      </c>
      <c r="R103" s="121" t="str">
        <f t="shared" si="14"/>
        <v>AUTRES</v>
      </c>
      <c r="S103" s="121"/>
      <c r="T103" s="157" t="s">
        <v>86</v>
      </c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80"/>
      <c r="C104" s="120" t="s">
        <v>109</v>
      </c>
      <c r="D104" s="122">
        <f>+D65-D84</f>
        <v>1</v>
      </c>
      <c r="E104" s="122">
        <f t="shared" ref="E104:R106" si="15">+E65-E84</f>
        <v>0</v>
      </c>
      <c r="F104" s="122">
        <f t="shared" si="15"/>
        <v>0</v>
      </c>
      <c r="G104" s="122">
        <f t="shared" si="15"/>
        <v>0</v>
      </c>
      <c r="H104" s="122">
        <f t="shared" si="15"/>
        <v>0</v>
      </c>
      <c r="I104" s="122">
        <f t="shared" si="15"/>
        <v>0</v>
      </c>
      <c r="J104" s="122">
        <f t="shared" si="15"/>
        <v>0</v>
      </c>
      <c r="K104" s="122">
        <f t="shared" si="15"/>
        <v>0</v>
      </c>
      <c r="L104" s="122">
        <f t="shared" si="15"/>
        <v>0</v>
      </c>
      <c r="M104" s="122">
        <f t="shared" si="15"/>
        <v>0</v>
      </c>
      <c r="N104" s="122">
        <f t="shared" si="15"/>
        <v>0</v>
      </c>
      <c r="O104" s="122">
        <f t="shared" si="15"/>
        <v>0</v>
      </c>
      <c r="P104" s="122">
        <f t="shared" si="15"/>
        <v>0</v>
      </c>
      <c r="Q104" s="122">
        <f t="shared" si="15"/>
        <v>1</v>
      </c>
      <c r="R104" s="122">
        <f t="shared" si="15"/>
        <v>0</v>
      </c>
      <c r="S104" s="122"/>
      <c r="T104" s="122">
        <f>+SUM(E104:P104)</f>
        <v>0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80"/>
      <c r="C105" s="120" t="s">
        <v>121</v>
      </c>
      <c r="D105" s="122">
        <f>+D66-D85</f>
        <v>0</v>
      </c>
      <c r="E105" s="122">
        <f t="shared" si="15"/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0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281"/>
      <c r="C106" s="122" t="s">
        <v>122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75" t="s">
        <v>123</v>
      </c>
      <c r="C107" s="275"/>
      <c r="D107" s="122">
        <f t="shared" ref="D107:R107" si="16">+SUM(D104:D106)</f>
        <v>1</v>
      </c>
      <c r="E107" s="122">
        <f t="shared" si="16"/>
        <v>0</v>
      </c>
      <c r="F107" s="122">
        <f t="shared" si="16"/>
        <v>0</v>
      </c>
      <c r="G107" s="122">
        <f t="shared" si="16"/>
        <v>0</v>
      </c>
      <c r="H107" s="122">
        <f t="shared" si="16"/>
        <v>0</v>
      </c>
      <c r="I107" s="122">
        <f t="shared" si="16"/>
        <v>0</v>
      </c>
      <c r="J107" s="122">
        <f t="shared" si="16"/>
        <v>0</v>
      </c>
      <c r="K107" s="122">
        <f t="shared" si="16"/>
        <v>0</v>
      </c>
      <c r="L107" s="122">
        <f t="shared" si="16"/>
        <v>0</v>
      </c>
      <c r="M107" s="122">
        <f t="shared" si="16"/>
        <v>0</v>
      </c>
      <c r="N107" s="122">
        <f t="shared" si="16"/>
        <v>0</v>
      </c>
      <c r="O107" s="122">
        <f t="shared" si="16"/>
        <v>0</v>
      </c>
      <c r="P107" s="122">
        <f t="shared" si="16"/>
        <v>0</v>
      </c>
      <c r="Q107" s="122">
        <f t="shared" si="16"/>
        <v>1</v>
      </c>
      <c r="R107" s="122">
        <f t="shared" si="16"/>
        <v>0</v>
      </c>
      <c r="S107" s="122"/>
      <c r="T107" s="122">
        <f>+SUM(T104:T106)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90"/>
      <c r="C108" s="90"/>
      <c r="D108" s="90"/>
      <c r="E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T108" s="90"/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282">
        <v>44196</v>
      </c>
      <c r="C109" s="122"/>
      <c r="D109" s="122"/>
      <c r="E109" s="128" t="str">
        <f t="shared" ref="E109:R109" si="17">E64</f>
        <v>SARL</v>
      </c>
      <c r="F109" s="121" t="str">
        <f t="shared" si="17"/>
        <v>EURL</v>
      </c>
      <c r="G109" s="127" t="str">
        <f t="shared" si="17"/>
        <v>SAS</v>
      </c>
      <c r="H109" s="127" t="str">
        <f t="shared" si="17"/>
        <v>INDIVIDUEL</v>
      </c>
      <c r="I109" s="127" t="str">
        <f t="shared" si="17"/>
        <v>ASSOCIATION</v>
      </c>
      <c r="J109" s="128" t="str">
        <f t="shared" si="17"/>
        <v>PROFESSION LIBERALE</v>
      </c>
      <c r="K109" s="128" t="str">
        <f t="shared" si="17"/>
        <v>SNC</v>
      </c>
      <c r="L109" s="128" t="str">
        <f t="shared" si="17"/>
        <v>SCI</v>
      </c>
      <c r="M109" s="128" t="str">
        <f t="shared" si="17"/>
        <v>EARL</v>
      </c>
      <c r="N109" s="128" t="str">
        <f t="shared" si="17"/>
        <v>ETA</v>
      </c>
      <c r="O109" s="128" t="str">
        <f t="shared" si="17"/>
        <v>SCEA</v>
      </c>
      <c r="P109" s="128" t="str">
        <f t="shared" si="17"/>
        <v>GROUPEMENT</v>
      </c>
      <c r="Q109" s="128" t="str">
        <f t="shared" si="17"/>
        <v>EIRL</v>
      </c>
      <c r="R109" s="121" t="str">
        <f t="shared" si="17"/>
        <v>AUTRES</v>
      </c>
      <c r="S109" s="121"/>
      <c r="T109" s="128" t="s">
        <v>86</v>
      </c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0"/>
      <c r="C110" s="120" t="s">
        <v>109</v>
      </c>
      <c r="D110" s="122">
        <f>+D71-D90</f>
        <v>1</v>
      </c>
      <c r="E110" s="122">
        <f t="shared" ref="E110:R112" si="18">+E71-E90</f>
        <v>0</v>
      </c>
      <c r="F110" s="122">
        <f t="shared" si="18"/>
        <v>0</v>
      </c>
      <c r="G110" s="122">
        <f t="shared" si="18"/>
        <v>0</v>
      </c>
      <c r="H110" s="122">
        <f t="shared" si="18"/>
        <v>0</v>
      </c>
      <c r="I110" s="122">
        <f t="shared" si="18"/>
        <v>0</v>
      </c>
      <c r="J110" s="122">
        <f t="shared" si="18"/>
        <v>0</v>
      </c>
      <c r="K110" s="122">
        <f t="shared" si="18"/>
        <v>0</v>
      </c>
      <c r="L110" s="122">
        <f t="shared" si="18"/>
        <v>0</v>
      </c>
      <c r="M110" s="122">
        <f t="shared" si="18"/>
        <v>0</v>
      </c>
      <c r="N110" s="122">
        <f t="shared" si="18"/>
        <v>0</v>
      </c>
      <c r="O110" s="122">
        <f t="shared" si="18"/>
        <v>0</v>
      </c>
      <c r="P110" s="122">
        <f t="shared" si="18"/>
        <v>0</v>
      </c>
      <c r="Q110" s="122">
        <f t="shared" si="18"/>
        <v>1</v>
      </c>
      <c r="R110" s="122">
        <f t="shared" si="18"/>
        <v>0</v>
      </c>
      <c r="S110" s="122"/>
      <c r="T110" s="122">
        <f>+SUM(E110:P110)</f>
        <v>0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80"/>
      <c r="C111" s="120" t="s">
        <v>121</v>
      </c>
      <c r="D111" s="122">
        <f>+D72-D91</f>
        <v>0</v>
      </c>
      <c r="E111" s="122">
        <f t="shared" si="18"/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0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281"/>
      <c r="C112" s="122" t="s">
        <v>122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75" t="s">
        <v>123</v>
      </c>
      <c r="C113" s="275"/>
      <c r="D113" s="122">
        <f t="shared" ref="D113:R113" si="19">+SUM(D110:D112)</f>
        <v>1</v>
      </c>
      <c r="E113" s="122">
        <f t="shared" si="19"/>
        <v>0</v>
      </c>
      <c r="F113" s="122">
        <f t="shared" si="19"/>
        <v>0</v>
      </c>
      <c r="G113" s="122">
        <f t="shared" si="19"/>
        <v>0</v>
      </c>
      <c r="H113" s="122">
        <f t="shared" si="19"/>
        <v>0</v>
      </c>
      <c r="I113" s="122">
        <f t="shared" si="19"/>
        <v>0</v>
      </c>
      <c r="J113" s="122">
        <f t="shared" si="19"/>
        <v>0</v>
      </c>
      <c r="K113" s="122">
        <f t="shared" si="19"/>
        <v>0</v>
      </c>
      <c r="L113" s="122">
        <f t="shared" si="19"/>
        <v>0</v>
      </c>
      <c r="M113" s="122">
        <f t="shared" si="19"/>
        <v>0</v>
      </c>
      <c r="N113" s="122">
        <f t="shared" si="19"/>
        <v>0</v>
      </c>
      <c r="O113" s="122">
        <f t="shared" si="19"/>
        <v>0</v>
      </c>
      <c r="P113" s="122">
        <f t="shared" si="19"/>
        <v>0</v>
      </c>
      <c r="Q113" s="122">
        <f t="shared" si="19"/>
        <v>1</v>
      </c>
      <c r="R113" s="122">
        <f t="shared" si="19"/>
        <v>0</v>
      </c>
      <c r="S113" s="122"/>
      <c r="T113" s="122">
        <f>+SUM(T110:T112)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90"/>
      <c r="C114" s="90"/>
      <c r="D114" s="90"/>
      <c r="E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T114" s="90"/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282" t="s">
        <v>40</v>
      </c>
      <c r="C115" s="122"/>
      <c r="D115" s="122"/>
      <c r="E115" s="125" t="str">
        <f t="shared" ref="E115:R115" si="20">E64</f>
        <v>SARL</v>
      </c>
      <c r="F115" s="121" t="str">
        <f t="shared" si="20"/>
        <v>EURL</v>
      </c>
      <c r="G115" s="126" t="str">
        <f t="shared" si="20"/>
        <v>SAS</v>
      </c>
      <c r="H115" s="127" t="str">
        <f t="shared" si="20"/>
        <v>INDIVIDUEL</v>
      </c>
      <c r="I115" s="127" t="str">
        <f t="shared" si="20"/>
        <v>ASSOCIATION</v>
      </c>
      <c r="J115" s="128" t="str">
        <f t="shared" si="20"/>
        <v>PROFESSION LIBERALE</v>
      </c>
      <c r="K115" s="128" t="str">
        <f t="shared" si="20"/>
        <v>SNC</v>
      </c>
      <c r="L115" s="128" t="str">
        <f t="shared" si="20"/>
        <v>SCI</v>
      </c>
      <c r="M115" s="128" t="str">
        <f t="shared" si="20"/>
        <v>EARL</v>
      </c>
      <c r="N115" s="128" t="str">
        <f t="shared" si="20"/>
        <v>ETA</v>
      </c>
      <c r="O115" s="128" t="str">
        <f t="shared" si="20"/>
        <v>SCEA</v>
      </c>
      <c r="P115" s="128" t="str">
        <f t="shared" si="20"/>
        <v>GROUPEMENT</v>
      </c>
      <c r="Q115" s="128" t="str">
        <f t="shared" si="20"/>
        <v>EIRL</v>
      </c>
      <c r="R115" s="121" t="str">
        <f t="shared" si="20"/>
        <v>AUTRES</v>
      </c>
      <c r="S115" s="121"/>
      <c r="T115" s="128" t="s">
        <v>86</v>
      </c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0"/>
      <c r="C116" s="120" t="s">
        <v>109</v>
      </c>
      <c r="D116" s="122">
        <f>+D104-D110</f>
        <v>0</v>
      </c>
      <c r="E116" s="122">
        <f t="shared" ref="E116:R119" si="21">+E104-E110</f>
        <v>0</v>
      </c>
      <c r="F116" s="122">
        <f t="shared" si="21"/>
        <v>0</v>
      </c>
      <c r="G116" s="122">
        <f t="shared" si="21"/>
        <v>0</v>
      </c>
      <c r="H116" s="122">
        <f t="shared" si="21"/>
        <v>0</v>
      </c>
      <c r="I116" s="122">
        <f t="shared" si="21"/>
        <v>0</v>
      </c>
      <c r="J116" s="122">
        <f t="shared" si="21"/>
        <v>0</v>
      </c>
      <c r="K116" s="122">
        <f t="shared" si="21"/>
        <v>0</v>
      </c>
      <c r="L116" s="122">
        <f t="shared" si="21"/>
        <v>0</v>
      </c>
      <c r="M116" s="122">
        <f t="shared" si="21"/>
        <v>0</v>
      </c>
      <c r="N116" s="122">
        <f t="shared" si="21"/>
        <v>0</v>
      </c>
      <c r="O116" s="122">
        <f t="shared" si="21"/>
        <v>0</v>
      </c>
      <c r="P116" s="122">
        <f t="shared" si="21"/>
        <v>0</v>
      </c>
      <c r="Q116" s="122">
        <f t="shared" si="21"/>
        <v>0</v>
      </c>
      <c r="R116" s="122">
        <f t="shared" si="21"/>
        <v>0</v>
      </c>
      <c r="S116" s="122"/>
      <c r="T116" s="122">
        <f>+SUM(E116:P116)</f>
        <v>0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80"/>
      <c r="C117" s="120" t="s">
        <v>121</v>
      </c>
      <c r="D117" s="122">
        <f>+D105-D111</f>
        <v>0</v>
      </c>
      <c r="E117" s="122">
        <f t="shared" si="21"/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B118" s="281"/>
      <c r="C118" s="122" t="s">
        <v>122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B119" s="275" t="s">
        <v>123</v>
      </c>
      <c r="C119" s="275"/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+SUM(T116:T118)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  <row r="181" spans="21:52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  <c r="AZ181" s="164"/>
    </row>
    <row r="182" spans="21:52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</row>
  </sheetData>
  <sheetProtection selectLockedCells="1" selectUnlockedCells="1"/>
  <mergeCells count="18">
    <mergeCell ref="B64:B67"/>
    <mergeCell ref="B68:C68"/>
    <mergeCell ref="B70:B73"/>
    <mergeCell ref="B74:C74"/>
    <mergeCell ref="B76:B79"/>
    <mergeCell ref="B80:C80"/>
    <mergeCell ref="B119:C119"/>
    <mergeCell ref="B83:B86"/>
    <mergeCell ref="B87:C87"/>
    <mergeCell ref="B89:B92"/>
    <mergeCell ref="B93:C93"/>
    <mergeCell ref="B95:B98"/>
    <mergeCell ref="B99:C99"/>
    <mergeCell ref="B103:B106"/>
    <mergeCell ref="B107:C107"/>
    <mergeCell ref="B109:B112"/>
    <mergeCell ref="B113:C113"/>
    <mergeCell ref="B115:B118"/>
  </mergeCells>
  <conditionalFormatting sqref="P3:P59">
    <cfRule type="expression" dxfId="591" priority="4">
      <formula>AND(P3&lt;&gt;"",P3&lt;&gt;"OUI")</formula>
    </cfRule>
  </conditionalFormatting>
  <conditionalFormatting sqref="AN3:AO59 S3:AH59">
    <cfRule type="expression" dxfId="590" priority="1" stopIfTrue="1">
      <formula>$AH3&lt;&gt;0</formula>
    </cfRule>
  </conditionalFormatting>
  <conditionalFormatting sqref="A3:E59">
    <cfRule type="expression" dxfId="589" priority="29" stopIfTrue="1">
      <formula>AND($I3&lt;&gt;"",AND($J3="",AND($BA3="",$BB3="")))</formula>
    </cfRule>
    <cfRule type="expression" dxfId="588" priority="30" stopIfTrue="1">
      <formula>AND($J3&lt;&gt;"",AND($BA3="",$BB3=""))</formula>
    </cfRule>
    <cfRule type="expression" dxfId="587" priority="31" stopIfTrue="1">
      <formula>AND($BA3&lt;&gt;"",$BB3="")</formula>
    </cfRule>
    <cfRule type="expression" dxfId="586" priority="32" stopIfTrue="1">
      <formula>$BB3="X"</formula>
    </cfRule>
  </conditionalFormatting>
  <dataValidations count="12">
    <dataValidation type="list" allowBlank="1" showInputMessage="1" showErrorMessage="1" sqref="D65538:D65595 JU65538:JU65595 TQ65538:TQ65595 ADM65538:ADM65595 ANI65538:ANI65595 AXE65538:AXE65595 BHA65538:BHA65595 BQW65538:BQW65595 CAS65538:CAS65595 CKO65538:CKO65595 CUK65538:CUK65595 DEG65538:DEG65595 DOC65538:DOC65595 DXY65538:DXY65595 EHU65538:EHU65595 ERQ65538:ERQ65595 FBM65538:FBM65595 FLI65538:FLI65595 FVE65538:FVE65595 GFA65538:GFA65595 GOW65538:GOW65595 GYS65538:GYS65595 HIO65538:HIO65595 HSK65538:HSK65595 ICG65538:ICG65595 IMC65538:IMC65595 IVY65538:IVY65595 JFU65538:JFU65595 JPQ65538:JPQ65595 JZM65538:JZM65595 KJI65538:KJI65595 KTE65538:KTE65595 LDA65538:LDA65595 LMW65538:LMW65595 LWS65538:LWS65595 MGO65538:MGO65595 MQK65538:MQK65595 NAG65538:NAG65595 NKC65538:NKC65595 NTY65538:NTY65595 ODU65538:ODU65595 ONQ65538:ONQ65595 OXM65538:OXM65595 PHI65538:PHI65595 PRE65538:PRE65595 QBA65538:QBA65595 QKW65538:QKW65595 QUS65538:QUS65595 REO65538:REO65595 ROK65538:ROK65595 RYG65538:RYG65595 SIC65538:SIC65595 SRY65538:SRY65595 TBU65538:TBU65595 TLQ65538:TLQ65595 TVM65538:TVM65595 UFI65538:UFI65595 UPE65538:UPE65595 UZA65538:UZA65595 VIW65538:VIW65595 VSS65538:VSS65595 WCO65538:WCO65595 WMK65538:WMK65595 WWG65538:WWG65595 D131074:D131131 JU131074:JU131131 TQ131074:TQ131131 ADM131074:ADM131131 ANI131074:ANI131131 AXE131074:AXE131131 BHA131074:BHA131131 BQW131074:BQW131131 CAS131074:CAS131131 CKO131074:CKO131131 CUK131074:CUK131131 DEG131074:DEG131131 DOC131074:DOC131131 DXY131074:DXY131131 EHU131074:EHU131131 ERQ131074:ERQ131131 FBM131074:FBM131131 FLI131074:FLI131131 FVE131074:FVE131131 GFA131074:GFA131131 GOW131074:GOW131131 GYS131074:GYS131131 HIO131074:HIO131131 HSK131074:HSK131131 ICG131074:ICG131131 IMC131074:IMC131131 IVY131074:IVY131131 JFU131074:JFU131131 JPQ131074:JPQ131131 JZM131074:JZM131131 KJI131074:KJI131131 KTE131074:KTE131131 LDA131074:LDA131131 LMW131074:LMW131131 LWS131074:LWS131131 MGO131074:MGO131131 MQK131074:MQK131131 NAG131074:NAG131131 NKC131074:NKC131131 NTY131074:NTY131131 ODU131074:ODU131131 ONQ131074:ONQ131131 OXM131074:OXM131131 PHI131074:PHI131131 PRE131074:PRE131131 QBA131074:QBA131131 QKW131074:QKW131131 QUS131074:QUS131131 REO131074:REO131131 ROK131074:ROK131131 RYG131074:RYG131131 SIC131074:SIC131131 SRY131074:SRY131131 TBU131074:TBU131131 TLQ131074:TLQ131131 TVM131074:TVM131131 UFI131074:UFI131131 UPE131074:UPE131131 UZA131074:UZA131131 VIW131074:VIW131131 VSS131074:VSS131131 WCO131074:WCO131131 WMK131074:WMK131131 WWG131074:WWG131131 D196610:D196667 JU196610:JU196667 TQ196610:TQ196667 ADM196610:ADM196667 ANI196610:ANI196667 AXE196610:AXE196667 BHA196610:BHA196667 BQW196610:BQW196667 CAS196610:CAS196667 CKO196610:CKO196667 CUK196610:CUK196667 DEG196610:DEG196667 DOC196610:DOC196667 DXY196610:DXY196667 EHU196610:EHU196667 ERQ196610:ERQ196667 FBM196610:FBM196667 FLI196610:FLI196667 FVE196610:FVE196667 GFA196610:GFA196667 GOW196610:GOW196667 GYS196610:GYS196667 HIO196610:HIO196667 HSK196610:HSK196667 ICG196610:ICG196667 IMC196610:IMC196667 IVY196610:IVY196667 JFU196610:JFU196667 JPQ196610:JPQ196667 JZM196610:JZM196667 KJI196610:KJI196667 KTE196610:KTE196667 LDA196610:LDA196667 LMW196610:LMW196667 LWS196610:LWS196667 MGO196610:MGO196667 MQK196610:MQK196667 NAG196610:NAG196667 NKC196610:NKC196667 NTY196610:NTY196667 ODU196610:ODU196667 ONQ196610:ONQ196667 OXM196610:OXM196667 PHI196610:PHI196667 PRE196610:PRE196667 QBA196610:QBA196667 QKW196610:QKW196667 QUS196610:QUS196667 REO196610:REO196667 ROK196610:ROK196667 RYG196610:RYG196667 SIC196610:SIC196667 SRY196610:SRY196667 TBU196610:TBU196667 TLQ196610:TLQ196667 TVM196610:TVM196667 UFI196610:UFI196667 UPE196610:UPE196667 UZA196610:UZA196667 VIW196610:VIW196667 VSS196610:VSS196667 WCO196610:WCO196667 WMK196610:WMK196667 WWG196610:WWG196667 D262146:D262203 JU262146:JU262203 TQ262146:TQ262203 ADM262146:ADM262203 ANI262146:ANI262203 AXE262146:AXE262203 BHA262146:BHA262203 BQW262146:BQW262203 CAS262146:CAS262203 CKO262146:CKO262203 CUK262146:CUK262203 DEG262146:DEG262203 DOC262146:DOC262203 DXY262146:DXY262203 EHU262146:EHU262203 ERQ262146:ERQ262203 FBM262146:FBM262203 FLI262146:FLI262203 FVE262146:FVE262203 GFA262146:GFA262203 GOW262146:GOW262203 GYS262146:GYS262203 HIO262146:HIO262203 HSK262146:HSK262203 ICG262146:ICG262203 IMC262146:IMC262203 IVY262146:IVY262203 JFU262146:JFU262203 JPQ262146:JPQ262203 JZM262146:JZM262203 KJI262146:KJI262203 KTE262146:KTE262203 LDA262146:LDA262203 LMW262146:LMW262203 LWS262146:LWS262203 MGO262146:MGO262203 MQK262146:MQK262203 NAG262146:NAG262203 NKC262146:NKC262203 NTY262146:NTY262203 ODU262146:ODU262203 ONQ262146:ONQ262203 OXM262146:OXM262203 PHI262146:PHI262203 PRE262146:PRE262203 QBA262146:QBA262203 QKW262146:QKW262203 QUS262146:QUS262203 REO262146:REO262203 ROK262146:ROK262203 RYG262146:RYG262203 SIC262146:SIC262203 SRY262146:SRY262203 TBU262146:TBU262203 TLQ262146:TLQ262203 TVM262146:TVM262203 UFI262146:UFI262203 UPE262146:UPE262203 UZA262146:UZA262203 VIW262146:VIW262203 VSS262146:VSS262203 WCO262146:WCO262203 WMK262146:WMK262203 WWG262146:WWG262203 D327682:D327739 JU327682:JU327739 TQ327682:TQ327739 ADM327682:ADM327739 ANI327682:ANI327739 AXE327682:AXE327739 BHA327682:BHA327739 BQW327682:BQW327739 CAS327682:CAS327739 CKO327682:CKO327739 CUK327682:CUK327739 DEG327682:DEG327739 DOC327682:DOC327739 DXY327682:DXY327739 EHU327682:EHU327739 ERQ327682:ERQ327739 FBM327682:FBM327739 FLI327682:FLI327739 FVE327682:FVE327739 GFA327682:GFA327739 GOW327682:GOW327739 GYS327682:GYS327739 HIO327682:HIO327739 HSK327682:HSK327739 ICG327682:ICG327739 IMC327682:IMC327739 IVY327682:IVY327739 JFU327682:JFU327739 JPQ327682:JPQ327739 JZM327682:JZM327739 KJI327682:KJI327739 KTE327682:KTE327739 LDA327682:LDA327739 LMW327682:LMW327739 LWS327682:LWS327739 MGO327682:MGO327739 MQK327682:MQK327739 NAG327682:NAG327739 NKC327682:NKC327739 NTY327682:NTY327739 ODU327682:ODU327739 ONQ327682:ONQ327739 OXM327682:OXM327739 PHI327682:PHI327739 PRE327682:PRE327739 QBA327682:QBA327739 QKW327682:QKW327739 QUS327682:QUS327739 REO327682:REO327739 ROK327682:ROK327739 RYG327682:RYG327739 SIC327682:SIC327739 SRY327682:SRY327739 TBU327682:TBU327739 TLQ327682:TLQ327739 TVM327682:TVM327739 UFI327682:UFI327739 UPE327682:UPE327739 UZA327682:UZA327739 VIW327682:VIW327739 VSS327682:VSS327739 WCO327682:WCO327739 WMK327682:WMK327739 WWG327682:WWG327739 D393218:D393275 JU393218:JU393275 TQ393218:TQ393275 ADM393218:ADM393275 ANI393218:ANI393275 AXE393218:AXE393275 BHA393218:BHA393275 BQW393218:BQW393275 CAS393218:CAS393275 CKO393218:CKO393275 CUK393218:CUK393275 DEG393218:DEG393275 DOC393218:DOC393275 DXY393218:DXY393275 EHU393218:EHU393275 ERQ393218:ERQ393275 FBM393218:FBM393275 FLI393218:FLI393275 FVE393218:FVE393275 GFA393218:GFA393275 GOW393218:GOW393275 GYS393218:GYS393275 HIO393218:HIO393275 HSK393218:HSK393275 ICG393218:ICG393275 IMC393218:IMC393275 IVY393218:IVY393275 JFU393218:JFU393275 JPQ393218:JPQ393275 JZM393218:JZM393275 KJI393218:KJI393275 KTE393218:KTE393275 LDA393218:LDA393275 LMW393218:LMW393275 LWS393218:LWS393275 MGO393218:MGO393275 MQK393218:MQK393275 NAG393218:NAG393275 NKC393218:NKC393275 NTY393218:NTY393275 ODU393218:ODU393275 ONQ393218:ONQ393275 OXM393218:OXM393275 PHI393218:PHI393275 PRE393218:PRE393275 QBA393218:QBA393275 QKW393218:QKW393275 QUS393218:QUS393275 REO393218:REO393275 ROK393218:ROK393275 RYG393218:RYG393275 SIC393218:SIC393275 SRY393218:SRY393275 TBU393218:TBU393275 TLQ393218:TLQ393275 TVM393218:TVM393275 UFI393218:UFI393275 UPE393218:UPE393275 UZA393218:UZA393275 VIW393218:VIW393275 VSS393218:VSS393275 WCO393218:WCO393275 WMK393218:WMK393275 WWG393218:WWG393275 D458754:D458811 JU458754:JU458811 TQ458754:TQ458811 ADM458754:ADM458811 ANI458754:ANI458811 AXE458754:AXE458811 BHA458754:BHA458811 BQW458754:BQW458811 CAS458754:CAS458811 CKO458754:CKO458811 CUK458754:CUK458811 DEG458754:DEG458811 DOC458754:DOC458811 DXY458754:DXY458811 EHU458754:EHU458811 ERQ458754:ERQ458811 FBM458754:FBM458811 FLI458754:FLI458811 FVE458754:FVE458811 GFA458754:GFA458811 GOW458754:GOW458811 GYS458754:GYS458811 HIO458754:HIO458811 HSK458754:HSK458811 ICG458754:ICG458811 IMC458754:IMC458811 IVY458754:IVY458811 JFU458754:JFU458811 JPQ458754:JPQ458811 JZM458754:JZM458811 KJI458754:KJI458811 KTE458754:KTE458811 LDA458754:LDA458811 LMW458754:LMW458811 LWS458754:LWS458811 MGO458754:MGO458811 MQK458754:MQK458811 NAG458754:NAG458811 NKC458754:NKC458811 NTY458754:NTY458811 ODU458754:ODU458811 ONQ458754:ONQ458811 OXM458754:OXM458811 PHI458754:PHI458811 PRE458754:PRE458811 QBA458754:QBA458811 QKW458754:QKW458811 QUS458754:QUS458811 REO458754:REO458811 ROK458754:ROK458811 RYG458754:RYG458811 SIC458754:SIC458811 SRY458754:SRY458811 TBU458754:TBU458811 TLQ458754:TLQ458811 TVM458754:TVM458811 UFI458754:UFI458811 UPE458754:UPE458811 UZA458754:UZA458811 VIW458754:VIW458811 VSS458754:VSS458811 WCO458754:WCO458811 WMK458754:WMK458811 WWG458754:WWG458811 D524290:D524347 JU524290:JU524347 TQ524290:TQ524347 ADM524290:ADM524347 ANI524290:ANI524347 AXE524290:AXE524347 BHA524290:BHA524347 BQW524290:BQW524347 CAS524290:CAS524347 CKO524290:CKO524347 CUK524290:CUK524347 DEG524290:DEG524347 DOC524290:DOC524347 DXY524290:DXY524347 EHU524290:EHU524347 ERQ524290:ERQ524347 FBM524290:FBM524347 FLI524290:FLI524347 FVE524290:FVE524347 GFA524290:GFA524347 GOW524290:GOW524347 GYS524290:GYS524347 HIO524290:HIO524347 HSK524290:HSK524347 ICG524290:ICG524347 IMC524290:IMC524347 IVY524290:IVY524347 JFU524290:JFU524347 JPQ524290:JPQ524347 JZM524290:JZM524347 KJI524290:KJI524347 KTE524290:KTE524347 LDA524290:LDA524347 LMW524290:LMW524347 LWS524290:LWS524347 MGO524290:MGO524347 MQK524290:MQK524347 NAG524290:NAG524347 NKC524290:NKC524347 NTY524290:NTY524347 ODU524290:ODU524347 ONQ524290:ONQ524347 OXM524290:OXM524347 PHI524290:PHI524347 PRE524290:PRE524347 QBA524290:QBA524347 QKW524290:QKW524347 QUS524290:QUS524347 REO524290:REO524347 ROK524290:ROK524347 RYG524290:RYG524347 SIC524290:SIC524347 SRY524290:SRY524347 TBU524290:TBU524347 TLQ524290:TLQ524347 TVM524290:TVM524347 UFI524290:UFI524347 UPE524290:UPE524347 UZA524290:UZA524347 VIW524290:VIW524347 VSS524290:VSS524347 WCO524290:WCO524347 WMK524290:WMK524347 WWG524290:WWG524347 D589826:D589883 JU589826:JU589883 TQ589826:TQ589883 ADM589826:ADM589883 ANI589826:ANI589883 AXE589826:AXE589883 BHA589826:BHA589883 BQW589826:BQW589883 CAS589826:CAS589883 CKO589826:CKO589883 CUK589826:CUK589883 DEG589826:DEG589883 DOC589826:DOC589883 DXY589826:DXY589883 EHU589826:EHU589883 ERQ589826:ERQ589883 FBM589826:FBM589883 FLI589826:FLI589883 FVE589826:FVE589883 GFA589826:GFA589883 GOW589826:GOW589883 GYS589826:GYS589883 HIO589826:HIO589883 HSK589826:HSK589883 ICG589826:ICG589883 IMC589826:IMC589883 IVY589826:IVY589883 JFU589826:JFU589883 JPQ589826:JPQ589883 JZM589826:JZM589883 KJI589826:KJI589883 KTE589826:KTE589883 LDA589826:LDA589883 LMW589826:LMW589883 LWS589826:LWS589883 MGO589826:MGO589883 MQK589826:MQK589883 NAG589826:NAG589883 NKC589826:NKC589883 NTY589826:NTY589883 ODU589826:ODU589883 ONQ589826:ONQ589883 OXM589826:OXM589883 PHI589826:PHI589883 PRE589826:PRE589883 QBA589826:QBA589883 QKW589826:QKW589883 QUS589826:QUS589883 REO589826:REO589883 ROK589826:ROK589883 RYG589826:RYG589883 SIC589826:SIC589883 SRY589826:SRY589883 TBU589826:TBU589883 TLQ589826:TLQ589883 TVM589826:TVM589883 UFI589826:UFI589883 UPE589826:UPE589883 UZA589826:UZA589883 VIW589826:VIW589883 VSS589826:VSS589883 WCO589826:WCO589883 WMK589826:WMK589883 WWG589826:WWG589883 D655362:D655419 JU655362:JU655419 TQ655362:TQ655419 ADM655362:ADM655419 ANI655362:ANI655419 AXE655362:AXE655419 BHA655362:BHA655419 BQW655362:BQW655419 CAS655362:CAS655419 CKO655362:CKO655419 CUK655362:CUK655419 DEG655362:DEG655419 DOC655362:DOC655419 DXY655362:DXY655419 EHU655362:EHU655419 ERQ655362:ERQ655419 FBM655362:FBM655419 FLI655362:FLI655419 FVE655362:FVE655419 GFA655362:GFA655419 GOW655362:GOW655419 GYS655362:GYS655419 HIO655362:HIO655419 HSK655362:HSK655419 ICG655362:ICG655419 IMC655362:IMC655419 IVY655362:IVY655419 JFU655362:JFU655419 JPQ655362:JPQ655419 JZM655362:JZM655419 KJI655362:KJI655419 KTE655362:KTE655419 LDA655362:LDA655419 LMW655362:LMW655419 LWS655362:LWS655419 MGO655362:MGO655419 MQK655362:MQK655419 NAG655362:NAG655419 NKC655362:NKC655419 NTY655362:NTY655419 ODU655362:ODU655419 ONQ655362:ONQ655419 OXM655362:OXM655419 PHI655362:PHI655419 PRE655362:PRE655419 QBA655362:QBA655419 QKW655362:QKW655419 QUS655362:QUS655419 REO655362:REO655419 ROK655362:ROK655419 RYG655362:RYG655419 SIC655362:SIC655419 SRY655362:SRY655419 TBU655362:TBU655419 TLQ655362:TLQ655419 TVM655362:TVM655419 UFI655362:UFI655419 UPE655362:UPE655419 UZA655362:UZA655419 VIW655362:VIW655419 VSS655362:VSS655419 WCO655362:WCO655419 WMK655362:WMK655419 WWG655362:WWG655419 D720898:D720955 JU720898:JU720955 TQ720898:TQ720955 ADM720898:ADM720955 ANI720898:ANI720955 AXE720898:AXE720955 BHA720898:BHA720955 BQW720898:BQW720955 CAS720898:CAS720955 CKO720898:CKO720955 CUK720898:CUK720955 DEG720898:DEG720955 DOC720898:DOC720955 DXY720898:DXY720955 EHU720898:EHU720955 ERQ720898:ERQ720955 FBM720898:FBM720955 FLI720898:FLI720955 FVE720898:FVE720955 GFA720898:GFA720955 GOW720898:GOW720955 GYS720898:GYS720955 HIO720898:HIO720955 HSK720898:HSK720955 ICG720898:ICG720955 IMC720898:IMC720955 IVY720898:IVY720955 JFU720898:JFU720955 JPQ720898:JPQ720955 JZM720898:JZM720955 KJI720898:KJI720955 KTE720898:KTE720955 LDA720898:LDA720955 LMW720898:LMW720955 LWS720898:LWS720955 MGO720898:MGO720955 MQK720898:MQK720955 NAG720898:NAG720955 NKC720898:NKC720955 NTY720898:NTY720955 ODU720898:ODU720955 ONQ720898:ONQ720955 OXM720898:OXM720955 PHI720898:PHI720955 PRE720898:PRE720955 QBA720898:QBA720955 QKW720898:QKW720955 QUS720898:QUS720955 REO720898:REO720955 ROK720898:ROK720955 RYG720898:RYG720955 SIC720898:SIC720955 SRY720898:SRY720955 TBU720898:TBU720955 TLQ720898:TLQ720955 TVM720898:TVM720955 UFI720898:UFI720955 UPE720898:UPE720955 UZA720898:UZA720955 VIW720898:VIW720955 VSS720898:VSS720955 WCO720898:WCO720955 WMK720898:WMK720955 WWG720898:WWG720955 D786434:D786491 JU786434:JU786491 TQ786434:TQ786491 ADM786434:ADM786491 ANI786434:ANI786491 AXE786434:AXE786491 BHA786434:BHA786491 BQW786434:BQW786491 CAS786434:CAS786491 CKO786434:CKO786491 CUK786434:CUK786491 DEG786434:DEG786491 DOC786434:DOC786491 DXY786434:DXY786491 EHU786434:EHU786491 ERQ786434:ERQ786491 FBM786434:FBM786491 FLI786434:FLI786491 FVE786434:FVE786491 GFA786434:GFA786491 GOW786434:GOW786491 GYS786434:GYS786491 HIO786434:HIO786491 HSK786434:HSK786491 ICG786434:ICG786491 IMC786434:IMC786491 IVY786434:IVY786491 JFU786434:JFU786491 JPQ786434:JPQ786491 JZM786434:JZM786491 KJI786434:KJI786491 KTE786434:KTE786491 LDA786434:LDA786491 LMW786434:LMW786491 LWS786434:LWS786491 MGO786434:MGO786491 MQK786434:MQK786491 NAG786434:NAG786491 NKC786434:NKC786491 NTY786434:NTY786491 ODU786434:ODU786491 ONQ786434:ONQ786491 OXM786434:OXM786491 PHI786434:PHI786491 PRE786434:PRE786491 QBA786434:QBA786491 QKW786434:QKW786491 QUS786434:QUS786491 REO786434:REO786491 ROK786434:ROK786491 RYG786434:RYG786491 SIC786434:SIC786491 SRY786434:SRY786491 TBU786434:TBU786491 TLQ786434:TLQ786491 TVM786434:TVM786491 UFI786434:UFI786491 UPE786434:UPE786491 UZA786434:UZA786491 VIW786434:VIW786491 VSS786434:VSS786491 WCO786434:WCO786491 WMK786434:WMK786491 WWG786434:WWG786491 D851970:D852027 JU851970:JU852027 TQ851970:TQ852027 ADM851970:ADM852027 ANI851970:ANI852027 AXE851970:AXE852027 BHA851970:BHA852027 BQW851970:BQW852027 CAS851970:CAS852027 CKO851970:CKO852027 CUK851970:CUK852027 DEG851970:DEG852027 DOC851970:DOC852027 DXY851970:DXY852027 EHU851970:EHU852027 ERQ851970:ERQ852027 FBM851970:FBM852027 FLI851970:FLI852027 FVE851970:FVE852027 GFA851970:GFA852027 GOW851970:GOW852027 GYS851970:GYS852027 HIO851970:HIO852027 HSK851970:HSK852027 ICG851970:ICG852027 IMC851970:IMC852027 IVY851970:IVY852027 JFU851970:JFU852027 JPQ851970:JPQ852027 JZM851970:JZM852027 KJI851970:KJI852027 KTE851970:KTE852027 LDA851970:LDA852027 LMW851970:LMW852027 LWS851970:LWS852027 MGO851970:MGO852027 MQK851970:MQK852027 NAG851970:NAG852027 NKC851970:NKC852027 NTY851970:NTY852027 ODU851970:ODU852027 ONQ851970:ONQ852027 OXM851970:OXM852027 PHI851970:PHI852027 PRE851970:PRE852027 QBA851970:QBA852027 QKW851970:QKW852027 QUS851970:QUS852027 REO851970:REO852027 ROK851970:ROK852027 RYG851970:RYG852027 SIC851970:SIC852027 SRY851970:SRY852027 TBU851970:TBU852027 TLQ851970:TLQ852027 TVM851970:TVM852027 UFI851970:UFI852027 UPE851970:UPE852027 UZA851970:UZA852027 VIW851970:VIW852027 VSS851970:VSS852027 WCO851970:WCO852027 WMK851970:WMK852027 WWG851970:WWG852027 D917506:D917563 JU917506:JU917563 TQ917506:TQ917563 ADM917506:ADM917563 ANI917506:ANI917563 AXE917506:AXE917563 BHA917506:BHA917563 BQW917506:BQW917563 CAS917506:CAS917563 CKO917506:CKO917563 CUK917506:CUK917563 DEG917506:DEG917563 DOC917506:DOC917563 DXY917506:DXY917563 EHU917506:EHU917563 ERQ917506:ERQ917563 FBM917506:FBM917563 FLI917506:FLI917563 FVE917506:FVE917563 GFA917506:GFA917563 GOW917506:GOW917563 GYS917506:GYS917563 HIO917506:HIO917563 HSK917506:HSK917563 ICG917506:ICG917563 IMC917506:IMC917563 IVY917506:IVY917563 JFU917506:JFU917563 JPQ917506:JPQ917563 JZM917506:JZM917563 KJI917506:KJI917563 KTE917506:KTE917563 LDA917506:LDA917563 LMW917506:LMW917563 LWS917506:LWS917563 MGO917506:MGO917563 MQK917506:MQK917563 NAG917506:NAG917563 NKC917506:NKC917563 NTY917506:NTY917563 ODU917506:ODU917563 ONQ917506:ONQ917563 OXM917506:OXM917563 PHI917506:PHI917563 PRE917506:PRE917563 QBA917506:QBA917563 QKW917506:QKW917563 QUS917506:QUS917563 REO917506:REO917563 ROK917506:ROK917563 RYG917506:RYG917563 SIC917506:SIC917563 SRY917506:SRY917563 TBU917506:TBU917563 TLQ917506:TLQ917563 TVM917506:TVM917563 UFI917506:UFI917563 UPE917506:UPE917563 UZA917506:UZA917563 VIW917506:VIW917563 VSS917506:VSS917563 WCO917506:WCO917563 WMK917506:WMK917563 WWG917506:WWG917563 D983042:D983099 JU983042:JU983099 TQ983042:TQ983099 ADM983042:ADM983099 ANI983042:ANI983099 AXE983042:AXE983099 BHA983042:BHA983099 BQW983042:BQW983099 CAS983042:CAS983099 CKO983042:CKO983099 CUK983042:CUK983099 DEG983042:DEG983099 DOC983042:DOC983099 DXY983042:DXY983099 EHU983042:EHU983099 ERQ983042:ERQ983099 FBM983042:FBM983099 FLI983042:FLI983099 FVE983042:FVE983099 GFA983042:GFA983099 GOW983042:GOW983099 GYS983042:GYS983099 HIO983042:HIO983099 HSK983042:HSK983099 ICG983042:ICG983099 IMC983042:IMC983099 IVY983042:IVY983099 JFU983042:JFU983099 JPQ983042:JPQ983099 JZM983042:JZM983099 KJI983042:KJI983099 KTE983042:KTE983099 LDA983042:LDA983099 LMW983042:LMW983099 LWS983042:LWS983099 MGO983042:MGO983099 MQK983042:MQK983099 NAG983042:NAG983099 NKC983042:NKC983099 NTY983042:NTY983099 ODU983042:ODU983099 ONQ983042:ONQ983099 OXM983042:OXM983099 PHI983042:PHI983099 PRE983042:PRE983099 QBA983042:QBA983099 QKW983042:QKW983099 QUS983042:QUS983099 REO983042:REO983099 ROK983042:ROK983099 RYG983042:RYG983099 SIC983042:SIC983099 SRY983042:SRY983099 TBU983042:TBU983099 TLQ983042:TLQ983099 TVM983042:TVM983099 UFI983042:UFI983099 UPE983042:UPE983099 UZA983042:UZA983099 VIW983042:VIW983099 VSS983042:VSS983099 WCO983042:WCO983099 WMK983042:WMK983099 WWG983042:WWG983099 WWH3:WWH59 WML3:WML59 WCP3:WCP59 VST3:VST59 VIX3:VIX59 UZB3:UZB59 UPF3:UPF59 UFJ3:UFJ59 TVN3:TVN59 TLR3:TLR59 TBV3:TBV59 SRZ3:SRZ59 SID3:SID59 RYH3:RYH59 ROL3:ROL59 REP3:REP59 QUT3:QUT59 QKX3:QKX59 QBB3:QBB59 PRF3:PRF59 PHJ3:PHJ59 OXN3:OXN59 ONR3:ONR59 ODV3:ODV59 NTZ3:NTZ59 NKD3:NKD59 NAH3:NAH59 MQL3:MQL59 MGP3:MGP59 LWT3:LWT59 LMX3:LMX59 LDB3:LDB59 KTF3:KTF59 KJJ3:KJJ59 JZN3:JZN59 JPR3:JPR59 JFV3:JFV59 IVZ3:IVZ59 IMD3:IMD59 ICH3:ICH59 HSL3:HSL59 HIP3:HIP59 GYT3:GYT59 GOX3:GOX59 GFB3:GFB59 FVF3:FVF59 FLJ3:FLJ59 FBN3:FBN59 ERR3:ERR59 EHV3:EHV59 DXZ3:DXZ59 DOD3:DOD59 DEH3:DEH59 CUL3:CUL59 CKP3:CKP59 CAT3:CAT59 BQX3:BQX59 BHB3:BHB59 AXF3:AXF59 ANJ3:ANJ59 ADN3:ADN59 TR3:TR59 JV3:JV59 D3:D59">
      <formula1>"ACS,AGRI,BNC,"</formula1>
    </dataValidation>
    <dataValidation type="list" allowBlank="1" showInputMessage="1" showErrorMessage="1" sqref="G65538:G65595 JX65538:JX65595 TT65538:TT65595 ADP65538:ADP65595 ANL65538:ANL65595 AXH65538:AXH65595 BHD65538:BHD65595 BQZ65538:BQZ65595 CAV65538:CAV65595 CKR65538:CKR65595 CUN65538:CUN65595 DEJ65538:DEJ65595 DOF65538:DOF65595 DYB65538:DYB65595 EHX65538:EHX65595 ERT65538:ERT65595 FBP65538:FBP65595 FLL65538:FLL65595 FVH65538:FVH65595 GFD65538:GFD65595 GOZ65538:GOZ65595 GYV65538:GYV65595 HIR65538:HIR65595 HSN65538:HSN65595 ICJ65538:ICJ65595 IMF65538:IMF65595 IWB65538:IWB65595 JFX65538:JFX65595 JPT65538:JPT65595 JZP65538:JZP65595 KJL65538:KJL65595 KTH65538:KTH65595 LDD65538:LDD65595 LMZ65538:LMZ65595 LWV65538:LWV65595 MGR65538:MGR65595 MQN65538:MQN65595 NAJ65538:NAJ65595 NKF65538:NKF65595 NUB65538:NUB65595 ODX65538:ODX65595 ONT65538:ONT65595 OXP65538:OXP65595 PHL65538:PHL65595 PRH65538:PRH65595 QBD65538:QBD65595 QKZ65538:QKZ65595 QUV65538:QUV65595 RER65538:RER65595 RON65538:RON65595 RYJ65538:RYJ65595 SIF65538:SIF65595 SSB65538:SSB65595 TBX65538:TBX65595 TLT65538:TLT65595 TVP65538:TVP65595 UFL65538:UFL65595 UPH65538:UPH65595 UZD65538:UZD65595 VIZ65538:VIZ65595 VSV65538:VSV65595 WCR65538:WCR65595 WMN65538:WMN65595 WWJ65538:WWJ65595 G131074:G131131 JX131074:JX131131 TT131074:TT131131 ADP131074:ADP131131 ANL131074:ANL131131 AXH131074:AXH131131 BHD131074:BHD131131 BQZ131074:BQZ131131 CAV131074:CAV131131 CKR131074:CKR131131 CUN131074:CUN131131 DEJ131074:DEJ131131 DOF131074:DOF131131 DYB131074:DYB131131 EHX131074:EHX131131 ERT131074:ERT131131 FBP131074:FBP131131 FLL131074:FLL131131 FVH131074:FVH131131 GFD131074:GFD131131 GOZ131074:GOZ131131 GYV131074:GYV131131 HIR131074:HIR131131 HSN131074:HSN131131 ICJ131074:ICJ131131 IMF131074:IMF131131 IWB131074:IWB131131 JFX131074:JFX131131 JPT131074:JPT131131 JZP131074:JZP131131 KJL131074:KJL131131 KTH131074:KTH131131 LDD131074:LDD131131 LMZ131074:LMZ131131 LWV131074:LWV131131 MGR131074:MGR131131 MQN131074:MQN131131 NAJ131074:NAJ131131 NKF131074:NKF131131 NUB131074:NUB131131 ODX131074:ODX131131 ONT131074:ONT131131 OXP131074:OXP131131 PHL131074:PHL131131 PRH131074:PRH131131 QBD131074:QBD131131 QKZ131074:QKZ131131 QUV131074:QUV131131 RER131074:RER131131 RON131074:RON131131 RYJ131074:RYJ131131 SIF131074:SIF131131 SSB131074:SSB131131 TBX131074:TBX131131 TLT131074:TLT131131 TVP131074:TVP131131 UFL131074:UFL131131 UPH131074:UPH131131 UZD131074:UZD131131 VIZ131074:VIZ131131 VSV131074:VSV131131 WCR131074:WCR131131 WMN131074:WMN131131 WWJ131074:WWJ131131 G196610:G196667 JX196610:JX196667 TT196610:TT196667 ADP196610:ADP196667 ANL196610:ANL196667 AXH196610:AXH196667 BHD196610:BHD196667 BQZ196610:BQZ196667 CAV196610:CAV196667 CKR196610:CKR196667 CUN196610:CUN196667 DEJ196610:DEJ196667 DOF196610:DOF196667 DYB196610:DYB196667 EHX196610:EHX196667 ERT196610:ERT196667 FBP196610:FBP196667 FLL196610:FLL196667 FVH196610:FVH196667 GFD196610:GFD196667 GOZ196610:GOZ196667 GYV196610:GYV196667 HIR196610:HIR196667 HSN196610:HSN196667 ICJ196610:ICJ196667 IMF196610:IMF196667 IWB196610:IWB196667 JFX196610:JFX196667 JPT196610:JPT196667 JZP196610:JZP196667 KJL196610:KJL196667 KTH196610:KTH196667 LDD196610:LDD196667 LMZ196610:LMZ196667 LWV196610:LWV196667 MGR196610:MGR196667 MQN196610:MQN196667 NAJ196610:NAJ196667 NKF196610:NKF196667 NUB196610:NUB196667 ODX196610:ODX196667 ONT196610:ONT196667 OXP196610:OXP196667 PHL196610:PHL196667 PRH196610:PRH196667 QBD196610:QBD196667 QKZ196610:QKZ196667 QUV196610:QUV196667 RER196610:RER196667 RON196610:RON196667 RYJ196610:RYJ196667 SIF196610:SIF196667 SSB196610:SSB196667 TBX196610:TBX196667 TLT196610:TLT196667 TVP196610:TVP196667 UFL196610:UFL196667 UPH196610:UPH196667 UZD196610:UZD196667 VIZ196610:VIZ196667 VSV196610:VSV196667 WCR196610:WCR196667 WMN196610:WMN196667 WWJ196610:WWJ196667 G262146:G262203 JX262146:JX262203 TT262146:TT262203 ADP262146:ADP262203 ANL262146:ANL262203 AXH262146:AXH262203 BHD262146:BHD262203 BQZ262146:BQZ262203 CAV262146:CAV262203 CKR262146:CKR262203 CUN262146:CUN262203 DEJ262146:DEJ262203 DOF262146:DOF262203 DYB262146:DYB262203 EHX262146:EHX262203 ERT262146:ERT262203 FBP262146:FBP262203 FLL262146:FLL262203 FVH262146:FVH262203 GFD262146:GFD262203 GOZ262146:GOZ262203 GYV262146:GYV262203 HIR262146:HIR262203 HSN262146:HSN262203 ICJ262146:ICJ262203 IMF262146:IMF262203 IWB262146:IWB262203 JFX262146:JFX262203 JPT262146:JPT262203 JZP262146:JZP262203 KJL262146:KJL262203 KTH262146:KTH262203 LDD262146:LDD262203 LMZ262146:LMZ262203 LWV262146:LWV262203 MGR262146:MGR262203 MQN262146:MQN262203 NAJ262146:NAJ262203 NKF262146:NKF262203 NUB262146:NUB262203 ODX262146:ODX262203 ONT262146:ONT262203 OXP262146:OXP262203 PHL262146:PHL262203 PRH262146:PRH262203 QBD262146:QBD262203 QKZ262146:QKZ262203 QUV262146:QUV262203 RER262146:RER262203 RON262146:RON262203 RYJ262146:RYJ262203 SIF262146:SIF262203 SSB262146:SSB262203 TBX262146:TBX262203 TLT262146:TLT262203 TVP262146:TVP262203 UFL262146:UFL262203 UPH262146:UPH262203 UZD262146:UZD262203 VIZ262146:VIZ262203 VSV262146:VSV262203 WCR262146:WCR262203 WMN262146:WMN262203 WWJ262146:WWJ262203 G327682:G327739 JX327682:JX327739 TT327682:TT327739 ADP327682:ADP327739 ANL327682:ANL327739 AXH327682:AXH327739 BHD327682:BHD327739 BQZ327682:BQZ327739 CAV327682:CAV327739 CKR327682:CKR327739 CUN327682:CUN327739 DEJ327682:DEJ327739 DOF327682:DOF327739 DYB327682:DYB327739 EHX327682:EHX327739 ERT327682:ERT327739 FBP327682:FBP327739 FLL327682:FLL327739 FVH327682:FVH327739 GFD327682:GFD327739 GOZ327682:GOZ327739 GYV327682:GYV327739 HIR327682:HIR327739 HSN327682:HSN327739 ICJ327682:ICJ327739 IMF327682:IMF327739 IWB327682:IWB327739 JFX327682:JFX327739 JPT327682:JPT327739 JZP327682:JZP327739 KJL327682:KJL327739 KTH327682:KTH327739 LDD327682:LDD327739 LMZ327682:LMZ327739 LWV327682:LWV327739 MGR327682:MGR327739 MQN327682:MQN327739 NAJ327682:NAJ327739 NKF327682:NKF327739 NUB327682:NUB327739 ODX327682:ODX327739 ONT327682:ONT327739 OXP327682:OXP327739 PHL327682:PHL327739 PRH327682:PRH327739 QBD327682:QBD327739 QKZ327682:QKZ327739 QUV327682:QUV327739 RER327682:RER327739 RON327682:RON327739 RYJ327682:RYJ327739 SIF327682:SIF327739 SSB327682:SSB327739 TBX327682:TBX327739 TLT327682:TLT327739 TVP327682:TVP327739 UFL327682:UFL327739 UPH327682:UPH327739 UZD327682:UZD327739 VIZ327682:VIZ327739 VSV327682:VSV327739 WCR327682:WCR327739 WMN327682:WMN327739 WWJ327682:WWJ327739 G393218:G393275 JX393218:JX393275 TT393218:TT393275 ADP393218:ADP393275 ANL393218:ANL393275 AXH393218:AXH393275 BHD393218:BHD393275 BQZ393218:BQZ393275 CAV393218:CAV393275 CKR393218:CKR393275 CUN393218:CUN393275 DEJ393218:DEJ393275 DOF393218:DOF393275 DYB393218:DYB393275 EHX393218:EHX393275 ERT393218:ERT393275 FBP393218:FBP393275 FLL393218:FLL393275 FVH393218:FVH393275 GFD393218:GFD393275 GOZ393218:GOZ393275 GYV393218:GYV393275 HIR393218:HIR393275 HSN393218:HSN393275 ICJ393218:ICJ393275 IMF393218:IMF393275 IWB393218:IWB393275 JFX393218:JFX393275 JPT393218:JPT393275 JZP393218:JZP393275 KJL393218:KJL393275 KTH393218:KTH393275 LDD393218:LDD393275 LMZ393218:LMZ393275 LWV393218:LWV393275 MGR393218:MGR393275 MQN393218:MQN393275 NAJ393218:NAJ393275 NKF393218:NKF393275 NUB393218:NUB393275 ODX393218:ODX393275 ONT393218:ONT393275 OXP393218:OXP393275 PHL393218:PHL393275 PRH393218:PRH393275 QBD393218:QBD393275 QKZ393218:QKZ393275 QUV393218:QUV393275 RER393218:RER393275 RON393218:RON393275 RYJ393218:RYJ393275 SIF393218:SIF393275 SSB393218:SSB393275 TBX393218:TBX393275 TLT393218:TLT393275 TVP393218:TVP393275 UFL393218:UFL393275 UPH393218:UPH393275 UZD393218:UZD393275 VIZ393218:VIZ393275 VSV393218:VSV393275 WCR393218:WCR393275 WMN393218:WMN393275 WWJ393218:WWJ393275 G458754:G458811 JX458754:JX458811 TT458754:TT458811 ADP458754:ADP458811 ANL458754:ANL458811 AXH458754:AXH458811 BHD458754:BHD458811 BQZ458754:BQZ458811 CAV458754:CAV458811 CKR458754:CKR458811 CUN458754:CUN458811 DEJ458754:DEJ458811 DOF458754:DOF458811 DYB458754:DYB458811 EHX458754:EHX458811 ERT458754:ERT458811 FBP458754:FBP458811 FLL458754:FLL458811 FVH458754:FVH458811 GFD458754:GFD458811 GOZ458754:GOZ458811 GYV458754:GYV458811 HIR458754:HIR458811 HSN458754:HSN458811 ICJ458754:ICJ458811 IMF458754:IMF458811 IWB458754:IWB458811 JFX458754:JFX458811 JPT458754:JPT458811 JZP458754:JZP458811 KJL458754:KJL458811 KTH458754:KTH458811 LDD458754:LDD458811 LMZ458754:LMZ458811 LWV458754:LWV458811 MGR458754:MGR458811 MQN458754:MQN458811 NAJ458754:NAJ458811 NKF458754:NKF458811 NUB458754:NUB458811 ODX458754:ODX458811 ONT458754:ONT458811 OXP458754:OXP458811 PHL458754:PHL458811 PRH458754:PRH458811 QBD458754:QBD458811 QKZ458754:QKZ458811 QUV458754:QUV458811 RER458754:RER458811 RON458754:RON458811 RYJ458754:RYJ458811 SIF458754:SIF458811 SSB458754:SSB458811 TBX458754:TBX458811 TLT458754:TLT458811 TVP458754:TVP458811 UFL458754:UFL458811 UPH458754:UPH458811 UZD458754:UZD458811 VIZ458754:VIZ458811 VSV458754:VSV458811 WCR458754:WCR458811 WMN458754:WMN458811 WWJ458754:WWJ458811 G524290:G524347 JX524290:JX524347 TT524290:TT524347 ADP524290:ADP524347 ANL524290:ANL524347 AXH524290:AXH524347 BHD524290:BHD524347 BQZ524290:BQZ524347 CAV524290:CAV524347 CKR524290:CKR524347 CUN524290:CUN524347 DEJ524290:DEJ524347 DOF524290:DOF524347 DYB524290:DYB524347 EHX524290:EHX524347 ERT524290:ERT524347 FBP524290:FBP524347 FLL524290:FLL524347 FVH524290:FVH524347 GFD524290:GFD524347 GOZ524290:GOZ524347 GYV524290:GYV524347 HIR524290:HIR524347 HSN524290:HSN524347 ICJ524290:ICJ524347 IMF524290:IMF524347 IWB524290:IWB524347 JFX524290:JFX524347 JPT524290:JPT524347 JZP524290:JZP524347 KJL524290:KJL524347 KTH524290:KTH524347 LDD524290:LDD524347 LMZ524290:LMZ524347 LWV524290:LWV524347 MGR524290:MGR524347 MQN524290:MQN524347 NAJ524290:NAJ524347 NKF524290:NKF524347 NUB524290:NUB524347 ODX524290:ODX524347 ONT524290:ONT524347 OXP524290:OXP524347 PHL524290:PHL524347 PRH524290:PRH524347 QBD524290:QBD524347 QKZ524290:QKZ524347 QUV524290:QUV524347 RER524290:RER524347 RON524290:RON524347 RYJ524290:RYJ524347 SIF524290:SIF524347 SSB524290:SSB524347 TBX524290:TBX524347 TLT524290:TLT524347 TVP524290:TVP524347 UFL524290:UFL524347 UPH524290:UPH524347 UZD524290:UZD524347 VIZ524290:VIZ524347 VSV524290:VSV524347 WCR524290:WCR524347 WMN524290:WMN524347 WWJ524290:WWJ524347 G589826:G589883 JX589826:JX589883 TT589826:TT589883 ADP589826:ADP589883 ANL589826:ANL589883 AXH589826:AXH589883 BHD589826:BHD589883 BQZ589826:BQZ589883 CAV589826:CAV589883 CKR589826:CKR589883 CUN589826:CUN589883 DEJ589826:DEJ589883 DOF589826:DOF589883 DYB589826:DYB589883 EHX589826:EHX589883 ERT589826:ERT589883 FBP589826:FBP589883 FLL589826:FLL589883 FVH589826:FVH589883 GFD589826:GFD589883 GOZ589826:GOZ589883 GYV589826:GYV589883 HIR589826:HIR589883 HSN589826:HSN589883 ICJ589826:ICJ589883 IMF589826:IMF589883 IWB589826:IWB589883 JFX589826:JFX589883 JPT589826:JPT589883 JZP589826:JZP589883 KJL589826:KJL589883 KTH589826:KTH589883 LDD589826:LDD589883 LMZ589826:LMZ589883 LWV589826:LWV589883 MGR589826:MGR589883 MQN589826:MQN589883 NAJ589826:NAJ589883 NKF589826:NKF589883 NUB589826:NUB589883 ODX589826:ODX589883 ONT589826:ONT589883 OXP589826:OXP589883 PHL589826:PHL589883 PRH589826:PRH589883 QBD589826:QBD589883 QKZ589826:QKZ589883 QUV589826:QUV589883 RER589826:RER589883 RON589826:RON589883 RYJ589826:RYJ589883 SIF589826:SIF589883 SSB589826:SSB589883 TBX589826:TBX589883 TLT589826:TLT589883 TVP589826:TVP589883 UFL589826:UFL589883 UPH589826:UPH589883 UZD589826:UZD589883 VIZ589826:VIZ589883 VSV589826:VSV589883 WCR589826:WCR589883 WMN589826:WMN589883 WWJ589826:WWJ589883 G655362:G655419 JX655362:JX655419 TT655362:TT655419 ADP655362:ADP655419 ANL655362:ANL655419 AXH655362:AXH655419 BHD655362:BHD655419 BQZ655362:BQZ655419 CAV655362:CAV655419 CKR655362:CKR655419 CUN655362:CUN655419 DEJ655362:DEJ655419 DOF655362:DOF655419 DYB655362:DYB655419 EHX655362:EHX655419 ERT655362:ERT655419 FBP655362:FBP655419 FLL655362:FLL655419 FVH655362:FVH655419 GFD655362:GFD655419 GOZ655362:GOZ655419 GYV655362:GYV655419 HIR655362:HIR655419 HSN655362:HSN655419 ICJ655362:ICJ655419 IMF655362:IMF655419 IWB655362:IWB655419 JFX655362:JFX655419 JPT655362:JPT655419 JZP655362:JZP655419 KJL655362:KJL655419 KTH655362:KTH655419 LDD655362:LDD655419 LMZ655362:LMZ655419 LWV655362:LWV655419 MGR655362:MGR655419 MQN655362:MQN655419 NAJ655362:NAJ655419 NKF655362:NKF655419 NUB655362:NUB655419 ODX655362:ODX655419 ONT655362:ONT655419 OXP655362:OXP655419 PHL655362:PHL655419 PRH655362:PRH655419 QBD655362:QBD655419 QKZ655362:QKZ655419 QUV655362:QUV655419 RER655362:RER655419 RON655362:RON655419 RYJ655362:RYJ655419 SIF655362:SIF655419 SSB655362:SSB655419 TBX655362:TBX655419 TLT655362:TLT655419 TVP655362:TVP655419 UFL655362:UFL655419 UPH655362:UPH655419 UZD655362:UZD655419 VIZ655362:VIZ655419 VSV655362:VSV655419 WCR655362:WCR655419 WMN655362:WMN655419 WWJ655362:WWJ655419 G720898:G720955 JX720898:JX720955 TT720898:TT720955 ADP720898:ADP720955 ANL720898:ANL720955 AXH720898:AXH720955 BHD720898:BHD720955 BQZ720898:BQZ720955 CAV720898:CAV720955 CKR720898:CKR720955 CUN720898:CUN720955 DEJ720898:DEJ720955 DOF720898:DOF720955 DYB720898:DYB720955 EHX720898:EHX720955 ERT720898:ERT720955 FBP720898:FBP720955 FLL720898:FLL720955 FVH720898:FVH720955 GFD720898:GFD720955 GOZ720898:GOZ720955 GYV720898:GYV720955 HIR720898:HIR720955 HSN720898:HSN720955 ICJ720898:ICJ720955 IMF720898:IMF720955 IWB720898:IWB720955 JFX720898:JFX720955 JPT720898:JPT720955 JZP720898:JZP720955 KJL720898:KJL720955 KTH720898:KTH720955 LDD720898:LDD720955 LMZ720898:LMZ720955 LWV720898:LWV720955 MGR720898:MGR720955 MQN720898:MQN720955 NAJ720898:NAJ720955 NKF720898:NKF720955 NUB720898:NUB720955 ODX720898:ODX720955 ONT720898:ONT720955 OXP720898:OXP720955 PHL720898:PHL720955 PRH720898:PRH720955 QBD720898:QBD720955 QKZ720898:QKZ720955 QUV720898:QUV720955 RER720898:RER720955 RON720898:RON720955 RYJ720898:RYJ720955 SIF720898:SIF720955 SSB720898:SSB720955 TBX720898:TBX720955 TLT720898:TLT720955 TVP720898:TVP720955 UFL720898:UFL720955 UPH720898:UPH720955 UZD720898:UZD720955 VIZ720898:VIZ720955 VSV720898:VSV720955 WCR720898:WCR720955 WMN720898:WMN720955 WWJ720898:WWJ720955 G786434:G786491 JX786434:JX786491 TT786434:TT786491 ADP786434:ADP786491 ANL786434:ANL786491 AXH786434:AXH786491 BHD786434:BHD786491 BQZ786434:BQZ786491 CAV786434:CAV786491 CKR786434:CKR786491 CUN786434:CUN786491 DEJ786434:DEJ786491 DOF786434:DOF786491 DYB786434:DYB786491 EHX786434:EHX786491 ERT786434:ERT786491 FBP786434:FBP786491 FLL786434:FLL786491 FVH786434:FVH786491 GFD786434:GFD786491 GOZ786434:GOZ786491 GYV786434:GYV786491 HIR786434:HIR786491 HSN786434:HSN786491 ICJ786434:ICJ786491 IMF786434:IMF786491 IWB786434:IWB786491 JFX786434:JFX786491 JPT786434:JPT786491 JZP786434:JZP786491 KJL786434:KJL786491 KTH786434:KTH786491 LDD786434:LDD786491 LMZ786434:LMZ786491 LWV786434:LWV786491 MGR786434:MGR786491 MQN786434:MQN786491 NAJ786434:NAJ786491 NKF786434:NKF786491 NUB786434:NUB786491 ODX786434:ODX786491 ONT786434:ONT786491 OXP786434:OXP786491 PHL786434:PHL786491 PRH786434:PRH786491 QBD786434:QBD786491 QKZ786434:QKZ786491 QUV786434:QUV786491 RER786434:RER786491 RON786434:RON786491 RYJ786434:RYJ786491 SIF786434:SIF786491 SSB786434:SSB786491 TBX786434:TBX786491 TLT786434:TLT786491 TVP786434:TVP786491 UFL786434:UFL786491 UPH786434:UPH786491 UZD786434:UZD786491 VIZ786434:VIZ786491 VSV786434:VSV786491 WCR786434:WCR786491 WMN786434:WMN786491 WWJ786434:WWJ786491 G851970:G852027 JX851970:JX852027 TT851970:TT852027 ADP851970:ADP852027 ANL851970:ANL852027 AXH851970:AXH852027 BHD851970:BHD852027 BQZ851970:BQZ852027 CAV851970:CAV852027 CKR851970:CKR852027 CUN851970:CUN852027 DEJ851970:DEJ852027 DOF851970:DOF852027 DYB851970:DYB852027 EHX851970:EHX852027 ERT851970:ERT852027 FBP851970:FBP852027 FLL851970:FLL852027 FVH851970:FVH852027 GFD851970:GFD852027 GOZ851970:GOZ852027 GYV851970:GYV852027 HIR851970:HIR852027 HSN851970:HSN852027 ICJ851970:ICJ852027 IMF851970:IMF852027 IWB851970:IWB852027 JFX851970:JFX852027 JPT851970:JPT852027 JZP851970:JZP852027 KJL851970:KJL852027 KTH851970:KTH852027 LDD851970:LDD852027 LMZ851970:LMZ852027 LWV851970:LWV852027 MGR851970:MGR852027 MQN851970:MQN852027 NAJ851970:NAJ852027 NKF851970:NKF852027 NUB851970:NUB852027 ODX851970:ODX852027 ONT851970:ONT852027 OXP851970:OXP852027 PHL851970:PHL852027 PRH851970:PRH852027 QBD851970:QBD852027 QKZ851970:QKZ852027 QUV851970:QUV852027 RER851970:RER852027 RON851970:RON852027 RYJ851970:RYJ852027 SIF851970:SIF852027 SSB851970:SSB852027 TBX851970:TBX852027 TLT851970:TLT852027 TVP851970:TVP852027 UFL851970:UFL852027 UPH851970:UPH852027 UZD851970:UZD852027 VIZ851970:VIZ852027 VSV851970:VSV852027 WCR851970:WCR852027 WMN851970:WMN852027 WWJ851970:WWJ852027 G917506:G917563 JX917506:JX917563 TT917506:TT917563 ADP917506:ADP917563 ANL917506:ANL917563 AXH917506:AXH917563 BHD917506:BHD917563 BQZ917506:BQZ917563 CAV917506:CAV917563 CKR917506:CKR917563 CUN917506:CUN917563 DEJ917506:DEJ917563 DOF917506:DOF917563 DYB917506:DYB917563 EHX917506:EHX917563 ERT917506:ERT917563 FBP917506:FBP917563 FLL917506:FLL917563 FVH917506:FVH917563 GFD917506:GFD917563 GOZ917506:GOZ917563 GYV917506:GYV917563 HIR917506:HIR917563 HSN917506:HSN917563 ICJ917506:ICJ917563 IMF917506:IMF917563 IWB917506:IWB917563 JFX917506:JFX917563 JPT917506:JPT917563 JZP917506:JZP917563 KJL917506:KJL917563 KTH917506:KTH917563 LDD917506:LDD917563 LMZ917506:LMZ917563 LWV917506:LWV917563 MGR917506:MGR917563 MQN917506:MQN917563 NAJ917506:NAJ917563 NKF917506:NKF917563 NUB917506:NUB917563 ODX917506:ODX917563 ONT917506:ONT917563 OXP917506:OXP917563 PHL917506:PHL917563 PRH917506:PRH917563 QBD917506:QBD917563 QKZ917506:QKZ917563 QUV917506:QUV917563 RER917506:RER917563 RON917506:RON917563 RYJ917506:RYJ917563 SIF917506:SIF917563 SSB917506:SSB917563 TBX917506:TBX917563 TLT917506:TLT917563 TVP917506:TVP917563 UFL917506:UFL917563 UPH917506:UPH917563 UZD917506:UZD917563 VIZ917506:VIZ917563 VSV917506:VSV917563 WCR917506:WCR917563 WMN917506:WMN917563 WWJ917506:WWJ917563 G983042:G983099 JX983042:JX983099 TT983042:TT983099 ADP983042:ADP983099 ANL983042:ANL983099 AXH983042:AXH983099 BHD983042:BHD983099 BQZ983042:BQZ983099 CAV983042:CAV983099 CKR983042:CKR983099 CUN983042:CUN983099 DEJ983042:DEJ983099 DOF983042:DOF983099 DYB983042:DYB983099 EHX983042:EHX983099 ERT983042:ERT983099 FBP983042:FBP983099 FLL983042:FLL983099 FVH983042:FVH983099 GFD983042:GFD983099 GOZ983042:GOZ983099 GYV983042:GYV983099 HIR983042:HIR983099 HSN983042:HSN983099 ICJ983042:ICJ983099 IMF983042:IMF983099 IWB983042:IWB983099 JFX983042:JFX983099 JPT983042:JPT983099 JZP983042:JZP983099 KJL983042:KJL983099 KTH983042:KTH983099 LDD983042:LDD983099 LMZ983042:LMZ983099 LWV983042:LWV983099 MGR983042:MGR983099 MQN983042:MQN983099 NAJ983042:NAJ983099 NKF983042:NKF983099 NUB983042:NUB983099 ODX983042:ODX983099 ONT983042:ONT983099 OXP983042:OXP983099 PHL983042:PHL983099 PRH983042:PRH983099 QBD983042:QBD983099 QKZ983042:QKZ983099 QUV983042:QUV983099 RER983042:RER983099 RON983042:RON983099 RYJ983042:RYJ983099 SIF983042:SIF983099 SSB983042:SSB983099 TBX983042:TBX983099 TLT983042:TLT983099 TVP983042:TVP983099 UFL983042:UFL983099 UPH983042:UPH983099 UZD983042:UZD983099 VIZ983042:VIZ983099 VSV983042:VSV983099 WCR983042:WCR983099 WMN983042:WMN983099 WWJ983042:WWJ983099 G3:G59 WWK3:WWK59 WMO3:WMO59 WCS3:WCS59 VSW3:VSW59 VJA3:VJA59 UZE3:UZE59 UPI3:UPI59 UFM3:UFM59 TVQ3:TVQ59 TLU3:TLU59 TBY3:TBY59 SSC3:SSC59 SIG3:SIG59 RYK3:RYK59 ROO3:ROO59 RES3:RES59 QUW3:QUW59 QLA3:QLA59 QBE3:QBE59 PRI3:PRI59 PHM3:PHM59 OXQ3:OXQ59 ONU3:ONU59 ODY3:ODY59 NUC3:NUC59 NKG3:NKG59 NAK3:NAK59 MQO3:MQO59 MGS3:MGS59 LWW3:LWW59 LNA3:LNA59 LDE3:LDE59 KTI3:KTI59 KJM3:KJM59 JZQ3:JZQ59 JPU3:JPU59 JFY3:JFY59 IWC3:IWC59 IMG3:IMG59 ICK3:ICK59 HSO3:HSO59 HIS3:HIS59 GYW3:GYW59 GPA3:GPA59 GFE3:GFE59 FVI3:FVI59 FLM3:FLM59 FBQ3:FBQ59 ERU3:ERU59 EHY3:EHY59 DYC3:DYC59 DOG3:DOG59 DEK3:DEK59 CUO3:CUO59 CKS3:CKS59 CAW3:CAW59 BRA3:BRA59 BHE3:BHE59 AXI3:AXI59 ANM3:ANM59 ADQ3:ADQ59 TU3:TU59 JY3:JY59">
      <formula1>"IS,IR,"</formula1>
    </dataValidation>
    <dataValidation type="list" allowBlank="1" showInputMessage="1" showErrorMessage="1" sqref="M3:N59">
      <formula1>"OUI,NON,A FAIRE"</formula1>
    </dataValidation>
    <dataValidation type="list" allowBlank="1" showInputMessage="1" showErrorMessage="1" sqref="O3:O59">
      <formula1>"COMPTABLE,CONSEILLER"</formula1>
    </dataValidation>
    <dataValidation type="list" allowBlank="1" showInputMessage="1" showErrorMessage="1" sqref="AO3:AO59 Q3:Q59">
      <formula1>"OUI,NON"</formula1>
    </dataValidation>
    <dataValidation type="list" allowBlank="1" showInputMessage="1" showErrorMessage="1" sqref="R3:R59">
      <formula1>"OUI,NON,A FAIRE,N/A"</formula1>
    </dataValidation>
    <dataValidation type="list" allowBlank="1" showInputMessage="1" showErrorMessage="1" sqref="BA3:BC59">
      <formula1>"X"</formula1>
    </dataValidation>
    <dataValidation type="list" allowBlank="1" showInputMessage="1" showErrorMessage="1" sqref="P3:P59">
      <formula1>"OUI,NON,A TERMINER,A FAIRE"</formula1>
    </dataValidation>
    <dataValidation type="list" allowBlank="1" showInputMessage="1" showErrorMessage="1" sqref="AN3:AN59">
      <formula1>"ABONNE COURT,ABONNE LONG"</formula1>
    </dataValidation>
    <dataValidation type="list" allowBlank="1" showInputMessage="1" showErrorMessage="1" sqref="BI3:BK59">
      <formula1>"OUI,NON,N/C"</formula1>
    </dataValidation>
    <dataValidation type="list" allowBlank="1" showInputMessage="1" showErrorMessage="1" sqref="H3:H59">
      <formula1>"MENSUELLE,TRIMESTRIELLE,EXERCICE,ANNUELLE"</formula1>
    </dataValidation>
    <dataValidation type="list" allowBlank="1" showInputMessage="1" showErrorMessage="1" sqref="AL3:AL59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Paramètres!$F$4:$F$17</xm:f>
          </x14:formula1>
          <xm:sqref>F3:F51</xm:sqref>
        </x14:dataValidation>
        <x14:dataValidation type="list" allowBlank="1" showInputMessage="1" showErrorMessage="1">
          <x14:formula1>
            <xm:f>Paramètres!$J$4:$J$7</xm:f>
          </x14:formula1>
          <xm:sqref>AI3:AI59</xm:sqref>
        </x14:dataValidation>
        <x14:dataValidation type="list" allowBlank="1" showInputMessage="1" showErrorMessage="1">
          <x14:formula1>
            <xm:f>Paramètres!$K$4:$K$8</xm:f>
          </x14:formula1>
          <xm:sqref>AJ4:AJ59</xm:sqref>
        </x14:dataValidation>
        <x14:dataValidation type="list" allowBlank="1" showInputMessage="1" showErrorMessage="1">
          <x14:formula1>
            <xm:f>Paramètres!$N$4:$N$13</xm:f>
          </x14:formula1>
          <xm:sqref>BG3:BG59</xm:sqref>
        </x14:dataValidation>
        <x14:dataValidation type="list" allowBlank="1" showInputMessage="1" showErrorMessage="1">
          <x14:formula1>
            <xm:f>Paramètres!$O$4:$O$16</xm:f>
          </x14:formula1>
          <xm:sqref>BH3:BH59</xm:sqref>
        </x14:dataValidation>
        <x14:dataValidation type="list" allowBlank="1" showInputMessage="1" showErrorMessage="1">
          <x14:formula1>
            <xm:f>Paramètres!$O$6:$O$16</xm:f>
          </x14:formula1>
          <xm:sqref>AK3:AK59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N183"/>
  <sheetViews>
    <sheetView zoomScale="85" zoomScaleNormal="85" workbookViewId="0">
      <pane xSplit="5" ySplit="2" topLeftCell="F3" activePane="bottomRight" state="frozen"/>
      <selection activeCell="F27" sqref="F27"/>
      <selection pane="topRight" activeCell="F27" sqref="F27"/>
      <selection pane="bottomLeft" activeCell="F27" sqref="F27"/>
      <selection pane="bottomRight" activeCell="A3" sqref="A3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9" width="18" style="89" customWidth="1"/>
    <col min="40" max="45" width="19" style="89" customWidth="1"/>
    <col min="46" max="46" width="11.42578125" style="241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4" width="11.42578125" style="89" customWidth="1"/>
    <col min="115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1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147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69" t="s">
        <v>139</v>
      </c>
      <c r="B3" s="170">
        <v>860072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SUM(PORTEFEUILLE_FREDERIQUE[[#This Row],[PCR COMPTABLE €]:[MONTANT
RESPONSABLE RELATION CLIENT €]])-PORTEFEUILLE_FREDERIQUE[[#This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/>
      <c r="AM3" s="191"/>
      <c r="AN3" s="188" t="s">
        <v>199</v>
      </c>
      <c r="AO3" s="188" t="s">
        <v>200</v>
      </c>
      <c r="AP3" s="188">
        <v>36</v>
      </c>
      <c r="AQ3" s="188">
        <v>16</v>
      </c>
      <c r="AR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400</v>
      </c>
      <c r="AT3" s="188" t="str">
        <f>IF(PORTEFEUILLE_FREDERIQUE[[#This Row],[BONI AAC]]&lt;&gt;0,1,"")</f>
        <v/>
      </c>
      <c r="AU3" s="188">
        <f>IF(PORTEFEUILLE_FREDERIQUE[[#This Row],[MALI AAC]]&lt;&gt;0,1,"")</f>
        <v>1</v>
      </c>
      <c r="AV3" s="225">
        <f>IF(AP3&lt;&gt;"",IF((AP3*Paramètres!$H$4)-PORTEFEUILLE_FREDERIQUE[[#This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€]]-(DELPHINE!AP3*Paramètres!$H$4),0),0)</f>
        <v>0</v>
      </c>
      <c r="AW3" s="225">
        <f>IF(AP3&lt;&gt;"",IF(((AP3*Paramètres!$H$4)-PORTEFEUILLE_FREDERIQUE[[#This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" s="190" t="str">
        <f>IF(PORTEFEUILLE_FREDERIQUE[[#This Row],[BONI COMPTABLE]]&lt;&gt;0,1,"")</f>
        <v/>
      </c>
      <c r="AY3" s="190" t="str">
        <f>IF(PORTEFEUILLE_FREDERIQUE[[#This Row],[MALI COMPTABLE]]&lt;&gt;0,1,"")</f>
        <v/>
      </c>
      <c r="AZ3" s="188">
        <v>2</v>
      </c>
      <c r="BA3" s="188" t="s">
        <v>209</v>
      </c>
      <c r="BB3" s="188" t="s">
        <v>209</v>
      </c>
      <c r="BC3" s="188"/>
      <c r="BD3" s="188"/>
      <c r="BE3" s="188"/>
      <c r="BF3" s="188"/>
      <c r="BG3" s="192" t="s">
        <v>214</v>
      </c>
      <c r="BH3" s="192" t="s">
        <v>191</v>
      </c>
      <c r="BI3" s="192" t="s">
        <v>200</v>
      </c>
      <c r="BJ3" s="193"/>
      <c r="BK3" s="192"/>
    </row>
    <row r="4" spans="1:78" x14ac:dyDescent="0.25">
      <c r="A4" s="169" t="s">
        <v>139</v>
      </c>
      <c r="B4" s="170">
        <v>860073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SUM(PORTEFEUILLE_FREDERIQUE[[#This Row],[PCR COMPTABLE €]:[MONTANT
RESPONSABLE RELATION CLIENT €]])-PORTEFEUILLE_FREDERIQUE[[#This Row],[MONTANT TOTAL LETTRE DE MISION €]]</f>
        <v>0</v>
      </c>
      <c r="AI4" s="191" t="s">
        <v>153</v>
      </c>
      <c r="AJ4" s="188" t="s">
        <v>154</v>
      </c>
      <c r="AK4" s="188"/>
      <c r="AL4" s="188"/>
      <c r="AM4" s="191"/>
      <c r="AN4" s="188" t="s">
        <v>199</v>
      </c>
      <c r="AO4" s="188"/>
      <c r="AP4" s="188">
        <v>30</v>
      </c>
      <c r="AQ4" s="188">
        <v>20</v>
      </c>
      <c r="AR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1000</v>
      </c>
      <c r="AT4" s="188" t="str">
        <f>IF(PORTEFEUILLE_FREDERIQUE[[#This Row],[BONI AAC]]&lt;&gt;0,1,"")</f>
        <v/>
      </c>
      <c r="AU4" s="188">
        <f>IF(PORTEFEUILLE_FREDERIQUE[[#This Row],[MALI AAC]]&lt;&gt;0,1,"")</f>
        <v>1</v>
      </c>
      <c r="AV4" s="225">
        <f>IF(AP4&lt;&gt;"",IF((AP4*Paramètres!$H$4)-PORTEFEUILLE_FREDERIQUE[[#This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€]]-(DELPHINE!AP4*Paramètres!$H$4),0),0)</f>
        <v>0</v>
      </c>
      <c r="AW4" s="225">
        <f>IF(AP4&lt;&gt;"",IF(((AP4*Paramètres!$H$4)-PORTEFEUILLE_FREDERIQUE[[#This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3000</v>
      </c>
      <c r="AX4" s="190" t="str">
        <f>IF(PORTEFEUILLE_FREDERIQUE[[#This Row],[BONI COMPTABLE]]&lt;&gt;0,1,"")</f>
        <v/>
      </c>
      <c r="AY4" s="190">
        <f>IF(PORTEFEUILLE_FREDERIQUE[[#This Row],[MALI COMPTABLE]]&lt;&gt;0,1,"")</f>
        <v>1</v>
      </c>
      <c r="AZ4" s="188">
        <v>4</v>
      </c>
      <c r="BA4" s="188" t="s">
        <v>209</v>
      </c>
      <c r="BB4" s="188" t="s">
        <v>209</v>
      </c>
      <c r="BC4" s="188"/>
      <c r="BD4" s="188"/>
      <c r="BE4" s="188"/>
      <c r="BF4" s="188"/>
      <c r="BG4" s="192" t="s">
        <v>214</v>
      </c>
      <c r="BH4" s="194" t="s">
        <v>138</v>
      </c>
      <c r="BI4" s="194" t="s">
        <v>215</v>
      </c>
      <c r="BJ4" s="195"/>
      <c r="BK4" s="194"/>
    </row>
    <row r="5" spans="1:78" x14ac:dyDescent="0.25">
      <c r="A5" s="169" t="s">
        <v>139</v>
      </c>
      <c r="B5" s="170">
        <v>860074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SUM(PORTEFEUILLE_FREDERIQUE[[#This Row],[PCR COMPTABLE €]:[MONTANT
RESPONSABLE RELATION CLIENT €]])-PORTEFEUILLE_FREDERIQUE[[#This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91"/>
      <c r="AN5" s="188"/>
      <c r="AO5" s="188"/>
      <c r="AP5" s="188">
        <v>60</v>
      </c>
      <c r="AQ5" s="188">
        <v>60</v>
      </c>
      <c r="AR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2200</v>
      </c>
      <c r="AT5" s="188" t="str">
        <f>IF(PORTEFEUILLE_FREDERIQUE[[#This Row],[BONI AAC]]&lt;&gt;0,1,"")</f>
        <v/>
      </c>
      <c r="AU5" s="188">
        <f>IF(PORTEFEUILLE_FREDERIQUE[[#This Row],[MALI AAC]]&lt;&gt;0,1,"")</f>
        <v>1</v>
      </c>
      <c r="AV5" s="225">
        <f>IF(AP5&lt;&gt;"",IF((AP5*Paramètres!$H$4)-PORTEFEUILLE_FREDERIQUE[[#This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€]]-(DELPHINE!AP5*Paramètres!$H$4),0),0)</f>
        <v>0</v>
      </c>
      <c r="AW5" s="225">
        <f>IF(AP5&lt;&gt;"",IF(((AP5*Paramètres!$H$4)-PORTEFEUILLE_FREDERIQUE[[#This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4150</v>
      </c>
      <c r="AX5" s="190" t="str">
        <f>IF(PORTEFEUILLE_FREDERIQUE[[#This Row],[BONI COMPTABLE]]&lt;&gt;0,1,"")</f>
        <v/>
      </c>
      <c r="AY5" s="190">
        <f>IF(PORTEFEUILLE_FREDERIQUE[[#This Row],[MALI COMPTABLE]]&lt;&gt;0,1,"")</f>
        <v>1</v>
      </c>
      <c r="AZ5" s="188"/>
      <c r="BA5" s="188"/>
      <c r="BB5" s="188"/>
      <c r="BC5" s="188"/>
      <c r="BD5" s="188"/>
      <c r="BE5" s="188"/>
      <c r="BF5" s="188"/>
      <c r="BG5" s="192" t="s">
        <v>214</v>
      </c>
      <c r="BH5" s="194" t="s">
        <v>140</v>
      </c>
      <c r="BI5" s="194" t="s">
        <v>205</v>
      </c>
      <c r="BJ5" s="195" t="s">
        <v>200</v>
      </c>
      <c r="BK5" s="194"/>
    </row>
    <row r="6" spans="1:78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SUM(PORTEFEUILLE_FREDERIQUE[[#This Row],[PCR COMPTABLE €]:[MONTANT
RESPONSABLE RELATION CLIENT €]])-PORTEFEUILLE_FREDERIQUE[[#This Row],[MONTANT TOTAL LETTRE DE MISION €]]</f>
        <v>0</v>
      </c>
      <c r="AI6" s="191"/>
      <c r="AJ6" s="188"/>
      <c r="AK6" s="188"/>
      <c r="AL6" s="188"/>
      <c r="AM6" s="191"/>
      <c r="AN6" s="188"/>
      <c r="AO6" s="188"/>
      <c r="AP6" s="188"/>
      <c r="AQ6" s="188"/>
      <c r="AR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6" s="188" t="str">
        <f>IF(PORTEFEUILLE_FREDERIQUE[[#This Row],[BONI AAC]]&lt;&gt;0,1,"")</f>
        <v/>
      </c>
      <c r="AU6" s="188" t="str">
        <f>IF(PORTEFEUILLE_FREDERIQUE[[#This Row],[MALI AAC]]&lt;&gt;0,1,"")</f>
        <v/>
      </c>
      <c r="AV6" s="225">
        <f>IF(AP6&lt;&gt;"",IF((AP6*Paramètres!$H$4)-PORTEFEUILLE_FREDERIQUE[[#This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€]]-(DELPHINE!#REF!*Paramètres!$H$4),0),0)</f>
        <v>0</v>
      </c>
      <c r="AW6" s="225">
        <f>IF(AP6&lt;&gt;"",IF(((AP6*Paramètres!$H$4)-PORTEFEUILLE_FREDERIQUE[[#This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6" s="190" t="str">
        <f>IF(PORTEFEUILLE_FREDERIQUE[[#This Row],[BONI COMPTABLE]]&lt;&gt;0,1,"")</f>
        <v/>
      </c>
      <c r="AY6" s="190" t="str">
        <f>IF(PORTEFEUILLE_FREDERIQUE[[#This Row],[MALI COMPTABLE]]&lt;&gt;0,1,"")</f>
        <v/>
      </c>
      <c r="AZ6" s="188"/>
      <c r="BA6" s="188"/>
      <c r="BB6" s="188"/>
      <c r="BC6" s="188"/>
      <c r="BD6" s="188"/>
      <c r="BE6" s="188"/>
      <c r="BF6" s="188"/>
      <c r="BG6" s="192"/>
      <c r="BH6" s="194"/>
      <c r="BI6" s="194"/>
      <c r="BJ6" s="195"/>
      <c r="BK6" s="194"/>
    </row>
    <row r="7" spans="1:78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SUM(PORTEFEUILLE_FREDERIQUE[[#This Row],[PCR COMPTABLE €]:[MONTANT
RESPONSABLE RELATION CLIENT €]])-PORTEFEUILLE_FREDERIQUE[[#This Row],[MONTANT TOTAL LETTRE DE MISION €]]</f>
        <v>0</v>
      </c>
      <c r="AI7" s="191"/>
      <c r="AJ7" s="188"/>
      <c r="AK7" s="188"/>
      <c r="AL7" s="188"/>
      <c r="AM7" s="191"/>
      <c r="AN7" s="188"/>
      <c r="AO7" s="188"/>
      <c r="AP7" s="188"/>
      <c r="AQ7" s="188"/>
      <c r="AR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7" s="188" t="str">
        <f>IF(PORTEFEUILLE_FREDERIQUE[[#This Row],[BONI AAC]]&lt;&gt;0,1,"")</f>
        <v/>
      </c>
      <c r="AU7" s="188" t="str">
        <f>IF(PORTEFEUILLE_FREDERIQUE[[#This Row],[MALI AAC]]&lt;&gt;0,1,"")</f>
        <v/>
      </c>
      <c r="AV7" s="225">
        <f>IF(AP7&lt;&gt;"",IF((AP7*Paramètres!$H$4)-PORTEFEUILLE_FREDERIQUE[[#This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€]]-(DELPHINE!AP6*Paramètres!$H$4),0),0)</f>
        <v>0</v>
      </c>
      <c r="AW7" s="225">
        <f>IF(AP7&lt;&gt;"",IF(((AP7*Paramètres!$H$4)-PORTEFEUILLE_FREDERIQUE[[#This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7" s="190" t="str">
        <f>IF(PORTEFEUILLE_FREDERIQUE[[#This Row],[BONI COMPTABLE]]&lt;&gt;0,1,"")</f>
        <v/>
      </c>
      <c r="AY7" s="190" t="str">
        <f>IF(PORTEFEUILLE_FREDERIQUE[[#This Row],[MALI COMPTABLE]]&lt;&gt;0,1,"")</f>
        <v/>
      </c>
      <c r="AZ7" s="188"/>
      <c r="BA7" s="188"/>
      <c r="BB7" s="188"/>
      <c r="BC7" s="188"/>
      <c r="BD7" s="196"/>
      <c r="BE7" s="196"/>
      <c r="BF7" s="196"/>
      <c r="BG7" s="192"/>
      <c r="BH7" s="194"/>
      <c r="BI7" s="194"/>
      <c r="BJ7" s="195"/>
      <c r="BK7" s="194"/>
    </row>
    <row r="8" spans="1:78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SUM(PORTEFEUILLE_FREDERIQUE[[#This Row],[PCR COMPTABLE €]:[MONTANT
RESPONSABLE RELATION CLIENT €]])-PORTEFEUILLE_FREDERIQUE[[#This Row],[MONTANT TOTAL LETTRE DE MISION €]]</f>
        <v>0</v>
      </c>
      <c r="AI8" s="191"/>
      <c r="AJ8" s="188"/>
      <c r="AK8" s="188"/>
      <c r="AL8" s="188"/>
      <c r="AM8" s="191"/>
      <c r="AN8" s="188"/>
      <c r="AO8" s="188"/>
      <c r="AP8" s="188"/>
      <c r="AQ8" s="188"/>
      <c r="AR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8" s="188" t="str">
        <f>IF(PORTEFEUILLE_FREDERIQUE[[#This Row],[BONI AAC]]&lt;&gt;0,1,"")</f>
        <v/>
      </c>
      <c r="AU8" s="188" t="str">
        <f>IF(PORTEFEUILLE_FREDERIQUE[[#This Row],[MALI AAC]]&lt;&gt;0,1,"")</f>
        <v/>
      </c>
      <c r="AV8" s="225">
        <f>IF(AP8&lt;&gt;"",IF((AP8*Paramètres!$H$4)-PORTEFEUILLE_FREDERIQUE[[#This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€]]-(DELPHINE!AP7*Paramètres!$H$4),0),0)</f>
        <v>0</v>
      </c>
      <c r="AW8" s="225">
        <f>IF(AP8&lt;&gt;"",IF(((AP8*Paramètres!$H$4)-PORTEFEUILLE_FREDERIQUE[[#This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8" s="190" t="str">
        <f>IF(PORTEFEUILLE_FREDERIQUE[[#This Row],[BONI COMPTABLE]]&lt;&gt;0,1,"")</f>
        <v/>
      </c>
      <c r="AY8" s="190" t="str">
        <f>IF(PORTEFEUILLE_FREDERIQUE[[#This Row],[MALI COMPTABLE]]&lt;&gt;0,1,"")</f>
        <v/>
      </c>
      <c r="AZ8" s="188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SUM(PORTEFEUILLE_FREDERIQUE[[#This Row],[PCR COMPTABLE €]:[MONTANT
RESPONSABLE RELATION CLIENT €]])-PORTEFEUILLE_FREDERIQUE[[#This Row],[MONTANT TOTAL LETTRE DE MISION €]]</f>
        <v>0</v>
      </c>
      <c r="AI9" s="191"/>
      <c r="AJ9" s="188"/>
      <c r="AK9" s="188"/>
      <c r="AL9" s="188"/>
      <c r="AM9" s="191"/>
      <c r="AN9" s="196"/>
      <c r="AO9" s="196"/>
      <c r="AP9" s="196"/>
      <c r="AQ9" s="196"/>
      <c r="AR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9" s="188" t="str">
        <f>IF(PORTEFEUILLE_FREDERIQUE[[#This Row],[BONI AAC]]&lt;&gt;0,1,"")</f>
        <v/>
      </c>
      <c r="AU9" s="188" t="str">
        <f>IF(PORTEFEUILLE_FREDERIQUE[[#This Row],[MALI AAC]]&lt;&gt;0,1,"")</f>
        <v/>
      </c>
      <c r="AV9" s="225">
        <f>IF(AP9&lt;&gt;"",IF((AP9*Paramètres!$H$4)-PORTEFEUILLE_FREDERIQUE[[#This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€]]-(DELPHINE!AP8*Paramètres!$H$4),0),0)</f>
        <v>0</v>
      </c>
      <c r="AW9" s="225">
        <f>IF(AP9&lt;&gt;"",IF(((AP9*Paramètres!$H$4)-PORTEFEUILLE_FREDERIQUE[[#This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9" s="190" t="str">
        <f>IF(PORTEFEUILLE_FREDERIQUE[[#This Row],[BONI COMPTABLE]]&lt;&gt;0,1,"")</f>
        <v/>
      </c>
      <c r="AY9" s="190" t="str">
        <f>IF(PORTEFEUILLE_FREDERIQUE[[#This Row],[MALI COMPTABLE]]&lt;&gt;0,1,"")</f>
        <v/>
      </c>
      <c r="AZ9" s="196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SUM(PORTEFEUILLE_FREDERIQUE[[#This Row],[PCR COMPTABLE €]:[MONTANT
RESPONSABLE RELATION CLIENT €]])-PORTEFEUILLE_FREDERIQUE[[#This Row],[MONTANT TOTAL LETTRE DE MISION €]]</f>
        <v>0</v>
      </c>
      <c r="AI10" s="191"/>
      <c r="AJ10" s="188"/>
      <c r="AK10" s="188"/>
      <c r="AL10" s="188"/>
      <c r="AM10" s="191"/>
      <c r="AN10" s="188"/>
      <c r="AO10" s="188"/>
      <c r="AP10" s="188"/>
      <c r="AQ10" s="188"/>
      <c r="AR1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0" s="188" t="str">
        <f>IF(PORTEFEUILLE_FREDERIQUE[[#This Row],[BONI AAC]]&lt;&gt;0,1,"")</f>
        <v/>
      </c>
      <c r="AU10" s="188" t="str">
        <f>IF(PORTEFEUILLE_FREDERIQUE[[#This Row],[MALI AAC]]&lt;&gt;0,1,"")</f>
        <v/>
      </c>
      <c r="AV10" s="225">
        <f>IF(AP10&lt;&gt;"",IF((AP10*Paramètres!$H$4)-PORTEFEUILLE_FREDERIQUE[[#This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€]]-(DELPHINE!AP9*Paramètres!$H$4),0),0)</f>
        <v>0</v>
      </c>
      <c r="AW10" s="225">
        <f>IF(AP10&lt;&gt;"",IF(((AP10*Paramètres!$H$4)-PORTEFEUILLE_FREDERIQUE[[#This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0" s="190" t="str">
        <f>IF(PORTEFEUILLE_FREDERIQUE[[#This Row],[BONI COMPTABLE]]&lt;&gt;0,1,"")</f>
        <v/>
      </c>
      <c r="AY10" s="190" t="str">
        <f>IF(PORTEFEUILLE_FREDERIQUE[[#This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SUM(PORTEFEUILLE_FREDERIQUE[[#This Row],[PCR COMPTABLE €]:[MONTANT
RESPONSABLE RELATION CLIENT €]])-PORTEFEUILLE_FREDERIQUE[[#This Row],[MONTANT TOTAL LETTRE DE MISION €]]</f>
        <v>0</v>
      </c>
      <c r="AI11" s="191"/>
      <c r="AJ11" s="188"/>
      <c r="AK11" s="188"/>
      <c r="AL11" s="188"/>
      <c r="AM11" s="191"/>
      <c r="AN11" s="188"/>
      <c r="AO11" s="188"/>
      <c r="AP11" s="188"/>
      <c r="AQ11" s="188"/>
      <c r="AR1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1" s="188" t="str">
        <f>IF(PORTEFEUILLE_FREDERIQUE[[#This Row],[BONI AAC]]&lt;&gt;0,1,"")</f>
        <v/>
      </c>
      <c r="AU11" s="188" t="str">
        <f>IF(PORTEFEUILLE_FREDERIQUE[[#This Row],[MALI AAC]]&lt;&gt;0,1,"")</f>
        <v/>
      </c>
      <c r="AV11" s="225">
        <f>IF(AP11&lt;&gt;"",IF((AP11*Paramètres!$H$4)-PORTEFEUILLE_FREDERIQUE[[#This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€]]-(DELPHINE!AP10*Paramètres!$H$4),0),0)</f>
        <v>0</v>
      </c>
      <c r="AW11" s="225">
        <f>IF(AP11&lt;&gt;"",IF(((AP11*Paramètres!$H$4)-PORTEFEUILLE_FREDERIQUE[[#This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1" s="190" t="str">
        <f>IF(PORTEFEUILLE_FREDERIQUE[[#This Row],[BONI COMPTABLE]]&lt;&gt;0,1,"")</f>
        <v/>
      </c>
      <c r="AY11" s="190" t="str">
        <f>IF(PORTEFEUILLE_FREDERIQUE[[#This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SUM(PORTEFEUILLE_FREDERIQUE[[#This Row],[PCR COMPTABLE €]:[MONTANT
RESPONSABLE RELATION CLIENT €]])-PORTEFEUILLE_FREDERIQUE[[#This Row],[MONTANT TOTAL LETTRE DE MISION €]]</f>
        <v>0</v>
      </c>
      <c r="AI12" s="191"/>
      <c r="AJ12" s="188"/>
      <c r="AK12" s="188"/>
      <c r="AL12" s="188"/>
      <c r="AM12" s="191"/>
      <c r="AN12" s="188"/>
      <c r="AO12" s="188"/>
      <c r="AP12" s="188"/>
      <c r="AQ12" s="188"/>
      <c r="AR1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2" s="188" t="str">
        <f>IF(PORTEFEUILLE_FREDERIQUE[[#This Row],[BONI AAC]]&lt;&gt;0,1,"")</f>
        <v/>
      </c>
      <c r="AU12" s="188" t="str">
        <f>IF(PORTEFEUILLE_FREDERIQUE[[#This Row],[MALI AAC]]&lt;&gt;0,1,"")</f>
        <v/>
      </c>
      <c r="AV12" s="225">
        <f>IF(AP12&lt;&gt;"",IF((AP12*Paramètres!$H$4)-PORTEFEUILLE_FREDERIQUE[[#This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€]]-(DELPHINE!AP11*Paramètres!$H$4),0),0)</f>
        <v>0</v>
      </c>
      <c r="AW12" s="225">
        <f>IF(AP12&lt;&gt;"",IF(((AP12*Paramètres!$H$4)-PORTEFEUILLE_FREDERIQUE[[#This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2" s="190" t="str">
        <f>IF(PORTEFEUILLE_FREDERIQUE[[#This Row],[BONI COMPTABLE]]&lt;&gt;0,1,"")</f>
        <v/>
      </c>
      <c r="AY12" s="190" t="str">
        <f>IF(PORTEFEUILLE_FREDERIQUE[[#This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SUM(PORTEFEUILLE_FREDERIQUE[[#This Row],[PCR COMPTABLE €]:[MONTANT
RESPONSABLE RELATION CLIENT €]])-PORTEFEUILLE_FREDERIQUE[[#This Row],[MONTANT TOTAL LETTRE DE MISION €]]</f>
        <v>0</v>
      </c>
      <c r="AI13" s="191"/>
      <c r="AJ13" s="188"/>
      <c r="AK13" s="188"/>
      <c r="AL13" s="188"/>
      <c r="AM13" s="191"/>
      <c r="AN13" s="188"/>
      <c r="AO13" s="188"/>
      <c r="AP13" s="188"/>
      <c r="AQ13" s="188"/>
      <c r="AR1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3" s="188" t="str">
        <f>IF(PORTEFEUILLE_FREDERIQUE[[#This Row],[BONI AAC]]&lt;&gt;0,1,"")</f>
        <v/>
      </c>
      <c r="AU13" s="188" t="str">
        <f>IF(PORTEFEUILLE_FREDERIQUE[[#This Row],[MALI AAC]]&lt;&gt;0,1,"")</f>
        <v/>
      </c>
      <c r="AV13" s="225">
        <f>IF(AP13&lt;&gt;"",IF((AP13*Paramètres!$H$4)-PORTEFEUILLE_FREDERIQUE[[#This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€]]-(DELPHINE!AP12*Paramètres!$H$4),0),0)</f>
        <v>0</v>
      </c>
      <c r="AW13" s="225">
        <f>IF(AP13&lt;&gt;"",IF(((AP13*Paramètres!$H$4)-PORTEFEUILLE_FREDERIQUE[[#This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3" s="190" t="str">
        <f>IF(PORTEFEUILLE_FREDERIQUE[[#This Row],[BONI COMPTABLE]]&lt;&gt;0,1,"")</f>
        <v/>
      </c>
      <c r="AY13" s="190" t="str">
        <f>IF(PORTEFEUILLE_FREDERIQUE[[#This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SUM(PORTEFEUILLE_FREDERIQUE[[#This Row],[PCR COMPTABLE €]:[MONTANT
RESPONSABLE RELATION CLIENT €]])-PORTEFEUILLE_FREDERIQUE[[#This Row],[MONTANT TOTAL LETTRE DE MISION €]]</f>
        <v>0</v>
      </c>
      <c r="AI14" s="191"/>
      <c r="AJ14" s="188"/>
      <c r="AK14" s="188"/>
      <c r="AL14" s="188"/>
      <c r="AM14" s="191"/>
      <c r="AN14" s="188"/>
      <c r="AO14" s="188"/>
      <c r="AP14" s="188"/>
      <c r="AQ14" s="188"/>
      <c r="AR1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4" s="188" t="str">
        <f>IF(PORTEFEUILLE_FREDERIQUE[[#This Row],[BONI AAC]]&lt;&gt;0,1,"")</f>
        <v/>
      </c>
      <c r="AU14" s="188" t="str">
        <f>IF(PORTEFEUILLE_FREDERIQUE[[#This Row],[MALI AAC]]&lt;&gt;0,1,"")</f>
        <v/>
      </c>
      <c r="AV14" s="225">
        <f>IF(AP14&lt;&gt;"",IF((AP14*Paramètres!$H$4)-PORTEFEUILLE_FREDERIQUE[[#This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€]]-(DELPHINE!AP13*Paramètres!$H$4),0),0)</f>
        <v>0</v>
      </c>
      <c r="AW14" s="225">
        <f>IF(AP14&lt;&gt;"",IF(((AP14*Paramètres!$H$4)-PORTEFEUILLE_FREDERIQUE[[#This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4" s="190" t="str">
        <f>IF(PORTEFEUILLE_FREDERIQUE[[#This Row],[BONI COMPTABLE]]&lt;&gt;0,1,"")</f>
        <v/>
      </c>
      <c r="AY14" s="190" t="str">
        <f>IF(PORTEFEUILLE_FREDERIQUE[[#This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SUM(PORTEFEUILLE_FREDERIQUE[[#This Row],[PCR COMPTABLE €]:[MONTANT
RESPONSABLE RELATION CLIENT €]])-PORTEFEUILLE_FREDERIQUE[[#This Row],[MONTANT TOTAL LETTRE DE MISION €]]</f>
        <v>0</v>
      </c>
      <c r="AI15" s="191"/>
      <c r="AJ15" s="188"/>
      <c r="AK15" s="188"/>
      <c r="AL15" s="188"/>
      <c r="AM15" s="191"/>
      <c r="AN15" s="188"/>
      <c r="AO15" s="188"/>
      <c r="AP15" s="188"/>
      <c r="AQ15" s="188"/>
      <c r="AR1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5" s="188" t="str">
        <f>IF(PORTEFEUILLE_FREDERIQUE[[#This Row],[BONI AAC]]&lt;&gt;0,1,"")</f>
        <v/>
      </c>
      <c r="AU15" s="188" t="str">
        <f>IF(PORTEFEUILLE_FREDERIQUE[[#This Row],[MALI AAC]]&lt;&gt;0,1,"")</f>
        <v/>
      </c>
      <c r="AV15" s="225">
        <f>IF(AP15&lt;&gt;"",IF((AP15*Paramètres!$H$4)-PORTEFEUILLE_FREDERIQUE[[#This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€]]-(DELPHINE!AP14*Paramètres!$H$4),0),0)</f>
        <v>0</v>
      </c>
      <c r="AW15" s="225">
        <f>IF(AP15&lt;&gt;"",IF(((AP15*Paramètres!$H$4)-PORTEFEUILLE_FREDERIQUE[[#This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5" s="190" t="str">
        <f>IF(PORTEFEUILLE_FREDERIQUE[[#This Row],[BONI COMPTABLE]]&lt;&gt;0,1,"")</f>
        <v/>
      </c>
      <c r="AY15" s="190" t="str">
        <f>IF(PORTEFEUILLE_FREDERIQUE[[#This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SUM(PORTEFEUILLE_FREDERIQUE[[#This Row],[PCR COMPTABLE €]:[MONTANT
RESPONSABLE RELATION CLIENT €]])-PORTEFEUILLE_FREDERIQUE[[#This Row],[MONTANT TOTAL LETTRE DE MISION €]]</f>
        <v>0</v>
      </c>
      <c r="AI16" s="191"/>
      <c r="AJ16" s="188"/>
      <c r="AK16" s="188"/>
      <c r="AL16" s="188"/>
      <c r="AM16" s="191"/>
      <c r="AN16" s="188"/>
      <c r="AO16" s="188"/>
      <c r="AP16" s="188"/>
      <c r="AQ16" s="188"/>
      <c r="AR1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6" s="188" t="str">
        <f>IF(PORTEFEUILLE_FREDERIQUE[[#This Row],[BONI AAC]]&lt;&gt;0,1,"")</f>
        <v/>
      </c>
      <c r="AU16" s="188" t="str">
        <f>IF(PORTEFEUILLE_FREDERIQUE[[#This Row],[MALI AAC]]&lt;&gt;0,1,"")</f>
        <v/>
      </c>
      <c r="AV16" s="225">
        <f>IF(AP16&lt;&gt;"",IF((AP16*Paramètres!$H$4)-PORTEFEUILLE_FREDERIQUE[[#This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€]]-(DELPHINE!AP15*Paramètres!$H$4),0),0)</f>
        <v>0</v>
      </c>
      <c r="AW16" s="225">
        <f>IF(AP16&lt;&gt;"",IF(((AP16*Paramètres!$H$4)-PORTEFEUILLE_FREDERIQUE[[#This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6" s="190" t="str">
        <f>IF(PORTEFEUILLE_FREDERIQUE[[#This Row],[BONI COMPTABLE]]&lt;&gt;0,1,"")</f>
        <v/>
      </c>
      <c r="AY16" s="190" t="str">
        <f>IF(PORTEFEUILLE_FREDERIQUE[[#This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SUM(PORTEFEUILLE_FREDERIQUE[[#This Row],[PCR COMPTABLE €]:[MONTANT
RESPONSABLE RELATION CLIENT €]])-PORTEFEUILLE_FREDERIQUE[[#This Row],[MONTANT TOTAL LETTRE DE MISION €]]</f>
        <v>0</v>
      </c>
      <c r="AI17" s="191"/>
      <c r="AJ17" s="188"/>
      <c r="AK17" s="188"/>
      <c r="AL17" s="188"/>
      <c r="AM17" s="191"/>
      <c r="AN17" s="188"/>
      <c r="AO17" s="188"/>
      <c r="AP17" s="188"/>
      <c r="AQ17" s="188"/>
      <c r="AR1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7" s="188" t="str">
        <f>IF(PORTEFEUILLE_FREDERIQUE[[#This Row],[BONI AAC]]&lt;&gt;0,1,"")</f>
        <v/>
      </c>
      <c r="AU17" s="188" t="str">
        <f>IF(PORTEFEUILLE_FREDERIQUE[[#This Row],[MALI AAC]]&lt;&gt;0,1,"")</f>
        <v/>
      </c>
      <c r="AV17" s="225">
        <f>IF(AP17&lt;&gt;"",IF((AP17*Paramètres!$H$4)-PORTEFEUILLE_FREDERIQUE[[#This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€]]-(DELPHINE!AP16*Paramètres!$H$4),0),0)</f>
        <v>0</v>
      </c>
      <c r="AW17" s="225">
        <f>IF(AP17&lt;&gt;"",IF(((AP17*Paramètres!$H$4)-PORTEFEUILLE_FREDERIQUE[[#This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7" s="190" t="str">
        <f>IF(PORTEFEUILLE_FREDERIQUE[[#This Row],[BONI COMPTABLE]]&lt;&gt;0,1,"")</f>
        <v/>
      </c>
      <c r="AY17" s="190" t="str">
        <f>IF(PORTEFEUILLE_FREDERIQUE[[#This Row],[MALI COMPTABLE]]&lt;&gt;0,1,"")</f>
        <v/>
      </c>
      <c r="AZ17" s="188"/>
      <c r="BA17" s="188"/>
      <c r="BB17" s="188"/>
      <c r="BC17" s="188"/>
      <c r="BD17" s="188"/>
      <c r="BE17" s="188"/>
      <c r="BF17" s="188"/>
      <c r="BG17" s="192"/>
      <c r="BH17" s="194"/>
      <c r="BI17" s="194"/>
      <c r="BJ17" s="195"/>
      <c r="BK17" s="194"/>
    </row>
    <row r="18" spans="1:63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SUM(PORTEFEUILLE_FREDERIQUE[[#This Row],[PCR COMPTABLE €]:[MONTANT
RESPONSABLE RELATION CLIENT €]])-PORTEFEUILLE_FREDERIQUE[[#This Row],[MONTANT TOTAL LETTRE DE MISION €]]</f>
        <v>0</v>
      </c>
      <c r="AI18" s="191"/>
      <c r="AJ18" s="188"/>
      <c r="AK18" s="188"/>
      <c r="AL18" s="188"/>
      <c r="AM18" s="191"/>
      <c r="AN18" s="188"/>
      <c r="AO18" s="188"/>
      <c r="AP18" s="188"/>
      <c r="AQ18" s="188"/>
      <c r="AR1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8" s="188" t="str">
        <f>IF(PORTEFEUILLE_FREDERIQUE[[#This Row],[BONI AAC]]&lt;&gt;0,1,"")</f>
        <v/>
      </c>
      <c r="AU18" s="188" t="str">
        <f>IF(PORTEFEUILLE_FREDERIQUE[[#This Row],[MALI AAC]]&lt;&gt;0,1,"")</f>
        <v/>
      </c>
      <c r="AV18" s="225">
        <f>IF(AP18&lt;&gt;"",IF((AP18*Paramètres!$H$4)-PORTEFEUILLE_FREDERIQUE[[#This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€]]-(DELPHINE!AP17*Paramètres!$H$4),0),0)</f>
        <v>0</v>
      </c>
      <c r="AW18" s="225">
        <f>IF(AP18&lt;&gt;"",IF(((AP18*Paramètres!$H$4)-PORTEFEUILLE_FREDERIQUE[[#This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8" s="190" t="str">
        <f>IF(PORTEFEUILLE_FREDERIQUE[[#This Row],[BONI COMPTABLE]]&lt;&gt;0,1,"")</f>
        <v/>
      </c>
      <c r="AY18" s="190" t="str">
        <f>IF(PORTEFEUILLE_FREDERIQUE[[#This Row],[MALI COMPTABLE]]&lt;&gt;0,1,"")</f>
        <v/>
      </c>
      <c r="AZ18" s="188"/>
      <c r="BA18" s="188"/>
      <c r="BB18" s="188"/>
      <c r="BC18" s="188"/>
      <c r="BD18" s="188"/>
      <c r="BE18" s="188"/>
      <c r="BF18" s="188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SUM(PORTEFEUILLE_FREDERIQUE[[#This Row],[PCR COMPTABLE €]:[MONTANT
RESPONSABLE RELATION CLIENT €]])-PORTEFEUILLE_FREDERIQUE[[#This Row],[MONTANT TOTAL LETTRE DE MISION €]]</f>
        <v>0</v>
      </c>
      <c r="AI19" s="191"/>
      <c r="AJ19" s="188"/>
      <c r="AK19" s="188"/>
      <c r="AL19" s="188"/>
      <c r="AM19" s="191"/>
      <c r="AN19" s="188"/>
      <c r="AO19" s="188"/>
      <c r="AP19" s="188"/>
      <c r="AQ19" s="188"/>
      <c r="AR1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1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19" s="188" t="str">
        <f>IF(PORTEFEUILLE_FREDERIQUE[[#This Row],[BONI AAC]]&lt;&gt;0,1,"")</f>
        <v/>
      </c>
      <c r="AU19" s="188" t="str">
        <f>IF(PORTEFEUILLE_FREDERIQUE[[#This Row],[MALI AAC]]&lt;&gt;0,1,"")</f>
        <v/>
      </c>
      <c r="AV19" s="225">
        <f>IF(AP19&lt;&gt;"",IF((AP19*Paramètres!$H$4)-PORTEFEUILLE_FREDERIQUE[[#This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€]]-(DELPHINE!AP18*Paramètres!$H$4),0),0)</f>
        <v>0</v>
      </c>
      <c r="AW19" s="225">
        <f>IF(AP19&lt;&gt;"",IF(((AP19*Paramètres!$H$4)-PORTEFEUILLE_FREDERIQUE[[#This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19" s="190" t="str">
        <f>IF(PORTEFEUILLE_FREDERIQUE[[#This Row],[BONI COMPTABLE]]&lt;&gt;0,1,"")</f>
        <v/>
      </c>
      <c r="AY19" s="190" t="str">
        <f>IF(PORTEFEUILLE_FREDERIQUE[[#This Row],[MALI COMPTABLE]]&lt;&gt;0,1,"")</f>
        <v/>
      </c>
      <c r="AZ19" s="188"/>
      <c r="BA19" s="188"/>
      <c r="BB19" s="188"/>
      <c r="BC19" s="188"/>
      <c r="BD19" s="188"/>
      <c r="BE19" s="188"/>
      <c r="BF19" s="188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SUM(PORTEFEUILLE_FREDERIQUE[[#This Row],[PCR COMPTABLE €]:[MONTANT
RESPONSABLE RELATION CLIENT €]])-PORTEFEUILLE_FREDERIQUE[[#This Row],[MONTANT TOTAL LETTRE DE MISION €]]</f>
        <v>0</v>
      </c>
      <c r="AI20" s="191"/>
      <c r="AJ20" s="188"/>
      <c r="AK20" s="188"/>
      <c r="AL20" s="188"/>
      <c r="AM20" s="191"/>
      <c r="AN20" s="196"/>
      <c r="AO20" s="196"/>
      <c r="AP20" s="196"/>
      <c r="AQ20" s="196"/>
      <c r="AR2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0" s="188" t="str">
        <f>IF(PORTEFEUILLE_FREDERIQUE[[#This Row],[BONI AAC]]&lt;&gt;0,1,"")</f>
        <v/>
      </c>
      <c r="AU20" s="188" t="str">
        <f>IF(PORTEFEUILLE_FREDERIQUE[[#This Row],[MALI AAC]]&lt;&gt;0,1,"")</f>
        <v/>
      </c>
      <c r="AV20" s="225">
        <f>IF(AP20&lt;&gt;"",IF((AP20*Paramètres!$H$4)-PORTEFEUILLE_FREDERIQUE[[#This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€]]-(DELPHINE!AP19*Paramètres!$H$4),0),0)</f>
        <v>0</v>
      </c>
      <c r="AW20" s="225">
        <f>IF(AP20&lt;&gt;"",IF(((AP20*Paramètres!$H$4)-PORTEFEUILLE_FREDERIQUE[[#This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0" s="190" t="str">
        <f>IF(PORTEFEUILLE_FREDERIQUE[[#This Row],[BONI COMPTABLE]]&lt;&gt;0,1,"")</f>
        <v/>
      </c>
      <c r="AY20" s="190" t="str">
        <f>IF(PORTEFEUILLE_FREDERIQUE[[#This Row],[MALI COMPTABLE]]&lt;&gt;0,1,"")</f>
        <v/>
      </c>
      <c r="AZ20" s="196"/>
      <c r="BA20" s="188"/>
      <c r="BB20" s="188"/>
      <c r="BC20" s="188"/>
      <c r="BD20" s="196"/>
      <c r="BE20" s="196"/>
      <c r="BF20" s="196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SUM(PORTEFEUILLE_FREDERIQUE[[#This Row],[PCR COMPTABLE €]:[MONTANT
RESPONSABLE RELATION CLIENT €]])-PORTEFEUILLE_FREDERIQUE[[#This Row],[MONTANT TOTAL LETTRE DE MISION €]]</f>
        <v>0</v>
      </c>
      <c r="AI21" s="191"/>
      <c r="AJ21" s="188"/>
      <c r="AK21" s="188"/>
      <c r="AL21" s="188"/>
      <c r="AM21" s="191"/>
      <c r="AN21" s="188"/>
      <c r="AO21" s="188"/>
      <c r="AP21" s="188"/>
      <c r="AQ21" s="188"/>
      <c r="AR2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1" s="188" t="str">
        <f>IF(PORTEFEUILLE_FREDERIQUE[[#This Row],[BONI AAC]]&lt;&gt;0,1,"")</f>
        <v/>
      </c>
      <c r="AU21" s="188" t="str">
        <f>IF(PORTEFEUILLE_FREDERIQUE[[#This Row],[MALI AAC]]&lt;&gt;0,1,"")</f>
        <v/>
      </c>
      <c r="AV21" s="225">
        <f>IF(AP21&lt;&gt;"",IF((AP21*Paramètres!$H$4)-PORTEFEUILLE_FREDERIQUE[[#This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€]]-(DELPHINE!AP20*Paramètres!$H$4),0),0)</f>
        <v>0</v>
      </c>
      <c r="AW21" s="225">
        <f>IF(AP21&lt;&gt;"",IF(((AP21*Paramètres!$H$4)-PORTEFEUILLE_FREDERIQUE[[#This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1" s="190" t="str">
        <f>IF(PORTEFEUILLE_FREDERIQUE[[#This Row],[BONI COMPTABLE]]&lt;&gt;0,1,"")</f>
        <v/>
      </c>
      <c r="AY21" s="190" t="str">
        <f>IF(PORTEFEUILLE_FREDERIQUE[[#This Row],[MALI COMPTABLE]]&lt;&gt;0,1,"")</f>
        <v/>
      </c>
      <c r="AZ21" s="188"/>
      <c r="BA21" s="188"/>
      <c r="BB21" s="188"/>
      <c r="BC21" s="188"/>
      <c r="BD21" s="196"/>
      <c r="BE21" s="196"/>
      <c r="BF21" s="196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SUM(PORTEFEUILLE_FREDERIQUE[[#This Row],[PCR COMPTABLE €]:[MONTANT
RESPONSABLE RELATION CLIENT €]])-PORTEFEUILLE_FREDERIQUE[[#This Row],[MONTANT TOTAL LETTRE DE MISION €]]</f>
        <v>0</v>
      </c>
      <c r="AI22" s="191"/>
      <c r="AJ22" s="188"/>
      <c r="AK22" s="188"/>
      <c r="AL22" s="188"/>
      <c r="AM22" s="191"/>
      <c r="AN22" s="197"/>
      <c r="AO22" s="197"/>
      <c r="AP22" s="197"/>
      <c r="AQ22" s="197"/>
      <c r="AR2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2" s="188" t="str">
        <f>IF(PORTEFEUILLE_FREDERIQUE[[#This Row],[BONI AAC]]&lt;&gt;0,1,"")</f>
        <v/>
      </c>
      <c r="AU22" s="188" t="str">
        <f>IF(PORTEFEUILLE_FREDERIQUE[[#This Row],[MALI AAC]]&lt;&gt;0,1,"")</f>
        <v/>
      </c>
      <c r="AV22" s="225">
        <f>IF(AP22&lt;&gt;"",IF((AP22*Paramètres!$H$4)-PORTEFEUILLE_FREDERIQUE[[#This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€]]-(DELPHINE!AP21*Paramètres!$H$4),0),0)</f>
        <v>0</v>
      </c>
      <c r="AW22" s="225">
        <f>IF(AP22&lt;&gt;"",IF(((AP22*Paramètres!$H$4)-PORTEFEUILLE_FREDERIQUE[[#This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2" s="190" t="str">
        <f>IF(PORTEFEUILLE_FREDERIQUE[[#This Row],[BONI COMPTABLE]]&lt;&gt;0,1,"")</f>
        <v/>
      </c>
      <c r="AY22" s="190" t="str">
        <f>IF(PORTEFEUILLE_FREDERIQUE[[#This Row],[MALI COMPTABLE]]&lt;&gt;0,1,"")</f>
        <v/>
      </c>
      <c r="AZ22" s="188"/>
      <c r="BA22" s="188"/>
      <c r="BB22" s="188"/>
      <c r="BC22" s="188"/>
      <c r="BD22" s="196"/>
      <c r="BE22" s="196"/>
      <c r="BF22" s="196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SUM(PORTEFEUILLE_FREDERIQUE[[#This Row],[PCR COMPTABLE €]:[MONTANT
RESPONSABLE RELATION CLIENT €]])-PORTEFEUILLE_FREDERIQUE[[#This Row],[MONTANT TOTAL LETTRE DE MISION €]]</f>
        <v>0</v>
      </c>
      <c r="AI23" s="191"/>
      <c r="AJ23" s="188"/>
      <c r="AK23" s="188"/>
      <c r="AL23" s="188"/>
      <c r="AM23" s="191"/>
      <c r="AN23" s="188"/>
      <c r="AO23" s="188"/>
      <c r="AP23" s="188"/>
      <c r="AQ23" s="188"/>
      <c r="AR2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3" s="188" t="str">
        <f>IF(PORTEFEUILLE_FREDERIQUE[[#This Row],[BONI AAC]]&lt;&gt;0,1,"")</f>
        <v/>
      </c>
      <c r="AU23" s="188" t="str">
        <f>IF(PORTEFEUILLE_FREDERIQUE[[#This Row],[MALI AAC]]&lt;&gt;0,1,"")</f>
        <v/>
      </c>
      <c r="AV23" s="225">
        <f>IF(AP23&lt;&gt;"",IF((AP23*Paramètres!$H$4)-PORTEFEUILLE_FREDERIQUE[[#This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€]]-(DELPHINE!AP22*Paramètres!$H$4),0),0)</f>
        <v>0</v>
      </c>
      <c r="AW23" s="225">
        <f>IF(AP23&lt;&gt;"",IF(((AP23*Paramètres!$H$4)-PORTEFEUILLE_FREDERIQUE[[#This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3" s="190" t="str">
        <f>IF(PORTEFEUILLE_FREDERIQUE[[#This Row],[BONI COMPTABLE]]&lt;&gt;0,1,"")</f>
        <v/>
      </c>
      <c r="AY23" s="190" t="str">
        <f>IF(PORTEFEUILLE_FREDERIQUE[[#This Row],[MALI COMPTABLE]]&lt;&gt;0,1,"")</f>
        <v/>
      </c>
      <c r="AZ23" s="188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SUM(PORTEFEUILLE_FREDERIQUE[[#This Row],[PCR COMPTABLE €]:[MONTANT
RESPONSABLE RELATION CLIENT €]])-PORTEFEUILLE_FREDERIQUE[[#This Row],[MONTANT TOTAL LETTRE DE MISION €]]</f>
        <v>0</v>
      </c>
      <c r="AI24" s="191"/>
      <c r="AJ24" s="188"/>
      <c r="AK24" s="188"/>
      <c r="AL24" s="188"/>
      <c r="AM24" s="191"/>
      <c r="AN24" s="196"/>
      <c r="AO24" s="196"/>
      <c r="AP24" s="196"/>
      <c r="AQ24" s="196"/>
      <c r="AR2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4" s="188" t="str">
        <f>IF(PORTEFEUILLE_FREDERIQUE[[#This Row],[BONI AAC]]&lt;&gt;0,1,"")</f>
        <v/>
      </c>
      <c r="AU24" s="188" t="str">
        <f>IF(PORTEFEUILLE_FREDERIQUE[[#This Row],[MALI AAC]]&lt;&gt;0,1,"")</f>
        <v/>
      </c>
      <c r="AV24" s="225">
        <f>IF(AP24&lt;&gt;"",IF((AP24*Paramètres!$H$4)-PORTEFEUILLE_FREDERIQUE[[#This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€]]-(DELPHINE!AP23*Paramètres!$H$4),0),0)</f>
        <v>0</v>
      </c>
      <c r="AW24" s="225">
        <f>IF(AP24&lt;&gt;"",IF(((AP24*Paramètres!$H$4)-PORTEFEUILLE_FREDERIQUE[[#This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4" s="190" t="str">
        <f>IF(PORTEFEUILLE_FREDERIQUE[[#This Row],[BONI COMPTABLE]]&lt;&gt;0,1,"")</f>
        <v/>
      </c>
      <c r="AY24" s="190" t="str">
        <f>IF(PORTEFEUILLE_FREDERIQUE[[#This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SUM(PORTEFEUILLE_FREDERIQUE[[#This Row],[PCR COMPTABLE €]:[MONTANT
RESPONSABLE RELATION CLIENT €]])-PORTEFEUILLE_FREDERIQUE[[#This Row],[MONTANT TOTAL LETTRE DE MISION €]]</f>
        <v>0</v>
      </c>
      <c r="AI25" s="191"/>
      <c r="AJ25" s="188"/>
      <c r="AK25" s="188"/>
      <c r="AL25" s="188"/>
      <c r="AM25" s="191"/>
      <c r="AN25" s="196"/>
      <c r="AO25" s="196"/>
      <c r="AP25" s="196"/>
      <c r="AQ25" s="196"/>
      <c r="AR2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5" s="188" t="str">
        <f>IF(PORTEFEUILLE_FREDERIQUE[[#This Row],[BONI AAC]]&lt;&gt;0,1,"")</f>
        <v/>
      </c>
      <c r="AU25" s="188" t="str">
        <f>IF(PORTEFEUILLE_FREDERIQUE[[#This Row],[MALI AAC]]&lt;&gt;0,1,"")</f>
        <v/>
      </c>
      <c r="AV25" s="225">
        <f>IF(AP25&lt;&gt;"",IF((AP25*Paramètres!$H$4)-PORTEFEUILLE_FREDERIQUE[[#This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€]]-(DELPHINE!AP24*Paramètres!$H$4),0),0)</f>
        <v>0</v>
      </c>
      <c r="AW25" s="225">
        <f>IF(AP25&lt;&gt;"",IF(((AP25*Paramètres!$H$4)-PORTEFEUILLE_FREDERIQUE[[#This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5" s="190" t="str">
        <f>IF(PORTEFEUILLE_FREDERIQUE[[#This Row],[BONI COMPTABLE]]&lt;&gt;0,1,"")</f>
        <v/>
      </c>
      <c r="AY25" s="190" t="str">
        <f>IF(PORTEFEUILLE_FREDERIQUE[[#This Row],[MALI COMPTABLE]]&lt;&gt;0,1,"")</f>
        <v/>
      </c>
      <c r="AZ25" s="196"/>
      <c r="BA25" s="188"/>
      <c r="BB25" s="188"/>
      <c r="BC25" s="188"/>
      <c r="BD25" s="188"/>
      <c r="BE25" s="188"/>
      <c r="BF25" s="188"/>
      <c r="BG25" s="192"/>
      <c r="BH25" s="194"/>
      <c r="BI25" s="194"/>
      <c r="BJ25" s="195"/>
      <c r="BK25" s="194"/>
    </row>
    <row r="26" spans="1:63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SUM(PORTEFEUILLE_FREDERIQUE[[#This Row],[PCR COMPTABLE €]:[MONTANT
RESPONSABLE RELATION CLIENT €]])-PORTEFEUILLE_FREDERIQUE[[#This Row],[MONTANT TOTAL LETTRE DE MISION €]]</f>
        <v>0</v>
      </c>
      <c r="AI26" s="191"/>
      <c r="AJ26" s="188"/>
      <c r="AK26" s="188"/>
      <c r="AL26" s="188"/>
      <c r="AM26" s="191"/>
      <c r="AN26" s="196"/>
      <c r="AO26" s="196"/>
      <c r="AP26" s="196"/>
      <c r="AQ26" s="196"/>
      <c r="AR2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6" s="188" t="str">
        <f>IF(PORTEFEUILLE_FREDERIQUE[[#This Row],[BONI AAC]]&lt;&gt;0,1,"")</f>
        <v/>
      </c>
      <c r="AU26" s="188" t="str">
        <f>IF(PORTEFEUILLE_FREDERIQUE[[#This Row],[MALI AAC]]&lt;&gt;0,1,"")</f>
        <v/>
      </c>
      <c r="AV26" s="225">
        <f>IF(AP26&lt;&gt;"",IF((AP26*Paramètres!$H$4)-PORTEFEUILLE_FREDERIQUE[[#This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€]]-(DELPHINE!AP25*Paramètres!$H$4),0),0)</f>
        <v>0</v>
      </c>
      <c r="AW26" s="225">
        <f>IF(AP26&lt;&gt;"",IF(((AP26*Paramètres!$H$4)-PORTEFEUILLE_FREDERIQUE[[#This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6" s="190" t="str">
        <f>IF(PORTEFEUILLE_FREDERIQUE[[#This Row],[BONI COMPTABLE]]&lt;&gt;0,1,"")</f>
        <v/>
      </c>
      <c r="AY26" s="190" t="str">
        <f>IF(PORTEFEUILLE_FREDERIQUE[[#This Row],[MALI COMPTABLE]]&lt;&gt;0,1,"")</f>
        <v/>
      </c>
      <c r="AZ26" s="196"/>
      <c r="BA26" s="188"/>
      <c r="BB26" s="188"/>
      <c r="BC26" s="188"/>
      <c r="BD26" s="188"/>
      <c r="BE26" s="188"/>
      <c r="BF26" s="188"/>
      <c r="BG26" s="192"/>
      <c r="BH26" s="194"/>
      <c r="BI26" s="194"/>
      <c r="BJ26" s="195"/>
      <c r="BK26" s="194"/>
    </row>
    <row r="27" spans="1:63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SUM(PORTEFEUILLE_FREDERIQUE[[#This Row],[PCR COMPTABLE €]:[MONTANT
RESPONSABLE RELATION CLIENT €]])-PORTEFEUILLE_FREDERIQUE[[#This Row],[MONTANT TOTAL LETTRE DE MISION €]]</f>
        <v>0</v>
      </c>
      <c r="AI27" s="191"/>
      <c r="AJ27" s="188"/>
      <c r="AK27" s="188"/>
      <c r="AL27" s="188"/>
      <c r="AM27" s="191"/>
      <c r="AN27" s="196"/>
      <c r="AO27" s="196"/>
      <c r="AP27" s="196"/>
      <c r="AQ27" s="196"/>
      <c r="AR2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7" s="188" t="str">
        <f>IF(PORTEFEUILLE_FREDERIQUE[[#This Row],[BONI AAC]]&lt;&gt;0,1,"")</f>
        <v/>
      </c>
      <c r="AU27" s="188" t="str">
        <f>IF(PORTEFEUILLE_FREDERIQUE[[#This Row],[MALI AAC]]&lt;&gt;0,1,"")</f>
        <v/>
      </c>
      <c r="AV27" s="225">
        <f>IF(AP27&lt;&gt;"",IF((AP27*Paramètres!$H$4)-PORTEFEUILLE_FREDERIQUE[[#This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€]]-(DELPHINE!AP26*Paramètres!$H$4),0),0)</f>
        <v>0</v>
      </c>
      <c r="AW27" s="225">
        <f>IF(AP27&lt;&gt;"",IF(((AP27*Paramètres!$H$4)-PORTEFEUILLE_FREDERIQUE[[#This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7" s="190" t="str">
        <f>IF(PORTEFEUILLE_FREDERIQUE[[#This Row],[BONI COMPTABLE]]&lt;&gt;0,1,"")</f>
        <v/>
      </c>
      <c r="AY27" s="190" t="str">
        <f>IF(PORTEFEUILLE_FREDERIQUE[[#This Row],[MALI COMPTABLE]]&lt;&gt;0,1,"")</f>
        <v/>
      </c>
      <c r="AZ27" s="196"/>
      <c r="BA27" s="188"/>
      <c r="BB27" s="188"/>
      <c r="BC27" s="188"/>
      <c r="BD27" s="188"/>
      <c r="BE27" s="188"/>
      <c r="BF27" s="188"/>
      <c r="BG27" s="192"/>
      <c r="BH27" s="194"/>
      <c r="BI27" s="194"/>
      <c r="BJ27" s="195"/>
      <c r="BK27" s="194"/>
    </row>
    <row r="28" spans="1:63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SUM(PORTEFEUILLE_FREDERIQUE[[#This Row],[PCR COMPTABLE €]:[MONTANT
RESPONSABLE RELATION CLIENT €]])-PORTEFEUILLE_FREDERIQUE[[#This Row],[MONTANT TOTAL LETTRE DE MISION €]]</f>
        <v>0</v>
      </c>
      <c r="AI28" s="191"/>
      <c r="AJ28" s="188"/>
      <c r="AK28" s="188"/>
      <c r="AL28" s="188"/>
      <c r="AM28" s="191"/>
      <c r="AN28" s="188"/>
      <c r="AO28" s="188"/>
      <c r="AP28" s="188"/>
      <c r="AQ28" s="188"/>
      <c r="AR2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8" s="188" t="str">
        <f>IF(PORTEFEUILLE_FREDERIQUE[[#This Row],[BONI AAC]]&lt;&gt;0,1,"")</f>
        <v/>
      </c>
      <c r="AU28" s="188" t="str">
        <f>IF(PORTEFEUILLE_FREDERIQUE[[#This Row],[MALI AAC]]&lt;&gt;0,1,"")</f>
        <v/>
      </c>
      <c r="AV28" s="225">
        <f>IF(AP28&lt;&gt;"",IF((AP28*Paramètres!$H$4)-PORTEFEUILLE_FREDERIQUE[[#This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€]]-(DELPHINE!AP27*Paramètres!$H$4),0),0)</f>
        <v>0</v>
      </c>
      <c r="AW28" s="225">
        <f>IF(AP28&lt;&gt;"",IF(((AP28*Paramètres!$H$4)-PORTEFEUILLE_FREDERIQUE[[#This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8" s="190" t="str">
        <f>IF(PORTEFEUILLE_FREDERIQUE[[#This Row],[BONI COMPTABLE]]&lt;&gt;0,1,"")</f>
        <v/>
      </c>
      <c r="AY28" s="190" t="str">
        <f>IF(PORTEFEUILLE_FREDERIQUE[[#This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6"/>
      <c r="BI28" s="196"/>
      <c r="BJ28" s="198"/>
      <c r="BK28" s="196"/>
    </row>
    <row r="29" spans="1:63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SUM(PORTEFEUILLE_FREDERIQUE[[#This Row],[PCR COMPTABLE €]:[MONTANT
RESPONSABLE RELATION CLIENT €]])-PORTEFEUILLE_FREDERIQUE[[#This Row],[MONTANT TOTAL LETTRE DE MISION €]]</f>
        <v>0</v>
      </c>
      <c r="AI29" s="191"/>
      <c r="AJ29" s="188"/>
      <c r="AK29" s="188"/>
      <c r="AL29" s="188"/>
      <c r="AM29" s="191"/>
      <c r="AN29" s="188"/>
      <c r="AO29" s="188"/>
      <c r="AP29" s="188"/>
      <c r="AQ29" s="188"/>
      <c r="AR2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2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29" s="188" t="str">
        <f>IF(PORTEFEUILLE_FREDERIQUE[[#This Row],[BONI AAC]]&lt;&gt;0,1,"")</f>
        <v/>
      </c>
      <c r="AU29" s="188" t="str">
        <f>IF(PORTEFEUILLE_FREDERIQUE[[#This Row],[MALI AAC]]&lt;&gt;0,1,"")</f>
        <v/>
      </c>
      <c r="AV29" s="225">
        <f>IF(AP29&lt;&gt;"",IF((AP29*Paramètres!$H$4)-PORTEFEUILLE_FREDERIQUE[[#This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€]]-(DELPHINE!AP28*Paramètres!$H$4),0),0)</f>
        <v>0</v>
      </c>
      <c r="AW29" s="225">
        <f>IF(AP29&lt;&gt;"",IF(((AP29*Paramètres!$H$4)-PORTEFEUILLE_FREDERIQUE[[#This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29" s="190" t="str">
        <f>IF(PORTEFEUILLE_FREDERIQUE[[#This Row],[BONI COMPTABLE]]&lt;&gt;0,1,"")</f>
        <v/>
      </c>
      <c r="AY29" s="190" t="str">
        <f>IF(PORTEFEUILLE_FREDERIQUE[[#This Row],[MALI COMPTABLE]]&lt;&gt;0,1,"")</f>
        <v/>
      </c>
      <c r="AZ29" s="188"/>
      <c r="BA29" s="188"/>
      <c r="BB29" s="188"/>
      <c r="BC29" s="188"/>
      <c r="BD29" s="196"/>
      <c r="BE29" s="196"/>
      <c r="BF29" s="196"/>
      <c r="BG29" s="192"/>
      <c r="BH29" s="194"/>
      <c r="BI29" s="194"/>
      <c r="BJ29" s="195"/>
      <c r="BK29" s="194"/>
    </row>
    <row r="30" spans="1:63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SUM(PORTEFEUILLE_FREDERIQUE[[#This Row],[PCR COMPTABLE €]:[MONTANT
RESPONSABLE RELATION CLIENT €]])-PORTEFEUILLE_FREDERIQUE[[#This Row],[MONTANT TOTAL LETTRE DE MISION €]]</f>
        <v>0</v>
      </c>
      <c r="AI30" s="191"/>
      <c r="AJ30" s="188"/>
      <c r="AK30" s="188"/>
      <c r="AL30" s="188"/>
      <c r="AM30" s="191"/>
      <c r="AN30" s="188"/>
      <c r="AO30" s="188"/>
      <c r="AP30" s="188"/>
      <c r="AQ30" s="188"/>
      <c r="AR3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0" s="188" t="str">
        <f>IF(PORTEFEUILLE_FREDERIQUE[[#This Row],[BONI AAC]]&lt;&gt;0,1,"")</f>
        <v/>
      </c>
      <c r="AU30" s="188" t="str">
        <f>IF(PORTEFEUILLE_FREDERIQUE[[#This Row],[MALI AAC]]&lt;&gt;0,1,"")</f>
        <v/>
      </c>
      <c r="AV30" s="225">
        <f>IF(AP30&lt;&gt;"",IF((AP30*Paramètres!$H$4)-PORTEFEUILLE_FREDERIQUE[[#This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€]]-(DELPHINE!AP29*Paramètres!$H$4),0),0)</f>
        <v>0</v>
      </c>
      <c r="AW30" s="225">
        <f>IF(AP30&lt;&gt;"",IF(((AP30*Paramètres!$H$4)-PORTEFEUILLE_FREDERIQUE[[#This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0" s="190" t="str">
        <f>IF(PORTEFEUILLE_FREDERIQUE[[#This Row],[BONI COMPTABLE]]&lt;&gt;0,1,"")</f>
        <v/>
      </c>
      <c r="AY30" s="190" t="str">
        <f>IF(PORTEFEUILLE_FREDERIQUE[[#This Row],[MALI COMPTABLE]]&lt;&gt;0,1,"")</f>
        <v/>
      </c>
      <c r="AZ30" s="188"/>
      <c r="BA30" s="188"/>
      <c r="BB30" s="188"/>
      <c r="BC30" s="188"/>
      <c r="BD30" s="188"/>
      <c r="BE30" s="188"/>
      <c r="BF30" s="188"/>
      <c r="BG30" s="192"/>
      <c r="BH30" s="194"/>
      <c r="BI30" s="194"/>
      <c r="BJ30" s="195"/>
      <c r="BK30" s="194"/>
    </row>
    <row r="31" spans="1:63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SUM(PORTEFEUILLE_FREDERIQUE[[#This Row],[PCR COMPTABLE €]:[MONTANT
RESPONSABLE RELATION CLIENT €]])-PORTEFEUILLE_FREDERIQUE[[#This Row],[MONTANT TOTAL LETTRE DE MISION €]]</f>
        <v>0</v>
      </c>
      <c r="AI31" s="191"/>
      <c r="AJ31" s="188"/>
      <c r="AK31" s="188"/>
      <c r="AL31" s="188"/>
      <c r="AM31" s="191"/>
      <c r="AN31" s="188"/>
      <c r="AO31" s="188"/>
      <c r="AP31" s="188"/>
      <c r="AQ31" s="188"/>
      <c r="AR3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1" s="188" t="str">
        <f>IF(PORTEFEUILLE_FREDERIQUE[[#This Row],[BONI AAC]]&lt;&gt;0,1,"")</f>
        <v/>
      </c>
      <c r="AU31" s="188" t="str">
        <f>IF(PORTEFEUILLE_FREDERIQUE[[#This Row],[MALI AAC]]&lt;&gt;0,1,"")</f>
        <v/>
      </c>
      <c r="AV31" s="225">
        <f>IF(AP31&lt;&gt;"",IF((AP31*Paramètres!$H$4)-PORTEFEUILLE_FREDERIQUE[[#This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€]]-(DELPHINE!AP30*Paramètres!$H$4),0),0)</f>
        <v>0</v>
      </c>
      <c r="AW31" s="225">
        <f>IF(AP31&lt;&gt;"",IF(((AP31*Paramètres!$H$4)-PORTEFEUILLE_FREDERIQUE[[#This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1" s="190" t="str">
        <f>IF(PORTEFEUILLE_FREDERIQUE[[#This Row],[BONI COMPTABLE]]&lt;&gt;0,1,"")</f>
        <v/>
      </c>
      <c r="AY31" s="190" t="str">
        <f>IF(PORTEFEUILLE_FREDERIQUE[[#This Row],[MALI COMPTABLE]]&lt;&gt;0,1,"")</f>
        <v/>
      </c>
      <c r="AZ31" s="188"/>
      <c r="BA31" s="188"/>
      <c r="BB31" s="188"/>
      <c r="BC31" s="188"/>
      <c r="BD31" s="196"/>
      <c r="BE31" s="196"/>
      <c r="BF31" s="196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SUM(PORTEFEUILLE_FREDERIQUE[[#This Row],[PCR COMPTABLE €]:[MONTANT
RESPONSABLE RELATION CLIENT €]])-PORTEFEUILLE_FREDERIQUE[[#This Row],[MONTANT TOTAL LETTRE DE MISION €]]</f>
        <v>0</v>
      </c>
      <c r="AI32" s="191"/>
      <c r="AJ32" s="188"/>
      <c r="AK32" s="188"/>
      <c r="AL32" s="188"/>
      <c r="AM32" s="191"/>
      <c r="AN32" s="188"/>
      <c r="AO32" s="188"/>
      <c r="AP32" s="188"/>
      <c r="AQ32" s="188"/>
      <c r="AR3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2" s="188" t="str">
        <f>IF(PORTEFEUILLE_FREDERIQUE[[#This Row],[BONI AAC]]&lt;&gt;0,1,"")</f>
        <v/>
      </c>
      <c r="AU32" s="188" t="str">
        <f>IF(PORTEFEUILLE_FREDERIQUE[[#This Row],[MALI AAC]]&lt;&gt;0,1,"")</f>
        <v/>
      </c>
      <c r="AV32" s="225">
        <f>IF(AP32&lt;&gt;"",IF((AP32*Paramètres!$H$4)-PORTEFEUILLE_FREDERIQUE[[#This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€]]-(DELPHINE!AP31*Paramètres!$H$4),0),0)</f>
        <v>0</v>
      </c>
      <c r="AW32" s="225">
        <f>IF(AP32&lt;&gt;"",IF(((AP32*Paramètres!$H$4)-PORTEFEUILLE_FREDERIQUE[[#This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2" s="190" t="str">
        <f>IF(PORTEFEUILLE_FREDERIQUE[[#This Row],[BONI COMPTABLE]]&lt;&gt;0,1,"")</f>
        <v/>
      </c>
      <c r="AY32" s="190" t="str">
        <f>IF(PORTEFEUILLE_FREDERIQUE[[#This Row],[MALI COMPTABLE]]&lt;&gt;0,1,"")</f>
        <v/>
      </c>
      <c r="AZ32" s="188"/>
      <c r="BA32" s="188"/>
      <c r="BB32" s="188"/>
      <c r="BC32" s="188"/>
      <c r="BD32" s="188"/>
      <c r="BE32" s="188"/>
      <c r="BF32" s="188"/>
      <c r="BG32" s="192"/>
      <c r="BH32" s="194"/>
      <c r="BI32" s="194"/>
      <c r="BJ32" s="195"/>
      <c r="BK32" s="194"/>
    </row>
    <row r="33" spans="1:63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SUM(PORTEFEUILLE_FREDERIQUE[[#This Row],[PCR COMPTABLE €]:[MONTANT
RESPONSABLE RELATION CLIENT €]])-PORTEFEUILLE_FREDERIQUE[[#This Row],[MONTANT TOTAL LETTRE DE MISION €]]</f>
        <v>0</v>
      </c>
      <c r="AI33" s="191"/>
      <c r="AJ33" s="188"/>
      <c r="AK33" s="188"/>
      <c r="AL33" s="188"/>
      <c r="AM33" s="191"/>
      <c r="AN33" s="196"/>
      <c r="AO33" s="196"/>
      <c r="AP33" s="196"/>
      <c r="AQ33" s="196"/>
      <c r="AR3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3" s="188" t="str">
        <f>IF(PORTEFEUILLE_FREDERIQUE[[#This Row],[BONI AAC]]&lt;&gt;0,1,"")</f>
        <v/>
      </c>
      <c r="AU33" s="188" t="str">
        <f>IF(PORTEFEUILLE_FREDERIQUE[[#This Row],[MALI AAC]]&lt;&gt;0,1,"")</f>
        <v/>
      </c>
      <c r="AV33" s="225">
        <f>IF(AP33&lt;&gt;"",IF((AP33*Paramètres!$H$4)-PORTEFEUILLE_FREDERIQUE[[#This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€]]-(DELPHINE!AP32*Paramètres!$H$4),0),0)</f>
        <v>0</v>
      </c>
      <c r="AW33" s="225">
        <f>IF(AP33&lt;&gt;"",IF(((AP33*Paramètres!$H$4)-PORTEFEUILLE_FREDERIQUE[[#This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3" s="190" t="str">
        <f>IF(PORTEFEUILLE_FREDERIQUE[[#This Row],[BONI COMPTABLE]]&lt;&gt;0,1,"")</f>
        <v/>
      </c>
      <c r="AY33" s="190" t="str">
        <f>IF(PORTEFEUILLE_FREDERIQUE[[#This Row],[MALI COMPTABLE]]&lt;&gt;0,1,"")</f>
        <v/>
      </c>
      <c r="AZ33" s="196"/>
      <c r="BA33" s="188"/>
      <c r="BB33" s="188"/>
      <c r="BC33" s="188"/>
      <c r="BD33" s="196"/>
      <c r="BE33" s="196"/>
      <c r="BF33" s="196"/>
      <c r="BG33" s="192"/>
      <c r="BH33" s="194"/>
      <c r="BI33" s="194"/>
      <c r="BJ33" s="195"/>
      <c r="BK33" s="194"/>
    </row>
    <row r="34" spans="1:63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SUM(PORTEFEUILLE_FREDERIQUE[[#This Row],[PCR COMPTABLE €]:[MONTANT
RESPONSABLE RELATION CLIENT €]])-PORTEFEUILLE_FREDERIQUE[[#This Row],[MONTANT TOTAL LETTRE DE MISION €]]</f>
        <v>0</v>
      </c>
      <c r="AI34" s="191"/>
      <c r="AJ34" s="188"/>
      <c r="AK34" s="188"/>
      <c r="AL34" s="188"/>
      <c r="AM34" s="191"/>
      <c r="AN34" s="196"/>
      <c r="AO34" s="196"/>
      <c r="AP34" s="196"/>
      <c r="AQ34" s="196"/>
      <c r="AR3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4" s="188" t="str">
        <f>IF(PORTEFEUILLE_FREDERIQUE[[#This Row],[BONI AAC]]&lt;&gt;0,1,"")</f>
        <v/>
      </c>
      <c r="AU34" s="188" t="str">
        <f>IF(PORTEFEUILLE_FREDERIQUE[[#This Row],[MALI AAC]]&lt;&gt;0,1,"")</f>
        <v/>
      </c>
      <c r="AV34" s="225">
        <f>IF(AP34&lt;&gt;"",IF((AP34*Paramètres!$H$4)-PORTEFEUILLE_FREDERIQUE[[#This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€]]-(DELPHINE!AP33*Paramètres!$H$4),0),0)</f>
        <v>0</v>
      </c>
      <c r="AW34" s="225">
        <f>IF(AP34&lt;&gt;"",IF(((AP34*Paramètres!$H$4)-PORTEFEUILLE_FREDERIQUE[[#This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4" s="190" t="str">
        <f>IF(PORTEFEUILLE_FREDERIQUE[[#This Row],[BONI COMPTABLE]]&lt;&gt;0,1,"")</f>
        <v/>
      </c>
      <c r="AY34" s="190" t="str">
        <f>IF(PORTEFEUILLE_FREDERIQUE[[#This Row],[MALI COMPTABLE]]&lt;&gt;0,1,"")</f>
        <v/>
      </c>
      <c r="AZ34" s="196"/>
      <c r="BA34" s="188"/>
      <c r="BB34" s="188"/>
      <c r="BC34" s="188"/>
      <c r="BD34" s="188"/>
      <c r="BE34" s="188"/>
      <c r="BF34" s="188"/>
      <c r="BG34" s="192"/>
      <c r="BH34" s="194"/>
      <c r="BI34" s="194"/>
      <c r="BJ34" s="195"/>
      <c r="BK34" s="194"/>
    </row>
    <row r="35" spans="1:63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SUM(PORTEFEUILLE_FREDERIQUE[[#This Row],[PCR COMPTABLE €]:[MONTANT
RESPONSABLE RELATION CLIENT €]])-PORTEFEUILLE_FREDERIQUE[[#This Row],[MONTANT TOTAL LETTRE DE MISION €]]</f>
        <v>0</v>
      </c>
      <c r="AI35" s="191"/>
      <c r="AJ35" s="188"/>
      <c r="AK35" s="188"/>
      <c r="AL35" s="188"/>
      <c r="AM35" s="191"/>
      <c r="AN35" s="188"/>
      <c r="AO35" s="188"/>
      <c r="AP35" s="188"/>
      <c r="AQ35" s="188"/>
      <c r="AR3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5" s="188" t="str">
        <f>IF(PORTEFEUILLE_FREDERIQUE[[#This Row],[BONI AAC]]&lt;&gt;0,1,"")</f>
        <v/>
      </c>
      <c r="AU35" s="188" t="str">
        <f>IF(PORTEFEUILLE_FREDERIQUE[[#This Row],[MALI AAC]]&lt;&gt;0,1,"")</f>
        <v/>
      </c>
      <c r="AV35" s="225">
        <f>IF(AP35&lt;&gt;"",IF((AP35*Paramètres!$H$4)-PORTEFEUILLE_FREDERIQUE[[#This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€]]-(DELPHINE!AP34*Paramètres!$H$4),0),0)</f>
        <v>0</v>
      </c>
      <c r="AW35" s="225">
        <f>IF(AP35&lt;&gt;"",IF(((AP35*Paramètres!$H$4)-PORTEFEUILLE_FREDERIQUE[[#This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5" s="190" t="str">
        <f>IF(PORTEFEUILLE_FREDERIQUE[[#This Row],[BONI COMPTABLE]]&lt;&gt;0,1,"")</f>
        <v/>
      </c>
      <c r="AY35" s="190" t="str">
        <f>IF(PORTEFEUILLE_FREDERIQUE[[#This Row],[MALI COMPTABLE]]&lt;&gt;0,1,"")</f>
        <v/>
      </c>
      <c r="AZ35" s="188"/>
      <c r="BA35" s="188"/>
      <c r="BB35" s="188"/>
      <c r="BC35" s="188"/>
      <c r="BD35" s="188"/>
      <c r="BE35" s="188"/>
      <c r="BF35" s="188"/>
      <c r="BG35" s="192"/>
      <c r="BH35" s="194"/>
      <c r="BI35" s="194"/>
      <c r="BJ35" s="195"/>
      <c r="BK35" s="194"/>
    </row>
    <row r="36" spans="1:63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SUM(PORTEFEUILLE_FREDERIQUE[[#This Row],[PCR COMPTABLE €]:[MONTANT
RESPONSABLE RELATION CLIENT €]])-PORTEFEUILLE_FREDERIQUE[[#This Row],[MONTANT TOTAL LETTRE DE MISION €]]</f>
        <v>0</v>
      </c>
      <c r="AI36" s="191"/>
      <c r="AJ36" s="188"/>
      <c r="AK36" s="188"/>
      <c r="AL36" s="188"/>
      <c r="AM36" s="191"/>
      <c r="AN36" s="188"/>
      <c r="AO36" s="188"/>
      <c r="AP36" s="188"/>
      <c r="AQ36" s="188"/>
      <c r="AR3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6" s="188" t="str">
        <f>IF(PORTEFEUILLE_FREDERIQUE[[#This Row],[BONI AAC]]&lt;&gt;0,1,"")</f>
        <v/>
      </c>
      <c r="AU36" s="188" t="str">
        <f>IF(PORTEFEUILLE_FREDERIQUE[[#This Row],[MALI AAC]]&lt;&gt;0,1,"")</f>
        <v/>
      </c>
      <c r="AV36" s="225">
        <f>IF(AP36&lt;&gt;"",IF((AP36*Paramètres!$H$4)-PORTEFEUILLE_FREDERIQUE[[#This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€]]-(DELPHINE!AP35*Paramètres!$H$4),0),0)</f>
        <v>0</v>
      </c>
      <c r="AW36" s="225">
        <f>IF(AP36&lt;&gt;"",IF(((AP36*Paramètres!$H$4)-PORTEFEUILLE_FREDERIQUE[[#This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6" s="190" t="str">
        <f>IF(PORTEFEUILLE_FREDERIQUE[[#This Row],[BONI COMPTABLE]]&lt;&gt;0,1,"")</f>
        <v/>
      </c>
      <c r="AY36" s="190" t="str">
        <f>IF(PORTEFEUILLE_FREDERIQUE[[#This Row],[MALI COMPTABLE]]&lt;&gt;0,1,"")</f>
        <v/>
      </c>
      <c r="AZ36" s="188"/>
      <c r="BA36" s="188"/>
      <c r="BB36" s="188"/>
      <c r="BC36" s="188"/>
      <c r="BD36" s="196"/>
      <c r="BE36" s="196"/>
      <c r="BF36" s="196"/>
      <c r="BG36" s="192"/>
      <c r="BH36" s="194"/>
      <c r="BI36" s="194"/>
      <c r="BJ36" s="195"/>
      <c r="BK36" s="194"/>
    </row>
    <row r="37" spans="1:63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SUM(PORTEFEUILLE_FREDERIQUE[[#This Row],[PCR COMPTABLE €]:[MONTANT
RESPONSABLE RELATION CLIENT €]])-PORTEFEUILLE_FREDERIQUE[[#This Row],[MONTANT TOTAL LETTRE DE MISION €]]</f>
        <v>0</v>
      </c>
      <c r="AI37" s="191"/>
      <c r="AJ37" s="188"/>
      <c r="AK37" s="188"/>
      <c r="AL37" s="188"/>
      <c r="AM37" s="191"/>
      <c r="AN37" s="188"/>
      <c r="AO37" s="188"/>
      <c r="AP37" s="188"/>
      <c r="AQ37" s="188"/>
      <c r="AR3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7" s="188" t="str">
        <f>IF(PORTEFEUILLE_FREDERIQUE[[#This Row],[BONI AAC]]&lt;&gt;0,1,"")</f>
        <v/>
      </c>
      <c r="AU37" s="188" t="str">
        <f>IF(PORTEFEUILLE_FREDERIQUE[[#This Row],[MALI AAC]]&lt;&gt;0,1,"")</f>
        <v/>
      </c>
      <c r="AV37" s="225">
        <f>IF(AP37&lt;&gt;"",IF((AP37*Paramètres!$H$4)-PORTEFEUILLE_FREDERIQUE[[#This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€]]-(DELPHINE!AP36*Paramètres!$H$4),0),0)</f>
        <v>0</v>
      </c>
      <c r="AW37" s="225">
        <f>IF(AP37&lt;&gt;"",IF(((AP37*Paramètres!$H$4)-PORTEFEUILLE_FREDERIQUE[[#This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7" s="190" t="str">
        <f>IF(PORTEFEUILLE_FREDERIQUE[[#This Row],[BONI COMPTABLE]]&lt;&gt;0,1,"")</f>
        <v/>
      </c>
      <c r="AY37" s="190" t="str">
        <f>IF(PORTEFEUILLE_FREDERIQUE[[#This Row],[MALI COMPTABLE]]&lt;&gt;0,1,"")</f>
        <v/>
      </c>
      <c r="AZ37" s="188"/>
      <c r="BA37" s="188"/>
      <c r="BB37" s="188"/>
      <c r="BC37" s="188"/>
      <c r="BD37" s="196"/>
      <c r="BE37" s="196"/>
      <c r="BF37" s="196"/>
      <c r="BG37" s="192"/>
      <c r="BH37" s="194"/>
      <c r="BI37" s="194"/>
      <c r="BJ37" s="195"/>
      <c r="BK37" s="194"/>
    </row>
    <row r="38" spans="1:63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SUM(PORTEFEUILLE_FREDERIQUE[[#This Row],[PCR COMPTABLE €]:[MONTANT
RESPONSABLE RELATION CLIENT €]])-PORTEFEUILLE_FREDERIQUE[[#This Row],[MONTANT TOTAL LETTRE DE MISION €]]</f>
        <v>0</v>
      </c>
      <c r="AI38" s="191"/>
      <c r="AJ38" s="188"/>
      <c r="AK38" s="188"/>
      <c r="AL38" s="188"/>
      <c r="AM38" s="191"/>
      <c r="AN38" s="188"/>
      <c r="AO38" s="188"/>
      <c r="AP38" s="188"/>
      <c r="AQ38" s="188"/>
      <c r="AR3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8" s="188" t="str">
        <f>IF(PORTEFEUILLE_FREDERIQUE[[#This Row],[BONI AAC]]&lt;&gt;0,1,"")</f>
        <v/>
      </c>
      <c r="AU38" s="188" t="str">
        <f>IF(PORTEFEUILLE_FREDERIQUE[[#This Row],[MALI AAC]]&lt;&gt;0,1,"")</f>
        <v/>
      </c>
      <c r="AV38" s="225">
        <f>IF(AP38&lt;&gt;"",IF((AP38*Paramètres!$H$4)-PORTEFEUILLE_FREDERIQUE[[#This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€]]-(DELPHINE!AP37*Paramètres!$H$4),0),0)</f>
        <v>0</v>
      </c>
      <c r="AW38" s="225">
        <f>IF(AP38&lt;&gt;"",IF(((AP38*Paramètres!$H$4)-PORTEFEUILLE_FREDERIQUE[[#This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8" s="190" t="str">
        <f>IF(PORTEFEUILLE_FREDERIQUE[[#This Row],[BONI COMPTABLE]]&lt;&gt;0,1,"")</f>
        <v/>
      </c>
      <c r="AY38" s="190" t="str">
        <f>IF(PORTEFEUILLE_FREDERIQUE[[#This Row],[MALI COMPTABLE]]&lt;&gt;0,1,"")</f>
        <v/>
      </c>
      <c r="AZ38" s="188"/>
      <c r="BA38" s="188"/>
      <c r="BB38" s="188"/>
      <c r="BC38" s="188"/>
      <c r="BD38" s="196"/>
      <c r="BE38" s="196"/>
      <c r="BF38" s="196"/>
      <c r="BG38" s="192"/>
      <c r="BH38" s="194"/>
      <c r="BI38" s="194"/>
      <c r="BJ38" s="195"/>
      <c r="BK38" s="194"/>
    </row>
    <row r="39" spans="1:63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SUM(PORTEFEUILLE_FREDERIQUE[[#This Row],[PCR COMPTABLE €]:[MONTANT
RESPONSABLE RELATION CLIENT €]])-PORTEFEUILLE_FREDERIQUE[[#This Row],[MONTANT TOTAL LETTRE DE MISION €]]</f>
        <v>0</v>
      </c>
      <c r="AI39" s="191"/>
      <c r="AJ39" s="188"/>
      <c r="AK39" s="188"/>
      <c r="AL39" s="188"/>
      <c r="AM39" s="191"/>
      <c r="AN39" s="188"/>
      <c r="AO39" s="188"/>
      <c r="AP39" s="188"/>
      <c r="AQ39" s="188"/>
      <c r="AR3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3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39" s="188" t="str">
        <f>IF(PORTEFEUILLE_FREDERIQUE[[#This Row],[BONI AAC]]&lt;&gt;0,1,"")</f>
        <v/>
      </c>
      <c r="AU39" s="188" t="str">
        <f>IF(PORTEFEUILLE_FREDERIQUE[[#This Row],[MALI AAC]]&lt;&gt;0,1,"")</f>
        <v/>
      </c>
      <c r="AV39" s="225">
        <f>IF(AP39&lt;&gt;"",IF((AP39*Paramètres!$H$4)-PORTEFEUILLE_FREDERIQUE[[#This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€]]-(DELPHINE!AP38*Paramètres!$H$4),0),0)</f>
        <v>0</v>
      </c>
      <c r="AW39" s="225">
        <f>IF(AP39&lt;&gt;"",IF(((AP39*Paramètres!$H$4)-PORTEFEUILLE_FREDERIQUE[[#This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39" s="190" t="str">
        <f>IF(PORTEFEUILLE_FREDERIQUE[[#This Row],[BONI COMPTABLE]]&lt;&gt;0,1,"")</f>
        <v/>
      </c>
      <c r="AY39" s="190" t="str">
        <f>IF(PORTEFEUILLE_FREDERIQUE[[#This Row],[MALI COMPTABLE]]&lt;&gt;0,1,"")</f>
        <v/>
      </c>
      <c r="AZ39" s="188"/>
      <c r="BA39" s="188"/>
      <c r="BB39" s="188"/>
      <c r="BC39" s="188"/>
      <c r="BD39" s="188"/>
      <c r="BE39" s="188"/>
      <c r="BF39" s="188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SUM(PORTEFEUILLE_FREDERIQUE[[#This Row],[PCR COMPTABLE €]:[MONTANT
RESPONSABLE RELATION CLIENT €]])-PORTEFEUILLE_FREDERIQUE[[#This Row],[MONTANT TOTAL LETTRE DE MISION €]]</f>
        <v>0</v>
      </c>
      <c r="AI40" s="191"/>
      <c r="AJ40" s="188"/>
      <c r="AK40" s="188"/>
      <c r="AL40" s="188"/>
      <c r="AM40" s="191"/>
      <c r="AN40" s="188"/>
      <c r="AO40" s="188"/>
      <c r="AP40" s="188"/>
      <c r="AQ40" s="188"/>
      <c r="AR4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0" s="188" t="str">
        <f>IF(PORTEFEUILLE_FREDERIQUE[[#This Row],[BONI AAC]]&lt;&gt;0,1,"")</f>
        <v/>
      </c>
      <c r="AU40" s="188" t="str">
        <f>IF(PORTEFEUILLE_FREDERIQUE[[#This Row],[MALI AAC]]&lt;&gt;0,1,"")</f>
        <v/>
      </c>
      <c r="AV40" s="225">
        <f>IF(AP40&lt;&gt;"",IF((AP40*Paramètres!$H$4)-PORTEFEUILLE_FREDERIQUE[[#This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€]]-(DELPHINE!AP39*Paramètres!$H$4),0),0)</f>
        <v>0</v>
      </c>
      <c r="AW40" s="225">
        <f>IF(AP40&lt;&gt;"",IF(((AP40*Paramètres!$H$4)-PORTEFEUILLE_FREDERIQUE[[#This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0" s="190" t="str">
        <f>IF(PORTEFEUILLE_FREDERIQUE[[#This Row],[BONI COMPTABLE]]&lt;&gt;0,1,"")</f>
        <v/>
      </c>
      <c r="AY40" s="190" t="str">
        <f>IF(PORTEFEUILLE_FREDERIQUE[[#This Row],[MALI COMPTABLE]]&lt;&gt;0,1,"")</f>
        <v/>
      </c>
      <c r="AZ40" s="188"/>
      <c r="BA40" s="188"/>
      <c r="BB40" s="188"/>
      <c r="BC40" s="188"/>
      <c r="BD40" s="188"/>
      <c r="BE40" s="188"/>
      <c r="BF40" s="188"/>
      <c r="BG40" s="192"/>
      <c r="BH40" s="194"/>
      <c r="BI40" s="194"/>
      <c r="BJ40" s="195"/>
      <c r="BK40" s="194"/>
    </row>
    <row r="41" spans="1:63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SUM(PORTEFEUILLE_FREDERIQUE[[#This Row],[PCR COMPTABLE €]:[MONTANT
RESPONSABLE RELATION CLIENT €]])-PORTEFEUILLE_FREDERIQUE[[#This Row],[MONTANT TOTAL LETTRE DE MISION €]]</f>
        <v>0</v>
      </c>
      <c r="AI41" s="191"/>
      <c r="AJ41" s="188"/>
      <c r="AK41" s="188"/>
      <c r="AL41" s="188"/>
      <c r="AM41" s="191"/>
      <c r="AN41" s="196"/>
      <c r="AO41" s="196"/>
      <c r="AP41" s="196"/>
      <c r="AQ41" s="196"/>
      <c r="AR4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1" s="188" t="str">
        <f>IF(PORTEFEUILLE_FREDERIQUE[[#This Row],[BONI AAC]]&lt;&gt;0,1,"")</f>
        <v/>
      </c>
      <c r="AU41" s="188" t="str">
        <f>IF(PORTEFEUILLE_FREDERIQUE[[#This Row],[MALI AAC]]&lt;&gt;0,1,"")</f>
        <v/>
      </c>
      <c r="AV41" s="225">
        <f>IF(AP41&lt;&gt;"",IF((AP41*Paramètres!$H$4)-PORTEFEUILLE_FREDERIQUE[[#This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€]]-(DELPHINE!AP40*Paramètres!$H$4),0),0)</f>
        <v>0</v>
      </c>
      <c r="AW41" s="225">
        <f>IF(AP41&lt;&gt;"",IF(((AP41*Paramètres!$H$4)-PORTEFEUILLE_FREDERIQUE[[#This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1" s="190" t="str">
        <f>IF(PORTEFEUILLE_FREDERIQUE[[#This Row],[BONI COMPTABLE]]&lt;&gt;0,1,"")</f>
        <v/>
      </c>
      <c r="AY41" s="190" t="str">
        <f>IF(PORTEFEUILLE_FREDERIQUE[[#This Row],[MALI COMPTABLE]]&lt;&gt;0,1,"")</f>
        <v/>
      </c>
      <c r="AZ41" s="196"/>
      <c r="BA41" s="188"/>
      <c r="BB41" s="188"/>
      <c r="BC41" s="188"/>
      <c r="BD41" s="188"/>
      <c r="BE41" s="188"/>
      <c r="BF41" s="188"/>
      <c r="BG41" s="192"/>
      <c r="BH41" s="194"/>
      <c r="BI41" s="194"/>
      <c r="BJ41" s="195"/>
      <c r="BK41" s="194"/>
    </row>
    <row r="42" spans="1:63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SUM(PORTEFEUILLE_FREDERIQUE[[#This Row],[PCR COMPTABLE €]:[MONTANT
RESPONSABLE RELATION CLIENT €]])-PORTEFEUILLE_FREDERIQUE[[#This Row],[MONTANT TOTAL LETTRE DE MISION €]]</f>
        <v>0</v>
      </c>
      <c r="AI42" s="191"/>
      <c r="AJ42" s="188"/>
      <c r="AK42" s="188"/>
      <c r="AL42" s="188"/>
      <c r="AM42" s="191"/>
      <c r="AN42" s="196"/>
      <c r="AO42" s="196"/>
      <c r="AP42" s="196"/>
      <c r="AQ42" s="196"/>
      <c r="AR4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2" s="188" t="str">
        <f>IF(PORTEFEUILLE_FREDERIQUE[[#This Row],[BONI AAC]]&lt;&gt;0,1,"")</f>
        <v/>
      </c>
      <c r="AU42" s="188" t="str">
        <f>IF(PORTEFEUILLE_FREDERIQUE[[#This Row],[MALI AAC]]&lt;&gt;0,1,"")</f>
        <v/>
      </c>
      <c r="AV42" s="225">
        <f>IF(AP42&lt;&gt;"",IF((AP42*Paramètres!$H$4)-PORTEFEUILLE_FREDERIQUE[[#This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€]]-(DELPHINE!AP41*Paramètres!$H$4),0),0)</f>
        <v>0</v>
      </c>
      <c r="AW42" s="225">
        <f>IF(AP42&lt;&gt;"",IF(((AP42*Paramètres!$H$4)-PORTEFEUILLE_FREDERIQUE[[#This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2" s="190" t="str">
        <f>IF(PORTEFEUILLE_FREDERIQUE[[#This Row],[BONI COMPTABLE]]&lt;&gt;0,1,"")</f>
        <v/>
      </c>
      <c r="AY42" s="190" t="str">
        <f>IF(PORTEFEUILLE_FREDERIQUE[[#This Row],[MALI COMPTABLE]]&lt;&gt;0,1,"")</f>
        <v/>
      </c>
      <c r="AZ42" s="196"/>
      <c r="BA42" s="188"/>
      <c r="BB42" s="188"/>
      <c r="BC42" s="188"/>
      <c r="BD42" s="196"/>
      <c r="BE42" s="196"/>
      <c r="BF42" s="196"/>
      <c r="BG42" s="192"/>
      <c r="BH42" s="194"/>
      <c r="BI42" s="194"/>
      <c r="BJ42" s="195"/>
      <c r="BK42" s="194"/>
    </row>
    <row r="43" spans="1:63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SUM(PORTEFEUILLE_FREDERIQUE[[#This Row],[PCR COMPTABLE €]:[MONTANT
RESPONSABLE RELATION CLIENT €]])-PORTEFEUILLE_FREDERIQUE[[#This Row],[MONTANT TOTAL LETTRE DE MISION €]]</f>
        <v>0</v>
      </c>
      <c r="AI43" s="191"/>
      <c r="AJ43" s="188"/>
      <c r="AK43" s="188"/>
      <c r="AL43" s="188"/>
      <c r="AM43" s="191"/>
      <c r="AN43" s="188"/>
      <c r="AO43" s="188"/>
      <c r="AP43" s="188"/>
      <c r="AQ43" s="188"/>
      <c r="AR4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3" s="188" t="str">
        <f>IF(PORTEFEUILLE_FREDERIQUE[[#This Row],[BONI AAC]]&lt;&gt;0,1,"")</f>
        <v/>
      </c>
      <c r="AU43" s="188" t="str">
        <f>IF(PORTEFEUILLE_FREDERIQUE[[#This Row],[MALI AAC]]&lt;&gt;0,1,"")</f>
        <v/>
      </c>
      <c r="AV43" s="225">
        <f>IF(AP43&lt;&gt;"",IF((AP43*Paramètres!$H$4)-PORTEFEUILLE_FREDERIQUE[[#This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€]]-(DELPHINE!AP42*Paramètres!$H$4),0),0)</f>
        <v>0</v>
      </c>
      <c r="AW43" s="225">
        <f>IF(AP43&lt;&gt;"",IF(((AP43*Paramètres!$H$4)-PORTEFEUILLE_FREDERIQUE[[#This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3" s="190" t="str">
        <f>IF(PORTEFEUILLE_FREDERIQUE[[#This Row],[BONI COMPTABLE]]&lt;&gt;0,1,"")</f>
        <v/>
      </c>
      <c r="AY43" s="190" t="str">
        <f>IF(PORTEFEUILLE_FREDERIQUE[[#This Row],[MALI COMPTABLE]]&lt;&gt;0,1,"")</f>
        <v/>
      </c>
      <c r="AZ43" s="188"/>
      <c r="BA43" s="188"/>
      <c r="BB43" s="188"/>
      <c r="BC43" s="188"/>
      <c r="BD43" s="196"/>
      <c r="BE43" s="196"/>
      <c r="BF43" s="196"/>
      <c r="BG43" s="192"/>
      <c r="BH43" s="194"/>
      <c r="BI43" s="194"/>
      <c r="BJ43" s="195"/>
      <c r="BK43" s="194"/>
    </row>
    <row r="44" spans="1:63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SUM(PORTEFEUILLE_FREDERIQUE[[#This Row],[PCR COMPTABLE €]:[MONTANT
RESPONSABLE RELATION CLIENT €]])-PORTEFEUILLE_FREDERIQUE[[#This Row],[MONTANT TOTAL LETTRE DE MISION €]]</f>
        <v>0</v>
      </c>
      <c r="AI44" s="191"/>
      <c r="AJ44" s="188"/>
      <c r="AK44" s="188"/>
      <c r="AL44" s="188"/>
      <c r="AM44" s="191"/>
      <c r="AN44" s="188"/>
      <c r="AO44" s="188"/>
      <c r="AP44" s="188"/>
      <c r="AQ44" s="188"/>
      <c r="AR4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4" s="188" t="str">
        <f>IF(PORTEFEUILLE_FREDERIQUE[[#This Row],[BONI AAC]]&lt;&gt;0,1,"")</f>
        <v/>
      </c>
      <c r="AU44" s="188" t="str">
        <f>IF(PORTEFEUILLE_FREDERIQUE[[#This Row],[MALI AAC]]&lt;&gt;0,1,"")</f>
        <v/>
      </c>
      <c r="AV44" s="225">
        <f>IF(AP44&lt;&gt;"",IF((AP44*Paramètres!$H$4)-PORTEFEUILLE_FREDERIQUE[[#This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€]]-(DELPHINE!AP43*Paramètres!$H$4),0),0)</f>
        <v>0</v>
      </c>
      <c r="AW44" s="225">
        <f>IF(AP44&lt;&gt;"",IF(((AP44*Paramètres!$H$4)-PORTEFEUILLE_FREDERIQUE[[#This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4" s="190" t="str">
        <f>IF(PORTEFEUILLE_FREDERIQUE[[#This Row],[BONI COMPTABLE]]&lt;&gt;0,1,"")</f>
        <v/>
      </c>
      <c r="AY44" s="190" t="str">
        <f>IF(PORTEFEUILLE_FREDERIQUE[[#This Row],[MALI COMPTABLE]]&lt;&gt;0,1,"")</f>
        <v/>
      </c>
      <c r="AZ44" s="188"/>
      <c r="BA44" s="188"/>
      <c r="BB44" s="188"/>
      <c r="BC44" s="188"/>
      <c r="BD44" s="196"/>
      <c r="BE44" s="196"/>
      <c r="BF44" s="196"/>
      <c r="BG44" s="192"/>
      <c r="BH44" s="194"/>
      <c r="BI44" s="194"/>
      <c r="BJ44" s="195"/>
      <c r="BK44" s="194"/>
    </row>
    <row r="45" spans="1:63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SUM(PORTEFEUILLE_FREDERIQUE[[#This Row],[PCR COMPTABLE €]:[MONTANT
RESPONSABLE RELATION CLIENT €]])-PORTEFEUILLE_FREDERIQUE[[#This Row],[MONTANT TOTAL LETTRE DE MISION €]]</f>
        <v>0</v>
      </c>
      <c r="AI45" s="191"/>
      <c r="AJ45" s="188"/>
      <c r="AK45" s="188"/>
      <c r="AL45" s="188"/>
      <c r="AM45" s="191"/>
      <c r="AN45" s="188"/>
      <c r="AO45" s="188"/>
      <c r="AP45" s="188"/>
      <c r="AQ45" s="188"/>
      <c r="AR4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5" s="188" t="str">
        <f>IF(PORTEFEUILLE_FREDERIQUE[[#This Row],[BONI AAC]]&lt;&gt;0,1,"")</f>
        <v/>
      </c>
      <c r="AU45" s="188" t="str">
        <f>IF(PORTEFEUILLE_FREDERIQUE[[#This Row],[MALI AAC]]&lt;&gt;0,1,"")</f>
        <v/>
      </c>
      <c r="AV45" s="225">
        <f>IF(AP45&lt;&gt;"",IF((AP45*Paramètres!$H$4)-PORTEFEUILLE_FREDERIQUE[[#This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€]]-(DELPHINE!AP44*Paramètres!$H$4),0),0)</f>
        <v>0</v>
      </c>
      <c r="AW45" s="225">
        <f>IF(AP45&lt;&gt;"",IF(((AP45*Paramètres!$H$4)-PORTEFEUILLE_FREDERIQUE[[#This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5" s="190" t="str">
        <f>IF(PORTEFEUILLE_FREDERIQUE[[#This Row],[BONI COMPTABLE]]&lt;&gt;0,1,"")</f>
        <v/>
      </c>
      <c r="AY45" s="190" t="str">
        <f>IF(PORTEFEUILLE_FREDERIQUE[[#This Row],[MALI COMPTABLE]]&lt;&gt;0,1,"")</f>
        <v/>
      </c>
      <c r="AZ45" s="188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SUM(PORTEFEUILLE_FREDERIQUE[[#This Row],[PCR COMPTABLE €]:[MONTANT
RESPONSABLE RELATION CLIENT €]])-PORTEFEUILLE_FREDERIQUE[[#This Row],[MONTANT TOTAL LETTRE DE MISION €]]</f>
        <v>0</v>
      </c>
      <c r="AI46" s="191"/>
      <c r="AJ46" s="188"/>
      <c r="AK46" s="188"/>
      <c r="AL46" s="188"/>
      <c r="AM46" s="191"/>
      <c r="AN46" s="196"/>
      <c r="AO46" s="196"/>
      <c r="AP46" s="196"/>
      <c r="AQ46" s="196"/>
      <c r="AR4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6" s="188" t="str">
        <f>IF(PORTEFEUILLE_FREDERIQUE[[#This Row],[BONI AAC]]&lt;&gt;0,1,"")</f>
        <v/>
      </c>
      <c r="AU46" s="188" t="str">
        <f>IF(PORTEFEUILLE_FREDERIQUE[[#This Row],[MALI AAC]]&lt;&gt;0,1,"")</f>
        <v/>
      </c>
      <c r="AV46" s="225">
        <f>IF(AP46&lt;&gt;"",IF((AP46*Paramètres!$H$4)-PORTEFEUILLE_FREDERIQUE[[#This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€]]-(DELPHINE!AP45*Paramètres!$H$4),0),0)</f>
        <v>0</v>
      </c>
      <c r="AW46" s="225">
        <f>IF(AP46&lt;&gt;"",IF(((AP46*Paramètres!$H$4)-PORTEFEUILLE_FREDERIQUE[[#This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6" s="190" t="str">
        <f>IF(PORTEFEUILLE_FREDERIQUE[[#This Row],[BONI COMPTABLE]]&lt;&gt;0,1,"")</f>
        <v/>
      </c>
      <c r="AY46" s="190" t="str">
        <f>IF(PORTEFEUILLE_FREDERIQUE[[#This Row],[MALI COMPTABLE]]&lt;&gt;0,1,"")</f>
        <v/>
      </c>
      <c r="AZ46" s="196"/>
      <c r="BA46" s="188"/>
      <c r="BB46" s="188"/>
      <c r="BC46" s="188"/>
      <c r="BD46" s="188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SUM(PORTEFEUILLE_FREDERIQUE[[#This Row],[PCR COMPTABLE €]:[MONTANT
RESPONSABLE RELATION CLIENT €]])-PORTEFEUILLE_FREDERIQUE[[#This Row],[MONTANT TOTAL LETTRE DE MISION €]]</f>
        <v>0</v>
      </c>
      <c r="AI47" s="191"/>
      <c r="AJ47" s="188"/>
      <c r="AK47" s="188"/>
      <c r="AL47" s="188"/>
      <c r="AM47" s="191"/>
      <c r="AN47" s="188"/>
      <c r="AO47" s="188"/>
      <c r="AP47" s="188"/>
      <c r="AQ47" s="188"/>
      <c r="AR4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7" s="188" t="str">
        <f>IF(PORTEFEUILLE_FREDERIQUE[[#This Row],[BONI AAC]]&lt;&gt;0,1,"")</f>
        <v/>
      </c>
      <c r="AU47" s="188" t="str">
        <f>IF(PORTEFEUILLE_FREDERIQUE[[#This Row],[MALI AAC]]&lt;&gt;0,1,"")</f>
        <v/>
      </c>
      <c r="AV47" s="225">
        <f>IF(AP47&lt;&gt;"",IF((AP47*Paramètres!$H$4)-PORTEFEUILLE_FREDERIQUE[[#This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€]]-(DELPHINE!AP46*Paramètres!$H$4),0),0)</f>
        <v>0</v>
      </c>
      <c r="AW47" s="225">
        <f>IF(AP47&lt;&gt;"",IF(((AP47*Paramètres!$H$4)-PORTEFEUILLE_FREDERIQUE[[#This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7" s="190" t="str">
        <f>IF(PORTEFEUILLE_FREDERIQUE[[#This Row],[BONI COMPTABLE]]&lt;&gt;0,1,"")</f>
        <v/>
      </c>
      <c r="AY47" s="190" t="str">
        <f>IF(PORTEFEUILLE_FREDERIQUE[[#This Row],[MALI COMPTABLE]]&lt;&gt;0,1,"")</f>
        <v/>
      </c>
      <c r="AZ47" s="188"/>
      <c r="BA47" s="188"/>
      <c r="BB47" s="188"/>
      <c r="BC47" s="188"/>
      <c r="BD47" s="188"/>
      <c r="BE47" s="188"/>
      <c r="BF47" s="188"/>
      <c r="BG47" s="192"/>
      <c r="BH47" s="194"/>
      <c r="BI47" s="194"/>
      <c r="BJ47" s="195"/>
      <c r="BK47" s="194"/>
    </row>
    <row r="48" spans="1:63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SUM(PORTEFEUILLE_FREDERIQUE[[#This Row],[PCR COMPTABLE €]:[MONTANT
RESPONSABLE RELATION CLIENT €]])-PORTEFEUILLE_FREDERIQUE[[#This Row],[MONTANT TOTAL LETTRE DE MISION €]]</f>
        <v>0</v>
      </c>
      <c r="AI48" s="191"/>
      <c r="AJ48" s="188"/>
      <c r="AK48" s="188"/>
      <c r="AL48" s="188"/>
      <c r="AM48" s="191"/>
      <c r="AN48" s="196"/>
      <c r="AO48" s="196"/>
      <c r="AP48" s="196"/>
      <c r="AQ48" s="196"/>
      <c r="AR4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8" s="188" t="str">
        <f>IF(PORTEFEUILLE_FREDERIQUE[[#This Row],[BONI AAC]]&lt;&gt;0,1,"")</f>
        <v/>
      </c>
      <c r="AU48" s="188" t="str">
        <f>IF(PORTEFEUILLE_FREDERIQUE[[#This Row],[MALI AAC]]&lt;&gt;0,1,"")</f>
        <v/>
      </c>
      <c r="AV48" s="225">
        <f>IF(AP48&lt;&gt;"",IF((AP48*Paramètres!$H$4)-PORTEFEUILLE_FREDERIQUE[[#This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€]]-(DELPHINE!AP47*Paramètres!$H$4),0),0)</f>
        <v>0</v>
      </c>
      <c r="AW48" s="225">
        <f>IF(AP48&lt;&gt;"",IF(((AP48*Paramètres!$H$4)-PORTEFEUILLE_FREDERIQUE[[#This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8" s="190" t="str">
        <f>IF(PORTEFEUILLE_FREDERIQUE[[#This Row],[BONI COMPTABLE]]&lt;&gt;0,1,"")</f>
        <v/>
      </c>
      <c r="AY48" s="190" t="str">
        <f>IF(PORTEFEUILLE_FREDERIQUE[[#This Row],[MALI COMPTABLE]]&lt;&gt;0,1,"")</f>
        <v/>
      </c>
      <c r="AZ48" s="196"/>
      <c r="BA48" s="188"/>
      <c r="BB48" s="188"/>
      <c r="BC48" s="188"/>
      <c r="BD48" s="188"/>
      <c r="BE48" s="188"/>
      <c r="BF48" s="188"/>
      <c r="BG48" s="192"/>
      <c r="BH48" s="194"/>
      <c r="BI48" s="194"/>
      <c r="BJ48" s="195"/>
      <c r="BK48" s="194"/>
    </row>
    <row r="49" spans="1:63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SUM(PORTEFEUILLE_FREDERIQUE[[#This Row],[PCR COMPTABLE €]:[MONTANT
RESPONSABLE RELATION CLIENT €]])-PORTEFEUILLE_FREDERIQUE[[#This Row],[MONTANT TOTAL LETTRE DE MISION €]]</f>
        <v>0</v>
      </c>
      <c r="AI49" s="191"/>
      <c r="AJ49" s="188"/>
      <c r="AK49" s="188"/>
      <c r="AL49" s="188"/>
      <c r="AM49" s="191"/>
      <c r="AN49" s="188"/>
      <c r="AO49" s="188"/>
      <c r="AP49" s="188"/>
      <c r="AQ49" s="188"/>
      <c r="AR4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4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49" s="188" t="str">
        <f>IF(PORTEFEUILLE_FREDERIQUE[[#This Row],[BONI AAC]]&lt;&gt;0,1,"")</f>
        <v/>
      </c>
      <c r="AU49" s="188" t="str">
        <f>IF(PORTEFEUILLE_FREDERIQUE[[#This Row],[MALI AAC]]&lt;&gt;0,1,"")</f>
        <v/>
      </c>
      <c r="AV49" s="225">
        <f>IF(AP49&lt;&gt;"",IF((AP49*Paramètres!$H$4)-PORTEFEUILLE_FREDERIQUE[[#This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€]]-(DELPHINE!AP48*Paramètres!$H$4),0),0)</f>
        <v>0</v>
      </c>
      <c r="AW49" s="225">
        <f>IF(AP49&lt;&gt;"",IF(((AP49*Paramètres!$H$4)-PORTEFEUILLE_FREDERIQUE[[#This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49" s="190" t="str">
        <f>IF(PORTEFEUILLE_FREDERIQUE[[#This Row],[BONI COMPTABLE]]&lt;&gt;0,1,"")</f>
        <v/>
      </c>
      <c r="AY49" s="190" t="str">
        <f>IF(PORTEFEUILLE_FREDERIQUE[[#This Row],[MALI COMPTABLE]]&lt;&gt;0,1,"")</f>
        <v/>
      </c>
      <c r="AZ49" s="188"/>
      <c r="BA49" s="188"/>
      <c r="BB49" s="188"/>
      <c r="BC49" s="188"/>
      <c r="BD49" s="196"/>
      <c r="BE49" s="188"/>
      <c r="BF49" s="188"/>
      <c r="BG49" s="192"/>
      <c r="BH49" s="194"/>
      <c r="BI49" s="194"/>
      <c r="BJ49" s="195"/>
      <c r="BK49" s="194"/>
    </row>
    <row r="50" spans="1:63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SUM(PORTEFEUILLE_FREDERIQUE[[#This Row],[PCR COMPTABLE €]:[MONTANT
RESPONSABLE RELATION CLIENT €]])-PORTEFEUILLE_FREDERIQUE[[#This Row],[MONTANT TOTAL LETTRE DE MISION €]]</f>
        <v>0</v>
      </c>
      <c r="AI50" s="191"/>
      <c r="AJ50" s="188"/>
      <c r="AK50" s="188"/>
      <c r="AL50" s="188"/>
      <c r="AM50" s="191"/>
      <c r="AN50" s="196"/>
      <c r="AO50" s="196"/>
      <c r="AP50" s="196"/>
      <c r="AQ50" s="196"/>
      <c r="AR5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0" s="188" t="str">
        <f>IF(PORTEFEUILLE_FREDERIQUE[[#This Row],[BONI AAC]]&lt;&gt;0,1,"")</f>
        <v/>
      </c>
      <c r="AU50" s="188" t="str">
        <f>IF(PORTEFEUILLE_FREDERIQUE[[#This Row],[MALI AAC]]&lt;&gt;0,1,"")</f>
        <v/>
      </c>
      <c r="AV50" s="225">
        <f>IF(AP50&lt;&gt;"",IF((AP50*Paramètres!$H$4)-PORTEFEUILLE_FREDERIQUE[[#This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€]]-(DELPHINE!AP49*Paramètres!$H$4),0),0)</f>
        <v>0</v>
      </c>
      <c r="AW50" s="225">
        <f>IF(AP50&lt;&gt;"",IF(((AP50*Paramètres!$H$4)-PORTEFEUILLE_FREDERIQUE[[#This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0" s="190" t="str">
        <f>IF(PORTEFEUILLE_FREDERIQUE[[#This Row],[BONI COMPTABLE]]&lt;&gt;0,1,"")</f>
        <v/>
      </c>
      <c r="AY50" s="190" t="str">
        <f>IF(PORTEFEUILLE_FREDERIQUE[[#This Row],[MALI COMPTABLE]]&lt;&gt;0,1,"")</f>
        <v/>
      </c>
      <c r="AZ50" s="196"/>
      <c r="BA50" s="188"/>
      <c r="BB50" s="188"/>
      <c r="BC50" s="188"/>
      <c r="BD50" s="196"/>
      <c r="BE50" s="196"/>
      <c r="BF50" s="196"/>
      <c r="BG50" s="192"/>
      <c r="BH50" s="194"/>
      <c r="BI50" s="194"/>
      <c r="BJ50" s="195"/>
      <c r="BK50" s="194"/>
    </row>
    <row r="51" spans="1:63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SUM(PORTEFEUILLE_FREDERIQUE[[#This Row],[PCR COMPTABLE €]:[MONTANT
RESPONSABLE RELATION CLIENT €]])-PORTEFEUILLE_FREDERIQUE[[#This Row],[MONTANT TOTAL LETTRE DE MISION €]]</f>
        <v>0</v>
      </c>
      <c r="AI51" s="191"/>
      <c r="AJ51" s="188"/>
      <c r="AK51" s="188"/>
      <c r="AL51" s="188"/>
      <c r="AM51" s="191"/>
      <c r="AN51" s="196"/>
      <c r="AO51" s="196"/>
      <c r="AP51" s="196"/>
      <c r="AQ51" s="196"/>
      <c r="AR5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1" s="188" t="str">
        <f>IF(PORTEFEUILLE_FREDERIQUE[[#This Row],[BONI AAC]]&lt;&gt;0,1,"")</f>
        <v/>
      </c>
      <c r="AU51" s="188" t="str">
        <f>IF(PORTEFEUILLE_FREDERIQUE[[#This Row],[MALI AAC]]&lt;&gt;0,1,"")</f>
        <v/>
      </c>
      <c r="AV51" s="225">
        <f>IF(AP51&lt;&gt;"",IF((AP51*Paramètres!$H$4)-PORTEFEUILLE_FREDERIQUE[[#This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€]]-(DELPHINE!AP50*Paramètres!$H$4),0),0)</f>
        <v>0</v>
      </c>
      <c r="AW51" s="225">
        <f>IF(AP51&lt;&gt;"",IF(((AP51*Paramètres!$H$4)-PORTEFEUILLE_FREDERIQUE[[#This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1" s="190" t="str">
        <f>IF(PORTEFEUILLE_FREDERIQUE[[#This Row],[BONI COMPTABLE]]&lt;&gt;0,1,"")</f>
        <v/>
      </c>
      <c r="AY51" s="190" t="str">
        <f>IF(PORTEFEUILLE_FREDERIQUE[[#This Row],[MALI COMPTABLE]]&lt;&gt;0,1,"")</f>
        <v/>
      </c>
      <c r="AZ51" s="196"/>
      <c r="BA51" s="188"/>
      <c r="BB51" s="188"/>
      <c r="BC51" s="188"/>
      <c r="BD51" s="196"/>
      <c r="BE51" s="196"/>
      <c r="BF51" s="196"/>
      <c r="BG51" s="192"/>
      <c r="BH51" s="194"/>
      <c r="BI51" s="194"/>
      <c r="BJ51" s="195"/>
      <c r="BK51" s="194"/>
    </row>
    <row r="52" spans="1:63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SUM(PORTEFEUILLE_FREDERIQUE[[#This Row],[PCR COMPTABLE €]:[MONTANT
RESPONSABLE RELATION CLIENT €]])-PORTEFEUILLE_FREDERIQUE[[#This Row],[MONTANT TOTAL LETTRE DE MISION €]]</f>
        <v>0</v>
      </c>
      <c r="AI52" s="191"/>
      <c r="AJ52" s="188"/>
      <c r="AK52" s="188"/>
      <c r="AL52" s="188"/>
      <c r="AM52" s="191"/>
      <c r="AN52" s="196"/>
      <c r="AO52" s="196"/>
      <c r="AP52" s="196"/>
      <c r="AQ52" s="196"/>
      <c r="AR5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2" s="188" t="str">
        <f>IF(PORTEFEUILLE_FREDERIQUE[[#This Row],[BONI AAC]]&lt;&gt;0,1,"")</f>
        <v/>
      </c>
      <c r="AU52" s="188" t="str">
        <f>IF(PORTEFEUILLE_FREDERIQUE[[#This Row],[MALI AAC]]&lt;&gt;0,1,"")</f>
        <v/>
      </c>
      <c r="AV52" s="225">
        <f>IF(AP52&lt;&gt;"",IF((AP52*Paramètres!$H$4)-PORTEFEUILLE_FREDERIQUE[[#This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€]]-(DELPHINE!AP51*Paramètres!$H$4),0),0)</f>
        <v>0</v>
      </c>
      <c r="AW52" s="225">
        <f>IF(AP52&lt;&gt;"",IF(((AP52*Paramètres!$H$4)-PORTEFEUILLE_FREDERIQUE[[#This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2" s="190" t="str">
        <f>IF(PORTEFEUILLE_FREDERIQUE[[#This Row],[BONI COMPTABLE]]&lt;&gt;0,1,"")</f>
        <v/>
      </c>
      <c r="AY52" s="190" t="str">
        <f>IF(PORTEFEUILLE_FREDERIQUE[[#This Row],[MALI COMPTABLE]]&lt;&gt;0,1,"")</f>
        <v/>
      </c>
      <c r="AZ52" s="196"/>
      <c r="BA52" s="188"/>
      <c r="BB52" s="188"/>
      <c r="BC52" s="188"/>
      <c r="BD52" s="196"/>
      <c r="BE52" s="196"/>
      <c r="BF52" s="196"/>
      <c r="BG52" s="192"/>
      <c r="BH52" s="194"/>
      <c r="BI52" s="194"/>
      <c r="BJ52" s="195"/>
      <c r="BK52" s="194"/>
    </row>
    <row r="53" spans="1:63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SUM(PORTEFEUILLE_FREDERIQUE[[#This Row],[PCR COMPTABLE €]:[MONTANT
RESPONSABLE RELATION CLIENT €]])-PORTEFEUILLE_FREDERIQUE[[#This Row],[MONTANT TOTAL LETTRE DE MISION €]]</f>
        <v>0</v>
      </c>
      <c r="AI53" s="191"/>
      <c r="AJ53" s="188"/>
      <c r="AK53" s="201"/>
      <c r="AL53" s="201"/>
      <c r="AM53" s="246"/>
      <c r="AN53" s="202"/>
      <c r="AO53" s="202"/>
      <c r="AP53" s="202"/>
      <c r="AQ53" s="202"/>
      <c r="AR5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3" s="188" t="str">
        <f>IF(PORTEFEUILLE_FREDERIQUE[[#This Row],[BONI AAC]]&lt;&gt;0,1,"")</f>
        <v/>
      </c>
      <c r="AU53" s="188" t="str">
        <f>IF(PORTEFEUILLE_FREDERIQUE[[#This Row],[MALI AAC]]&lt;&gt;0,1,"")</f>
        <v/>
      </c>
      <c r="AV53" s="225">
        <f>IF(AP53&lt;&gt;"",IF((AP53*Paramètres!$H$4)-PORTEFEUILLE_FREDERIQUE[[#This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€]]-(DELPHINE!AP52*Paramètres!$H$4),0),0)</f>
        <v>0</v>
      </c>
      <c r="AW53" s="225">
        <f>IF(AP53&lt;&gt;"",IF(((AP53*Paramètres!$H$4)-PORTEFEUILLE_FREDERIQUE[[#This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3" s="190" t="str">
        <f>IF(PORTEFEUILLE_FREDERIQUE[[#This Row],[BONI COMPTABLE]]&lt;&gt;0,1,"")</f>
        <v/>
      </c>
      <c r="AY53" s="190" t="str">
        <f>IF(PORTEFEUILLE_FREDERIQUE[[#This Row],[MALI COMPTABLE]]&lt;&gt;0,1,"")</f>
        <v/>
      </c>
      <c r="AZ53" s="202"/>
      <c r="BA53" s="188"/>
      <c r="BB53" s="188"/>
      <c r="BC53" s="188"/>
      <c r="BD53" s="202"/>
      <c r="BE53" s="202"/>
      <c r="BF53" s="202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SUM(PORTEFEUILLE_FREDERIQUE[[#This Row],[PCR COMPTABLE €]:[MONTANT
RESPONSABLE RELATION CLIENT €]])-PORTEFEUILLE_FREDERIQUE[[#This Row],[MONTANT TOTAL LETTRE DE MISION €]]</f>
        <v>0</v>
      </c>
      <c r="AI54" s="191"/>
      <c r="AJ54" s="188"/>
      <c r="AK54" s="188"/>
      <c r="AL54" s="188"/>
      <c r="AM54" s="191"/>
      <c r="AN54" s="194"/>
      <c r="AO54" s="194"/>
      <c r="AP54" s="194"/>
      <c r="AQ54" s="194"/>
      <c r="AR5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4" s="188" t="str">
        <f>IF(PORTEFEUILLE_FREDERIQUE[[#This Row],[BONI AAC]]&lt;&gt;0,1,"")</f>
        <v/>
      </c>
      <c r="AU54" s="188" t="str">
        <f>IF(PORTEFEUILLE_FREDERIQUE[[#This Row],[MALI AAC]]&lt;&gt;0,1,"")</f>
        <v/>
      </c>
      <c r="AV54" s="225">
        <f>IF(AP54&lt;&gt;"",IF((AP54*Paramètres!$H$4)-PORTEFEUILLE_FREDERIQUE[[#This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€]]-(DELPHINE!AP53*Paramètres!$H$4),0),0)</f>
        <v>0</v>
      </c>
      <c r="AW54" s="225">
        <f>IF(AP54&lt;&gt;"",IF(((AP54*Paramètres!$H$4)-PORTEFEUILLE_FREDERIQUE[[#This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4" s="190" t="str">
        <f>IF(PORTEFEUILLE_FREDERIQUE[[#This Row],[BONI COMPTABLE]]&lt;&gt;0,1,"")</f>
        <v/>
      </c>
      <c r="AY54" s="190" t="str">
        <f>IF(PORTEFEUILLE_FREDERIQUE[[#This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SUM(PORTEFEUILLE_FREDERIQUE[[#This Row],[PCR COMPTABLE €]:[MONTANT
RESPONSABLE RELATION CLIENT €]])-PORTEFEUILLE_FREDERIQUE[[#This Row],[MONTANT TOTAL LETTRE DE MISION €]]</f>
        <v>0</v>
      </c>
      <c r="AI55" s="191"/>
      <c r="AJ55" s="188"/>
      <c r="AK55" s="188"/>
      <c r="AL55" s="188"/>
      <c r="AM55" s="191"/>
      <c r="AN55" s="194"/>
      <c r="AO55" s="194"/>
      <c r="AP55" s="194"/>
      <c r="AQ55" s="194"/>
      <c r="AR5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5" s="188" t="str">
        <f>IF(PORTEFEUILLE_FREDERIQUE[[#This Row],[BONI AAC]]&lt;&gt;0,1,"")</f>
        <v/>
      </c>
      <c r="AU55" s="188" t="str">
        <f>IF(PORTEFEUILLE_FREDERIQUE[[#This Row],[MALI AAC]]&lt;&gt;0,1,"")</f>
        <v/>
      </c>
      <c r="AV55" s="225">
        <f>IF(AP55&lt;&gt;"",IF((AP55*Paramètres!$H$4)-PORTEFEUILLE_FREDERIQUE[[#This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€]]-(DELPHINE!AP54*Paramètres!$H$4),0),0)</f>
        <v>0</v>
      </c>
      <c r="AW55" s="225">
        <f>IF(AP55&lt;&gt;"",IF(((AP55*Paramètres!$H$4)-PORTEFEUILLE_FREDERIQUE[[#This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5" s="190" t="str">
        <f>IF(PORTEFEUILLE_FREDERIQUE[[#This Row],[BONI COMPTABLE]]&lt;&gt;0,1,"")</f>
        <v/>
      </c>
      <c r="AY55" s="190" t="str">
        <f>IF(PORTEFEUILLE_FREDERIQUE[[#This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SUM(PORTEFEUILLE_FREDERIQUE[[#This Row],[PCR COMPTABLE €]:[MONTANT
RESPONSABLE RELATION CLIENT €]])-PORTEFEUILLE_FREDERIQUE[[#This Row],[MONTANT TOTAL LETTRE DE MISION €]]</f>
        <v>0</v>
      </c>
      <c r="AI56" s="191"/>
      <c r="AJ56" s="188"/>
      <c r="AK56" s="188"/>
      <c r="AL56" s="188"/>
      <c r="AM56" s="191"/>
      <c r="AN56" s="194"/>
      <c r="AO56" s="194"/>
      <c r="AP56" s="194"/>
      <c r="AQ56" s="194"/>
      <c r="AR5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6" s="188" t="str">
        <f>IF(PORTEFEUILLE_FREDERIQUE[[#This Row],[BONI AAC]]&lt;&gt;0,1,"")</f>
        <v/>
      </c>
      <c r="AU56" s="188" t="str">
        <f>IF(PORTEFEUILLE_FREDERIQUE[[#This Row],[MALI AAC]]&lt;&gt;0,1,"")</f>
        <v/>
      </c>
      <c r="AV56" s="225">
        <f>IF(AP56&lt;&gt;"",IF((AP56*Paramètres!$H$4)-PORTEFEUILLE_FREDERIQUE[[#This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€]]-(DELPHINE!AP55*Paramètres!$H$4),0),0)</f>
        <v>0</v>
      </c>
      <c r="AW56" s="225">
        <f>IF(AP56&lt;&gt;"",IF(((AP56*Paramètres!$H$4)-PORTEFEUILLE_FREDERIQUE[[#This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6" s="190" t="str">
        <f>IF(PORTEFEUILLE_FREDERIQUE[[#This Row],[BONI COMPTABLE]]&lt;&gt;0,1,"")</f>
        <v/>
      </c>
      <c r="AY56" s="190" t="str">
        <f>IF(PORTEFEUILLE_FREDERIQUE[[#This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SUM(PORTEFEUILLE_FREDERIQUE[[#This Row],[PCR COMPTABLE €]:[MONTANT
RESPONSABLE RELATION CLIENT €]])-PORTEFEUILLE_FREDERIQUE[[#This Row],[MONTANT TOTAL LETTRE DE MISION €]]</f>
        <v>0</v>
      </c>
      <c r="AI57" s="191"/>
      <c r="AJ57" s="188"/>
      <c r="AK57" s="188"/>
      <c r="AL57" s="188"/>
      <c r="AM57" s="191"/>
      <c r="AN57" s="194"/>
      <c r="AO57" s="194"/>
      <c r="AP57" s="194"/>
      <c r="AQ57" s="194"/>
      <c r="AR5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7" s="188" t="str">
        <f>IF(PORTEFEUILLE_FREDERIQUE[[#This Row],[BONI AAC]]&lt;&gt;0,1,"")</f>
        <v/>
      </c>
      <c r="AU57" s="188" t="str">
        <f>IF(PORTEFEUILLE_FREDERIQUE[[#This Row],[MALI AAC]]&lt;&gt;0,1,"")</f>
        <v/>
      </c>
      <c r="AV57" s="225">
        <f>IF(AP57&lt;&gt;"",IF((AP57*Paramètres!$H$4)-PORTEFEUILLE_FREDERIQUE[[#This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€]]-(DELPHINE!AP56*Paramètres!$H$4),0),0)</f>
        <v>0</v>
      </c>
      <c r="AW57" s="225">
        <f>IF(AP57&lt;&gt;"",IF(((AP57*Paramètres!$H$4)-PORTEFEUILLE_FREDERIQUE[[#This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7" s="190" t="str">
        <f>IF(PORTEFEUILLE_FREDERIQUE[[#This Row],[BONI COMPTABLE]]&lt;&gt;0,1,"")</f>
        <v/>
      </c>
      <c r="AY57" s="190" t="str">
        <f>IF(PORTEFEUILLE_FREDERIQUE[[#This Row],[MALI COMPTABLE]]&lt;&gt;0,1,"")</f>
        <v/>
      </c>
      <c r="AZ57" s="194"/>
      <c r="BA57" s="188"/>
      <c r="BB57" s="188"/>
      <c r="BC57" s="188"/>
      <c r="BD57" s="194"/>
      <c r="BE57" s="194"/>
      <c r="BF57" s="194"/>
      <c r="BG57" s="192"/>
      <c r="BH57" s="194"/>
      <c r="BI57" s="194"/>
      <c r="BJ57" s="195"/>
      <c r="BK57" s="194"/>
    </row>
    <row r="58" spans="1:63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SUM(PORTEFEUILLE_FREDERIQUE[[#This Row],[PCR COMPTABLE €]:[MONTANT
RESPONSABLE RELATION CLIENT €]])-PORTEFEUILLE_FREDERIQUE[[#This Row],[MONTANT TOTAL LETTRE DE MISION €]]</f>
        <v>0</v>
      </c>
      <c r="AI58" s="191"/>
      <c r="AJ58" s="188"/>
      <c r="AK58" s="188"/>
      <c r="AL58" s="188"/>
      <c r="AM58" s="191"/>
      <c r="AN58" s="194"/>
      <c r="AO58" s="194"/>
      <c r="AP58" s="194"/>
      <c r="AQ58" s="194"/>
      <c r="AR5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8" s="188" t="str">
        <f>IF(PORTEFEUILLE_FREDERIQUE[[#This Row],[BONI AAC]]&lt;&gt;0,1,"")</f>
        <v/>
      </c>
      <c r="AU58" s="188" t="str">
        <f>IF(PORTEFEUILLE_FREDERIQUE[[#This Row],[MALI AAC]]&lt;&gt;0,1,"")</f>
        <v/>
      </c>
      <c r="AV58" s="225">
        <f>IF(AP58&lt;&gt;"",IF((AP58*Paramètres!$H$4)-PORTEFEUILLE_FREDERIQUE[[#This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€]]-(DELPHINE!AP57*Paramètres!$H$4),0),0)</f>
        <v>0</v>
      </c>
      <c r="AW58" s="225">
        <f>IF(AP58&lt;&gt;"",IF(((AP58*Paramètres!$H$4)-PORTEFEUILLE_FREDERIQUE[[#This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8" s="190" t="str">
        <f>IF(PORTEFEUILLE_FREDERIQUE[[#This Row],[BONI COMPTABLE]]&lt;&gt;0,1,"")</f>
        <v/>
      </c>
      <c r="AY58" s="190" t="str">
        <f>IF(PORTEFEUILLE_FREDERIQUE[[#This Row],[MALI COMPTABLE]]&lt;&gt;0,1,"")</f>
        <v/>
      </c>
      <c r="AZ58" s="194"/>
      <c r="BA58" s="188"/>
      <c r="BB58" s="188"/>
      <c r="BC58" s="188"/>
      <c r="BD58" s="194"/>
      <c r="BE58" s="194"/>
      <c r="BF58" s="194"/>
      <c r="BG58" s="192"/>
      <c r="BH58" s="194"/>
      <c r="BI58" s="194"/>
      <c r="BJ58" s="195"/>
      <c r="BK58" s="194"/>
    </row>
    <row r="59" spans="1:63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SUM(PORTEFEUILLE_FREDERIQUE[[#This Row],[PCR COMPTABLE €]:[MONTANT
RESPONSABLE RELATION CLIENT €]])-PORTEFEUILLE_FREDERIQUE[[#This Row],[MONTANT TOTAL LETTRE DE MISION €]]</f>
        <v>0</v>
      </c>
      <c r="AI59" s="191"/>
      <c r="AJ59" s="188"/>
      <c r="AK59" s="188"/>
      <c r="AL59" s="188"/>
      <c r="AM59" s="191"/>
      <c r="AN59" s="194"/>
      <c r="AO59" s="194"/>
      <c r="AP59" s="194"/>
      <c r="AQ59" s="194"/>
      <c r="AR5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5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59" s="188" t="str">
        <f>IF(PORTEFEUILLE_FREDERIQUE[[#This Row],[BONI AAC]]&lt;&gt;0,1,"")</f>
        <v/>
      </c>
      <c r="AU59" s="188" t="str">
        <f>IF(PORTEFEUILLE_FREDERIQUE[[#This Row],[MALI AAC]]&lt;&gt;0,1,"")</f>
        <v/>
      </c>
      <c r="AV59" s="225">
        <f>IF(AP59&lt;&gt;"",IF((AP59*Paramètres!$H$4)-PORTEFEUILLE_FREDERIQUE[[#This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€]]-(DELPHINE!AP58*Paramètres!$H$4),0),0)</f>
        <v>0</v>
      </c>
      <c r="AW59" s="225">
        <f>IF(AP59&lt;&gt;"",IF(((AP59*Paramètres!$H$4)-PORTEFEUILLE_FREDERIQUE[[#This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59" s="190" t="str">
        <f>IF(PORTEFEUILLE_FREDERIQUE[[#This Row],[BONI COMPTABLE]]&lt;&gt;0,1,"")</f>
        <v/>
      </c>
      <c r="AY59" s="190" t="str">
        <f>IF(PORTEFEUILLE_FREDERIQUE[[#This Row],[MALI COMPTABLE]]&lt;&gt;0,1,"")</f>
        <v/>
      </c>
      <c r="AZ59" s="194"/>
      <c r="BA59" s="188"/>
      <c r="BB59" s="188"/>
      <c r="BC59" s="188"/>
      <c r="BD59" s="194"/>
      <c r="BE59" s="194"/>
      <c r="BF59" s="194"/>
      <c r="BG59" s="192"/>
      <c r="BH59" s="194"/>
      <c r="BI59" s="194"/>
      <c r="BJ59" s="195"/>
      <c r="BK59" s="194"/>
    </row>
    <row r="60" spans="1:63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SUM(PORTEFEUILLE_FREDERIQUE[[#This Row],[PCR COMPTABLE €]:[MONTANT
RESPONSABLE RELATION CLIENT €]])-PORTEFEUILLE_FREDERIQUE[[#This Row],[MONTANT TOTAL LETTRE DE MISION €]]</f>
        <v>0</v>
      </c>
      <c r="AI60" s="191"/>
      <c r="AJ60" s="188"/>
      <c r="AK60" s="201"/>
      <c r="AL60" s="201"/>
      <c r="AM60" s="246"/>
      <c r="AN60" s="205"/>
      <c r="AO60" s="205"/>
      <c r="AP60" s="205"/>
      <c r="AQ60" s="205"/>
      <c r="AR6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S6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T60" s="188" t="str">
        <f>IF(PORTEFEUILLE_FREDERIQUE[[#This Row],[BONI AAC]]&lt;&gt;0,1,"")</f>
        <v/>
      </c>
      <c r="AU60" s="188" t="str">
        <f>IF(PORTEFEUILLE_FREDERIQUE[[#This Row],[MALI AAC]]&lt;&gt;0,1,"")</f>
        <v/>
      </c>
      <c r="AV60" s="225">
        <f>IF(AP60&lt;&gt;"",IF((AP60*Paramètres!$H$4)-PORTEFEUILLE_FREDERIQUE[[#This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€]]-(DELPHINE!AP59*Paramètres!$H$4),0),0)</f>
        <v>0</v>
      </c>
      <c r="AW60" s="225">
        <f>IF(AP60&lt;&gt;"",IF(((AP60*Paramètres!$H$4)-PORTEFEUILLE_FREDERIQUE[[#This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€]])&gt;0,(AP60*Paramètres!$H$4)-PORTEFEUILLE_FREDERIQUE[[#This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X60" s="190" t="str">
        <f>IF(PORTEFEUILLE_FREDERIQUE[[#This Row],[BONI COMPTABLE]]&lt;&gt;0,1,"")</f>
        <v/>
      </c>
      <c r="AY60" s="190" t="str">
        <f>IF(PORTEFEUILLE_FREDERIQUE[[#This Row],[MALI COMPTABLE]]&lt;&gt;0,1,"")</f>
        <v/>
      </c>
      <c r="AZ60" s="205"/>
      <c r="BA60" s="188"/>
      <c r="BB60" s="188"/>
      <c r="BC60" s="188"/>
      <c r="BD60" s="205"/>
      <c r="BE60" s="205"/>
      <c r="BF60" s="205"/>
      <c r="BG60" s="192"/>
      <c r="BH60" s="205"/>
      <c r="BI60" s="205"/>
      <c r="BJ60" s="206"/>
      <c r="BK60" s="205"/>
    </row>
    <row r="63" spans="1:63" x14ac:dyDescent="0.25">
      <c r="B63" s="89" t="s">
        <v>120</v>
      </c>
    </row>
    <row r="65" spans="2:52" x14ac:dyDescent="0.25">
      <c r="B65" s="279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80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280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81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275" t="s">
        <v>123</v>
      </c>
      <c r="C69" s="275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2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80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280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81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275" t="s">
        <v>123</v>
      </c>
      <c r="C75" s="275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2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80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B79" s="280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281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B81" s="275" t="s">
        <v>123</v>
      </c>
      <c r="C81" s="275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6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277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7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277" t="s">
        <v>123</v>
      </c>
      <c r="C88" s="277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8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277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COUNTIFS($I$3:$I$60,"&lt;&gt;",$BB$3:$BB$60,"X",$E$3:$E$60,DATE(Paramètres!A4,Paramètres!D15,Paramètres!C15),$F$3:$F$60,"EARL")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277" t="s">
        <v>123</v>
      </c>
      <c r="C94" s="277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B98" s="277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277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B100" s="277" t="s">
        <v>123</v>
      </c>
      <c r="C100" s="277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79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80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280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81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275" t="s">
        <v>123</v>
      </c>
      <c r="C108" s="275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2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80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280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81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275" t="s">
        <v>123</v>
      </c>
      <c r="C114" s="275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2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80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B118" s="280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B119" s="281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B120" s="275" t="s">
        <v>123</v>
      </c>
      <c r="C120" s="275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  <row r="181" spans="21:52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  <c r="AZ181" s="164"/>
    </row>
    <row r="182" spans="21:52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</row>
    <row r="183" spans="21:52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  <c r="AY183" s="164"/>
      <c r="AZ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519" priority="6">
      <formula>AND(P3&lt;&gt;"",P3&lt;&gt;"OUI")</formula>
    </cfRule>
  </conditionalFormatting>
  <conditionalFormatting sqref="AN3:AO60 S3:AH60">
    <cfRule type="expression" dxfId="518" priority="5" stopIfTrue="1">
      <formula>$AH3&lt;&gt;0</formula>
    </cfRule>
  </conditionalFormatting>
  <conditionalFormatting sqref="A6:E60 C3:E5 A3:A5">
    <cfRule type="expression" dxfId="517" priority="7" stopIfTrue="1">
      <formula>AND($I3&lt;&gt;"",AND($J3="",AND($BA3="",$BB3="")))</formula>
    </cfRule>
    <cfRule type="expression" dxfId="516" priority="8" stopIfTrue="1">
      <formula>AND($J3&lt;&gt;"",AND($BA3="",$BB3=""))</formula>
    </cfRule>
    <cfRule type="expression" dxfId="515" priority="9" stopIfTrue="1">
      <formula>AND($BA3&lt;&gt;"",$BB3="")</formula>
    </cfRule>
    <cfRule type="expression" dxfId="514" priority="10" stopIfTrue="1">
      <formula>$BB3="X"</formula>
    </cfRule>
  </conditionalFormatting>
  <conditionalFormatting sqref="B3:B5">
    <cfRule type="expression" dxfId="513" priority="1" stopIfTrue="1">
      <formula>AND($I3&lt;&gt;"",AND($J3="",AND($BA3="",$BB3="")))</formula>
    </cfRule>
    <cfRule type="expression" dxfId="512" priority="2" stopIfTrue="1">
      <formula>AND($J3&lt;&gt;"",AND($BA3="",$BB3=""))</formula>
    </cfRule>
    <cfRule type="expression" dxfId="511" priority="3" stopIfTrue="1">
      <formula>AND($BA3&lt;&gt;"",$BB3="")</formula>
    </cfRule>
    <cfRule type="expression" dxfId="510" priority="4" stopIfTrue="1">
      <formula>$BB3="X"</formula>
    </cfRule>
  </conditionalFormatting>
  <dataValidations count="12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I3:BK60">
      <formula1>"OUI,NON,N/C"</formula1>
    </dataValidation>
    <dataValidation type="list" allowBlank="1" showInputMessage="1" showErrorMessage="1" sqref="AN3:AN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BA3:BC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O3:AO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Y3:JY60 TU3:TU60 ADQ3:ADQ60 ANM3:ANM60 AXI3:AXI60 BHE3:BHE60 BRA3:BRA60 CAW3:CAW60 CKS3:CKS60 CUO3:CUO60 DEK3:DEK60 DOG3:DOG60 DYC3:DYC60 EHY3:EHY60 ERU3:ERU60 FBQ3:FBQ60 FLM3:FLM60 FVI3:FVI60 GFE3:GFE60 GPA3:GPA60 GYW3:GYW60 HIS3:HIS60 HSO3:HSO60 ICK3:ICK60 IMG3:IMG60 IWC3:IWC60 JFY3:JFY60 JPU3:JPU60 JZQ3:JZQ60 KJM3:KJM60 KTI3:KTI60 LDE3:LDE60 LNA3:LNA60 LWW3:LWW60 MGS3:MGS60 MQO3:MQO60 NAK3:NAK60 NKG3:NKG60 NUC3:NUC60 ODY3:ODY60 ONU3:ONU60 OXQ3:OXQ60 PHM3:PHM60 PRI3:PRI60 QBE3:QBE60 QLA3:QLA60 QUW3:QUW60 RES3:RES60 ROO3:ROO60 RYK3:RYK60 SIG3:SIG60 SSC3:SSC60 TBY3:TBY60 TLU3:TLU60 TVQ3:TVQ60 UFM3:UFM60 UPI3:UPI60 UZE3:UZE60 VJA3:VJA60 VSW3:VSW60 WCS3:WCS60 WMO3:WMO60 WWK3:WWK60 G65539:G65596 JX65539:JX65596 TT65539:TT65596 ADP65539:ADP65596 ANL65539:ANL65596 AXH65539:AXH65596 BHD65539:BHD65596 BQZ65539:BQZ65596 CAV65539:CAV65596 CKR65539:CKR65596 CUN65539:CUN65596 DEJ65539:DEJ65596 DOF65539:DOF65596 DYB65539:DYB65596 EHX65539:EHX65596 ERT65539:ERT65596 FBP65539:FBP65596 FLL65539:FLL65596 FVH65539:FVH65596 GFD65539:GFD65596 GOZ65539:GOZ65596 GYV65539:GYV65596 HIR65539:HIR65596 HSN65539:HSN65596 ICJ65539:ICJ65596 IMF65539:IMF65596 IWB65539:IWB65596 JFX65539:JFX65596 JPT65539:JPT65596 JZP65539:JZP65596 KJL65539:KJL65596 KTH65539:KTH65596 LDD65539:LDD65596 LMZ65539:LMZ65596 LWV65539:LWV65596 MGR65539:MGR65596 MQN65539:MQN65596 NAJ65539:NAJ65596 NKF65539:NKF65596 NUB65539:NUB65596 ODX65539:ODX65596 ONT65539:ONT65596 OXP65539:OXP65596 PHL65539:PHL65596 PRH65539:PRH65596 QBD65539:QBD65596 QKZ65539:QKZ65596 QUV65539:QUV65596 RER65539:RER65596 RON65539:RON65596 RYJ65539:RYJ65596 SIF65539:SIF65596 SSB65539:SSB65596 TBX65539:TBX65596 TLT65539:TLT65596 TVP65539:TVP65596 UFL65539:UFL65596 UPH65539:UPH65596 UZD65539:UZD65596 VIZ65539:VIZ65596 VSV65539:VSV65596 WCR65539:WCR65596 WMN65539:WMN65596 WWJ65539:WWJ65596 G131075:G131132 JX131075:JX131132 TT131075:TT131132 ADP131075:ADP131132 ANL131075:ANL131132 AXH131075:AXH131132 BHD131075:BHD131132 BQZ131075:BQZ131132 CAV131075:CAV131132 CKR131075:CKR131132 CUN131075:CUN131132 DEJ131075:DEJ131132 DOF131075:DOF131132 DYB131075:DYB131132 EHX131075:EHX131132 ERT131075:ERT131132 FBP131075:FBP131132 FLL131075:FLL131132 FVH131075:FVH131132 GFD131075:GFD131132 GOZ131075:GOZ131132 GYV131075:GYV131132 HIR131075:HIR131132 HSN131075:HSN131132 ICJ131075:ICJ131132 IMF131075:IMF131132 IWB131075:IWB131132 JFX131075:JFX131132 JPT131075:JPT131132 JZP131075:JZP131132 KJL131075:KJL131132 KTH131075:KTH131132 LDD131075:LDD131132 LMZ131075:LMZ131132 LWV131075:LWV131132 MGR131075:MGR131132 MQN131075:MQN131132 NAJ131075:NAJ131132 NKF131075:NKF131132 NUB131075:NUB131132 ODX131075:ODX131132 ONT131075:ONT131132 OXP131075:OXP131132 PHL131075:PHL131132 PRH131075:PRH131132 QBD131075:QBD131132 QKZ131075:QKZ131132 QUV131075:QUV131132 RER131075:RER131132 RON131075:RON131132 RYJ131075:RYJ131132 SIF131075:SIF131132 SSB131075:SSB131132 TBX131075:TBX131132 TLT131075:TLT131132 TVP131075:TVP131132 UFL131075:UFL131132 UPH131075:UPH131132 UZD131075:UZD131132 VIZ131075:VIZ131132 VSV131075:VSV131132 WCR131075:WCR131132 WMN131075:WMN131132 WWJ131075:WWJ131132 G196611:G196668 JX196611:JX196668 TT196611:TT196668 ADP196611:ADP196668 ANL196611:ANL196668 AXH196611:AXH196668 BHD196611:BHD196668 BQZ196611:BQZ196668 CAV196611:CAV196668 CKR196611:CKR196668 CUN196611:CUN196668 DEJ196611:DEJ196668 DOF196611:DOF196668 DYB196611:DYB196668 EHX196611:EHX196668 ERT196611:ERT196668 FBP196611:FBP196668 FLL196611:FLL196668 FVH196611:FVH196668 GFD196611:GFD196668 GOZ196611:GOZ196668 GYV196611:GYV196668 HIR196611:HIR196668 HSN196611:HSN196668 ICJ196611:ICJ196668 IMF196611:IMF196668 IWB196611:IWB196668 JFX196611:JFX196668 JPT196611:JPT196668 JZP196611:JZP196668 KJL196611:KJL196668 KTH196611:KTH196668 LDD196611:LDD196668 LMZ196611:LMZ196668 LWV196611:LWV196668 MGR196611:MGR196668 MQN196611:MQN196668 NAJ196611:NAJ196668 NKF196611:NKF196668 NUB196611:NUB196668 ODX196611:ODX196668 ONT196611:ONT196668 OXP196611:OXP196668 PHL196611:PHL196668 PRH196611:PRH196668 QBD196611:QBD196668 QKZ196611:QKZ196668 QUV196611:QUV196668 RER196611:RER196668 RON196611:RON196668 RYJ196611:RYJ196668 SIF196611:SIF196668 SSB196611:SSB196668 TBX196611:TBX196668 TLT196611:TLT196668 TVP196611:TVP196668 UFL196611:UFL196668 UPH196611:UPH196668 UZD196611:UZD196668 VIZ196611:VIZ196668 VSV196611:VSV196668 WCR196611:WCR196668 WMN196611:WMN196668 WWJ196611:WWJ196668 G262147:G262204 JX262147:JX262204 TT262147:TT262204 ADP262147:ADP262204 ANL262147:ANL262204 AXH262147:AXH262204 BHD262147:BHD262204 BQZ262147:BQZ262204 CAV262147:CAV262204 CKR262147:CKR262204 CUN262147:CUN262204 DEJ262147:DEJ262204 DOF262147:DOF262204 DYB262147:DYB262204 EHX262147:EHX262204 ERT262147:ERT262204 FBP262147:FBP262204 FLL262147:FLL262204 FVH262147:FVH262204 GFD262147:GFD262204 GOZ262147:GOZ262204 GYV262147:GYV262204 HIR262147:HIR262204 HSN262147:HSN262204 ICJ262147:ICJ262204 IMF262147:IMF262204 IWB262147:IWB262204 JFX262147:JFX262204 JPT262147:JPT262204 JZP262147:JZP262204 KJL262147:KJL262204 KTH262147:KTH262204 LDD262147:LDD262204 LMZ262147:LMZ262204 LWV262147:LWV262204 MGR262147:MGR262204 MQN262147:MQN262204 NAJ262147:NAJ262204 NKF262147:NKF262204 NUB262147:NUB262204 ODX262147:ODX262204 ONT262147:ONT262204 OXP262147:OXP262204 PHL262147:PHL262204 PRH262147:PRH262204 QBD262147:QBD262204 QKZ262147:QKZ262204 QUV262147:QUV262204 RER262147:RER262204 RON262147:RON262204 RYJ262147:RYJ262204 SIF262147:SIF262204 SSB262147:SSB262204 TBX262147:TBX262204 TLT262147:TLT262204 TVP262147:TVP262204 UFL262147:UFL262204 UPH262147:UPH262204 UZD262147:UZD262204 VIZ262147:VIZ262204 VSV262147:VSV262204 WCR262147:WCR262204 WMN262147:WMN262204 WWJ262147:WWJ262204 G327683:G327740 JX327683:JX327740 TT327683:TT327740 ADP327683:ADP327740 ANL327683:ANL327740 AXH327683:AXH327740 BHD327683:BHD327740 BQZ327683:BQZ327740 CAV327683:CAV327740 CKR327683:CKR327740 CUN327683:CUN327740 DEJ327683:DEJ327740 DOF327683:DOF327740 DYB327683:DYB327740 EHX327683:EHX327740 ERT327683:ERT327740 FBP327683:FBP327740 FLL327683:FLL327740 FVH327683:FVH327740 GFD327683:GFD327740 GOZ327683:GOZ327740 GYV327683:GYV327740 HIR327683:HIR327740 HSN327683:HSN327740 ICJ327683:ICJ327740 IMF327683:IMF327740 IWB327683:IWB327740 JFX327683:JFX327740 JPT327683:JPT327740 JZP327683:JZP327740 KJL327683:KJL327740 KTH327683:KTH327740 LDD327683:LDD327740 LMZ327683:LMZ327740 LWV327683:LWV327740 MGR327683:MGR327740 MQN327683:MQN327740 NAJ327683:NAJ327740 NKF327683:NKF327740 NUB327683:NUB327740 ODX327683:ODX327740 ONT327683:ONT327740 OXP327683:OXP327740 PHL327683:PHL327740 PRH327683:PRH327740 QBD327683:QBD327740 QKZ327683:QKZ327740 QUV327683:QUV327740 RER327683:RER327740 RON327683:RON327740 RYJ327683:RYJ327740 SIF327683:SIF327740 SSB327683:SSB327740 TBX327683:TBX327740 TLT327683:TLT327740 TVP327683:TVP327740 UFL327683:UFL327740 UPH327683:UPH327740 UZD327683:UZD327740 VIZ327683:VIZ327740 VSV327683:VSV327740 WCR327683:WCR327740 WMN327683:WMN327740 WWJ327683:WWJ327740 G393219:G393276 JX393219:JX393276 TT393219:TT393276 ADP393219:ADP393276 ANL393219:ANL393276 AXH393219:AXH393276 BHD393219:BHD393276 BQZ393219:BQZ393276 CAV393219:CAV393276 CKR393219:CKR393276 CUN393219:CUN393276 DEJ393219:DEJ393276 DOF393219:DOF393276 DYB393219:DYB393276 EHX393219:EHX393276 ERT393219:ERT393276 FBP393219:FBP393276 FLL393219:FLL393276 FVH393219:FVH393276 GFD393219:GFD393276 GOZ393219:GOZ393276 GYV393219:GYV393276 HIR393219:HIR393276 HSN393219:HSN393276 ICJ393219:ICJ393276 IMF393219:IMF393276 IWB393219:IWB393276 JFX393219:JFX393276 JPT393219:JPT393276 JZP393219:JZP393276 KJL393219:KJL393276 KTH393219:KTH393276 LDD393219:LDD393276 LMZ393219:LMZ393276 LWV393219:LWV393276 MGR393219:MGR393276 MQN393219:MQN393276 NAJ393219:NAJ393276 NKF393219:NKF393276 NUB393219:NUB393276 ODX393219:ODX393276 ONT393219:ONT393276 OXP393219:OXP393276 PHL393219:PHL393276 PRH393219:PRH393276 QBD393219:QBD393276 QKZ393219:QKZ393276 QUV393219:QUV393276 RER393219:RER393276 RON393219:RON393276 RYJ393219:RYJ393276 SIF393219:SIF393276 SSB393219:SSB393276 TBX393219:TBX393276 TLT393219:TLT393276 TVP393219:TVP393276 UFL393219:UFL393276 UPH393219:UPH393276 UZD393219:UZD393276 VIZ393219:VIZ393276 VSV393219:VSV393276 WCR393219:WCR393276 WMN393219:WMN393276 WWJ393219:WWJ393276 G458755:G458812 JX458755:JX458812 TT458755:TT458812 ADP458755:ADP458812 ANL458755:ANL458812 AXH458755:AXH458812 BHD458755:BHD458812 BQZ458755:BQZ458812 CAV458755:CAV458812 CKR458755:CKR458812 CUN458755:CUN458812 DEJ458755:DEJ458812 DOF458755:DOF458812 DYB458755:DYB458812 EHX458755:EHX458812 ERT458755:ERT458812 FBP458755:FBP458812 FLL458755:FLL458812 FVH458755:FVH458812 GFD458755:GFD458812 GOZ458755:GOZ458812 GYV458755:GYV458812 HIR458755:HIR458812 HSN458755:HSN458812 ICJ458755:ICJ458812 IMF458755:IMF458812 IWB458755:IWB458812 JFX458755:JFX458812 JPT458755:JPT458812 JZP458755:JZP458812 KJL458755:KJL458812 KTH458755:KTH458812 LDD458755:LDD458812 LMZ458755:LMZ458812 LWV458755:LWV458812 MGR458755:MGR458812 MQN458755:MQN458812 NAJ458755:NAJ458812 NKF458755:NKF458812 NUB458755:NUB458812 ODX458755:ODX458812 ONT458755:ONT458812 OXP458755:OXP458812 PHL458755:PHL458812 PRH458755:PRH458812 QBD458755:QBD458812 QKZ458755:QKZ458812 QUV458755:QUV458812 RER458755:RER458812 RON458755:RON458812 RYJ458755:RYJ458812 SIF458755:SIF458812 SSB458755:SSB458812 TBX458755:TBX458812 TLT458755:TLT458812 TVP458755:TVP458812 UFL458755:UFL458812 UPH458755:UPH458812 UZD458755:UZD458812 VIZ458755:VIZ458812 VSV458755:VSV458812 WCR458755:WCR458812 WMN458755:WMN458812 WWJ458755:WWJ458812 G524291:G524348 JX524291:JX524348 TT524291:TT524348 ADP524291:ADP524348 ANL524291:ANL524348 AXH524291:AXH524348 BHD524291:BHD524348 BQZ524291:BQZ524348 CAV524291:CAV524348 CKR524291:CKR524348 CUN524291:CUN524348 DEJ524291:DEJ524348 DOF524291:DOF524348 DYB524291:DYB524348 EHX524291:EHX524348 ERT524291:ERT524348 FBP524291:FBP524348 FLL524291:FLL524348 FVH524291:FVH524348 GFD524291:GFD524348 GOZ524291:GOZ524348 GYV524291:GYV524348 HIR524291:HIR524348 HSN524291:HSN524348 ICJ524291:ICJ524348 IMF524291:IMF524348 IWB524291:IWB524348 JFX524291:JFX524348 JPT524291:JPT524348 JZP524291:JZP524348 KJL524291:KJL524348 KTH524291:KTH524348 LDD524291:LDD524348 LMZ524291:LMZ524348 LWV524291:LWV524348 MGR524291:MGR524348 MQN524291:MQN524348 NAJ524291:NAJ524348 NKF524291:NKF524348 NUB524291:NUB524348 ODX524291:ODX524348 ONT524291:ONT524348 OXP524291:OXP524348 PHL524291:PHL524348 PRH524291:PRH524348 QBD524291:QBD524348 QKZ524291:QKZ524348 QUV524291:QUV524348 RER524291:RER524348 RON524291:RON524348 RYJ524291:RYJ524348 SIF524291:SIF524348 SSB524291:SSB524348 TBX524291:TBX524348 TLT524291:TLT524348 TVP524291:TVP524348 UFL524291:UFL524348 UPH524291:UPH524348 UZD524291:UZD524348 VIZ524291:VIZ524348 VSV524291:VSV524348 WCR524291:WCR524348 WMN524291:WMN524348 WWJ524291:WWJ524348 G589827:G589884 JX589827:JX589884 TT589827:TT589884 ADP589827:ADP589884 ANL589827:ANL589884 AXH589827:AXH589884 BHD589827:BHD589884 BQZ589827:BQZ589884 CAV589827:CAV589884 CKR589827:CKR589884 CUN589827:CUN589884 DEJ589827:DEJ589884 DOF589827:DOF589884 DYB589827:DYB589884 EHX589827:EHX589884 ERT589827:ERT589884 FBP589827:FBP589884 FLL589827:FLL589884 FVH589827:FVH589884 GFD589827:GFD589884 GOZ589827:GOZ589884 GYV589827:GYV589884 HIR589827:HIR589884 HSN589827:HSN589884 ICJ589827:ICJ589884 IMF589827:IMF589884 IWB589827:IWB589884 JFX589827:JFX589884 JPT589827:JPT589884 JZP589827:JZP589884 KJL589827:KJL589884 KTH589827:KTH589884 LDD589827:LDD589884 LMZ589827:LMZ589884 LWV589827:LWV589884 MGR589827:MGR589884 MQN589827:MQN589884 NAJ589827:NAJ589884 NKF589827:NKF589884 NUB589827:NUB589884 ODX589827:ODX589884 ONT589827:ONT589884 OXP589827:OXP589884 PHL589827:PHL589884 PRH589827:PRH589884 QBD589827:QBD589884 QKZ589827:QKZ589884 QUV589827:QUV589884 RER589827:RER589884 RON589827:RON589884 RYJ589827:RYJ589884 SIF589827:SIF589884 SSB589827:SSB589884 TBX589827:TBX589884 TLT589827:TLT589884 TVP589827:TVP589884 UFL589827:UFL589884 UPH589827:UPH589884 UZD589827:UZD589884 VIZ589827:VIZ589884 VSV589827:VSV589884 WCR589827:WCR589884 WMN589827:WMN589884 WWJ589827:WWJ589884 G655363:G655420 JX655363:JX655420 TT655363:TT655420 ADP655363:ADP655420 ANL655363:ANL655420 AXH655363:AXH655420 BHD655363:BHD655420 BQZ655363:BQZ655420 CAV655363:CAV655420 CKR655363:CKR655420 CUN655363:CUN655420 DEJ655363:DEJ655420 DOF655363:DOF655420 DYB655363:DYB655420 EHX655363:EHX655420 ERT655363:ERT655420 FBP655363:FBP655420 FLL655363:FLL655420 FVH655363:FVH655420 GFD655363:GFD655420 GOZ655363:GOZ655420 GYV655363:GYV655420 HIR655363:HIR655420 HSN655363:HSN655420 ICJ655363:ICJ655420 IMF655363:IMF655420 IWB655363:IWB655420 JFX655363:JFX655420 JPT655363:JPT655420 JZP655363:JZP655420 KJL655363:KJL655420 KTH655363:KTH655420 LDD655363:LDD655420 LMZ655363:LMZ655420 LWV655363:LWV655420 MGR655363:MGR655420 MQN655363:MQN655420 NAJ655363:NAJ655420 NKF655363:NKF655420 NUB655363:NUB655420 ODX655363:ODX655420 ONT655363:ONT655420 OXP655363:OXP655420 PHL655363:PHL655420 PRH655363:PRH655420 QBD655363:QBD655420 QKZ655363:QKZ655420 QUV655363:QUV655420 RER655363:RER655420 RON655363:RON655420 RYJ655363:RYJ655420 SIF655363:SIF655420 SSB655363:SSB655420 TBX655363:TBX655420 TLT655363:TLT655420 TVP655363:TVP655420 UFL655363:UFL655420 UPH655363:UPH655420 UZD655363:UZD655420 VIZ655363:VIZ655420 VSV655363:VSV655420 WCR655363:WCR655420 WMN655363:WMN655420 WWJ655363:WWJ655420 G720899:G720956 JX720899:JX720956 TT720899:TT720956 ADP720899:ADP720956 ANL720899:ANL720956 AXH720899:AXH720956 BHD720899:BHD720956 BQZ720899:BQZ720956 CAV720899:CAV720956 CKR720899:CKR720956 CUN720899:CUN720956 DEJ720899:DEJ720956 DOF720899:DOF720956 DYB720899:DYB720956 EHX720899:EHX720956 ERT720899:ERT720956 FBP720899:FBP720956 FLL720899:FLL720956 FVH720899:FVH720956 GFD720899:GFD720956 GOZ720899:GOZ720956 GYV720899:GYV720956 HIR720899:HIR720956 HSN720899:HSN720956 ICJ720899:ICJ720956 IMF720899:IMF720956 IWB720899:IWB720956 JFX720899:JFX720956 JPT720899:JPT720956 JZP720899:JZP720956 KJL720899:KJL720956 KTH720899:KTH720956 LDD720899:LDD720956 LMZ720899:LMZ720956 LWV720899:LWV720956 MGR720899:MGR720956 MQN720899:MQN720956 NAJ720899:NAJ720956 NKF720899:NKF720956 NUB720899:NUB720956 ODX720899:ODX720956 ONT720899:ONT720956 OXP720899:OXP720956 PHL720899:PHL720956 PRH720899:PRH720956 QBD720899:QBD720956 QKZ720899:QKZ720956 QUV720899:QUV720956 RER720899:RER720956 RON720899:RON720956 RYJ720899:RYJ720956 SIF720899:SIF720956 SSB720899:SSB720956 TBX720899:TBX720956 TLT720899:TLT720956 TVP720899:TVP720956 UFL720899:UFL720956 UPH720899:UPH720956 UZD720899:UZD720956 VIZ720899:VIZ720956 VSV720899:VSV720956 WCR720899:WCR720956 WMN720899:WMN720956 WWJ720899:WWJ720956 G786435:G786492 JX786435:JX786492 TT786435:TT786492 ADP786435:ADP786492 ANL786435:ANL786492 AXH786435:AXH786492 BHD786435:BHD786492 BQZ786435:BQZ786492 CAV786435:CAV786492 CKR786435:CKR786492 CUN786435:CUN786492 DEJ786435:DEJ786492 DOF786435:DOF786492 DYB786435:DYB786492 EHX786435:EHX786492 ERT786435:ERT786492 FBP786435:FBP786492 FLL786435:FLL786492 FVH786435:FVH786492 GFD786435:GFD786492 GOZ786435:GOZ786492 GYV786435:GYV786492 HIR786435:HIR786492 HSN786435:HSN786492 ICJ786435:ICJ786492 IMF786435:IMF786492 IWB786435:IWB786492 JFX786435:JFX786492 JPT786435:JPT786492 JZP786435:JZP786492 KJL786435:KJL786492 KTH786435:KTH786492 LDD786435:LDD786492 LMZ786435:LMZ786492 LWV786435:LWV786492 MGR786435:MGR786492 MQN786435:MQN786492 NAJ786435:NAJ786492 NKF786435:NKF786492 NUB786435:NUB786492 ODX786435:ODX786492 ONT786435:ONT786492 OXP786435:OXP786492 PHL786435:PHL786492 PRH786435:PRH786492 QBD786435:QBD786492 QKZ786435:QKZ786492 QUV786435:QUV786492 RER786435:RER786492 RON786435:RON786492 RYJ786435:RYJ786492 SIF786435:SIF786492 SSB786435:SSB786492 TBX786435:TBX786492 TLT786435:TLT786492 TVP786435:TVP786492 UFL786435:UFL786492 UPH786435:UPH786492 UZD786435:UZD786492 VIZ786435:VIZ786492 VSV786435:VSV786492 WCR786435:WCR786492 WMN786435:WMN786492 WWJ786435:WWJ786492 G851971:G852028 JX851971:JX852028 TT851971:TT852028 ADP851971:ADP852028 ANL851971:ANL852028 AXH851971:AXH852028 BHD851971:BHD852028 BQZ851971:BQZ852028 CAV851971:CAV852028 CKR851971:CKR852028 CUN851971:CUN852028 DEJ851971:DEJ852028 DOF851971:DOF852028 DYB851971:DYB852028 EHX851971:EHX852028 ERT851971:ERT852028 FBP851971:FBP852028 FLL851971:FLL852028 FVH851971:FVH852028 GFD851971:GFD852028 GOZ851971:GOZ852028 GYV851971:GYV852028 HIR851971:HIR852028 HSN851971:HSN852028 ICJ851971:ICJ852028 IMF851971:IMF852028 IWB851971:IWB852028 JFX851971:JFX852028 JPT851971:JPT852028 JZP851971:JZP852028 KJL851971:KJL852028 KTH851971:KTH852028 LDD851971:LDD852028 LMZ851971:LMZ852028 LWV851971:LWV852028 MGR851971:MGR852028 MQN851971:MQN852028 NAJ851971:NAJ852028 NKF851971:NKF852028 NUB851971:NUB852028 ODX851971:ODX852028 ONT851971:ONT852028 OXP851971:OXP852028 PHL851971:PHL852028 PRH851971:PRH852028 QBD851971:QBD852028 QKZ851971:QKZ852028 QUV851971:QUV852028 RER851971:RER852028 RON851971:RON852028 RYJ851971:RYJ852028 SIF851971:SIF852028 SSB851971:SSB852028 TBX851971:TBX852028 TLT851971:TLT852028 TVP851971:TVP852028 UFL851971:UFL852028 UPH851971:UPH852028 UZD851971:UZD852028 VIZ851971:VIZ852028 VSV851971:VSV852028 WCR851971:WCR852028 WMN851971:WMN852028 WWJ851971:WWJ852028 G917507:G917564 JX917507:JX917564 TT917507:TT917564 ADP917507:ADP917564 ANL917507:ANL917564 AXH917507:AXH917564 BHD917507:BHD917564 BQZ917507:BQZ917564 CAV917507:CAV917564 CKR917507:CKR917564 CUN917507:CUN917564 DEJ917507:DEJ917564 DOF917507:DOF917564 DYB917507:DYB917564 EHX917507:EHX917564 ERT917507:ERT917564 FBP917507:FBP917564 FLL917507:FLL917564 FVH917507:FVH917564 GFD917507:GFD917564 GOZ917507:GOZ917564 GYV917507:GYV917564 HIR917507:HIR917564 HSN917507:HSN917564 ICJ917507:ICJ917564 IMF917507:IMF917564 IWB917507:IWB917564 JFX917507:JFX917564 JPT917507:JPT917564 JZP917507:JZP917564 KJL917507:KJL917564 KTH917507:KTH917564 LDD917507:LDD917564 LMZ917507:LMZ917564 LWV917507:LWV917564 MGR917507:MGR917564 MQN917507:MQN917564 NAJ917507:NAJ917564 NKF917507:NKF917564 NUB917507:NUB917564 ODX917507:ODX917564 ONT917507:ONT917564 OXP917507:OXP917564 PHL917507:PHL917564 PRH917507:PRH917564 QBD917507:QBD917564 QKZ917507:QKZ917564 QUV917507:QUV917564 RER917507:RER917564 RON917507:RON917564 RYJ917507:RYJ917564 SIF917507:SIF917564 SSB917507:SSB917564 TBX917507:TBX917564 TLT917507:TLT917564 TVP917507:TVP917564 UFL917507:UFL917564 UPH917507:UPH917564 UZD917507:UZD917564 VIZ917507:VIZ917564 VSV917507:VSV917564 WCR917507:WCR917564 WMN917507:WMN917564 WWJ917507:WWJ917564 G983043:G983100 JX983043:JX983100 TT983043:TT983100 ADP983043:ADP983100 ANL983043:ANL983100 AXH983043:AXH983100 BHD983043:BHD983100 BQZ983043:BQZ983100 CAV983043:CAV983100 CKR983043:CKR983100 CUN983043:CUN983100 DEJ983043:DEJ983100 DOF983043:DOF983100 DYB983043:DYB983100 EHX983043:EHX983100 ERT983043:ERT983100 FBP983043:FBP983100 FLL983043:FLL983100 FVH983043:FVH983100 GFD983043:GFD983100 GOZ983043:GOZ983100 GYV983043:GYV983100 HIR983043:HIR983100 HSN983043:HSN983100 ICJ983043:ICJ983100 IMF983043:IMF983100 IWB983043:IWB983100 JFX983043:JFX983100 JPT983043:JPT983100 JZP983043:JZP983100 KJL983043:KJL983100 KTH983043:KTH983100 LDD983043:LDD983100 LMZ983043:LMZ983100 LWV983043:LWV983100 MGR983043:MGR983100 MQN983043:MQN983100 NAJ983043:NAJ983100 NKF983043:NKF983100 NUB983043:NUB983100 ODX983043:ODX983100 ONT983043:ONT983100 OXP983043:OXP983100 PHL983043:PHL983100 PRH983043:PRH983100 QBD983043:QBD983100 QKZ983043:QKZ983100 QUV983043:QUV983100 RER983043:RER983100 RON983043:RON983100 RYJ983043:RYJ983100 SIF983043:SIF983100 SSB983043:SSB983100 TBX983043:TBX983100 TLT983043:TLT983100 TVP983043:TVP983100 UFL983043:UFL983100 UPH983043:UPH983100 UZD983043:UZD983100 VIZ983043:VIZ983100 VSV983043:VSV983100 WCR983043:WCR983100 WMN983043:WMN983100 WWJ983043:WWJ983100 G3:G60">
      <formula1>"IS,IR,"</formula1>
    </dataValidation>
    <dataValidation type="list" allowBlank="1" showInputMessage="1" showErrorMessage="1" sqref="D3:D60 JV3:JV60 TR3:TR60 ADN3:ADN60 ANJ3:ANJ60 AXF3:AXF60 BHB3:BHB60 BQX3:BQX60 CAT3:CAT60 CKP3:CKP60 CUL3:CUL60 DEH3:DEH60 DOD3:DOD60 DXZ3:DXZ60 EHV3:EHV60 ERR3:ERR60 FBN3:FBN60 FLJ3:FLJ60 FVF3:FVF60 GFB3:GFB60 GOX3:GOX60 GYT3:GYT60 HIP3:HIP60 HSL3:HSL60 ICH3:ICH60 IMD3:IMD60 IVZ3:IVZ60 JFV3:JFV60 JPR3:JPR60 JZN3:JZN60 KJJ3:KJJ60 KTF3:KTF60 LDB3:LDB60 LMX3:LMX60 LWT3:LWT60 MGP3:MGP60 MQL3:MQL60 NAH3:NAH60 NKD3:NKD60 NTZ3:NTZ60 ODV3:ODV60 ONR3:ONR60 OXN3:OXN60 PHJ3:PHJ60 PRF3:PRF60 QBB3:QBB60 QKX3:QKX60 QUT3:QUT60 REP3:REP60 ROL3:ROL60 RYH3:RYH60 SID3:SID60 SRZ3:SRZ60 TBV3:TBV60 TLR3:TLR60 TVN3:TVN60 UFJ3:UFJ60 UPF3:UPF60 UZB3:UZB60 VIX3:VIX60 VST3:VST60 WCP3:WCP60 WML3:WML60 WWH3:WWH60 D65539:D65596 JU65539:JU65596 TQ65539:TQ65596 ADM65539:ADM65596 ANI65539:ANI65596 AXE65539:AXE65596 BHA65539:BHA65596 BQW65539:BQW65596 CAS65539:CAS65596 CKO65539:CKO65596 CUK65539:CUK65596 DEG65539:DEG65596 DOC65539:DOC65596 DXY65539:DXY65596 EHU65539:EHU65596 ERQ65539:ERQ65596 FBM65539:FBM65596 FLI65539:FLI65596 FVE65539:FVE65596 GFA65539:GFA65596 GOW65539:GOW65596 GYS65539:GYS65596 HIO65539:HIO65596 HSK65539:HSK65596 ICG65539:ICG65596 IMC65539:IMC65596 IVY65539:IVY65596 JFU65539:JFU65596 JPQ65539:JPQ65596 JZM65539:JZM65596 KJI65539:KJI65596 KTE65539:KTE65596 LDA65539:LDA65596 LMW65539:LMW65596 LWS65539:LWS65596 MGO65539:MGO65596 MQK65539:MQK65596 NAG65539:NAG65596 NKC65539:NKC65596 NTY65539:NTY65596 ODU65539:ODU65596 ONQ65539:ONQ65596 OXM65539:OXM65596 PHI65539:PHI65596 PRE65539:PRE65596 QBA65539:QBA65596 QKW65539:QKW65596 QUS65539:QUS65596 REO65539:REO65596 ROK65539:ROK65596 RYG65539:RYG65596 SIC65539:SIC65596 SRY65539:SRY65596 TBU65539:TBU65596 TLQ65539:TLQ65596 TVM65539:TVM65596 UFI65539:UFI65596 UPE65539:UPE65596 UZA65539:UZA65596 VIW65539:VIW65596 VSS65539:VSS65596 WCO65539:WCO65596 WMK65539:WMK65596 WWG65539:WWG65596 D131075:D131132 JU131075:JU131132 TQ131075:TQ131132 ADM131075:ADM131132 ANI131075:ANI131132 AXE131075:AXE131132 BHA131075:BHA131132 BQW131075:BQW131132 CAS131075:CAS131132 CKO131075:CKO131132 CUK131075:CUK131132 DEG131075:DEG131132 DOC131075:DOC131132 DXY131075:DXY131132 EHU131075:EHU131132 ERQ131075:ERQ131132 FBM131075:FBM131132 FLI131075:FLI131132 FVE131075:FVE131132 GFA131075:GFA131132 GOW131075:GOW131132 GYS131075:GYS131132 HIO131075:HIO131132 HSK131075:HSK131132 ICG131075:ICG131132 IMC131075:IMC131132 IVY131075:IVY131132 JFU131075:JFU131132 JPQ131075:JPQ131132 JZM131075:JZM131132 KJI131075:KJI131132 KTE131075:KTE131132 LDA131075:LDA131132 LMW131075:LMW131132 LWS131075:LWS131132 MGO131075:MGO131132 MQK131075:MQK131132 NAG131075:NAG131132 NKC131075:NKC131132 NTY131075:NTY131132 ODU131075:ODU131132 ONQ131075:ONQ131132 OXM131075:OXM131132 PHI131075:PHI131132 PRE131075:PRE131132 QBA131075:QBA131132 QKW131075:QKW131132 QUS131075:QUS131132 REO131075:REO131132 ROK131075:ROK131132 RYG131075:RYG131132 SIC131075:SIC131132 SRY131075:SRY131132 TBU131075:TBU131132 TLQ131075:TLQ131132 TVM131075:TVM131132 UFI131075:UFI131132 UPE131075:UPE131132 UZA131075:UZA131132 VIW131075:VIW131132 VSS131075:VSS131132 WCO131075:WCO131132 WMK131075:WMK131132 WWG131075:WWG131132 D196611:D196668 JU196611:JU196668 TQ196611:TQ196668 ADM196611:ADM196668 ANI196611:ANI196668 AXE196611:AXE196668 BHA196611:BHA196668 BQW196611:BQW196668 CAS196611:CAS196668 CKO196611:CKO196668 CUK196611:CUK196668 DEG196611:DEG196668 DOC196611:DOC196668 DXY196611:DXY196668 EHU196611:EHU196668 ERQ196611:ERQ196668 FBM196611:FBM196668 FLI196611:FLI196668 FVE196611:FVE196668 GFA196611:GFA196668 GOW196611:GOW196668 GYS196611:GYS196668 HIO196611:HIO196668 HSK196611:HSK196668 ICG196611:ICG196668 IMC196611:IMC196668 IVY196611:IVY196668 JFU196611:JFU196668 JPQ196611:JPQ196668 JZM196611:JZM196668 KJI196611:KJI196668 KTE196611:KTE196668 LDA196611:LDA196668 LMW196611:LMW196668 LWS196611:LWS196668 MGO196611:MGO196668 MQK196611:MQK196668 NAG196611:NAG196668 NKC196611:NKC196668 NTY196611:NTY196668 ODU196611:ODU196668 ONQ196611:ONQ196668 OXM196611:OXM196668 PHI196611:PHI196668 PRE196611:PRE196668 QBA196611:QBA196668 QKW196611:QKW196668 QUS196611:QUS196668 REO196611:REO196668 ROK196611:ROK196668 RYG196611:RYG196668 SIC196611:SIC196668 SRY196611:SRY196668 TBU196611:TBU196668 TLQ196611:TLQ196668 TVM196611:TVM196668 UFI196611:UFI196668 UPE196611:UPE196668 UZA196611:UZA196668 VIW196611:VIW196668 VSS196611:VSS196668 WCO196611:WCO196668 WMK196611:WMK196668 WWG196611:WWG196668 D262147:D262204 JU262147:JU262204 TQ262147:TQ262204 ADM262147:ADM262204 ANI262147:ANI262204 AXE262147:AXE262204 BHA262147:BHA262204 BQW262147:BQW262204 CAS262147:CAS262204 CKO262147:CKO262204 CUK262147:CUK262204 DEG262147:DEG262204 DOC262147:DOC262204 DXY262147:DXY262204 EHU262147:EHU262204 ERQ262147:ERQ262204 FBM262147:FBM262204 FLI262147:FLI262204 FVE262147:FVE262204 GFA262147:GFA262204 GOW262147:GOW262204 GYS262147:GYS262204 HIO262147:HIO262204 HSK262147:HSK262204 ICG262147:ICG262204 IMC262147:IMC262204 IVY262147:IVY262204 JFU262147:JFU262204 JPQ262147:JPQ262204 JZM262147:JZM262204 KJI262147:KJI262204 KTE262147:KTE262204 LDA262147:LDA262204 LMW262147:LMW262204 LWS262147:LWS262204 MGO262147:MGO262204 MQK262147:MQK262204 NAG262147:NAG262204 NKC262147:NKC262204 NTY262147:NTY262204 ODU262147:ODU262204 ONQ262147:ONQ262204 OXM262147:OXM262204 PHI262147:PHI262204 PRE262147:PRE262204 QBA262147:QBA262204 QKW262147:QKW262204 QUS262147:QUS262204 REO262147:REO262204 ROK262147:ROK262204 RYG262147:RYG262204 SIC262147:SIC262204 SRY262147:SRY262204 TBU262147:TBU262204 TLQ262147:TLQ262204 TVM262147:TVM262204 UFI262147:UFI262204 UPE262147:UPE262204 UZA262147:UZA262204 VIW262147:VIW262204 VSS262147:VSS262204 WCO262147:WCO262204 WMK262147:WMK262204 WWG262147:WWG262204 D327683:D327740 JU327683:JU327740 TQ327683:TQ327740 ADM327683:ADM327740 ANI327683:ANI327740 AXE327683:AXE327740 BHA327683:BHA327740 BQW327683:BQW327740 CAS327683:CAS327740 CKO327683:CKO327740 CUK327683:CUK327740 DEG327683:DEG327740 DOC327683:DOC327740 DXY327683:DXY327740 EHU327683:EHU327740 ERQ327683:ERQ327740 FBM327683:FBM327740 FLI327683:FLI327740 FVE327683:FVE327740 GFA327683:GFA327740 GOW327683:GOW327740 GYS327683:GYS327740 HIO327683:HIO327740 HSK327683:HSK327740 ICG327683:ICG327740 IMC327683:IMC327740 IVY327683:IVY327740 JFU327683:JFU327740 JPQ327683:JPQ327740 JZM327683:JZM327740 KJI327683:KJI327740 KTE327683:KTE327740 LDA327683:LDA327740 LMW327683:LMW327740 LWS327683:LWS327740 MGO327683:MGO327740 MQK327683:MQK327740 NAG327683:NAG327740 NKC327683:NKC327740 NTY327683:NTY327740 ODU327683:ODU327740 ONQ327683:ONQ327740 OXM327683:OXM327740 PHI327683:PHI327740 PRE327683:PRE327740 QBA327683:QBA327740 QKW327683:QKW327740 QUS327683:QUS327740 REO327683:REO327740 ROK327683:ROK327740 RYG327683:RYG327740 SIC327683:SIC327740 SRY327683:SRY327740 TBU327683:TBU327740 TLQ327683:TLQ327740 TVM327683:TVM327740 UFI327683:UFI327740 UPE327683:UPE327740 UZA327683:UZA327740 VIW327683:VIW327740 VSS327683:VSS327740 WCO327683:WCO327740 WMK327683:WMK327740 WWG327683:WWG327740 D393219:D393276 JU393219:JU393276 TQ393219:TQ393276 ADM393219:ADM393276 ANI393219:ANI393276 AXE393219:AXE393276 BHA393219:BHA393276 BQW393219:BQW393276 CAS393219:CAS393276 CKO393219:CKO393276 CUK393219:CUK393276 DEG393219:DEG393276 DOC393219:DOC393276 DXY393219:DXY393276 EHU393219:EHU393276 ERQ393219:ERQ393276 FBM393219:FBM393276 FLI393219:FLI393276 FVE393219:FVE393276 GFA393219:GFA393276 GOW393219:GOW393276 GYS393219:GYS393276 HIO393219:HIO393276 HSK393219:HSK393276 ICG393219:ICG393276 IMC393219:IMC393276 IVY393219:IVY393276 JFU393219:JFU393276 JPQ393219:JPQ393276 JZM393219:JZM393276 KJI393219:KJI393276 KTE393219:KTE393276 LDA393219:LDA393276 LMW393219:LMW393276 LWS393219:LWS393276 MGO393219:MGO393276 MQK393219:MQK393276 NAG393219:NAG393276 NKC393219:NKC393276 NTY393219:NTY393276 ODU393219:ODU393276 ONQ393219:ONQ393276 OXM393219:OXM393276 PHI393219:PHI393276 PRE393219:PRE393276 QBA393219:QBA393276 QKW393219:QKW393276 QUS393219:QUS393276 REO393219:REO393276 ROK393219:ROK393276 RYG393219:RYG393276 SIC393219:SIC393276 SRY393219:SRY393276 TBU393219:TBU393276 TLQ393219:TLQ393276 TVM393219:TVM393276 UFI393219:UFI393276 UPE393219:UPE393276 UZA393219:UZA393276 VIW393219:VIW393276 VSS393219:VSS393276 WCO393219:WCO393276 WMK393219:WMK393276 WWG393219:WWG393276 D458755:D458812 JU458755:JU458812 TQ458755:TQ458812 ADM458755:ADM458812 ANI458755:ANI458812 AXE458755:AXE458812 BHA458755:BHA458812 BQW458755:BQW458812 CAS458755:CAS458812 CKO458755:CKO458812 CUK458755:CUK458812 DEG458755:DEG458812 DOC458755:DOC458812 DXY458755:DXY458812 EHU458755:EHU458812 ERQ458755:ERQ458812 FBM458755:FBM458812 FLI458755:FLI458812 FVE458755:FVE458812 GFA458755:GFA458812 GOW458755:GOW458812 GYS458755:GYS458812 HIO458755:HIO458812 HSK458755:HSK458812 ICG458755:ICG458812 IMC458755:IMC458812 IVY458755:IVY458812 JFU458755:JFU458812 JPQ458755:JPQ458812 JZM458755:JZM458812 KJI458755:KJI458812 KTE458755:KTE458812 LDA458755:LDA458812 LMW458755:LMW458812 LWS458755:LWS458812 MGO458755:MGO458812 MQK458755:MQK458812 NAG458755:NAG458812 NKC458755:NKC458812 NTY458755:NTY458812 ODU458755:ODU458812 ONQ458755:ONQ458812 OXM458755:OXM458812 PHI458755:PHI458812 PRE458755:PRE458812 QBA458755:QBA458812 QKW458755:QKW458812 QUS458755:QUS458812 REO458755:REO458812 ROK458755:ROK458812 RYG458755:RYG458812 SIC458755:SIC458812 SRY458755:SRY458812 TBU458755:TBU458812 TLQ458755:TLQ458812 TVM458755:TVM458812 UFI458755:UFI458812 UPE458755:UPE458812 UZA458755:UZA458812 VIW458755:VIW458812 VSS458755:VSS458812 WCO458755:WCO458812 WMK458755:WMK458812 WWG458755:WWG458812 D524291:D524348 JU524291:JU524348 TQ524291:TQ524348 ADM524291:ADM524348 ANI524291:ANI524348 AXE524291:AXE524348 BHA524291:BHA524348 BQW524291:BQW524348 CAS524291:CAS524348 CKO524291:CKO524348 CUK524291:CUK524348 DEG524291:DEG524348 DOC524291:DOC524348 DXY524291:DXY524348 EHU524291:EHU524348 ERQ524291:ERQ524348 FBM524291:FBM524348 FLI524291:FLI524348 FVE524291:FVE524348 GFA524291:GFA524348 GOW524291:GOW524348 GYS524291:GYS524348 HIO524291:HIO524348 HSK524291:HSK524348 ICG524291:ICG524348 IMC524291:IMC524348 IVY524291:IVY524348 JFU524291:JFU524348 JPQ524291:JPQ524348 JZM524291:JZM524348 KJI524291:KJI524348 KTE524291:KTE524348 LDA524291:LDA524348 LMW524291:LMW524348 LWS524291:LWS524348 MGO524291:MGO524348 MQK524291:MQK524348 NAG524291:NAG524348 NKC524291:NKC524348 NTY524291:NTY524348 ODU524291:ODU524348 ONQ524291:ONQ524348 OXM524291:OXM524348 PHI524291:PHI524348 PRE524291:PRE524348 QBA524291:QBA524348 QKW524291:QKW524348 QUS524291:QUS524348 REO524291:REO524348 ROK524291:ROK524348 RYG524291:RYG524348 SIC524291:SIC524348 SRY524291:SRY524348 TBU524291:TBU524348 TLQ524291:TLQ524348 TVM524291:TVM524348 UFI524291:UFI524348 UPE524291:UPE524348 UZA524291:UZA524348 VIW524291:VIW524348 VSS524291:VSS524348 WCO524291:WCO524348 WMK524291:WMK524348 WWG524291:WWG524348 D589827:D589884 JU589827:JU589884 TQ589827:TQ589884 ADM589827:ADM589884 ANI589827:ANI589884 AXE589827:AXE589884 BHA589827:BHA589884 BQW589827:BQW589884 CAS589827:CAS589884 CKO589827:CKO589884 CUK589827:CUK589884 DEG589827:DEG589884 DOC589827:DOC589884 DXY589827:DXY589884 EHU589827:EHU589884 ERQ589827:ERQ589884 FBM589827:FBM589884 FLI589827:FLI589884 FVE589827:FVE589884 GFA589827:GFA589884 GOW589827:GOW589884 GYS589827:GYS589884 HIO589827:HIO589884 HSK589827:HSK589884 ICG589827:ICG589884 IMC589827:IMC589884 IVY589827:IVY589884 JFU589827:JFU589884 JPQ589827:JPQ589884 JZM589827:JZM589884 KJI589827:KJI589884 KTE589827:KTE589884 LDA589827:LDA589884 LMW589827:LMW589884 LWS589827:LWS589884 MGO589827:MGO589884 MQK589827:MQK589884 NAG589827:NAG589884 NKC589827:NKC589884 NTY589827:NTY589884 ODU589827:ODU589884 ONQ589827:ONQ589884 OXM589827:OXM589884 PHI589827:PHI589884 PRE589827:PRE589884 QBA589827:QBA589884 QKW589827:QKW589884 QUS589827:QUS589884 REO589827:REO589884 ROK589827:ROK589884 RYG589827:RYG589884 SIC589827:SIC589884 SRY589827:SRY589884 TBU589827:TBU589884 TLQ589827:TLQ589884 TVM589827:TVM589884 UFI589827:UFI589884 UPE589827:UPE589884 UZA589827:UZA589884 VIW589827:VIW589884 VSS589827:VSS589884 WCO589827:WCO589884 WMK589827:WMK589884 WWG589827:WWG589884 D655363:D655420 JU655363:JU655420 TQ655363:TQ655420 ADM655363:ADM655420 ANI655363:ANI655420 AXE655363:AXE655420 BHA655363:BHA655420 BQW655363:BQW655420 CAS655363:CAS655420 CKO655363:CKO655420 CUK655363:CUK655420 DEG655363:DEG655420 DOC655363:DOC655420 DXY655363:DXY655420 EHU655363:EHU655420 ERQ655363:ERQ655420 FBM655363:FBM655420 FLI655363:FLI655420 FVE655363:FVE655420 GFA655363:GFA655420 GOW655363:GOW655420 GYS655363:GYS655420 HIO655363:HIO655420 HSK655363:HSK655420 ICG655363:ICG655420 IMC655363:IMC655420 IVY655363:IVY655420 JFU655363:JFU655420 JPQ655363:JPQ655420 JZM655363:JZM655420 KJI655363:KJI655420 KTE655363:KTE655420 LDA655363:LDA655420 LMW655363:LMW655420 LWS655363:LWS655420 MGO655363:MGO655420 MQK655363:MQK655420 NAG655363:NAG655420 NKC655363:NKC655420 NTY655363:NTY655420 ODU655363:ODU655420 ONQ655363:ONQ655420 OXM655363:OXM655420 PHI655363:PHI655420 PRE655363:PRE655420 QBA655363:QBA655420 QKW655363:QKW655420 QUS655363:QUS655420 REO655363:REO655420 ROK655363:ROK655420 RYG655363:RYG655420 SIC655363:SIC655420 SRY655363:SRY655420 TBU655363:TBU655420 TLQ655363:TLQ655420 TVM655363:TVM655420 UFI655363:UFI655420 UPE655363:UPE655420 UZA655363:UZA655420 VIW655363:VIW655420 VSS655363:VSS655420 WCO655363:WCO655420 WMK655363:WMK655420 WWG655363:WWG655420 D720899:D720956 JU720899:JU720956 TQ720899:TQ720956 ADM720899:ADM720956 ANI720899:ANI720956 AXE720899:AXE720956 BHA720899:BHA720956 BQW720899:BQW720956 CAS720899:CAS720956 CKO720899:CKO720956 CUK720899:CUK720956 DEG720899:DEG720956 DOC720899:DOC720956 DXY720899:DXY720956 EHU720899:EHU720956 ERQ720899:ERQ720956 FBM720899:FBM720956 FLI720899:FLI720956 FVE720899:FVE720956 GFA720899:GFA720956 GOW720899:GOW720956 GYS720899:GYS720956 HIO720899:HIO720956 HSK720899:HSK720956 ICG720899:ICG720956 IMC720899:IMC720956 IVY720899:IVY720956 JFU720899:JFU720956 JPQ720899:JPQ720956 JZM720899:JZM720956 KJI720899:KJI720956 KTE720899:KTE720956 LDA720899:LDA720956 LMW720899:LMW720956 LWS720899:LWS720956 MGO720899:MGO720956 MQK720899:MQK720956 NAG720899:NAG720956 NKC720899:NKC720956 NTY720899:NTY720956 ODU720899:ODU720956 ONQ720899:ONQ720956 OXM720899:OXM720956 PHI720899:PHI720956 PRE720899:PRE720956 QBA720899:QBA720956 QKW720899:QKW720956 QUS720899:QUS720956 REO720899:REO720956 ROK720899:ROK720956 RYG720899:RYG720956 SIC720899:SIC720956 SRY720899:SRY720956 TBU720899:TBU720956 TLQ720899:TLQ720956 TVM720899:TVM720956 UFI720899:UFI720956 UPE720899:UPE720956 UZA720899:UZA720956 VIW720899:VIW720956 VSS720899:VSS720956 WCO720899:WCO720956 WMK720899:WMK720956 WWG720899:WWG720956 D786435:D786492 JU786435:JU786492 TQ786435:TQ786492 ADM786435:ADM786492 ANI786435:ANI786492 AXE786435:AXE786492 BHA786435:BHA786492 BQW786435:BQW786492 CAS786435:CAS786492 CKO786435:CKO786492 CUK786435:CUK786492 DEG786435:DEG786492 DOC786435:DOC786492 DXY786435:DXY786492 EHU786435:EHU786492 ERQ786435:ERQ786492 FBM786435:FBM786492 FLI786435:FLI786492 FVE786435:FVE786492 GFA786435:GFA786492 GOW786435:GOW786492 GYS786435:GYS786492 HIO786435:HIO786492 HSK786435:HSK786492 ICG786435:ICG786492 IMC786435:IMC786492 IVY786435:IVY786492 JFU786435:JFU786492 JPQ786435:JPQ786492 JZM786435:JZM786492 KJI786435:KJI786492 KTE786435:KTE786492 LDA786435:LDA786492 LMW786435:LMW786492 LWS786435:LWS786492 MGO786435:MGO786492 MQK786435:MQK786492 NAG786435:NAG786492 NKC786435:NKC786492 NTY786435:NTY786492 ODU786435:ODU786492 ONQ786435:ONQ786492 OXM786435:OXM786492 PHI786435:PHI786492 PRE786435:PRE786492 QBA786435:QBA786492 QKW786435:QKW786492 QUS786435:QUS786492 REO786435:REO786492 ROK786435:ROK786492 RYG786435:RYG786492 SIC786435:SIC786492 SRY786435:SRY786492 TBU786435:TBU786492 TLQ786435:TLQ786492 TVM786435:TVM786492 UFI786435:UFI786492 UPE786435:UPE786492 UZA786435:UZA786492 VIW786435:VIW786492 VSS786435:VSS786492 WCO786435:WCO786492 WMK786435:WMK786492 WWG786435:WWG786492 D851971:D852028 JU851971:JU852028 TQ851971:TQ852028 ADM851971:ADM852028 ANI851971:ANI852028 AXE851971:AXE852028 BHA851971:BHA852028 BQW851971:BQW852028 CAS851971:CAS852028 CKO851971:CKO852028 CUK851971:CUK852028 DEG851971:DEG852028 DOC851971:DOC852028 DXY851971:DXY852028 EHU851971:EHU852028 ERQ851971:ERQ852028 FBM851971:FBM852028 FLI851971:FLI852028 FVE851971:FVE852028 GFA851971:GFA852028 GOW851971:GOW852028 GYS851971:GYS852028 HIO851971:HIO852028 HSK851971:HSK852028 ICG851971:ICG852028 IMC851971:IMC852028 IVY851971:IVY852028 JFU851971:JFU852028 JPQ851971:JPQ852028 JZM851971:JZM852028 KJI851971:KJI852028 KTE851971:KTE852028 LDA851971:LDA852028 LMW851971:LMW852028 LWS851971:LWS852028 MGO851971:MGO852028 MQK851971:MQK852028 NAG851971:NAG852028 NKC851971:NKC852028 NTY851971:NTY852028 ODU851971:ODU852028 ONQ851971:ONQ852028 OXM851971:OXM852028 PHI851971:PHI852028 PRE851971:PRE852028 QBA851971:QBA852028 QKW851971:QKW852028 QUS851971:QUS852028 REO851971:REO852028 ROK851971:ROK852028 RYG851971:RYG852028 SIC851971:SIC852028 SRY851971:SRY852028 TBU851971:TBU852028 TLQ851971:TLQ852028 TVM851971:TVM852028 UFI851971:UFI852028 UPE851971:UPE852028 UZA851971:UZA852028 VIW851971:VIW852028 VSS851971:VSS852028 WCO851971:WCO852028 WMK851971:WMK852028 WWG851971:WWG852028 D917507:D917564 JU917507:JU917564 TQ917507:TQ917564 ADM917507:ADM917564 ANI917507:ANI917564 AXE917507:AXE917564 BHA917507:BHA917564 BQW917507:BQW917564 CAS917507:CAS917564 CKO917507:CKO917564 CUK917507:CUK917564 DEG917507:DEG917564 DOC917507:DOC917564 DXY917507:DXY917564 EHU917507:EHU917564 ERQ917507:ERQ917564 FBM917507:FBM917564 FLI917507:FLI917564 FVE917507:FVE917564 GFA917507:GFA917564 GOW917507:GOW917564 GYS917507:GYS917564 HIO917507:HIO917564 HSK917507:HSK917564 ICG917507:ICG917564 IMC917507:IMC917564 IVY917507:IVY917564 JFU917507:JFU917564 JPQ917507:JPQ917564 JZM917507:JZM917564 KJI917507:KJI917564 KTE917507:KTE917564 LDA917507:LDA917564 LMW917507:LMW917564 LWS917507:LWS917564 MGO917507:MGO917564 MQK917507:MQK917564 NAG917507:NAG917564 NKC917507:NKC917564 NTY917507:NTY917564 ODU917507:ODU917564 ONQ917507:ONQ917564 OXM917507:OXM917564 PHI917507:PHI917564 PRE917507:PRE917564 QBA917507:QBA917564 QKW917507:QKW917564 QUS917507:QUS917564 REO917507:REO917564 ROK917507:ROK917564 RYG917507:RYG917564 SIC917507:SIC917564 SRY917507:SRY917564 TBU917507:TBU917564 TLQ917507:TLQ917564 TVM917507:TVM917564 UFI917507:UFI917564 UPE917507:UPE917564 UZA917507:UZA917564 VIW917507:VIW917564 VSS917507:VSS917564 WCO917507:WCO917564 WMK917507:WMK917564 WWG917507:WWG917564 D983043:D983100 JU983043:JU983100 TQ983043:TQ983100 ADM983043:ADM983100 ANI983043:ANI983100 AXE983043:AXE983100 BHA983043:BHA983100 BQW983043:BQW983100 CAS983043:CAS983100 CKO983043:CKO983100 CUK983043:CUK983100 DEG983043:DEG983100 DOC983043:DOC983100 DXY983043:DXY983100 EHU983043:EHU983100 ERQ983043:ERQ983100 FBM983043:FBM983100 FLI983043:FLI983100 FVE983043:FVE983100 GFA983043:GFA983100 GOW983043:GOW983100 GYS983043:GYS983100 HIO983043:HIO983100 HSK983043:HSK983100 ICG983043:ICG983100 IMC983043:IMC983100 IVY983043:IVY983100 JFU983043:JFU983100 JPQ983043:JPQ983100 JZM983043:JZM983100 KJI983043:KJI983100 KTE983043:KTE983100 LDA983043:LDA983100 LMW983043:LMW983100 LWS983043:LWS983100 MGO983043:MGO983100 MQK983043:MQK983100 NAG983043:NAG983100 NKC983043:NKC983100 NTY983043:NTY983100 ODU983043:ODU983100 ONQ983043:ONQ983100 OXM983043:OXM983100 PHI983043:PHI983100 PRE983043:PRE983100 QBA983043:QBA983100 QKW983043:QKW983100 QUS983043:QUS983100 REO983043:REO983100 ROK983043:ROK983100 RYG983043:RYG983100 SIC983043:SIC983100 SRY983043:SRY983100 TBU983043:TBU983100 TLQ983043:TLQ983100 TVM983043:TVM983100 UFI983043:UFI983100 UPE983043:UPE983100 UZA983043:UZA983100 VIW983043:VIW983100 VSS983043:VSS983100 WCO983043:WCO983100 WMK983043:WMK983100 WWG983043:WWG983100">
      <formula1>"ACS,AGRI,BNC,"</formula1>
    </dataValidation>
    <dataValidation type="list" allowBlank="1" showInputMessage="1" showErrorMessage="1" sqref="AL3:AL60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BH3:BH60</xm:sqref>
        </x14:dataValidation>
        <x14:dataValidation type="list" allowBlank="1" showInputMessage="1" showErrorMessage="1">
          <x14:formula1>
            <xm:f>Paramètres!$N$4:$N$13</xm:f>
          </x14:formula1>
          <xm:sqref>BG3:BG60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N183"/>
  <sheetViews>
    <sheetView zoomScale="85" zoomScaleNormal="85" workbookViewId="0">
      <pane xSplit="5" ySplit="2" topLeftCell="F3" activePane="bottomRight" state="frozen"/>
      <selection activeCell="F22" sqref="F22"/>
      <selection pane="topRight" activeCell="F22" sqref="F22"/>
      <selection pane="bottomLeft" activeCell="F22" sqref="F22"/>
      <selection pane="bottomRight" activeCell="A3" sqref="A3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9" width="18" style="89" customWidth="1"/>
    <col min="40" max="45" width="19" style="89" customWidth="1"/>
    <col min="46" max="46" width="11.42578125" style="241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4" width="11.42578125" style="89" customWidth="1"/>
    <col min="115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1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147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69" t="s">
        <v>225</v>
      </c>
      <c r="B3" s="170">
        <v>860075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SUM(PORTEFEUILLE_AURELIE_T[[#This Row],[PCR COMPTABLE €]:[MONTANT
RESPONSABLE RELATION CLIENT €]])-PORTEFEUILLE_AURELIE_T[[#This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/>
      <c r="AM3" s="191"/>
      <c r="AN3" s="188" t="s">
        <v>199</v>
      </c>
      <c r="AO3" s="188" t="s">
        <v>200</v>
      </c>
      <c r="AP3" s="188">
        <v>36</v>
      </c>
      <c r="AQ3" s="188">
        <v>16</v>
      </c>
      <c r="AR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400</v>
      </c>
      <c r="AT3" s="188" t="str">
        <f>IF(PORTEFEUILLE_AURELIE_T[[#This Row],[BONI AAC]]&lt;&gt;0,1,"")</f>
        <v/>
      </c>
      <c r="AU3" s="188">
        <f>IF(PORTEFEUILLE_AURELIE_T[[#This Row],[MALI AAC]]&lt;&gt;0,1,"")</f>
        <v>1</v>
      </c>
      <c r="AV3" s="225">
        <f>IF(AP3&lt;&gt;"",IF((AP3*Paramètres!$H$4)-PORTEFEUILLE_AURELIE_T[[#This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€]]-(DELPHINE!AP3*Paramètres!$H$4),0),0)</f>
        <v>0</v>
      </c>
      <c r="AW3" s="225">
        <f>IF(AP3&lt;&gt;"",IF(((AP3*Paramètres!$H$4)-PORTEFEUILLE_AURELIE_T[[#This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" s="190" t="str">
        <f>IF(PORTEFEUILLE_AURELIE_T[[#This Row],[BONI COMPTABLE]]&lt;&gt;0,1,"")</f>
        <v/>
      </c>
      <c r="AY3" s="190" t="str">
        <f>IF(PORTEFEUILLE_AURELIE_T[[#This Row],[MALI COMPTABLE]]&lt;&gt;0,1,"")</f>
        <v/>
      </c>
      <c r="AZ3" s="188">
        <v>2</v>
      </c>
      <c r="BA3" s="188" t="s">
        <v>209</v>
      </c>
      <c r="BB3" s="188" t="s">
        <v>209</v>
      </c>
      <c r="BC3" s="188"/>
      <c r="BD3" s="188"/>
      <c r="BE3" s="188"/>
      <c r="BF3" s="188"/>
      <c r="BG3" s="192" t="s">
        <v>214</v>
      </c>
      <c r="BH3" s="192" t="s">
        <v>191</v>
      </c>
      <c r="BI3" s="192" t="s">
        <v>200</v>
      </c>
      <c r="BJ3" s="193"/>
      <c r="BK3" s="192"/>
    </row>
    <row r="4" spans="1:78" x14ac:dyDescent="0.25">
      <c r="A4" s="169" t="s">
        <v>225</v>
      </c>
      <c r="B4" s="170">
        <v>860076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SUM(PORTEFEUILLE_AURELIE_T[[#This Row],[PCR COMPTABLE €]:[MONTANT
RESPONSABLE RELATION CLIENT €]])-PORTEFEUILLE_AURELIE_T[[#This Row],[MONTANT TOTAL LETTRE DE MISION €]]</f>
        <v>0</v>
      </c>
      <c r="AI4" s="191" t="s">
        <v>153</v>
      </c>
      <c r="AJ4" s="188" t="s">
        <v>154</v>
      </c>
      <c r="AK4" s="188"/>
      <c r="AL4" s="188"/>
      <c r="AM4" s="191"/>
      <c r="AN4" s="188" t="s">
        <v>199</v>
      </c>
      <c r="AO4" s="188"/>
      <c r="AP4" s="188">
        <v>30</v>
      </c>
      <c r="AQ4" s="188">
        <v>20</v>
      </c>
      <c r="AR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1000</v>
      </c>
      <c r="AT4" s="188" t="str">
        <f>IF(PORTEFEUILLE_AURELIE_T[[#This Row],[BONI AAC]]&lt;&gt;0,1,"")</f>
        <v/>
      </c>
      <c r="AU4" s="188">
        <f>IF(PORTEFEUILLE_AURELIE_T[[#This Row],[MALI AAC]]&lt;&gt;0,1,"")</f>
        <v>1</v>
      </c>
      <c r="AV4" s="225">
        <f>IF(AP4&lt;&gt;"",IF((AP4*Paramètres!$H$4)-PORTEFEUILLE_AURELIE_T[[#This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€]]-(DELPHINE!AP4*Paramètres!$H$4),0),0)</f>
        <v>0</v>
      </c>
      <c r="AW4" s="225">
        <f>IF(AP4&lt;&gt;"",IF(((AP4*Paramètres!$H$4)-PORTEFEUILLE_AURELIE_T[[#This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3000</v>
      </c>
      <c r="AX4" s="190" t="str">
        <f>IF(PORTEFEUILLE_AURELIE_T[[#This Row],[BONI COMPTABLE]]&lt;&gt;0,1,"")</f>
        <v/>
      </c>
      <c r="AY4" s="190">
        <f>IF(PORTEFEUILLE_AURELIE_T[[#This Row],[MALI COMPTABLE]]&lt;&gt;0,1,"")</f>
        <v>1</v>
      </c>
      <c r="AZ4" s="188">
        <v>4</v>
      </c>
      <c r="BA4" s="188" t="s">
        <v>209</v>
      </c>
      <c r="BB4" s="188" t="s">
        <v>209</v>
      </c>
      <c r="BC4" s="188"/>
      <c r="BD4" s="188"/>
      <c r="BE4" s="188"/>
      <c r="BF4" s="188"/>
      <c r="BG4" s="192" t="s">
        <v>214</v>
      </c>
      <c r="BH4" s="194" t="s">
        <v>138</v>
      </c>
      <c r="BI4" s="194" t="s">
        <v>215</v>
      </c>
      <c r="BJ4" s="195"/>
      <c r="BK4" s="194"/>
    </row>
    <row r="5" spans="1:78" x14ac:dyDescent="0.25">
      <c r="A5" s="169" t="s">
        <v>225</v>
      </c>
      <c r="B5" s="170">
        <v>860077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SUM(PORTEFEUILLE_AURELIE_T[[#This Row],[PCR COMPTABLE €]:[MONTANT
RESPONSABLE RELATION CLIENT €]])-PORTEFEUILLE_AURELIE_T[[#This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91"/>
      <c r="AN5" s="188"/>
      <c r="AO5" s="188"/>
      <c r="AP5" s="188">
        <v>60</v>
      </c>
      <c r="AQ5" s="188">
        <v>60</v>
      </c>
      <c r="AR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2200</v>
      </c>
      <c r="AT5" s="188" t="str">
        <f>IF(PORTEFEUILLE_AURELIE_T[[#This Row],[BONI AAC]]&lt;&gt;0,1,"")</f>
        <v/>
      </c>
      <c r="AU5" s="188">
        <f>IF(PORTEFEUILLE_AURELIE_T[[#This Row],[MALI AAC]]&lt;&gt;0,1,"")</f>
        <v>1</v>
      </c>
      <c r="AV5" s="225">
        <f>IF(AP5&lt;&gt;"",IF((AP5*Paramètres!$H$4)-PORTEFEUILLE_AURELIE_T[[#This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€]]-(DELPHINE!AP5*Paramètres!$H$4),0),0)</f>
        <v>0</v>
      </c>
      <c r="AW5" s="225">
        <f>IF(AP5&lt;&gt;"",IF(((AP5*Paramètres!$H$4)-PORTEFEUILLE_AURELIE_T[[#This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4150</v>
      </c>
      <c r="AX5" s="190" t="str">
        <f>IF(PORTEFEUILLE_AURELIE_T[[#This Row],[BONI COMPTABLE]]&lt;&gt;0,1,"")</f>
        <v/>
      </c>
      <c r="AY5" s="190">
        <f>IF(PORTEFEUILLE_AURELIE_T[[#This Row],[MALI COMPTABLE]]&lt;&gt;0,1,"")</f>
        <v>1</v>
      </c>
      <c r="AZ5" s="188"/>
      <c r="BA5" s="188"/>
      <c r="BB5" s="188"/>
      <c r="BC5" s="188"/>
      <c r="BD5" s="188"/>
      <c r="BE5" s="188"/>
      <c r="BF5" s="188"/>
      <c r="BG5" s="192" t="s">
        <v>214</v>
      </c>
      <c r="BH5" s="194" t="s">
        <v>140</v>
      </c>
      <c r="BI5" s="194" t="s">
        <v>205</v>
      </c>
      <c r="BJ5" s="195" t="s">
        <v>200</v>
      </c>
      <c r="BK5" s="194"/>
    </row>
    <row r="6" spans="1:78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SUM(PORTEFEUILLE_AURELIE_T[[#This Row],[PCR COMPTABLE €]:[MONTANT
RESPONSABLE RELATION CLIENT €]])-PORTEFEUILLE_AURELIE_T[[#This Row],[MONTANT TOTAL LETTRE DE MISION €]]</f>
        <v>0</v>
      </c>
      <c r="AI6" s="191"/>
      <c r="AJ6" s="188"/>
      <c r="AK6" s="188"/>
      <c r="AL6" s="188"/>
      <c r="AM6" s="191"/>
      <c r="AN6" s="188"/>
      <c r="AO6" s="188"/>
      <c r="AP6" s="188"/>
      <c r="AQ6" s="188"/>
      <c r="AR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6" s="188" t="str">
        <f>IF(PORTEFEUILLE_AURELIE_T[[#This Row],[BONI AAC]]&lt;&gt;0,1,"")</f>
        <v/>
      </c>
      <c r="AU6" s="188" t="str">
        <f>IF(PORTEFEUILLE_AURELIE_T[[#This Row],[MALI AAC]]&lt;&gt;0,1,"")</f>
        <v/>
      </c>
      <c r="AV6" s="225">
        <f>IF(AP6&lt;&gt;"",IF((AP6*Paramètres!$H$4)-PORTEFEUILLE_AURELIE_T[[#This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€]]-(DELPHINE!#REF!*Paramètres!$H$4),0),0)</f>
        <v>0</v>
      </c>
      <c r="AW6" s="225">
        <f>IF(AP6&lt;&gt;"",IF(((AP6*Paramètres!$H$4)-PORTEFEUILLE_AURELIE_T[[#This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6" s="190" t="str">
        <f>IF(PORTEFEUILLE_AURELIE_T[[#This Row],[BONI COMPTABLE]]&lt;&gt;0,1,"")</f>
        <v/>
      </c>
      <c r="AY6" s="190" t="str">
        <f>IF(PORTEFEUILLE_AURELIE_T[[#This Row],[MALI COMPTABLE]]&lt;&gt;0,1,"")</f>
        <v/>
      </c>
      <c r="AZ6" s="188"/>
      <c r="BA6" s="188"/>
      <c r="BB6" s="188"/>
      <c r="BC6" s="188"/>
      <c r="BD6" s="188"/>
      <c r="BE6" s="188"/>
      <c r="BF6" s="188"/>
      <c r="BG6" s="192"/>
      <c r="BH6" s="194"/>
      <c r="BI6" s="194"/>
      <c r="BJ6" s="195"/>
      <c r="BK6" s="194"/>
    </row>
    <row r="7" spans="1:78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SUM(PORTEFEUILLE_AURELIE_T[[#This Row],[PCR COMPTABLE €]:[MONTANT
RESPONSABLE RELATION CLIENT €]])-PORTEFEUILLE_AURELIE_T[[#This Row],[MONTANT TOTAL LETTRE DE MISION €]]</f>
        <v>0</v>
      </c>
      <c r="AI7" s="191"/>
      <c r="AJ7" s="188"/>
      <c r="AK7" s="188"/>
      <c r="AL7" s="188"/>
      <c r="AM7" s="191"/>
      <c r="AN7" s="188"/>
      <c r="AO7" s="188"/>
      <c r="AP7" s="188"/>
      <c r="AQ7" s="188"/>
      <c r="AR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7" s="188" t="str">
        <f>IF(PORTEFEUILLE_AURELIE_T[[#This Row],[BONI AAC]]&lt;&gt;0,1,"")</f>
        <v/>
      </c>
      <c r="AU7" s="188" t="str">
        <f>IF(PORTEFEUILLE_AURELIE_T[[#This Row],[MALI AAC]]&lt;&gt;0,1,"")</f>
        <v/>
      </c>
      <c r="AV7" s="225">
        <f>IF(AP7&lt;&gt;"",IF((AP7*Paramètres!$H$4)-PORTEFEUILLE_AURELIE_T[[#This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€]]-(DELPHINE!AP6*Paramètres!$H$4),0),0)</f>
        <v>0</v>
      </c>
      <c r="AW7" s="225">
        <f>IF(AP7&lt;&gt;"",IF(((AP7*Paramètres!$H$4)-PORTEFEUILLE_AURELIE_T[[#This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7" s="190" t="str">
        <f>IF(PORTEFEUILLE_AURELIE_T[[#This Row],[BONI COMPTABLE]]&lt;&gt;0,1,"")</f>
        <v/>
      </c>
      <c r="AY7" s="190" t="str">
        <f>IF(PORTEFEUILLE_AURELIE_T[[#This Row],[MALI COMPTABLE]]&lt;&gt;0,1,"")</f>
        <v/>
      </c>
      <c r="AZ7" s="188"/>
      <c r="BA7" s="188"/>
      <c r="BB7" s="188"/>
      <c r="BC7" s="188"/>
      <c r="BD7" s="196"/>
      <c r="BE7" s="196"/>
      <c r="BF7" s="196"/>
      <c r="BG7" s="192"/>
      <c r="BH7" s="194"/>
      <c r="BI7" s="194"/>
      <c r="BJ7" s="195"/>
      <c r="BK7" s="194"/>
    </row>
    <row r="8" spans="1:78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SUM(PORTEFEUILLE_AURELIE_T[[#This Row],[PCR COMPTABLE €]:[MONTANT
RESPONSABLE RELATION CLIENT €]])-PORTEFEUILLE_AURELIE_T[[#This Row],[MONTANT TOTAL LETTRE DE MISION €]]</f>
        <v>0</v>
      </c>
      <c r="AI8" s="191"/>
      <c r="AJ8" s="188"/>
      <c r="AK8" s="188"/>
      <c r="AL8" s="188"/>
      <c r="AM8" s="191"/>
      <c r="AN8" s="188"/>
      <c r="AO8" s="188"/>
      <c r="AP8" s="188"/>
      <c r="AQ8" s="188"/>
      <c r="AR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8" s="188" t="str">
        <f>IF(PORTEFEUILLE_AURELIE_T[[#This Row],[BONI AAC]]&lt;&gt;0,1,"")</f>
        <v/>
      </c>
      <c r="AU8" s="188" t="str">
        <f>IF(PORTEFEUILLE_AURELIE_T[[#This Row],[MALI AAC]]&lt;&gt;0,1,"")</f>
        <v/>
      </c>
      <c r="AV8" s="225">
        <f>IF(AP8&lt;&gt;"",IF((AP8*Paramètres!$H$4)-PORTEFEUILLE_AURELIE_T[[#This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€]]-(DELPHINE!AP7*Paramètres!$H$4),0),0)</f>
        <v>0</v>
      </c>
      <c r="AW8" s="225">
        <f>IF(AP8&lt;&gt;"",IF(((AP8*Paramètres!$H$4)-PORTEFEUILLE_AURELIE_T[[#This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8" s="190" t="str">
        <f>IF(PORTEFEUILLE_AURELIE_T[[#This Row],[BONI COMPTABLE]]&lt;&gt;0,1,"")</f>
        <v/>
      </c>
      <c r="AY8" s="190" t="str">
        <f>IF(PORTEFEUILLE_AURELIE_T[[#This Row],[MALI COMPTABLE]]&lt;&gt;0,1,"")</f>
        <v/>
      </c>
      <c r="AZ8" s="188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SUM(PORTEFEUILLE_AURELIE_T[[#This Row],[PCR COMPTABLE €]:[MONTANT
RESPONSABLE RELATION CLIENT €]])-PORTEFEUILLE_AURELIE_T[[#This Row],[MONTANT TOTAL LETTRE DE MISION €]]</f>
        <v>0</v>
      </c>
      <c r="AI9" s="191"/>
      <c r="AJ9" s="188"/>
      <c r="AK9" s="188"/>
      <c r="AL9" s="188"/>
      <c r="AM9" s="191"/>
      <c r="AN9" s="196"/>
      <c r="AO9" s="196"/>
      <c r="AP9" s="196"/>
      <c r="AQ9" s="196"/>
      <c r="AR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9" s="188" t="str">
        <f>IF(PORTEFEUILLE_AURELIE_T[[#This Row],[BONI AAC]]&lt;&gt;0,1,"")</f>
        <v/>
      </c>
      <c r="AU9" s="188" t="str">
        <f>IF(PORTEFEUILLE_AURELIE_T[[#This Row],[MALI AAC]]&lt;&gt;0,1,"")</f>
        <v/>
      </c>
      <c r="AV9" s="225">
        <f>IF(AP9&lt;&gt;"",IF((AP9*Paramètres!$H$4)-PORTEFEUILLE_AURELIE_T[[#This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€]]-(DELPHINE!AP8*Paramètres!$H$4),0),0)</f>
        <v>0</v>
      </c>
      <c r="AW9" s="225">
        <f>IF(AP9&lt;&gt;"",IF(((AP9*Paramètres!$H$4)-PORTEFEUILLE_AURELIE_T[[#This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9" s="190" t="str">
        <f>IF(PORTEFEUILLE_AURELIE_T[[#This Row],[BONI COMPTABLE]]&lt;&gt;0,1,"")</f>
        <v/>
      </c>
      <c r="AY9" s="190" t="str">
        <f>IF(PORTEFEUILLE_AURELIE_T[[#This Row],[MALI COMPTABLE]]&lt;&gt;0,1,"")</f>
        <v/>
      </c>
      <c r="AZ9" s="196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SUM(PORTEFEUILLE_AURELIE_T[[#This Row],[PCR COMPTABLE €]:[MONTANT
RESPONSABLE RELATION CLIENT €]])-PORTEFEUILLE_AURELIE_T[[#This Row],[MONTANT TOTAL LETTRE DE MISION €]]</f>
        <v>0</v>
      </c>
      <c r="AI10" s="191"/>
      <c r="AJ10" s="188"/>
      <c r="AK10" s="188"/>
      <c r="AL10" s="188"/>
      <c r="AM10" s="191"/>
      <c r="AN10" s="188"/>
      <c r="AO10" s="188"/>
      <c r="AP10" s="188"/>
      <c r="AQ10" s="188"/>
      <c r="AR1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0" s="188" t="str">
        <f>IF(PORTEFEUILLE_AURELIE_T[[#This Row],[BONI AAC]]&lt;&gt;0,1,"")</f>
        <v/>
      </c>
      <c r="AU10" s="188" t="str">
        <f>IF(PORTEFEUILLE_AURELIE_T[[#This Row],[MALI AAC]]&lt;&gt;0,1,"")</f>
        <v/>
      </c>
      <c r="AV10" s="225">
        <f>IF(AP10&lt;&gt;"",IF((AP10*Paramètres!$H$4)-PORTEFEUILLE_AURELIE_T[[#This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€]]-(DELPHINE!AP9*Paramètres!$H$4),0),0)</f>
        <v>0</v>
      </c>
      <c r="AW10" s="225">
        <f>IF(AP10&lt;&gt;"",IF(((AP10*Paramètres!$H$4)-PORTEFEUILLE_AURELIE_T[[#This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0" s="190" t="str">
        <f>IF(PORTEFEUILLE_AURELIE_T[[#This Row],[BONI COMPTABLE]]&lt;&gt;0,1,"")</f>
        <v/>
      </c>
      <c r="AY10" s="190" t="str">
        <f>IF(PORTEFEUILLE_AURELIE_T[[#This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SUM(PORTEFEUILLE_AURELIE_T[[#This Row],[PCR COMPTABLE €]:[MONTANT
RESPONSABLE RELATION CLIENT €]])-PORTEFEUILLE_AURELIE_T[[#This Row],[MONTANT TOTAL LETTRE DE MISION €]]</f>
        <v>0</v>
      </c>
      <c r="AI11" s="191"/>
      <c r="AJ11" s="188"/>
      <c r="AK11" s="188"/>
      <c r="AL11" s="188"/>
      <c r="AM11" s="191"/>
      <c r="AN11" s="188"/>
      <c r="AO11" s="188"/>
      <c r="AP11" s="188"/>
      <c r="AQ11" s="188"/>
      <c r="AR1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1" s="188" t="str">
        <f>IF(PORTEFEUILLE_AURELIE_T[[#This Row],[BONI AAC]]&lt;&gt;0,1,"")</f>
        <v/>
      </c>
      <c r="AU11" s="188" t="str">
        <f>IF(PORTEFEUILLE_AURELIE_T[[#This Row],[MALI AAC]]&lt;&gt;0,1,"")</f>
        <v/>
      </c>
      <c r="AV11" s="225">
        <f>IF(AP11&lt;&gt;"",IF((AP11*Paramètres!$H$4)-PORTEFEUILLE_AURELIE_T[[#This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€]]-(DELPHINE!AP10*Paramètres!$H$4),0),0)</f>
        <v>0</v>
      </c>
      <c r="AW11" s="225">
        <f>IF(AP11&lt;&gt;"",IF(((AP11*Paramètres!$H$4)-PORTEFEUILLE_AURELIE_T[[#This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1" s="190" t="str">
        <f>IF(PORTEFEUILLE_AURELIE_T[[#This Row],[BONI COMPTABLE]]&lt;&gt;0,1,"")</f>
        <v/>
      </c>
      <c r="AY11" s="190" t="str">
        <f>IF(PORTEFEUILLE_AURELIE_T[[#This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SUM(PORTEFEUILLE_AURELIE_T[[#This Row],[PCR COMPTABLE €]:[MONTANT
RESPONSABLE RELATION CLIENT €]])-PORTEFEUILLE_AURELIE_T[[#This Row],[MONTANT TOTAL LETTRE DE MISION €]]</f>
        <v>0</v>
      </c>
      <c r="AI12" s="191"/>
      <c r="AJ12" s="188"/>
      <c r="AK12" s="188"/>
      <c r="AL12" s="188"/>
      <c r="AM12" s="191"/>
      <c r="AN12" s="188"/>
      <c r="AO12" s="188"/>
      <c r="AP12" s="188"/>
      <c r="AQ12" s="188"/>
      <c r="AR1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2" s="188" t="str">
        <f>IF(PORTEFEUILLE_AURELIE_T[[#This Row],[BONI AAC]]&lt;&gt;0,1,"")</f>
        <v/>
      </c>
      <c r="AU12" s="188" t="str">
        <f>IF(PORTEFEUILLE_AURELIE_T[[#This Row],[MALI AAC]]&lt;&gt;0,1,"")</f>
        <v/>
      </c>
      <c r="AV12" s="225">
        <f>IF(AP12&lt;&gt;"",IF((AP12*Paramètres!$H$4)-PORTEFEUILLE_AURELIE_T[[#This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€]]-(DELPHINE!AP11*Paramètres!$H$4),0),0)</f>
        <v>0</v>
      </c>
      <c r="AW12" s="225">
        <f>IF(AP12&lt;&gt;"",IF(((AP12*Paramètres!$H$4)-PORTEFEUILLE_AURELIE_T[[#This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2" s="190" t="str">
        <f>IF(PORTEFEUILLE_AURELIE_T[[#This Row],[BONI COMPTABLE]]&lt;&gt;0,1,"")</f>
        <v/>
      </c>
      <c r="AY12" s="190" t="str">
        <f>IF(PORTEFEUILLE_AURELIE_T[[#This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SUM(PORTEFEUILLE_AURELIE_T[[#This Row],[PCR COMPTABLE €]:[MONTANT
RESPONSABLE RELATION CLIENT €]])-PORTEFEUILLE_AURELIE_T[[#This Row],[MONTANT TOTAL LETTRE DE MISION €]]</f>
        <v>0</v>
      </c>
      <c r="AI13" s="191"/>
      <c r="AJ13" s="188"/>
      <c r="AK13" s="188"/>
      <c r="AL13" s="188"/>
      <c r="AM13" s="191"/>
      <c r="AN13" s="188"/>
      <c r="AO13" s="188"/>
      <c r="AP13" s="188"/>
      <c r="AQ13" s="188"/>
      <c r="AR1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3" s="188" t="str">
        <f>IF(PORTEFEUILLE_AURELIE_T[[#This Row],[BONI AAC]]&lt;&gt;0,1,"")</f>
        <v/>
      </c>
      <c r="AU13" s="188" t="str">
        <f>IF(PORTEFEUILLE_AURELIE_T[[#This Row],[MALI AAC]]&lt;&gt;0,1,"")</f>
        <v/>
      </c>
      <c r="AV13" s="225">
        <f>IF(AP13&lt;&gt;"",IF((AP13*Paramètres!$H$4)-PORTEFEUILLE_AURELIE_T[[#This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€]]-(DELPHINE!AP12*Paramètres!$H$4),0),0)</f>
        <v>0</v>
      </c>
      <c r="AW13" s="225">
        <f>IF(AP13&lt;&gt;"",IF(((AP13*Paramètres!$H$4)-PORTEFEUILLE_AURELIE_T[[#This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3" s="190" t="str">
        <f>IF(PORTEFEUILLE_AURELIE_T[[#This Row],[BONI COMPTABLE]]&lt;&gt;0,1,"")</f>
        <v/>
      </c>
      <c r="AY13" s="190" t="str">
        <f>IF(PORTEFEUILLE_AURELIE_T[[#This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SUM(PORTEFEUILLE_AURELIE_T[[#This Row],[PCR COMPTABLE €]:[MONTANT
RESPONSABLE RELATION CLIENT €]])-PORTEFEUILLE_AURELIE_T[[#This Row],[MONTANT TOTAL LETTRE DE MISION €]]</f>
        <v>0</v>
      </c>
      <c r="AI14" s="191"/>
      <c r="AJ14" s="188"/>
      <c r="AK14" s="188"/>
      <c r="AL14" s="188"/>
      <c r="AM14" s="191"/>
      <c r="AN14" s="188"/>
      <c r="AO14" s="188"/>
      <c r="AP14" s="188"/>
      <c r="AQ14" s="188"/>
      <c r="AR1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4" s="188" t="str">
        <f>IF(PORTEFEUILLE_AURELIE_T[[#This Row],[BONI AAC]]&lt;&gt;0,1,"")</f>
        <v/>
      </c>
      <c r="AU14" s="188" t="str">
        <f>IF(PORTEFEUILLE_AURELIE_T[[#This Row],[MALI AAC]]&lt;&gt;0,1,"")</f>
        <v/>
      </c>
      <c r="AV14" s="225">
        <f>IF(AP14&lt;&gt;"",IF((AP14*Paramètres!$H$4)-PORTEFEUILLE_AURELIE_T[[#This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€]]-(DELPHINE!AP13*Paramètres!$H$4),0),0)</f>
        <v>0</v>
      </c>
      <c r="AW14" s="225">
        <f>IF(AP14&lt;&gt;"",IF(((AP14*Paramètres!$H$4)-PORTEFEUILLE_AURELIE_T[[#This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4" s="190" t="str">
        <f>IF(PORTEFEUILLE_AURELIE_T[[#This Row],[BONI COMPTABLE]]&lt;&gt;0,1,"")</f>
        <v/>
      </c>
      <c r="AY14" s="190" t="str">
        <f>IF(PORTEFEUILLE_AURELIE_T[[#This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SUM(PORTEFEUILLE_AURELIE_T[[#This Row],[PCR COMPTABLE €]:[MONTANT
RESPONSABLE RELATION CLIENT €]])-PORTEFEUILLE_AURELIE_T[[#This Row],[MONTANT TOTAL LETTRE DE MISION €]]</f>
        <v>0</v>
      </c>
      <c r="AI15" s="191"/>
      <c r="AJ15" s="188"/>
      <c r="AK15" s="188"/>
      <c r="AL15" s="188"/>
      <c r="AM15" s="191"/>
      <c r="AN15" s="188"/>
      <c r="AO15" s="188"/>
      <c r="AP15" s="188"/>
      <c r="AQ15" s="188"/>
      <c r="AR1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5" s="188" t="str">
        <f>IF(PORTEFEUILLE_AURELIE_T[[#This Row],[BONI AAC]]&lt;&gt;0,1,"")</f>
        <v/>
      </c>
      <c r="AU15" s="188" t="str">
        <f>IF(PORTEFEUILLE_AURELIE_T[[#This Row],[MALI AAC]]&lt;&gt;0,1,"")</f>
        <v/>
      </c>
      <c r="AV15" s="225">
        <f>IF(AP15&lt;&gt;"",IF((AP15*Paramètres!$H$4)-PORTEFEUILLE_AURELIE_T[[#This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€]]-(DELPHINE!AP14*Paramètres!$H$4),0),0)</f>
        <v>0</v>
      </c>
      <c r="AW15" s="225">
        <f>IF(AP15&lt;&gt;"",IF(((AP15*Paramètres!$H$4)-PORTEFEUILLE_AURELIE_T[[#This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5" s="190" t="str">
        <f>IF(PORTEFEUILLE_AURELIE_T[[#This Row],[BONI COMPTABLE]]&lt;&gt;0,1,"")</f>
        <v/>
      </c>
      <c r="AY15" s="190" t="str">
        <f>IF(PORTEFEUILLE_AURELIE_T[[#This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SUM(PORTEFEUILLE_AURELIE_T[[#This Row],[PCR COMPTABLE €]:[MONTANT
RESPONSABLE RELATION CLIENT €]])-PORTEFEUILLE_AURELIE_T[[#This Row],[MONTANT TOTAL LETTRE DE MISION €]]</f>
        <v>0</v>
      </c>
      <c r="AI16" s="191"/>
      <c r="AJ16" s="188"/>
      <c r="AK16" s="188"/>
      <c r="AL16" s="188"/>
      <c r="AM16" s="191"/>
      <c r="AN16" s="188"/>
      <c r="AO16" s="188"/>
      <c r="AP16" s="188"/>
      <c r="AQ16" s="188"/>
      <c r="AR1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6" s="188" t="str">
        <f>IF(PORTEFEUILLE_AURELIE_T[[#This Row],[BONI AAC]]&lt;&gt;0,1,"")</f>
        <v/>
      </c>
      <c r="AU16" s="188" t="str">
        <f>IF(PORTEFEUILLE_AURELIE_T[[#This Row],[MALI AAC]]&lt;&gt;0,1,"")</f>
        <v/>
      </c>
      <c r="AV16" s="225">
        <f>IF(AP16&lt;&gt;"",IF((AP16*Paramètres!$H$4)-PORTEFEUILLE_AURELIE_T[[#This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€]]-(DELPHINE!AP15*Paramètres!$H$4),0),0)</f>
        <v>0</v>
      </c>
      <c r="AW16" s="225">
        <f>IF(AP16&lt;&gt;"",IF(((AP16*Paramètres!$H$4)-PORTEFEUILLE_AURELIE_T[[#This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6" s="190" t="str">
        <f>IF(PORTEFEUILLE_AURELIE_T[[#This Row],[BONI COMPTABLE]]&lt;&gt;0,1,"")</f>
        <v/>
      </c>
      <c r="AY16" s="190" t="str">
        <f>IF(PORTEFEUILLE_AURELIE_T[[#This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SUM(PORTEFEUILLE_AURELIE_T[[#This Row],[PCR COMPTABLE €]:[MONTANT
RESPONSABLE RELATION CLIENT €]])-PORTEFEUILLE_AURELIE_T[[#This Row],[MONTANT TOTAL LETTRE DE MISION €]]</f>
        <v>0</v>
      </c>
      <c r="AI17" s="191"/>
      <c r="AJ17" s="188"/>
      <c r="AK17" s="188"/>
      <c r="AL17" s="188"/>
      <c r="AM17" s="191"/>
      <c r="AN17" s="188"/>
      <c r="AO17" s="188"/>
      <c r="AP17" s="188"/>
      <c r="AQ17" s="188"/>
      <c r="AR1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7" s="188" t="str">
        <f>IF(PORTEFEUILLE_AURELIE_T[[#This Row],[BONI AAC]]&lt;&gt;0,1,"")</f>
        <v/>
      </c>
      <c r="AU17" s="188" t="str">
        <f>IF(PORTEFEUILLE_AURELIE_T[[#This Row],[MALI AAC]]&lt;&gt;0,1,"")</f>
        <v/>
      </c>
      <c r="AV17" s="225">
        <f>IF(AP17&lt;&gt;"",IF((AP17*Paramètres!$H$4)-PORTEFEUILLE_AURELIE_T[[#This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€]]-(DELPHINE!AP16*Paramètres!$H$4),0),0)</f>
        <v>0</v>
      </c>
      <c r="AW17" s="225">
        <f>IF(AP17&lt;&gt;"",IF(((AP17*Paramètres!$H$4)-PORTEFEUILLE_AURELIE_T[[#This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7" s="190" t="str">
        <f>IF(PORTEFEUILLE_AURELIE_T[[#This Row],[BONI COMPTABLE]]&lt;&gt;0,1,"")</f>
        <v/>
      </c>
      <c r="AY17" s="190" t="str">
        <f>IF(PORTEFEUILLE_AURELIE_T[[#This Row],[MALI COMPTABLE]]&lt;&gt;0,1,"")</f>
        <v/>
      </c>
      <c r="AZ17" s="188"/>
      <c r="BA17" s="188"/>
      <c r="BB17" s="188"/>
      <c r="BC17" s="188"/>
      <c r="BD17" s="188"/>
      <c r="BE17" s="188"/>
      <c r="BF17" s="188"/>
      <c r="BG17" s="192"/>
      <c r="BH17" s="194"/>
      <c r="BI17" s="194"/>
      <c r="BJ17" s="195"/>
      <c r="BK17" s="194"/>
    </row>
    <row r="18" spans="1:63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SUM(PORTEFEUILLE_AURELIE_T[[#This Row],[PCR COMPTABLE €]:[MONTANT
RESPONSABLE RELATION CLIENT €]])-PORTEFEUILLE_AURELIE_T[[#This Row],[MONTANT TOTAL LETTRE DE MISION €]]</f>
        <v>0</v>
      </c>
      <c r="AI18" s="191"/>
      <c r="AJ18" s="188"/>
      <c r="AK18" s="188"/>
      <c r="AL18" s="188"/>
      <c r="AM18" s="191"/>
      <c r="AN18" s="188"/>
      <c r="AO18" s="188"/>
      <c r="AP18" s="188"/>
      <c r="AQ18" s="188"/>
      <c r="AR1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8" s="188" t="str">
        <f>IF(PORTEFEUILLE_AURELIE_T[[#This Row],[BONI AAC]]&lt;&gt;0,1,"")</f>
        <v/>
      </c>
      <c r="AU18" s="188" t="str">
        <f>IF(PORTEFEUILLE_AURELIE_T[[#This Row],[MALI AAC]]&lt;&gt;0,1,"")</f>
        <v/>
      </c>
      <c r="AV18" s="225">
        <f>IF(AP18&lt;&gt;"",IF((AP18*Paramètres!$H$4)-PORTEFEUILLE_AURELIE_T[[#This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€]]-(DELPHINE!AP17*Paramètres!$H$4),0),0)</f>
        <v>0</v>
      </c>
      <c r="AW18" s="225">
        <f>IF(AP18&lt;&gt;"",IF(((AP18*Paramètres!$H$4)-PORTEFEUILLE_AURELIE_T[[#This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8" s="190" t="str">
        <f>IF(PORTEFEUILLE_AURELIE_T[[#This Row],[BONI COMPTABLE]]&lt;&gt;0,1,"")</f>
        <v/>
      </c>
      <c r="AY18" s="190" t="str">
        <f>IF(PORTEFEUILLE_AURELIE_T[[#This Row],[MALI COMPTABLE]]&lt;&gt;0,1,"")</f>
        <v/>
      </c>
      <c r="AZ18" s="188"/>
      <c r="BA18" s="188"/>
      <c r="BB18" s="188"/>
      <c r="BC18" s="188"/>
      <c r="BD18" s="188"/>
      <c r="BE18" s="188"/>
      <c r="BF18" s="188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SUM(PORTEFEUILLE_AURELIE_T[[#This Row],[PCR COMPTABLE €]:[MONTANT
RESPONSABLE RELATION CLIENT €]])-PORTEFEUILLE_AURELIE_T[[#This Row],[MONTANT TOTAL LETTRE DE MISION €]]</f>
        <v>0</v>
      </c>
      <c r="AI19" s="191"/>
      <c r="AJ19" s="188"/>
      <c r="AK19" s="188"/>
      <c r="AL19" s="188"/>
      <c r="AM19" s="191"/>
      <c r="AN19" s="188"/>
      <c r="AO19" s="188"/>
      <c r="AP19" s="188"/>
      <c r="AQ19" s="188"/>
      <c r="AR1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1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19" s="188" t="str">
        <f>IF(PORTEFEUILLE_AURELIE_T[[#This Row],[BONI AAC]]&lt;&gt;0,1,"")</f>
        <v/>
      </c>
      <c r="AU19" s="188" t="str">
        <f>IF(PORTEFEUILLE_AURELIE_T[[#This Row],[MALI AAC]]&lt;&gt;0,1,"")</f>
        <v/>
      </c>
      <c r="AV19" s="225">
        <f>IF(AP19&lt;&gt;"",IF((AP19*Paramètres!$H$4)-PORTEFEUILLE_AURELIE_T[[#This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€]]-(DELPHINE!AP18*Paramètres!$H$4),0),0)</f>
        <v>0</v>
      </c>
      <c r="AW19" s="225">
        <f>IF(AP19&lt;&gt;"",IF(((AP19*Paramètres!$H$4)-PORTEFEUILLE_AURELIE_T[[#This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19" s="190" t="str">
        <f>IF(PORTEFEUILLE_AURELIE_T[[#This Row],[BONI COMPTABLE]]&lt;&gt;0,1,"")</f>
        <v/>
      </c>
      <c r="AY19" s="190" t="str">
        <f>IF(PORTEFEUILLE_AURELIE_T[[#This Row],[MALI COMPTABLE]]&lt;&gt;0,1,"")</f>
        <v/>
      </c>
      <c r="AZ19" s="188"/>
      <c r="BA19" s="188"/>
      <c r="BB19" s="188"/>
      <c r="BC19" s="188"/>
      <c r="BD19" s="188"/>
      <c r="BE19" s="188"/>
      <c r="BF19" s="188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SUM(PORTEFEUILLE_AURELIE_T[[#This Row],[PCR COMPTABLE €]:[MONTANT
RESPONSABLE RELATION CLIENT €]])-PORTEFEUILLE_AURELIE_T[[#This Row],[MONTANT TOTAL LETTRE DE MISION €]]</f>
        <v>0</v>
      </c>
      <c r="AI20" s="191"/>
      <c r="AJ20" s="188"/>
      <c r="AK20" s="188"/>
      <c r="AL20" s="188"/>
      <c r="AM20" s="191"/>
      <c r="AN20" s="196"/>
      <c r="AO20" s="196"/>
      <c r="AP20" s="196"/>
      <c r="AQ20" s="196"/>
      <c r="AR2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0" s="188" t="str">
        <f>IF(PORTEFEUILLE_AURELIE_T[[#This Row],[BONI AAC]]&lt;&gt;0,1,"")</f>
        <v/>
      </c>
      <c r="AU20" s="188" t="str">
        <f>IF(PORTEFEUILLE_AURELIE_T[[#This Row],[MALI AAC]]&lt;&gt;0,1,"")</f>
        <v/>
      </c>
      <c r="AV20" s="225">
        <f>IF(AP20&lt;&gt;"",IF((AP20*Paramètres!$H$4)-PORTEFEUILLE_AURELIE_T[[#This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€]]-(DELPHINE!AP19*Paramètres!$H$4),0),0)</f>
        <v>0</v>
      </c>
      <c r="AW20" s="225">
        <f>IF(AP20&lt;&gt;"",IF(((AP20*Paramètres!$H$4)-PORTEFEUILLE_AURELIE_T[[#This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0" s="190" t="str">
        <f>IF(PORTEFEUILLE_AURELIE_T[[#This Row],[BONI COMPTABLE]]&lt;&gt;0,1,"")</f>
        <v/>
      </c>
      <c r="AY20" s="190" t="str">
        <f>IF(PORTEFEUILLE_AURELIE_T[[#This Row],[MALI COMPTABLE]]&lt;&gt;0,1,"")</f>
        <v/>
      </c>
      <c r="AZ20" s="196"/>
      <c r="BA20" s="188"/>
      <c r="BB20" s="188"/>
      <c r="BC20" s="188"/>
      <c r="BD20" s="196"/>
      <c r="BE20" s="196"/>
      <c r="BF20" s="196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SUM(PORTEFEUILLE_AURELIE_T[[#This Row],[PCR COMPTABLE €]:[MONTANT
RESPONSABLE RELATION CLIENT €]])-PORTEFEUILLE_AURELIE_T[[#This Row],[MONTANT TOTAL LETTRE DE MISION €]]</f>
        <v>0</v>
      </c>
      <c r="AI21" s="191"/>
      <c r="AJ21" s="188"/>
      <c r="AK21" s="188"/>
      <c r="AL21" s="188"/>
      <c r="AM21" s="191"/>
      <c r="AN21" s="188"/>
      <c r="AO21" s="188"/>
      <c r="AP21" s="188"/>
      <c r="AQ21" s="188"/>
      <c r="AR2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1" s="188" t="str">
        <f>IF(PORTEFEUILLE_AURELIE_T[[#This Row],[BONI AAC]]&lt;&gt;0,1,"")</f>
        <v/>
      </c>
      <c r="AU21" s="188" t="str">
        <f>IF(PORTEFEUILLE_AURELIE_T[[#This Row],[MALI AAC]]&lt;&gt;0,1,"")</f>
        <v/>
      </c>
      <c r="AV21" s="225">
        <f>IF(AP21&lt;&gt;"",IF((AP21*Paramètres!$H$4)-PORTEFEUILLE_AURELIE_T[[#This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€]]-(DELPHINE!AP20*Paramètres!$H$4),0),0)</f>
        <v>0</v>
      </c>
      <c r="AW21" s="225">
        <f>IF(AP21&lt;&gt;"",IF(((AP21*Paramètres!$H$4)-PORTEFEUILLE_AURELIE_T[[#This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1" s="190" t="str">
        <f>IF(PORTEFEUILLE_AURELIE_T[[#This Row],[BONI COMPTABLE]]&lt;&gt;0,1,"")</f>
        <v/>
      </c>
      <c r="AY21" s="190" t="str">
        <f>IF(PORTEFEUILLE_AURELIE_T[[#This Row],[MALI COMPTABLE]]&lt;&gt;0,1,"")</f>
        <v/>
      </c>
      <c r="AZ21" s="188"/>
      <c r="BA21" s="188"/>
      <c r="BB21" s="188"/>
      <c r="BC21" s="188"/>
      <c r="BD21" s="196"/>
      <c r="BE21" s="196"/>
      <c r="BF21" s="196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SUM(PORTEFEUILLE_AURELIE_T[[#This Row],[PCR COMPTABLE €]:[MONTANT
RESPONSABLE RELATION CLIENT €]])-PORTEFEUILLE_AURELIE_T[[#This Row],[MONTANT TOTAL LETTRE DE MISION €]]</f>
        <v>0</v>
      </c>
      <c r="AI22" s="191"/>
      <c r="AJ22" s="188"/>
      <c r="AK22" s="188"/>
      <c r="AL22" s="188"/>
      <c r="AM22" s="191"/>
      <c r="AN22" s="197"/>
      <c r="AO22" s="197"/>
      <c r="AP22" s="197"/>
      <c r="AQ22" s="197"/>
      <c r="AR2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2" s="188" t="str">
        <f>IF(PORTEFEUILLE_AURELIE_T[[#This Row],[BONI AAC]]&lt;&gt;0,1,"")</f>
        <v/>
      </c>
      <c r="AU22" s="188" t="str">
        <f>IF(PORTEFEUILLE_AURELIE_T[[#This Row],[MALI AAC]]&lt;&gt;0,1,"")</f>
        <v/>
      </c>
      <c r="AV22" s="225">
        <f>IF(AP22&lt;&gt;"",IF((AP22*Paramètres!$H$4)-PORTEFEUILLE_AURELIE_T[[#This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€]]-(DELPHINE!AP21*Paramètres!$H$4),0),0)</f>
        <v>0</v>
      </c>
      <c r="AW22" s="225">
        <f>IF(AP22&lt;&gt;"",IF(((AP22*Paramètres!$H$4)-PORTEFEUILLE_AURELIE_T[[#This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2" s="190" t="str">
        <f>IF(PORTEFEUILLE_AURELIE_T[[#This Row],[BONI COMPTABLE]]&lt;&gt;0,1,"")</f>
        <v/>
      </c>
      <c r="AY22" s="190" t="str">
        <f>IF(PORTEFEUILLE_AURELIE_T[[#This Row],[MALI COMPTABLE]]&lt;&gt;0,1,"")</f>
        <v/>
      </c>
      <c r="AZ22" s="188"/>
      <c r="BA22" s="188"/>
      <c r="BB22" s="188"/>
      <c r="BC22" s="188"/>
      <c r="BD22" s="196"/>
      <c r="BE22" s="196"/>
      <c r="BF22" s="196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SUM(PORTEFEUILLE_AURELIE_T[[#This Row],[PCR COMPTABLE €]:[MONTANT
RESPONSABLE RELATION CLIENT €]])-PORTEFEUILLE_AURELIE_T[[#This Row],[MONTANT TOTAL LETTRE DE MISION €]]</f>
        <v>0</v>
      </c>
      <c r="AI23" s="191"/>
      <c r="AJ23" s="188"/>
      <c r="AK23" s="188"/>
      <c r="AL23" s="188"/>
      <c r="AM23" s="191"/>
      <c r="AN23" s="188"/>
      <c r="AO23" s="188"/>
      <c r="AP23" s="188"/>
      <c r="AQ23" s="188"/>
      <c r="AR2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3" s="188" t="str">
        <f>IF(PORTEFEUILLE_AURELIE_T[[#This Row],[BONI AAC]]&lt;&gt;0,1,"")</f>
        <v/>
      </c>
      <c r="AU23" s="188" t="str">
        <f>IF(PORTEFEUILLE_AURELIE_T[[#This Row],[MALI AAC]]&lt;&gt;0,1,"")</f>
        <v/>
      </c>
      <c r="AV23" s="225">
        <f>IF(AP23&lt;&gt;"",IF((AP23*Paramètres!$H$4)-PORTEFEUILLE_AURELIE_T[[#This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€]]-(DELPHINE!AP22*Paramètres!$H$4),0),0)</f>
        <v>0</v>
      </c>
      <c r="AW23" s="225">
        <f>IF(AP23&lt;&gt;"",IF(((AP23*Paramètres!$H$4)-PORTEFEUILLE_AURELIE_T[[#This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3" s="190" t="str">
        <f>IF(PORTEFEUILLE_AURELIE_T[[#This Row],[BONI COMPTABLE]]&lt;&gt;0,1,"")</f>
        <v/>
      </c>
      <c r="AY23" s="190" t="str">
        <f>IF(PORTEFEUILLE_AURELIE_T[[#This Row],[MALI COMPTABLE]]&lt;&gt;0,1,"")</f>
        <v/>
      </c>
      <c r="AZ23" s="188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SUM(PORTEFEUILLE_AURELIE_T[[#This Row],[PCR COMPTABLE €]:[MONTANT
RESPONSABLE RELATION CLIENT €]])-PORTEFEUILLE_AURELIE_T[[#This Row],[MONTANT TOTAL LETTRE DE MISION €]]</f>
        <v>0</v>
      </c>
      <c r="AI24" s="191"/>
      <c r="AJ24" s="188"/>
      <c r="AK24" s="188"/>
      <c r="AL24" s="188"/>
      <c r="AM24" s="191"/>
      <c r="AN24" s="196"/>
      <c r="AO24" s="196"/>
      <c r="AP24" s="196"/>
      <c r="AQ24" s="196"/>
      <c r="AR2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4" s="188" t="str">
        <f>IF(PORTEFEUILLE_AURELIE_T[[#This Row],[BONI AAC]]&lt;&gt;0,1,"")</f>
        <v/>
      </c>
      <c r="AU24" s="188" t="str">
        <f>IF(PORTEFEUILLE_AURELIE_T[[#This Row],[MALI AAC]]&lt;&gt;0,1,"")</f>
        <v/>
      </c>
      <c r="AV24" s="225">
        <f>IF(AP24&lt;&gt;"",IF((AP24*Paramètres!$H$4)-PORTEFEUILLE_AURELIE_T[[#This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€]]-(DELPHINE!AP23*Paramètres!$H$4),0),0)</f>
        <v>0</v>
      </c>
      <c r="AW24" s="225">
        <f>IF(AP24&lt;&gt;"",IF(((AP24*Paramètres!$H$4)-PORTEFEUILLE_AURELIE_T[[#This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4" s="190" t="str">
        <f>IF(PORTEFEUILLE_AURELIE_T[[#This Row],[BONI COMPTABLE]]&lt;&gt;0,1,"")</f>
        <v/>
      </c>
      <c r="AY24" s="190" t="str">
        <f>IF(PORTEFEUILLE_AURELIE_T[[#This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SUM(PORTEFEUILLE_AURELIE_T[[#This Row],[PCR COMPTABLE €]:[MONTANT
RESPONSABLE RELATION CLIENT €]])-PORTEFEUILLE_AURELIE_T[[#This Row],[MONTANT TOTAL LETTRE DE MISION €]]</f>
        <v>0</v>
      </c>
      <c r="AI25" s="191"/>
      <c r="AJ25" s="188"/>
      <c r="AK25" s="188"/>
      <c r="AL25" s="188"/>
      <c r="AM25" s="191"/>
      <c r="AN25" s="196"/>
      <c r="AO25" s="196"/>
      <c r="AP25" s="196"/>
      <c r="AQ25" s="196"/>
      <c r="AR2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5" s="188" t="str">
        <f>IF(PORTEFEUILLE_AURELIE_T[[#This Row],[BONI AAC]]&lt;&gt;0,1,"")</f>
        <v/>
      </c>
      <c r="AU25" s="188" t="str">
        <f>IF(PORTEFEUILLE_AURELIE_T[[#This Row],[MALI AAC]]&lt;&gt;0,1,"")</f>
        <v/>
      </c>
      <c r="AV25" s="225">
        <f>IF(AP25&lt;&gt;"",IF((AP25*Paramètres!$H$4)-PORTEFEUILLE_AURELIE_T[[#This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€]]-(DELPHINE!AP24*Paramètres!$H$4),0),0)</f>
        <v>0</v>
      </c>
      <c r="AW25" s="225">
        <f>IF(AP25&lt;&gt;"",IF(((AP25*Paramètres!$H$4)-PORTEFEUILLE_AURELIE_T[[#This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5" s="190" t="str">
        <f>IF(PORTEFEUILLE_AURELIE_T[[#This Row],[BONI COMPTABLE]]&lt;&gt;0,1,"")</f>
        <v/>
      </c>
      <c r="AY25" s="190" t="str">
        <f>IF(PORTEFEUILLE_AURELIE_T[[#This Row],[MALI COMPTABLE]]&lt;&gt;0,1,"")</f>
        <v/>
      </c>
      <c r="AZ25" s="196"/>
      <c r="BA25" s="188"/>
      <c r="BB25" s="188"/>
      <c r="BC25" s="188"/>
      <c r="BD25" s="188"/>
      <c r="BE25" s="188"/>
      <c r="BF25" s="188"/>
      <c r="BG25" s="192"/>
      <c r="BH25" s="194"/>
      <c r="BI25" s="194"/>
      <c r="BJ25" s="195"/>
      <c r="BK25" s="194"/>
    </row>
    <row r="26" spans="1:63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SUM(PORTEFEUILLE_AURELIE_T[[#This Row],[PCR COMPTABLE €]:[MONTANT
RESPONSABLE RELATION CLIENT €]])-PORTEFEUILLE_AURELIE_T[[#This Row],[MONTANT TOTAL LETTRE DE MISION €]]</f>
        <v>0</v>
      </c>
      <c r="AI26" s="191"/>
      <c r="AJ26" s="188"/>
      <c r="AK26" s="188"/>
      <c r="AL26" s="188"/>
      <c r="AM26" s="191"/>
      <c r="AN26" s="196"/>
      <c r="AO26" s="196"/>
      <c r="AP26" s="196"/>
      <c r="AQ26" s="196"/>
      <c r="AR2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6" s="188" t="str">
        <f>IF(PORTEFEUILLE_AURELIE_T[[#This Row],[BONI AAC]]&lt;&gt;0,1,"")</f>
        <v/>
      </c>
      <c r="AU26" s="188" t="str">
        <f>IF(PORTEFEUILLE_AURELIE_T[[#This Row],[MALI AAC]]&lt;&gt;0,1,"")</f>
        <v/>
      </c>
      <c r="AV26" s="225">
        <f>IF(AP26&lt;&gt;"",IF((AP26*Paramètres!$H$4)-PORTEFEUILLE_AURELIE_T[[#This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€]]-(DELPHINE!AP25*Paramètres!$H$4),0),0)</f>
        <v>0</v>
      </c>
      <c r="AW26" s="225">
        <f>IF(AP26&lt;&gt;"",IF(((AP26*Paramètres!$H$4)-PORTEFEUILLE_AURELIE_T[[#This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6" s="190" t="str">
        <f>IF(PORTEFEUILLE_AURELIE_T[[#This Row],[BONI COMPTABLE]]&lt;&gt;0,1,"")</f>
        <v/>
      </c>
      <c r="AY26" s="190" t="str">
        <f>IF(PORTEFEUILLE_AURELIE_T[[#This Row],[MALI COMPTABLE]]&lt;&gt;0,1,"")</f>
        <v/>
      </c>
      <c r="AZ26" s="196"/>
      <c r="BA26" s="188"/>
      <c r="BB26" s="188"/>
      <c r="BC26" s="188"/>
      <c r="BD26" s="188"/>
      <c r="BE26" s="188"/>
      <c r="BF26" s="188"/>
      <c r="BG26" s="192"/>
      <c r="BH26" s="194"/>
      <c r="BI26" s="194"/>
      <c r="BJ26" s="195"/>
      <c r="BK26" s="194"/>
    </row>
    <row r="27" spans="1:63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SUM(PORTEFEUILLE_AURELIE_T[[#This Row],[PCR COMPTABLE €]:[MONTANT
RESPONSABLE RELATION CLIENT €]])-PORTEFEUILLE_AURELIE_T[[#This Row],[MONTANT TOTAL LETTRE DE MISION €]]</f>
        <v>0</v>
      </c>
      <c r="AI27" s="191"/>
      <c r="AJ27" s="188"/>
      <c r="AK27" s="188"/>
      <c r="AL27" s="188"/>
      <c r="AM27" s="191"/>
      <c r="AN27" s="196"/>
      <c r="AO27" s="196"/>
      <c r="AP27" s="196"/>
      <c r="AQ27" s="196"/>
      <c r="AR2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7" s="188" t="str">
        <f>IF(PORTEFEUILLE_AURELIE_T[[#This Row],[BONI AAC]]&lt;&gt;0,1,"")</f>
        <v/>
      </c>
      <c r="AU27" s="188" t="str">
        <f>IF(PORTEFEUILLE_AURELIE_T[[#This Row],[MALI AAC]]&lt;&gt;0,1,"")</f>
        <v/>
      </c>
      <c r="AV27" s="225">
        <f>IF(AP27&lt;&gt;"",IF((AP27*Paramètres!$H$4)-PORTEFEUILLE_AURELIE_T[[#This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€]]-(DELPHINE!AP26*Paramètres!$H$4),0),0)</f>
        <v>0</v>
      </c>
      <c r="AW27" s="225">
        <f>IF(AP27&lt;&gt;"",IF(((AP27*Paramètres!$H$4)-PORTEFEUILLE_AURELIE_T[[#This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7" s="190" t="str">
        <f>IF(PORTEFEUILLE_AURELIE_T[[#This Row],[BONI COMPTABLE]]&lt;&gt;0,1,"")</f>
        <v/>
      </c>
      <c r="AY27" s="190" t="str">
        <f>IF(PORTEFEUILLE_AURELIE_T[[#This Row],[MALI COMPTABLE]]&lt;&gt;0,1,"")</f>
        <v/>
      </c>
      <c r="AZ27" s="196"/>
      <c r="BA27" s="188"/>
      <c r="BB27" s="188"/>
      <c r="BC27" s="188"/>
      <c r="BD27" s="188"/>
      <c r="BE27" s="188"/>
      <c r="BF27" s="188"/>
      <c r="BG27" s="192"/>
      <c r="BH27" s="194"/>
      <c r="BI27" s="194"/>
      <c r="BJ27" s="195"/>
      <c r="BK27" s="194"/>
    </row>
    <row r="28" spans="1:63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SUM(PORTEFEUILLE_AURELIE_T[[#This Row],[PCR COMPTABLE €]:[MONTANT
RESPONSABLE RELATION CLIENT €]])-PORTEFEUILLE_AURELIE_T[[#This Row],[MONTANT TOTAL LETTRE DE MISION €]]</f>
        <v>0</v>
      </c>
      <c r="AI28" s="191"/>
      <c r="AJ28" s="188"/>
      <c r="AK28" s="188"/>
      <c r="AL28" s="188"/>
      <c r="AM28" s="191"/>
      <c r="AN28" s="188"/>
      <c r="AO28" s="188"/>
      <c r="AP28" s="188"/>
      <c r="AQ28" s="188"/>
      <c r="AR2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8" s="188" t="str">
        <f>IF(PORTEFEUILLE_AURELIE_T[[#This Row],[BONI AAC]]&lt;&gt;0,1,"")</f>
        <v/>
      </c>
      <c r="AU28" s="188" t="str">
        <f>IF(PORTEFEUILLE_AURELIE_T[[#This Row],[MALI AAC]]&lt;&gt;0,1,"")</f>
        <v/>
      </c>
      <c r="AV28" s="225">
        <f>IF(AP28&lt;&gt;"",IF((AP28*Paramètres!$H$4)-PORTEFEUILLE_AURELIE_T[[#This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€]]-(DELPHINE!AP27*Paramètres!$H$4),0),0)</f>
        <v>0</v>
      </c>
      <c r="AW28" s="225">
        <f>IF(AP28&lt;&gt;"",IF(((AP28*Paramètres!$H$4)-PORTEFEUILLE_AURELIE_T[[#This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8" s="190" t="str">
        <f>IF(PORTEFEUILLE_AURELIE_T[[#This Row],[BONI COMPTABLE]]&lt;&gt;0,1,"")</f>
        <v/>
      </c>
      <c r="AY28" s="190" t="str">
        <f>IF(PORTEFEUILLE_AURELIE_T[[#This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6"/>
      <c r="BI28" s="196"/>
      <c r="BJ28" s="198"/>
      <c r="BK28" s="196"/>
    </row>
    <row r="29" spans="1:63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SUM(PORTEFEUILLE_AURELIE_T[[#This Row],[PCR COMPTABLE €]:[MONTANT
RESPONSABLE RELATION CLIENT €]])-PORTEFEUILLE_AURELIE_T[[#This Row],[MONTANT TOTAL LETTRE DE MISION €]]</f>
        <v>0</v>
      </c>
      <c r="AI29" s="191"/>
      <c r="AJ29" s="188"/>
      <c r="AK29" s="188"/>
      <c r="AL29" s="188"/>
      <c r="AM29" s="191"/>
      <c r="AN29" s="188"/>
      <c r="AO29" s="188"/>
      <c r="AP29" s="188"/>
      <c r="AQ29" s="188"/>
      <c r="AR2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2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29" s="188" t="str">
        <f>IF(PORTEFEUILLE_AURELIE_T[[#This Row],[BONI AAC]]&lt;&gt;0,1,"")</f>
        <v/>
      </c>
      <c r="AU29" s="188" t="str">
        <f>IF(PORTEFEUILLE_AURELIE_T[[#This Row],[MALI AAC]]&lt;&gt;0,1,"")</f>
        <v/>
      </c>
      <c r="AV29" s="225">
        <f>IF(AP29&lt;&gt;"",IF((AP29*Paramètres!$H$4)-PORTEFEUILLE_AURELIE_T[[#This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€]]-(DELPHINE!AP28*Paramètres!$H$4),0),0)</f>
        <v>0</v>
      </c>
      <c r="AW29" s="225">
        <f>IF(AP29&lt;&gt;"",IF(((AP29*Paramètres!$H$4)-PORTEFEUILLE_AURELIE_T[[#This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29" s="190" t="str">
        <f>IF(PORTEFEUILLE_AURELIE_T[[#This Row],[BONI COMPTABLE]]&lt;&gt;0,1,"")</f>
        <v/>
      </c>
      <c r="AY29" s="190" t="str">
        <f>IF(PORTEFEUILLE_AURELIE_T[[#This Row],[MALI COMPTABLE]]&lt;&gt;0,1,"")</f>
        <v/>
      </c>
      <c r="AZ29" s="188"/>
      <c r="BA29" s="188"/>
      <c r="BB29" s="188"/>
      <c r="BC29" s="188"/>
      <c r="BD29" s="196"/>
      <c r="BE29" s="196"/>
      <c r="BF29" s="196"/>
      <c r="BG29" s="192"/>
      <c r="BH29" s="194"/>
      <c r="BI29" s="194"/>
      <c r="BJ29" s="195"/>
      <c r="BK29" s="194"/>
    </row>
    <row r="30" spans="1:63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SUM(PORTEFEUILLE_AURELIE_T[[#This Row],[PCR COMPTABLE €]:[MONTANT
RESPONSABLE RELATION CLIENT €]])-PORTEFEUILLE_AURELIE_T[[#This Row],[MONTANT TOTAL LETTRE DE MISION €]]</f>
        <v>0</v>
      </c>
      <c r="AI30" s="191"/>
      <c r="AJ30" s="188"/>
      <c r="AK30" s="188"/>
      <c r="AL30" s="188"/>
      <c r="AM30" s="191"/>
      <c r="AN30" s="188"/>
      <c r="AO30" s="188"/>
      <c r="AP30" s="188"/>
      <c r="AQ30" s="188"/>
      <c r="AR3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0" s="188" t="str">
        <f>IF(PORTEFEUILLE_AURELIE_T[[#This Row],[BONI AAC]]&lt;&gt;0,1,"")</f>
        <v/>
      </c>
      <c r="AU30" s="188" t="str">
        <f>IF(PORTEFEUILLE_AURELIE_T[[#This Row],[MALI AAC]]&lt;&gt;0,1,"")</f>
        <v/>
      </c>
      <c r="AV30" s="225">
        <f>IF(AP30&lt;&gt;"",IF((AP30*Paramètres!$H$4)-PORTEFEUILLE_AURELIE_T[[#This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€]]-(DELPHINE!AP29*Paramètres!$H$4),0),0)</f>
        <v>0</v>
      </c>
      <c r="AW30" s="225">
        <f>IF(AP30&lt;&gt;"",IF(((AP30*Paramètres!$H$4)-PORTEFEUILLE_AURELIE_T[[#This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0" s="190" t="str">
        <f>IF(PORTEFEUILLE_AURELIE_T[[#This Row],[BONI COMPTABLE]]&lt;&gt;0,1,"")</f>
        <v/>
      </c>
      <c r="AY30" s="190" t="str">
        <f>IF(PORTEFEUILLE_AURELIE_T[[#This Row],[MALI COMPTABLE]]&lt;&gt;0,1,"")</f>
        <v/>
      </c>
      <c r="AZ30" s="188"/>
      <c r="BA30" s="188"/>
      <c r="BB30" s="188"/>
      <c r="BC30" s="188"/>
      <c r="BD30" s="188"/>
      <c r="BE30" s="188"/>
      <c r="BF30" s="188"/>
      <c r="BG30" s="192"/>
      <c r="BH30" s="194"/>
      <c r="BI30" s="194"/>
      <c r="BJ30" s="195"/>
      <c r="BK30" s="194"/>
    </row>
    <row r="31" spans="1:63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SUM(PORTEFEUILLE_AURELIE_T[[#This Row],[PCR COMPTABLE €]:[MONTANT
RESPONSABLE RELATION CLIENT €]])-PORTEFEUILLE_AURELIE_T[[#This Row],[MONTANT TOTAL LETTRE DE MISION €]]</f>
        <v>0</v>
      </c>
      <c r="AI31" s="191"/>
      <c r="AJ31" s="188"/>
      <c r="AK31" s="188"/>
      <c r="AL31" s="188"/>
      <c r="AM31" s="191"/>
      <c r="AN31" s="188"/>
      <c r="AO31" s="188"/>
      <c r="AP31" s="188"/>
      <c r="AQ31" s="188"/>
      <c r="AR3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1" s="188" t="str">
        <f>IF(PORTEFEUILLE_AURELIE_T[[#This Row],[BONI AAC]]&lt;&gt;0,1,"")</f>
        <v/>
      </c>
      <c r="AU31" s="188" t="str">
        <f>IF(PORTEFEUILLE_AURELIE_T[[#This Row],[MALI AAC]]&lt;&gt;0,1,"")</f>
        <v/>
      </c>
      <c r="AV31" s="225">
        <f>IF(AP31&lt;&gt;"",IF((AP31*Paramètres!$H$4)-PORTEFEUILLE_AURELIE_T[[#This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€]]-(DELPHINE!AP30*Paramètres!$H$4),0),0)</f>
        <v>0</v>
      </c>
      <c r="AW31" s="225">
        <f>IF(AP31&lt;&gt;"",IF(((AP31*Paramètres!$H$4)-PORTEFEUILLE_AURELIE_T[[#This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1" s="190" t="str">
        <f>IF(PORTEFEUILLE_AURELIE_T[[#This Row],[BONI COMPTABLE]]&lt;&gt;0,1,"")</f>
        <v/>
      </c>
      <c r="AY31" s="190" t="str">
        <f>IF(PORTEFEUILLE_AURELIE_T[[#This Row],[MALI COMPTABLE]]&lt;&gt;0,1,"")</f>
        <v/>
      </c>
      <c r="AZ31" s="188"/>
      <c r="BA31" s="188"/>
      <c r="BB31" s="188"/>
      <c r="BC31" s="188"/>
      <c r="BD31" s="196"/>
      <c r="BE31" s="196"/>
      <c r="BF31" s="196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SUM(PORTEFEUILLE_AURELIE_T[[#This Row],[PCR COMPTABLE €]:[MONTANT
RESPONSABLE RELATION CLIENT €]])-PORTEFEUILLE_AURELIE_T[[#This Row],[MONTANT TOTAL LETTRE DE MISION €]]</f>
        <v>0</v>
      </c>
      <c r="AI32" s="191"/>
      <c r="AJ32" s="188"/>
      <c r="AK32" s="188"/>
      <c r="AL32" s="188"/>
      <c r="AM32" s="191"/>
      <c r="AN32" s="188"/>
      <c r="AO32" s="188"/>
      <c r="AP32" s="188"/>
      <c r="AQ32" s="188"/>
      <c r="AR3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2" s="188" t="str">
        <f>IF(PORTEFEUILLE_AURELIE_T[[#This Row],[BONI AAC]]&lt;&gt;0,1,"")</f>
        <v/>
      </c>
      <c r="AU32" s="188" t="str">
        <f>IF(PORTEFEUILLE_AURELIE_T[[#This Row],[MALI AAC]]&lt;&gt;0,1,"")</f>
        <v/>
      </c>
      <c r="AV32" s="225">
        <f>IF(AP32&lt;&gt;"",IF((AP32*Paramètres!$H$4)-PORTEFEUILLE_AURELIE_T[[#This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€]]-(DELPHINE!AP31*Paramètres!$H$4),0),0)</f>
        <v>0</v>
      </c>
      <c r="AW32" s="225">
        <f>IF(AP32&lt;&gt;"",IF(((AP32*Paramètres!$H$4)-PORTEFEUILLE_AURELIE_T[[#This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2" s="190" t="str">
        <f>IF(PORTEFEUILLE_AURELIE_T[[#This Row],[BONI COMPTABLE]]&lt;&gt;0,1,"")</f>
        <v/>
      </c>
      <c r="AY32" s="190" t="str">
        <f>IF(PORTEFEUILLE_AURELIE_T[[#This Row],[MALI COMPTABLE]]&lt;&gt;0,1,"")</f>
        <v/>
      </c>
      <c r="AZ32" s="188"/>
      <c r="BA32" s="188"/>
      <c r="BB32" s="188"/>
      <c r="BC32" s="188"/>
      <c r="BD32" s="188"/>
      <c r="BE32" s="188"/>
      <c r="BF32" s="188"/>
      <c r="BG32" s="192"/>
      <c r="BH32" s="194"/>
      <c r="BI32" s="194"/>
      <c r="BJ32" s="195"/>
      <c r="BK32" s="194"/>
    </row>
    <row r="33" spans="1:63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SUM(PORTEFEUILLE_AURELIE_T[[#This Row],[PCR COMPTABLE €]:[MONTANT
RESPONSABLE RELATION CLIENT €]])-PORTEFEUILLE_AURELIE_T[[#This Row],[MONTANT TOTAL LETTRE DE MISION €]]</f>
        <v>0</v>
      </c>
      <c r="AI33" s="191"/>
      <c r="AJ33" s="188"/>
      <c r="AK33" s="188"/>
      <c r="AL33" s="188"/>
      <c r="AM33" s="191"/>
      <c r="AN33" s="196"/>
      <c r="AO33" s="196"/>
      <c r="AP33" s="196"/>
      <c r="AQ33" s="196"/>
      <c r="AR3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3" s="188" t="str">
        <f>IF(PORTEFEUILLE_AURELIE_T[[#This Row],[BONI AAC]]&lt;&gt;0,1,"")</f>
        <v/>
      </c>
      <c r="AU33" s="188" t="str">
        <f>IF(PORTEFEUILLE_AURELIE_T[[#This Row],[MALI AAC]]&lt;&gt;0,1,"")</f>
        <v/>
      </c>
      <c r="AV33" s="225">
        <f>IF(AP33&lt;&gt;"",IF((AP33*Paramètres!$H$4)-PORTEFEUILLE_AURELIE_T[[#This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€]]-(DELPHINE!AP32*Paramètres!$H$4),0),0)</f>
        <v>0</v>
      </c>
      <c r="AW33" s="225">
        <f>IF(AP33&lt;&gt;"",IF(((AP33*Paramètres!$H$4)-PORTEFEUILLE_AURELIE_T[[#This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3" s="190" t="str">
        <f>IF(PORTEFEUILLE_AURELIE_T[[#This Row],[BONI COMPTABLE]]&lt;&gt;0,1,"")</f>
        <v/>
      </c>
      <c r="AY33" s="190" t="str">
        <f>IF(PORTEFEUILLE_AURELIE_T[[#This Row],[MALI COMPTABLE]]&lt;&gt;0,1,"")</f>
        <v/>
      </c>
      <c r="AZ33" s="196"/>
      <c r="BA33" s="188"/>
      <c r="BB33" s="188"/>
      <c r="BC33" s="188"/>
      <c r="BD33" s="196"/>
      <c r="BE33" s="196"/>
      <c r="BF33" s="196"/>
      <c r="BG33" s="192"/>
      <c r="BH33" s="194"/>
      <c r="BI33" s="194"/>
      <c r="BJ33" s="195"/>
      <c r="BK33" s="194"/>
    </row>
    <row r="34" spans="1:63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SUM(PORTEFEUILLE_AURELIE_T[[#This Row],[PCR COMPTABLE €]:[MONTANT
RESPONSABLE RELATION CLIENT €]])-PORTEFEUILLE_AURELIE_T[[#This Row],[MONTANT TOTAL LETTRE DE MISION €]]</f>
        <v>0</v>
      </c>
      <c r="AI34" s="191"/>
      <c r="AJ34" s="188"/>
      <c r="AK34" s="188"/>
      <c r="AL34" s="188"/>
      <c r="AM34" s="191"/>
      <c r="AN34" s="196"/>
      <c r="AO34" s="196"/>
      <c r="AP34" s="196"/>
      <c r="AQ34" s="196"/>
      <c r="AR3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4" s="188" t="str">
        <f>IF(PORTEFEUILLE_AURELIE_T[[#This Row],[BONI AAC]]&lt;&gt;0,1,"")</f>
        <v/>
      </c>
      <c r="AU34" s="188" t="str">
        <f>IF(PORTEFEUILLE_AURELIE_T[[#This Row],[MALI AAC]]&lt;&gt;0,1,"")</f>
        <v/>
      </c>
      <c r="AV34" s="225">
        <f>IF(AP34&lt;&gt;"",IF((AP34*Paramètres!$H$4)-PORTEFEUILLE_AURELIE_T[[#This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€]]-(DELPHINE!AP33*Paramètres!$H$4),0),0)</f>
        <v>0</v>
      </c>
      <c r="AW34" s="225">
        <f>IF(AP34&lt;&gt;"",IF(((AP34*Paramètres!$H$4)-PORTEFEUILLE_AURELIE_T[[#This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4" s="190" t="str">
        <f>IF(PORTEFEUILLE_AURELIE_T[[#This Row],[BONI COMPTABLE]]&lt;&gt;0,1,"")</f>
        <v/>
      </c>
      <c r="AY34" s="190" t="str">
        <f>IF(PORTEFEUILLE_AURELIE_T[[#This Row],[MALI COMPTABLE]]&lt;&gt;0,1,"")</f>
        <v/>
      </c>
      <c r="AZ34" s="196"/>
      <c r="BA34" s="188"/>
      <c r="BB34" s="188"/>
      <c r="BC34" s="188"/>
      <c r="BD34" s="188"/>
      <c r="BE34" s="188"/>
      <c r="BF34" s="188"/>
      <c r="BG34" s="192"/>
      <c r="BH34" s="194"/>
      <c r="BI34" s="194"/>
      <c r="BJ34" s="195"/>
      <c r="BK34" s="194"/>
    </row>
    <row r="35" spans="1:63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SUM(PORTEFEUILLE_AURELIE_T[[#This Row],[PCR COMPTABLE €]:[MONTANT
RESPONSABLE RELATION CLIENT €]])-PORTEFEUILLE_AURELIE_T[[#This Row],[MONTANT TOTAL LETTRE DE MISION €]]</f>
        <v>0</v>
      </c>
      <c r="AI35" s="191"/>
      <c r="AJ35" s="188"/>
      <c r="AK35" s="188"/>
      <c r="AL35" s="188"/>
      <c r="AM35" s="191"/>
      <c r="AN35" s="188"/>
      <c r="AO35" s="188"/>
      <c r="AP35" s="188"/>
      <c r="AQ35" s="188"/>
      <c r="AR3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5" s="188" t="str">
        <f>IF(PORTEFEUILLE_AURELIE_T[[#This Row],[BONI AAC]]&lt;&gt;0,1,"")</f>
        <v/>
      </c>
      <c r="AU35" s="188" t="str">
        <f>IF(PORTEFEUILLE_AURELIE_T[[#This Row],[MALI AAC]]&lt;&gt;0,1,"")</f>
        <v/>
      </c>
      <c r="AV35" s="225">
        <f>IF(AP35&lt;&gt;"",IF((AP35*Paramètres!$H$4)-PORTEFEUILLE_AURELIE_T[[#This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€]]-(DELPHINE!AP34*Paramètres!$H$4),0),0)</f>
        <v>0</v>
      </c>
      <c r="AW35" s="225">
        <f>IF(AP35&lt;&gt;"",IF(((AP35*Paramètres!$H$4)-PORTEFEUILLE_AURELIE_T[[#This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5" s="190" t="str">
        <f>IF(PORTEFEUILLE_AURELIE_T[[#This Row],[BONI COMPTABLE]]&lt;&gt;0,1,"")</f>
        <v/>
      </c>
      <c r="AY35" s="190" t="str">
        <f>IF(PORTEFEUILLE_AURELIE_T[[#This Row],[MALI COMPTABLE]]&lt;&gt;0,1,"")</f>
        <v/>
      </c>
      <c r="AZ35" s="188"/>
      <c r="BA35" s="188"/>
      <c r="BB35" s="188"/>
      <c r="BC35" s="188"/>
      <c r="BD35" s="188"/>
      <c r="BE35" s="188"/>
      <c r="BF35" s="188"/>
      <c r="BG35" s="192"/>
      <c r="BH35" s="194"/>
      <c r="BI35" s="194"/>
      <c r="BJ35" s="195"/>
      <c r="BK35" s="194"/>
    </row>
    <row r="36" spans="1:63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SUM(PORTEFEUILLE_AURELIE_T[[#This Row],[PCR COMPTABLE €]:[MONTANT
RESPONSABLE RELATION CLIENT €]])-PORTEFEUILLE_AURELIE_T[[#This Row],[MONTANT TOTAL LETTRE DE MISION €]]</f>
        <v>0</v>
      </c>
      <c r="AI36" s="191"/>
      <c r="AJ36" s="188"/>
      <c r="AK36" s="188"/>
      <c r="AL36" s="188"/>
      <c r="AM36" s="191"/>
      <c r="AN36" s="188"/>
      <c r="AO36" s="188"/>
      <c r="AP36" s="188"/>
      <c r="AQ36" s="188"/>
      <c r="AR3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6" s="188" t="str">
        <f>IF(PORTEFEUILLE_AURELIE_T[[#This Row],[BONI AAC]]&lt;&gt;0,1,"")</f>
        <v/>
      </c>
      <c r="AU36" s="188" t="str">
        <f>IF(PORTEFEUILLE_AURELIE_T[[#This Row],[MALI AAC]]&lt;&gt;0,1,"")</f>
        <v/>
      </c>
      <c r="AV36" s="225">
        <f>IF(AP36&lt;&gt;"",IF((AP36*Paramètres!$H$4)-PORTEFEUILLE_AURELIE_T[[#This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€]]-(DELPHINE!AP35*Paramètres!$H$4),0),0)</f>
        <v>0</v>
      </c>
      <c r="AW36" s="225">
        <f>IF(AP36&lt;&gt;"",IF(((AP36*Paramètres!$H$4)-PORTEFEUILLE_AURELIE_T[[#This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6" s="190" t="str">
        <f>IF(PORTEFEUILLE_AURELIE_T[[#This Row],[BONI COMPTABLE]]&lt;&gt;0,1,"")</f>
        <v/>
      </c>
      <c r="AY36" s="190" t="str">
        <f>IF(PORTEFEUILLE_AURELIE_T[[#This Row],[MALI COMPTABLE]]&lt;&gt;0,1,"")</f>
        <v/>
      </c>
      <c r="AZ36" s="188"/>
      <c r="BA36" s="188"/>
      <c r="BB36" s="188"/>
      <c r="BC36" s="188"/>
      <c r="BD36" s="196"/>
      <c r="BE36" s="196"/>
      <c r="BF36" s="196"/>
      <c r="BG36" s="192"/>
      <c r="BH36" s="194"/>
      <c r="BI36" s="194"/>
      <c r="BJ36" s="195"/>
      <c r="BK36" s="194"/>
    </row>
    <row r="37" spans="1:63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SUM(PORTEFEUILLE_AURELIE_T[[#This Row],[PCR COMPTABLE €]:[MONTANT
RESPONSABLE RELATION CLIENT €]])-PORTEFEUILLE_AURELIE_T[[#This Row],[MONTANT TOTAL LETTRE DE MISION €]]</f>
        <v>0</v>
      </c>
      <c r="AI37" s="191"/>
      <c r="AJ37" s="188"/>
      <c r="AK37" s="188"/>
      <c r="AL37" s="188"/>
      <c r="AM37" s="191"/>
      <c r="AN37" s="188"/>
      <c r="AO37" s="188"/>
      <c r="AP37" s="188"/>
      <c r="AQ37" s="188"/>
      <c r="AR3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7" s="188" t="str">
        <f>IF(PORTEFEUILLE_AURELIE_T[[#This Row],[BONI AAC]]&lt;&gt;0,1,"")</f>
        <v/>
      </c>
      <c r="AU37" s="188" t="str">
        <f>IF(PORTEFEUILLE_AURELIE_T[[#This Row],[MALI AAC]]&lt;&gt;0,1,"")</f>
        <v/>
      </c>
      <c r="AV37" s="225">
        <f>IF(AP37&lt;&gt;"",IF((AP37*Paramètres!$H$4)-PORTEFEUILLE_AURELIE_T[[#This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€]]-(DELPHINE!AP36*Paramètres!$H$4),0),0)</f>
        <v>0</v>
      </c>
      <c r="AW37" s="225">
        <f>IF(AP37&lt;&gt;"",IF(((AP37*Paramètres!$H$4)-PORTEFEUILLE_AURELIE_T[[#This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7" s="190" t="str">
        <f>IF(PORTEFEUILLE_AURELIE_T[[#This Row],[BONI COMPTABLE]]&lt;&gt;0,1,"")</f>
        <v/>
      </c>
      <c r="AY37" s="190" t="str">
        <f>IF(PORTEFEUILLE_AURELIE_T[[#This Row],[MALI COMPTABLE]]&lt;&gt;0,1,"")</f>
        <v/>
      </c>
      <c r="AZ37" s="188"/>
      <c r="BA37" s="188"/>
      <c r="BB37" s="188"/>
      <c r="BC37" s="188"/>
      <c r="BD37" s="196"/>
      <c r="BE37" s="196"/>
      <c r="BF37" s="196"/>
      <c r="BG37" s="192"/>
      <c r="BH37" s="194"/>
      <c r="BI37" s="194"/>
      <c r="BJ37" s="195"/>
      <c r="BK37" s="194"/>
    </row>
    <row r="38" spans="1:63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SUM(PORTEFEUILLE_AURELIE_T[[#This Row],[PCR COMPTABLE €]:[MONTANT
RESPONSABLE RELATION CLIENT €]])-PORTEFEUILLE_AURELIE_T[[#This Row],[MONTANT TOTAL LETTRE DE MISION €]]</f>
        <v>0</v>
      </c>
      <c r="AI38" s="191"/>
      <c r="AJ38" s="188"/>
      <c r="AK38" s="188"/>
      <c r="AL38" s="188"/>
      <c r="AM38" s="191"/>
      <c r="AN38" s="188"/>
      <c r="AO38" s="188"/>
      <c r="AP38" s="188"/>
      <c r="AQ38" s="188"/>
      <c r="AR3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8" s="188" t="str">
        <f>IF(PORTEFEUILLE_AURELIE_T[[#This Row],[BONI AAC]]&lt;&gt;0,1,"")</f>
        <v/>
      </c>
      <c r="AU38" s="188" t="str">
        <f>IF(PORTEFEUILLE_AURELIE_T[[#This Row],[MALI AAC]]&lt;&gt;0,1,"")</f>
        <v/>
      </c>
      <c r="AV38" s="225">
        <f>IF(AP38&lt;&gt;"",IF((AP38*Paramètres!$H$4)-PORTEFEUILLE_AURELIE_T[[#This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€]]-(DELPHINE!AP37*Paramètres!$H$4),0),0)</f>
        <v>0</v>
      </c>
      <c r="AW38" s="225">
        <f>IF(AP38&lt;&gt;"",IF(((AP38*Paramètres!$H$4)-PORTEFEUILLE_AURELIE_T[[#This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8" s="190" t="str">
        <f>IF(PORTEFEUILLE_AURELIE_T[[#This Row],[BONI COMPTABLE]]&lt;&gt;0,1,"")</f>
        <v/>
      </c>
      <c r="AY38" s="190" t="str">
        <f>IF(PORTEFEUILLE_AURELIE_T[[#This Row],[MALI COMPTABLE]]&lt;&gt;0,1,"")</f>
        <v/>
      </c>
      <c r="AZ38" s="188"/>
      <c r="BA38" s="188"/>
      <c r="BB38" s="188"/>
      <c r="BC38" s="188"/>
      <c r="BD38" s="196"/>
      <c r="BE38" s="196"/>
      <c r="BF38" s="196"/>
      <c r="BG38" s="192"/>
      <c r="BH38" s="194"/>
      <c r="BI38" s="194"/>
      <c r="BJ38" s="195"/>
      <c r="BK38" s="194"/>
    </row>
    <row r="39" spans="1:63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SUM(PORTEFEUILLE_AURELIE_T[[#This Row],[PCR COMPTABLE €]:[MONTANT
RESPONSABLE RELATION CLIENT €]])-PORTEFEUILLE_AURELIE_T[[#This Row],[MONTANT TOTAL LETTRE DE MISION €]]</f>
        <v>0</v>
      </c>
      <c r="AI39" s="191"/>
      <c r="AJ39" s="188"/>
      <c r="AK39" s="188"/>
      <c r="AL39" s="188"/>
      <c r="AM39" s="191"/>
      <c r="AN39" s="188"/>
      <c r="AO39" s="188"/>
      <c r="AP39" s="188"/>
      <c r="AQ39" s="188"/>
      <c r="AR3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3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39" s="188" t="str">
        <f>IF(PORTEFEUILLE_AURELIE_T[[#This Row],[BONI AAC]]&lt;&gt;0,1,"")</f>
        <v/>
      </c>
      <c r="AU39" s="188" t="str">
        <f>IF(PORTEFEUILLE_AURELIE_T[[#This Row],[MALI AAC]]&lt;&gt;0,1,"")</f>
        <v/>
      </c>
      <c r="AV39" s="225">
        <f>IF(AP39&lt;&gt;"",IF((AP39*Paramètres!$H$4)-PORTEFEUILLE_AURELIE_T[[#This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€]]-(DELPHINE!AP38*Paramètres!$H$4),0),0)</f>
        <v>0</v>
      </c>
      <c r="AW39" s="225">
        <f>IF(AP39&lt;&gt;"",IF(((AP39*Paramètres!$H$4)-PORTEFEUILLE_AURELIE_T[[#This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39" s="190" t="str">
        <f>IF(PORTEFEUILLE_AURELIE_T[[#This Row],[BONI COMPTABLE]]&lt;&gt;0,1,"")</f>
        <v/>
      </c>
      <c r="AY39" s="190" t="str">
        <f>IF(PORTEFEUILLE_AURELIE_T[[#This Row],[MALI COMPTABLE]]&lt;&gt;0,1,"")</f>
        <v/>
      </c>
      <c r="AZ39" s="188"/>
      <c r="BA39" s="188"/>
      <c r="BB39" s="188"/>
      <c r="BC39" s="188"/>
      <c r="BD39" s="188"/>
      <c r="BE39" s="188"/>
      <c r="BF39" s="188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SUM(PORTEFEUILLE_AURELIE_T[[#This Row],[PCR COMPTABLE €]:[MONTANT
RESPONSABLE RELATION CLIENT €]])-PORTEFEUILLE_AURELIE_T[[#This Row],[MONTANT TOTAL LETTRE DE MISION €]]</f>
        <v>0</v>
      </c>
      <c r="AI40" s="191"/>
      <c r="AJ40" s="188"/>
      <c r="AK40" s="188"/>
      <c r="AL40" s="188"/>
      <c r="AM40" s="191"/>
      <c r="AN40" s="188"/>
      <c r="AO40" s="188"/>
      <c r="AP40" s="188"/>
      <c r="AQ40" s="188"/>
      <c r="AR4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0" s="188" t="str">
        <f>IF(PORTEFEUILLE_AURELIE_T[[#This Row],[BONI AAC]]&lt;&gt;0,1,"")</f>
        <v/>
      </c>
      <c r="AU40" s="188" t="str">
        <f>IF(PORTEFEUILLE_AURELIE_T[[#This Row],[MALI AAC]]&lt;&gt;0,1,"")</f>
        <v/>
      </c>
      <c r="AV40" s="225">
        <f>IF(AP40&lt;&gt;"",IF((AP40*Paramètres!$H$4)-PORTEFEUILLE_AURELIE_T[[#This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€]]-(DELPHINE!AP39*Paramètres!$H$4),0),0)</f>
        <v>0</v>
      </c>
      <c r="AW40" s="225">
        <f>IF(AP40&lt;&gt;"",IF(((AP40*Paramètres!$H$4)-PORTEFEUILLE_AURELIE_T[[#This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0" s="190" t="str">
        <f>IF(PORTEFEUILLE_AURELIE_T[[#This Row],[BONI COMPTABLE]]&lt;&gt;0,1,"")</f>
        <v/>
      </c>
      <c r="AY40" s="190" t="str">
        <f>IF(PORTEFEUILLE_AURELIE_T[[#This Row],[MALI COMPTABLE]]&lt;&gt;0,1,"")</f>
        <v/>
      </c>
      <c r="AZ40" s="188"/>
      <c r="BA40" s="188"/>
      <c r="BB40" s="188"/>
      <c r="BC40" s="188"/>
      <c r="BD40" s="188"/>
      <c r="BE40" s="188"/>
      <c r="BF40" s="188"/>
      <c r="BG40" s="192"/>
      <c r="BH40" s="194"/>
      <c r="BI40" s="194"/>
      <c r="BJ40" s="195"/>
      <c r="BK40" s="194"/>
    </row>
    <row r="41" spans="1:63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SUM(PORTEFEUILLE_AURELIE_T[[#This Row],[PCR COMPTABLE €]:[MONTANT
RESPONSABLE RELATION CLIENT €]])-PORTEFEUILLE_AURELIE_T[[#This Row],[MONTANT TOTAL LETTRE DE MISION €]]</f>
        <v>0</v>
      </c>
      <c r="AI41" s="191"/>
      <c r="AJ41" s="188"/>
      <c r="AK41" s="188"/>
      <c r="AL41" s="188"/>
      <c r="AM41" s="191"/>
      <c r="AN41" s="196"/>
      <c r="AO41" s="196"/>
      <c r="AP41" s="196"/>
      <c r="AQ41" s="196"/>
      <c r="AR4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1" s="188" t="str">
        <f>IF(PORTEFEUILLE_AURELIE_T[[#This Row],[BONI AAC]]&lt;&gt;0,1,"")</f>
        <v/>
      </c>
      <c r="AU41" s="188" t="str">
        <f>IF(PORTEFEUILLE_AURELIE_T[[#This Row],[MALI AAC]]&lt;&gt;0,1,"")</f>
        <v/>
      </c>
      <c r="AV41" s="225">
        <f>IF(AP41&lt;&gt;"",IF((AP41*Paramètres!$H$4)-PORTEFEUILLE_AURELIE_T[[#This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€]]-(DELPHINE!AP40*Paramètres!$H$4),0),0)</f>
        <v>0</v>
      </c>
      <c r="AW41" s="225">
        <f>IF(AP41&lt;&gt;"",IF(((AP41*Paramètres!$H$4)-PORTEFEUILLE_AURELIE_T[[#This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1" s="190" t="str">
        <f>IF(PORTEFEUILLE_AURELIE_T[[#This Row],[BONI COMPTABLE]]&lt;&gt;0,1,"")</f>
        <v/>
      </c>
      <c r="AY41" s="190" t="str">
        <f>IF(PORTEFEUILLE_AURELIE_T[[#This Row],[MALI COMPTABLE]]&lt;&gt;0,1,"")</f>
        <v/>
      </c>
      <c r="AZ41" s="196"/>
      <c r="BA41" s="188"/>
      <c r="BB41" s="188"/>
      <c r="BC41" s="188"/>
      <c r="BD41" s="188"/>
      <c r="BE41" s="188"/>
      <c r="BF41" s="188"/>
      <c r="BG41" s="192"/>
      <c r="BH41" s="194"/>
      <c r="BI41" s="194"/>
      <c r="BJ41" s="195"/>
      <c r="BK41" s="194"/>
    </row>
    <row r="42" spans="1:63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SUM(PORTEFEUILLE_AURELIE_T[[#This Row],[PCR COMPTABLE €]:[MONTANT
RESPONSABLE RELATION CLIENT €]])-PORTEFEUILLE_AURELIE_T[[#This Row],[MONTANT TOTAL LETTRE DE MISION €]]</f>
        <v>0</v>
      </c>
      <c r="AI42" s="191"/>
      <c r="AJ42" s="188"/>
      <c r="AK42" s="188"/>
      <c r="AL42" s="188"/>
      <c r="AM42" s="191"/>
      <c r="AN42" s="196"/>
      <c r="AO42" s="196"/>
      <c r="AP42" s="196"/>
      <c r="AQ42" s="196"/>
      <c r="AR4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2" s="188" t="str">
        <f>IF(PORTEFEUILLE_AURELIE_T[[#This Row],[BONI AAC]]&lt;&gt;0,1,"")</f>
        <v/>
      </c>
      <c r="AU42" s="188" t="str">
        <f>IF(PORTEFEUILLE_AURELIE_T[[#This Row],[MALI AAC]]&lt;&gt;0,1,"")</f>
        <v/>
      </c>
      <c r="AV42" s="225">
        <f>IF(AP42&lt;&gt;"",IF((AP42*Paramètres!$H$4)-PORTEFEUILLE_AURELIE_T[[#This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€]]-(DELPHINE!AP41*Paramètres!$H$4),0),0)</f>
        <v>0</v>
      </c>
      <c r="AW42" s="225">
        <f>IF(AP42&lt;&gt;"",IF(((AP42*Paramètres!$H$4)-PORTEFEUILLE_AURELIE_T[[#This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2" s="190" t="str">
        <f>IF(PORTEFEUILLE_AURELIE_T[[#This Row],[BONI COMPTABLE]]&lt;&gt;0,1,"")</f>
        <v/>
      </c>
      <c r="AY42" s="190" t="str">
        <f>IF(PORTEFEUILLE_AURELIE_T[[#This Row],[MALI COMPTABLE]]&lt;&gt;0,1,"")</f>
        <v/>
      </c>
      <c r="AZ42" s="196"/>
      <c r="BA42" s="188"/>
      <c r="BB42" s="188"/>
      <c r="BC42" s="188"/>
      <c r="BD42" s="196"/>
      <c r="BE42" s="196"/>
      <c r="BF42" s="196"/>
      <c r="BG42" s="192"/>
      <c r="BH42" s="194"/>
      <c r="BI42" s="194"/>
      <c r="BJ42" s="195"/>
      <c r="BK42" s="194"/>
    </row>
    <row r="43" spans="1:63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SUM(PORTEFEUILLE_AURELIE_T[[#This Row],[PCR COMPTABLE €]:[MONTANT
RESPONSABLE RELATION CLIENT €]])-PORTEFEUILLE_AURELIE_T[[#This Row],[MONTANT TOTAL LETTRE DE MISION €]]</f>
        <v>0</v>
      </c>
      <c r="AI43" s="191"/>
      <c r="AJ43" s="188"/>
      <c r="AK43" s="188"/>
      <c r="AL43" s="188"/>
      <c r="AM43" s="191"/>
      <c r="AN43" s="188"/>
      <c r="AO43" s="188"/>
      <c r="AP43" s="188"/>
      <c r="AQ43" s="188"/>
      <c r="AR4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3" s="188" t="str">
        <f>IF(PORTEFEUILLE_AURELIE_T[[#This Row],[BONI AAC]]&lt;&gt;0,1,"")</f>
        <v/>
      </c>
      <c r="AU43" s="188" t="str">
        <f>IF(PORTEFEUILLE_AURELIE_T[[#This Row],[MALI AAC]]&lt;&gt;0,1,"")</f>
        <v/>
      </c>
      <c r="AV43" s="225">
        <f>IF(AP43&lt;&gt;"",IF((AP43*Paramètres!$H$4)-PORTEFEUILLE_AURELIE_T[[#This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€]]-(DELPHINE!AP42*Paramètres!$H$4),0),0)</f>
        <v>0</v>
      </c>
      <c r="AW43" s="225">
        <f>IF(AP43&lt;&gt;"",IF(((AP43*Paramètres!$H$4)-PORTEFEUILLE_AURELIE_T[[#This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3" s="190" t="str">
        <f>IF(PORTEFEUILLE_AURELIE_T[[#This Row],[BONI COMPTABLE]]&lt;&gt;0,1,"")</f>
        <v/>
      </c>
      <c r="AY43" s="190" t="str">
        <f>IF(PORTEFEUILLE_AURELIE_T[[#This Row],[MALI COMPTABLE]]&lt;&gt;0,1,"")</f>
        <v/>
      </c>
      <c r="AZ43" s="188"/>
      <c r="BA43" s="188"/>
      <c r="BB43" s="188"/>
      <c r="BC43" s="188"/>
      <c r="BD43" s="196"/>
      <c r="BE43" s="196"/>
      <c r="BF43" s="196"/>
      <c r="BG43" s="192"/>
      <c r="BH43" s="194"/>
      <c r="BI43" s="194"/>
      <c r="BJ43" s="195"/>
      <c r="BK43" s="194"/>
    </row>
    <row r="44" spans="1:63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SUM(PORTEFEUILLE_AURELIE_T[[#This Row],[PCR COMPTABLE €]:[MONTANT
RESPONSABLE RELATION CLIENT €]])-PORTEFEUILLE_AURELIE_T[[#This Row],[MONTANT TOTAL LETTRE DE MISION €]]</f>
        <v>0</v>
      </c>
      <c r="AI44" s="191"/>
      <c r="AJ44" s="188"/>
      <c r="AK44" s="188"/>
      <c r="AL44" s="188"/>
      <c r="AM44" s="191"/>
      <c r="AN44" s="188"/>
      <c r="AO44" s="188"/>
      <c r="AP44" s="188"/>
      <c r="AQ44" s="188"/>
      <c r="AR4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4" s="188" t="str">
        <f>IF(PORTEFEUILLE_AURELIE_T[[#This Row],[BONI AAC]]&lt;&gt;0,1,"")</f>
        <v/>
      </c>
      <c r="AU44" s="188" t="str">
        <f>IF(PORTEFEUILLE_AURELIE_T[[#This Row],[MALI AAC]]&lt;&gt;0,1,"")</f>
        <v/>
      </c>
      <c r="AV44" s="225">
        <f>IF(AP44&lt;&gt;"",IF((AP44*Paramètres!$H$4)-PORTEFEUILLE_AURELIE_T[[#This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€]]-(DELPHINE!AP43*Paramètres!$H$4),0),0)</f>
        <v>0</v>
      </c>
      <c r="AW44" s="225">
        <f>IF(AP44&lt;&gt;"",IF(((AP44*Paramètres!$H$4)-PORTEFEUILLE_AURELIE_T[[#This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4" s="190" t="str">
        <f>IF(PORTEFEUILLE_AURELIE_T[[#This Row],[BONI COMPTABLE]]&lt;&gt;0,1,"")</f>
        <v/>
      </c>
      <c r="AY44" s="190" t="str">
        <f>IF(PORTEFEUILLE_AURELIE_T[[#This Row],[MALI COMPTABLE]]&lt;&gt;0,1,"")</f>
        <v/>
      </c>
      <c r="AZ44" s="188"/>
      <c r="BA44" s="188"/>
      <c r="BB44" s="188"/>
      <c r="BC44" s="188"/>
      <c r="BD44" s="196"/>
      <c r="BE44" s="196"/>
      <c r="BF44" s="196"/>
      <c r="BG44" s="192"/>
      <c r="BH44" s="194"/>
      <c r="BI44" s="194"/>
      <c r="BJ44" s="195"/>
      <c r="BK44" s="194"/>
    </row>
    <row r="45" spans="1:63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SUM(PORTEFEUILLE_AURELIE_T[[#This Row],[PCR COMPTABLE €]:[MONTANT
RESPONSABLE RELATION CLIENT €]])-PORTEFEUILLE_AURELIE_T[[#This Row],[MONTANT TOTAL LETTRE DE MISION €]]</f>
        <v>0</v>
      </c>
      <c r="AI45" s="191"/>
      <c r="AJ45" s="188"/>
      <c r="AK45" s="188"/>
      <c r="AL45" s="188"/>
      <c r="AM45" s="191"/>
      <c r="AN45" s="188"/>
      <c r="AO45" s="188"/>
      <c r="AP45" s="188"/>
      <c r="AQ45" s="188"/>
      <c r="AR4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5" s="188" t="str">
        <f>IF(PORTEFEUILLE_AURELIE_T[[#This Row],[BONI AAC]]&lt;&gt;0,1,"")</f>
        <v/>
      </c>
      <c r="AU45" s="188" t="str">
        <f>IF(PORTEFEUILLE_AURELIE_T[[#This Row],[MALI AAC]]&lt;&gt;0,1,"")</f>
        <v/>
      </c>
      <c r="AV45" s="225">
        <f>IF(AP45&lt;&gt;"",IF((AP45*Paramètres!$H$4)-PORTEFEUILLE_AURELIE_T[[#This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€]]-(DELPHINE!AP44*Paramètres!$H$4),0),0)</f>
        <v>0</v>
      </c>
      <c r="AW45" s="225">
        <f>IF(AP45&lt;&gt;"",IF(((AP45*Paramètres!$H$4)-PORTEFEUILLE_AURELIE_T[[#This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5" s="190" t="str">
        <f>IF(PORTEFEUILLE_AURELIE_T[[#This Row],[BONI COMPTABLE]]&lt;&gt;0,1,"")</f>
        <v/>
      </c>
      <c r="AY45" s="190" t="str">
        <f>IF(PORTEFEUILLE_AURELIE_T[[#This Row],[MALI COMPTABLE]]&lt;&gt;0,1,"")</f>
        <v/>
      </c>
      <c r="AZ45" s="188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SUM(PORTEFEUILLE_AURELIE_T[[#This Row],[PCR COMPTABLE €]:[MONTANT
RESPONSABLE RELATION CLIENT €]])-PORTEFEUILLE_AURELIE_T[[#This Row],[MONTANT TOTAL LETTRE DE MISION €]]</f>
        <v>0</v>
      </c>
      <c r="AI46" s="191"/>
      <c r="AJ46" s="188"/>
      <c r="AK46" s="188"/>
      <c r="AL46" s="188"/>
      <c r="AM46" s="191"/>
      <c r="AN46" s="196"/>
      <c r="AO46" s="196"/>
      <c r="AP46" s="196"/>
      <c r="AQ46" s="196"/>
      <c r="AR4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6" s="188" t="str">
        <f>IF(PORTEFEUILLE_AURELIE_T[[#This Row],[BONI AAC]]&lt;&gt;0,1,"")</f>
        <v/>
      </c>
      <c r="AU46" s="188" t="str">
        <f>IF(PORTEFEUILLE_AURELIE_T[[#This Row],[MALI AAC]]&lt;&gt;0,1,"")</f>
        <v/>
      </c>
      <c r="AV46" s="225">
        <f>IF(AP46&lt;&gt;"",IF((AP46*Paramètres!$H$4)-PORTEFEUILLE_AURELIE_T[[#This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€]]-(DELPHINE!AP45*Paramètres!$H$4),0),0)</f>
        <v>0</v>
      </c>
      <c r="AW46" s="225">
        <f>IF(AP46&lt;&gt;"",IF(((AP46*Paramètres!$H$4)-PORTEFEUILLE_AURELIE_T[[#This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6" s="190" t="str">
        <f>IF(PORTEFEUILLE_AURELIE_T[[#This Row],[BONI COMPTABLE]]&lt;&gt;0,1,"")</f>
        <v/>
      </c>
      <c r="AY46" s="190" t="str">
        <f>IF(PORTEFEUILLE_AURELIE_T[[#This Row],[MALI COMPTABLE]]&lt;&gt;0,1,"")</f>
        <v/>
      </c>
      <c r="AZ46" s="196"/>
      <c r="BA46" s="188"/>
      <c r="BB46" s="188"/>
      <c r="BC46" s="188"/>
      <c r="BD46" s="188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SUM(PORTEFEUILLE_AURELIE_T[[#This Row],[PCR COMPTABLE €]:[MONTANT
RESPONSABLE RELATION CLIENT €]])-PORTEFEUILLE_AURELIE_T[[#This Row],[MONTANT TOTAL LETTRE DE MISION €]]</f>
        <v>0</v>
      </c>
      <c r="AI47" s="191"/>
      <c r="AJ47" s="188"/>
      <c r="AK47" s="188"/>
      <c r="AL47" s="188"/>
      <c r="AM47" s="191"/>
      <c r="AN47" s="188"/>
      <c r="AO47" s="188"/>
      <c r="AP47" s="188"/>
      <c r="AQ47" s="188"/>
      <c r="AR4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7" s="188" t="str">
        <f>IF(PORTEFEUILLE_AURELIE_T[[#This Row],[BONI AAC]]&lt;&gt;0,1,"")</f>
        <v/>
      </c>
      <c r="AU47" s="188" t="str">
        <f>IF(PORTEFEUILLE_AURELIE_T[[#This Row],[MALI AAC]]&lt;&gt;0,1,"")</f>
        <v/>
      </c>
      <c r="AV47" s="225">
        <f>IF(AP47&lt;&gt;"",IF((AP47*Paramètres!$H$4)-PORTEFEUILLE_AURELIE_T[[#This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€]]-(DELPHINE!AP46*Paramètres!$H$4),0),0)</f>
        <v>0</v>
      </c>
      <c r="AW47" s="225">
        <f>IF(AP47&lt;&gt;"",IF(((AP47*Paramètres!$H$4)-PORTEFEUILLE_AURELIE_T[[#This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7" s="190" t="str">
        <f>IF(PORTEFEUILLE_AURELIE_T[[#This Row],[BONI COMPTABLE]]&lt;&gt;0,1,"")</f>
        <v/>
      </c>
      <c r="AY47" s="190" t="str">
        <f>IF(PORTEFEUILLE_AURELIE_T[[#This Row],[MALI COMPTABLE]]&lt;&gt;0,1,"")</f>
        <v/>
      </c>
      <c r="AZ47" s="188"/>
      <c r="BA47" s="188"/>
      <c r="BB47" s="188"/>
      <c r="BC47" s="188"/>
      <c r="BD47" s="188"/>
      <c r="BE47" s="188"/>
      <c r="BF47" s="188"/>
      <c r="BG47" s="192"/>
      <c r="BH47" s="194"/>
      <c r="BI47" s="194"/>
      <c r="BJ47" s="195"/>
      <c r="BK47" s="194"/>
    </row>
    <row r="48" spans="1:63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SUM(PORTEFEUILLE_AURELIE_T[[#This Row],[PCR COMPTABLE €]:[MONTANT
RESPONSABLE RELATION CLIENT €]])-PORTEFEUILLE_AURELIE_T[[#This Row],[MONTANT TOTAL LETTRE DE MISION €]]</f>
        <v>0</v>
      </c>
      <c r="AI48" s="191"/>
      <c r="AJ48" s="188"/>
      <c r="AK48" s="188"/>
      <c r="AL48" s="188"/>
      <c r="AM48" s="191"/>
      <c r="AN48" s="196"/>
      <c r="AO48" s="196"/>
      <c r="AP48" s="196"/>
      <c r="AQ48" s="196"/>
      <c r="AR4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8" s="188" t="str">
        <f>IF(PORTEFEUILLE_AURELIE_T[[#This Row],[BONI AAC]]&lt;&gt;0,1,"")</f>
        <v/>
      </c>
      <c r="AU48" s="188" t="str">
        <f>IF(PORTEFEUILLE_AURELIE_T[[#This Row],[MALI AAC]]&lt;&gt;0,1,"")</f>
        <v/>
      </c>
      <c r="AV48" s="225">
        <f>IF(AP48&lt;&gt;"",IF((AP48*Paramètres!$H$4)-PORTEFEUILLE_AURELIE_T[[#This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€]]-(DELPHINE!AP47*Paramètres!$H$4),0),0)</f>
        <v>0</v>
      </c>
      <c r="AW48" s="225">
        <f>IF(AP48&lt;&gt;"",IF(((AP48*Paramètres!$H$4)-PORTEFEUILLE_AURELIE_T[[#This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8" s="190" t="str">
        <f>IF(PORTEFEUILLE_AURELIE_T[[#This Row],[BONI COMPTABLE]]&lt;&gt;0,1,"")</f>
        <v/>
      </c>
      <c r="AY48" s="190" t="str">
        <f>IF(PORTEFEUILLE_AURELIE_T[[#This Row],[MALI COMPTABLE]]&lt;&gt;0,1,"")</f>
        <v/>
      </c>
      <c r="AZ48" s="196"/>
      <c r="BA48" s="188"/>
      <c r="BB48" s="188"/>
      <c r="BC48" s="188"/>
      <c r="BD48" s="188"/>
      <c r="BE48" s="188"/>
      <c r="BF48" s="188"/>
      <c r="BG48" s="192"/>
      <c r="BH48" s="194"/>
      <c r="BI48" s="194"/>
      <c r="BJ48" s="195"/>
      <c r="BK48" s="194"/>
    </row>
    <row r="49" spans="1:63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SUM(PORTEFEUILLE_AURELIE_T[[#This Row],[PCR COMPTABLE €]:[MONTANT
RESPONSABLE RELATION CLIENT €]])-PORTEFEUILLE_AURELIE_T[[#This Row],[MONTANT TOTAL LETTRE DE MISION €]]</f>
        <v>0</v>
      </c>
      <c r="AI49" s="191"/>
      <c r="AJ49" s="188"/>
      <c r="AK49" s="188"/>
      <c r="AL49" s="188"/>
      <c r="AM49" s="191"/>
      <c r="AN49" s="188"/>
      <c r="AO49" s="188"/>
      <c r="AP49" s="188"/>
      <c r="AQ49" s="188"/>
      <c r="AR4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4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49" s="188" t="str">
        <f>IF(PORTEFEUILLE_AURELIE_T[[#This Row],[BONI AAC]]&lt;&gt;0,1,"")</f>
        <v/>
      </c>
      <c r="AU49" s="188" t="str">
        <f>IF(PORTEFEUILLE_AURELIE_T[[#This Row],[MALI AAC]]&lt;&gt;0,1,"")</f>
        <v/>
      </c>
      <c r="AV49" s="225">
        <f>IF(AP49&lt;&gt;"",IF((AP49*Paramètres!$H$4)-PORTEFEUILLE_AURELIE_T[[#This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€]]-(DELPHINE!AP48*Paramètres!$H$4),0),0)</f>
        <v>0</v>
      </c>
      <c r="AW49" s="225">
        <f>IF(AP49&lt;&gt;"",IF(((AP49*Paramètres!$H$4)-PORTEFEUILLE_AURELIE_T[[#This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49" s="190" t="str">
        <f>IF(PORTEFEUILLE_AURELIE_T[[#This Row],[BONI COMPTABLE]]&lt;&gt;0,1,"")</f>
        <v/>
      </c>
      <c r="AY49" s="190" t="str">
        <f>IF(PORTEFEUILLE_AURELIE_T[[#This Row],[MALI COMPTABLE]]&lt;&gt;0,1,"")</f>
        <v/>
      </c>
      <c r="AZ49" s="188"/>
      <c r="BA49" s="188"/>
      <c r="BB49" s="188"/>
      <c r="BC49" s="188"/>
      <c r="BD49" s="196"/>
      <c r="BE49" s="188"/>
      <c r="BF49" s="188"/>
      <c r="BG49" s="192"/>
      <c r="BH49" s="194"/>
      <c r="BI49" s="194"/>
      <c r="BJ49" s="195"/>
      <c r="BK49" s="194"/>
    </row>
    <row r="50" spans="1:63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SUM(PORTEFEUILLE_AURELIE_T[[#This Row],[PCR COMPTABLE €]:[MONTANT
RESPONSABLE RELATION CLIENT €]])-PORTEFEUILLE_AURELIE_T[[#This Row],[MONTANT TOTAL LETTRE DE MISION €]]</f>
        <v>0</v>
      </c>
      <c r="AI50" s="191"/>
      <c r="AJ50" s="188"/>
      <c r="AK50" s="188"/>
      <c r="AL50" s="188"/>
      <c r="AM50" s="191"/>
      <c r="AN50" s="196"/>
      <c r="AO50" s="196"/>
      <c r="AP50" s="196"/>
      <c r="AQ50" s="196"/>
      <c r="AR5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0" s="188" t="str">
        <f>IF(PORTEFEUILLE_AURELIE_T[[#This Row],[BONI AAC]]&lt;&gt;0,1,"")</f>
        <v/>
      </c>
      <c r="AU50" s="188" t="str">
        <f>IF(PORTEFEUILLE_AURELIE_T[[#This Row],[MALI AAC]]&lt;&gt;0,1,"")</f>
        <v/>
      </c>
      <c r="AV50" s="225">
        <f>IF(AP50&lt;&gt;"",IF((AP50*Paramètres!$H$4)-PORTEFEUILLE_AURELIE_T[[#This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€]]-(DELPHINE!AP49*Paramètres!$H$4),0),0)</f>
        <v>0</v>
      </c>
      <c r="AW50" s="225">
        <f>IF(AP50&lt;&gt;"",IF(((AP50*Paramètres!$H$4)-PORTEFEUILLE_AURELIE_T[[#This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0" s="190" t="str">
        <f>IF(PORTEFEUILLE_AURELIE_T[[#This Row],[BONI COMPTABLE]]&lt;&gt;0,1,"")</f>
        <v/>
      </c>
      <c r="AY50" s="190" t="str">
        <f>IF(PORTEFEUILLE_AURELIE_T[[#This Row],[MALI COMPTABLE]]&lt;&gt;0,1,"")</f>
        <v/>
      </c>
      <c r="AZ50" s="196"/>
      <c r="BA50" s="188"/>
      <c r="BB50" s="188"/>
      <c r="BC50" s="188"/>
      <c r="BD50" s="196"/>
      <c r="BE50" s="196"/>
      <c r="BF50" s="196"/>
      <c r="BG50" s="192"/>
      <c r="BH50" s="194"/>
      <c r="BI50" s="194"/>
      <c r="BJ50" s="195"/>
      <c r="BK50" s="194"/>
    </row>
    <row r="51" spans="1:63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SUM(PORTEFEUILLE_AURELIE_T[[#This Row],[PCR COMPTABLE €]:[MONTANT
RESPONSABLE RELATION CLIENT €]])-PORTEFEUILLE_AURELIE_T[[#This Row],[MONTANT TOTAL LETTRE DE MISION €]]</f>
        <v>0</v>
      </c>
      <c r="AI51" s="191"/>
      <c r="AJ51" s="188"/>
      <c r="AK51" s="188"/>
      <c r="AL51" s="188"/>
      <c r="AM51" s="191"/>
      <c r="AN51" s="196"/>
      <c r="AO51" s="196"/>
      <c r="AP51" s="196"/>
      <c r="AQ51" s="196"/>
      <c r="AR5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1" s="188" t="str">
        <f>IF(PORTEFEUILLE_AURELIE_T[[#This Row],[BONI AAC]]&lt;&gt;0,1,"")</f>
        <v/>
      </c>
      <c r="AU51" s="188" t="str">
        <f>IF(PORTEFEUILLE_AURELIE_T[[#This Row],[MALI AAC]]&lt;&gt;0,1,"")</f>
        <v/>
      </c>
      <c r="AV51" s="225">
        <f>IF(AP51&lt;&gt;"",IF((AP51*Paramètres!$H$4)-PORTEFEUILLE_AURELIE_T[[#This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€]]-(DELPHINE!AP50*Paramètres!$H$4),0),0)</f>
        <v>0</v>
      </c>
      <c r="AW51" s="225">
        <f>IF(AP51&lt;&gt;"",IF(((AP51*Paramètres!$H$4)-PORTEFEUILLE_AURELIE_T[[#This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1" s="190" t="str">
        <f>IF(PORTEFEUILLE_AURELIE_T[[#This Row],[BONI COMPTABLE]]&lt;&gt;0,1,"")</f>
        <v/>
      </c>
      <c r="AY51" s="190" t="str">
        <f>IF(PORTEFEUILLE_AURELIE_T[[#This Row],[MALI COMPTABLE]]&lt;&gt;0,1,"")</f>
        <v/>
      </c>
      <c r="AZ51" s="196"/>
      <c r="BA51" s="188"/>
      <c r="BB51" s="188"/>
      <c r="BC51" s="188"/>
      <c r="BD51" s="196"/>
      <c r="BE51" s="196"/>
      <c r="BF51" s="196"/>
      <c r="BG51" s="192"/>
      <c r="BH51" s="194"/>
      <c r="BI51" s="194"/>
      <c r="BJ51" s="195"/>
      <c r="BK51" s="194"/>
    </row>
    <row r="52" spans="1:63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SUM(PORTEFEUILLE_AURELIE_T[[#This Row],[PCR COMPTABLE €]:[MONTANT
RESPONSABLE RELATION CLIENT €]])-PORTEFEUILLE_AURELIE_T[[#This Row],[MONTANT TOTAL LETTRE DE MISION €]]</f>
        <v>0</v>
      </c>
      <c r="AI52" s="191"/>
      <c r="AJ52" s="188"/>
      <c r="AK52" s="188"/>
      <c r="AL52" s="188"/>
      <c r="AM52" s="191"/>
      <c r="AN52" s="196"/>
      <c r="AO52" s="196"/>
      <c r="AP52" s="196"/>
      <c r="AQ52" s="196"/>
      <c r="AR5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2" s="188" t="str">
        <f>IF(PORTEFEUILLE_AURELIE_T[[#This Row],[BONI AAC]]&lt;&gt;0,1,"")</f>
        <v/>
      </c>
      <c r="AU52" s="188" t="str">
        <f>IF(PORTEFEUILLE_AURELIE_T[[#This Row],[MALI AAC]]&lt;&gt;0,1,"")</f>
        <v/>
      </c>
      <c r="AV52" s="225">
        <f>IF(AP52&lt;&gt;"",IF((AP52*Paramètres!$H$4)-PORTEFEUILLE_AURELIE_T[[#This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€]]-(DELPHINE!AP51*Paramètres!$H$4),0),0)</f>
        <v>0</v>
      </c>
      <c r="AW52" s="225">
        <f>IF(AP52&lt;&gt;"",IF(((AP52*Paramètres!$H$4)-PORTEFEUILLE_AURELIE_T[[#This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2" s="190" t="str">
        <f>IF(PORTEFEUILLE_AURELIE_T[[#This Row],[BONI COMPTABLE]]&lt;&gt;0,1,"")</f>
        <v/>
      </c>
      <c r="AY52" s="190" t="str">
        <f>IF(PORTEFEUILLE_AURELIE_T[[#This Row],[MALI COMPTABLE]]&lt;&gt;0,1,"")</f>
        <v/>
      </c>
      <c r="AZ52" s="196"/>
      <c r="BA52" s="188"/>
      <c r="BB52" s="188"/>
      <c r="BC52" s="188"/>
      <c r="BD52" s="196"/>
      <c r="BE52" s="196"/>
      <c r="BF52" s="196"/>
      <c r="BG52" s="192"/>
      <c r="BH52" s="194"/>
      <c r="BI52" s="194"/>
      <c r="BJ52" s="195"/>
      <c r="BK52" s="194"/>
    </row>
    <row r="53" spans="1:63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SUM(PORTEFEUILLE_AURELIE_T[[#This Row],[PCR COMPTABLE €]:[MONTANT
RESPONSABLE RELATION CLIENT €]])-PORTEFEUILLE_AURELIE_T[[#This Row],[MONTANT TOTAL LETTRE DE MISION €]]</f>
        <v>0</v>
      </c>
      <c r="AI53" s="191"/>
      <c r="AJ53" s="188"/>
      <c r="AK53" s="201"/>
      <c r="AL53" s="201"/>
      <c r="AM53" s="246"/>
      <c r="AN53" s="202"/>
      <c r="AO53" s="202"/>
      <c r="AP53" s="202"/>
      <c r="AQ53" s="202"/>
      <c r="AR5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3" s="188" t="str">
        <f>IF(PORTEFEUILLE_AURELIE_T[[#This Row],[BONI AAC]]&lt;&gt;0,1,"")</f>
        <v/>
      </c>
      <c r="AU53" s="188" t="str">
        <f>IF(PORTEFEUILLE_AURELIE_T[[#This Row],[MALI AAC]]&lt;&gt;0,1,"")</f>
        <v/>
      </c>
      <c r="AV53" s="225">
        <f>IF(AP53&lt;&gt;"",IF((AP53*Paramètres!$H$4)-PORTEFEUILLE_AURELIE_T[[#This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€]]-(DELPHINE!AP52*Paramètres!$H$4),0),0)</f>
        <v>0</v>
      </c>
      <c r="AW53" s="225">
        <f>IF(AP53&lt;&gt;"",IF(((AP53*Paramètres!$H$4)-PORTEFEUILLE_AURELIE_T[[#This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3" s="190" t="str">
        <f>IF(PORTEFEUILLE_AURELIE_T[[#This Row],[BONI COMPTABLE]]&lt;&gt;0,1,"")</f>
        <v/>
      </c>
      <c r="AY53" s="190" t="str">
        <f>IF(PORTEFEUILLE_AURELIE_T[[#This Row],[MALI COMPTABLE]]&lt;&gt;0,1,"")</f>
        <v/>
      </c>
      <c r="AZ53" s="202"/>
      <c r="BA53" s="188"/>
      <c r="BB53" s="188"/>
      <c r="BC53" s="188"/>
      <c r="BD53" s="202"/>
      <c r="BE53" s="202"/>
      <c r="BF53" s="202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SUM(PORTEFEUILLE_AURELIE_T[[#This Row],[PCR COMPTABLE €]:[MONTANT
RESPONSABLE RELATION CLIENT €]])-PORTEFEUILLE_AURELIE_T[[#This Row],[MONTANT TOTAL LETTRE DE MISION €]]</f>
        <v>0</v>
      </c>
      <c r="AI54" s="191"/>
      <c r="AJ54" s="188"/>
      <c r="AK54" s="188"/>
      <c r="AL54" s="188"/>
      <c r="AM54" s="191"/>
      <c r="AN54" s="194"/>
      <c r="AO54" s="194"/>
      <c r="AP54" s="194"/>
      <c r="AQ54" s="194"/>
      <c r="AR5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4" s="188" t="str">
        <f>IF(PORTEFEUILLE_AURELIE_T[[#This Row],[BONI AAC]]&lt;&gt;0,1,"")</f>
        <v/>
      </c>
      <c r="AU54" s="188" t="str">
        <f>IF(PORTEFEUILLE_AURELIE_T[[#This Row],[MALI AAC]]&lt;&gt;0,1,"")</f>
        <v/>
      </c>
      <c r="AV54" s="225">
        <f>IF(AP54&lt;&gt;"",IF((AP54*Paramètres!$H$4)-PORTEFEUILLE_AURELIE_T[[#This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€]]-(DELPHINE!AP53*Paramètres!$H$4),0),0)</f>
        <v>0</v>
      </c>
      <c r="AW54" s="225">
        <f>IF(AP54&lt;&gt;"",IF(((AP54*Paramètres!$H$4)-PORTEFEUILLE_AURELIE_T[[#This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4" s="190" t="str">
        <f>IF(PORTEFEUILLE_AURELIE_T[[#This Row],[BONI COMPTABLE]]&lt;&gt;0,1,"")</f>
        <v/>
      </c>
      <c r="AY54" s="190" t="str">
        <f>IF(PORTEFEUILLE_AURELIE_T[[#This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SUM(PORTEFEUILLE_AURELIE_T[[#This Row],[PCR COMPTABLE €]:[MONTANT
RESPONSABLE RELATION CLIENT €]])-PORTEFEUILLE_AURELIE_T[[#This Row],[MONTANT TOTAL LETTRE DE MISION €]]</f>
        <v>0</v>
      </c>
      <c r="AI55" s="191"/>
      <c r="AJ55" s="188"/>
      <c r="AK55" s="188"/>
      <c r="AL55" s="188"/>
      <c r="AM55" s="191"/>
      <c r="AN55" s="194"/>
      <c r="AO55" s="194"/>
      <c r="AP55" s="194"/>
      <c r="AQ55" s="194"/>
      <c r="AR5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5" s="188" t="str">
        <f>IF(PORTEFEUILLE_AURELIE_T[[#This Row],[BONI AAC]]&lt;&gt;0,1,"")</f>
        <v/>
      </c>
      <c r="AU55" s="188" t="str">
        <f>IF(PORTEFEUILLE_AURELIE_T[[#This Row],[MALI AAC]]&lt;&gt;0,1,"")</f>
        <v/>
      </c>
      <c r="AV55" s="225">
        <f>IF(AP55&lt;&gt;"",IF((AP55*Paramètres!$H$4)-PORTEFEUILLE_AURELIE_T[[#This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€]]-(DELPHINE!AP54*Paramètres!$H$4),0),0)</f>
        <v>0</v>
      </c>
      <c r="AW55" s="225">
        <f>IF(AP55&lt;&gt;"",IF(((AP55*Paramètres!$H$4)-PORTEFEUILLE_AURELIE_T[[#This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5" s="190" t="str">
        <f>IF(PORTEFEUILLE_AURELIE_T[[#This Row],[BONI COMPTABLE]]&lt;&gt;0,1,"")</f>
        <v/>
      </c>
      <c r="AY55" s="190" t="str">
        <f>IF(PORTEFEUILLE_AURELIE_T[[#This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SUM(PORTEFEUILLE_AURELIE_T[[#This Row],[PCR COMPTABLE €]:[MONTANT
RESPONSABLE RELATION CLIENT €]])-PORTEFEUILLE_AURELIE_T[[#This Row],[MONTANT TOTAL LETTRE DE MISION €]]</f>
        <v>0</v>
      </c>
      <c r="AI56" s="191"/>
      <c r="AJ56" s="188"/>
      <c r="AK56" s="188"/>
      <c r="AL56" s="188"/>
      <c r="AM56" s="191"/>
      <c r="AN56" s="194"/>
      <c r="AO56" s="194"/>
      <c r="AP56" s="194"/>
      <c r="AQ56" s="194"/>
      <c r="AR5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6" s="188" t="str">
        <f>IF(PORTEFEUILLE_AURELIE_T[[#This Row],[BONI AAC]]&lt;&gt;0,1,"")</f>
        <v/>
      </c>
      <c r="AU56" s="188" t="str">
        <f>IF(PORTEFEUILLE_AURELIE_T[[#This Row],[MALI AAC]]&lt;&gt;0,1,"")</f>
        <v/>
      </c>
      <c r="AV56" s="225">
        <f>IF(AP56&lt;&gt;"",IF((AP56*Paramètres!$H$4)-PORTEFEUILLE_AURELIE_T[[#This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€]]-(DELPHINE!AP55*Paramètres!$H$4),0),0)</f>
        <v>0</v>
      </c>
      <c r="AW56" s="225">
        <f>IF(AP56&lt;&gt;"",IF(((AP56*Paramètres!$H$4)-PORTEFEUILLE_AURELIE_T[[#This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6" s="190" t="str">
        <f>IF(PORTEFEUILLE_AURELIE_T[[#This Row],[BONI COMPTABLE]]&lt;&gt;0,1,"")</f>
        <v/>
      </c>
      <c r="AY56" s="190" t="str">
        <f>IF(PORTEFEUILLE_AURELIE_T[[#This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SUM(PORTEFEUILLE_AURELIE_T[[#This Row],[PCR COMPTABLE €]:[MONTANT
RESPONSABLE RELATION CLIENT €]])-PORTEFEUILLE_AURELIE_T[[#This Row],[MONTANT TOTAL LETTRE DE MISION €]]</f>
        <v>0</v>
      </c>
      <c r="AI57" s="191"/>
      <c r="AJ57" s="188"/>
      <c r="AK57" s="188"/>
      <c r="AL57" s="188"/>
      <c r="AM57" s="191"/>
      <c r="AN57" s="194"/>
      <c r="AO57" s="194"/>
      <c r="AP57" s="194"/>
      <c r="AQ57" s="194"/>
      <c r="AR5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7" s="188" t="str">
        <f>IF(PORTEFEUILLE_AURELIE_T[[#This Row],[BONI AAC]]&lt;&gt;0,1,"")</f>
        <v/>
      </c>
      <c r="AU57" s="188" t="str">
        <f>IF(PORTEFEUILLE_AURELIE_T[[#This Row],[MALI AAC]]&lt;&gt;0,1,"")</f>
        <v/>
      </c>
      <c r="AV57" s="225">
        <f>IF(AP57&lt;&gt;"",IF((AP57*Paramètres!$H$4)-PORTEFEUILLE_AURELIE_T[[#This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€]]-(DELPHINE!AP56*Paramètres!$H$4),0),0)</f>
        <v>0</v>
      </c>
      <c r="AW57" s="225">
        <f>IF(AP57&lt;&gt;"",IF(((AP57*Paramètres!$H$4)-PORTEFEUILLE_AURELIE_T[[#This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7" s="190" t="str">
        <f>IF(PORTEFEUILLE_AURELIE_T[[#This Row],[BONI COMPTABLE]]&lt;&gt;0,1,"")</f>
        <v/>
      </c>
      <c r="AY57" s="190" t="str">
        <f>IF(PORTEFEUILLE_AURELIE_T[[#This Row],[MALI COMPTABLE]]&lt;&gt;0,1,"")</f>
        <v/>
      </c>
      <c r="AZ57" s="194"/>
      <c r="BA57" s="188"/>
      <c r="BB57" s="188"/>
      <c r="BC57" s="188"/>
      <c r="BD57" s="194"/>
      <c r="BE57" s="194"/>
      <c r="BF57" s="194"/>
      <c r="BG57" s="192"/>
      <c r="BH57" s="194"/>
      <c r="BI57" s="194"/>
      <c r="BJ57" s="195"/>
      <c r="BK57" s="194"/>
    </row>
    <row r="58" spans="1:63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SUM(PORTEFEUILLE_AURELIE_T[[#This Row],[PCR COMPTABLE €]:[MONTANT
RESPONSABLE RELATION CLIENT €]])-PORTEFEUILLE_AURELIE_T[[#This Row],[MONTANT TOTAL LETTRE DE MISION €]]</f>
        <v>0</v>
      </c>
      <c r="AI58" s="191"/>
      <c r="AJ58" s="188"/>
      <c r="AK58" s="188"/>
      <c r="AL58" s="188"/>
      <c r="AM58" s="191"/>
      <c r="AN58" s="194"/>
      <c r="AO58" s="194"/>
      <c r="AP58" s="194"/>
      <c r="AQ58" s="194"/>
      <c r="AR5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8" s="188" t="str">
        <f>IF(PORTEFEUILLE_AURELIE_T[[#This Row],[BONI AAC]]&lt;&gt;0,1,"")</f>
        <v/>
      </c>
      <c r="AU58" s="188" t="str">
        <f>IF(PORTEFEUILLE_AURELIE_T[[#This Row],[MALI AAC]]&lt;&gt;0,1,"")</f>
        <v/>
      </c>
      <c r="AV58" s="225">
        <f>IF(AP58&lt;&gt;"",IF((AP58*Paramètres!$H$4)-PORTEFEUILLE_AURELIE_T[[#This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€]]-(DELPHINE!AP57*Paramètres!$H$4),0),0)</f>
        <v>0</v>
      </c>
      <c r="AW58" s="225">
        <f>IF(AP58&lt;&gt;"",IF(((AP58*Paramètres!$H$4)-PORTEFEUILLE_AURELIE_T[[#This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8" s="190" t="str">
        <f>IF(PORTEFEUILLE_AURELIE_T[[#This Row],[BONI COMPTABLE]]&lt;&gt;0,1,"")</f>
        <v/>
      </c>
      <c r="AY58" s="190" t="str">
        <f>IF(PORTEFEUILLE_AURELIE_T[[#This Row],[MALI COMPTABLE]]&lt;&gt;0,1,"")</f>
        <v/>
      </c>
      <c r="AZ58" s="194"/>
      <c r="BA58" s="188"/>
      <c r="BB58" s="188"/>
      <c r="BC58" s="188"/>
      <c r="BD58" s="194"/>
      <c r="BE58" s="194"/>
      <c r="BF58" s="194"/>
      <c r="BG58" s="192"/>
      <c r="BH58" s="194"/>
      <c r="BI58" s="194"/>
      <c r="BJ58" s="195"/>
      <c r="BK58" s="194"/>
    </row>
    <row r="59" spans="1:63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SUM(PORTEFEUILLE_AURELIE_T[[#This Row],[PCR COMPTABLE €]:[MONTANT
RESPONSABLE RELATION CLIENT €]])-PORTEFEUILLE_AURELIE_T[[#This Row],[MONTANT TOTAL LETTRE DE MISION €]]</f>
        <v>0</v>
      </c>
      <c r="AI59" s="191"/>
      <c r="AJ59" s="188"/>
      <c r="AK59" s="188"/>
      <c r="AL59" s="188"/>
      <c r="AM59" s="191"/>
      <c r="AN59" s="194"/>
      <c r="AO59" s="194"/>
      <c r="AP59" s="194"/>
      <c r="AQ59" s="194"/>
      <c r="AR5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5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59" s="188" t="str">
        <f>IF(PORTEFEUILLE_AURELIE_T[[#This Row],[BONI AAC]]&lt;&gt;0,1,"")</f>
        <v/>
      </c>
      <c r="AU59" s="188" t="str">
        <f>IF(PORTEFEUILLE_AURELIE_T[[#This Row],[MALI AAC]]&lt;&gt;0,1,"")</f>
        <v/>
      </c>
      <c r="AV59" s="225">
        <f>IF(AP59&lt;&gt;"",IF((AP59*Paramètres!$H$4)-PORTEFEUILLE_AURELIE_T[[#This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€]]-(DELPHINE!AP58*Paramètres!$H$4),0),0)</f>
        <v>0</v>
      </c>
      <c r="AW59" s="225">
        <f>IF(AP59&lt;&gt;"",IF(((AP59*Paramètres!$H$4)-PORTEFEUILLE_AURELIE_T[[#This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59" s="190" t="str">
        <f>IF(PORTEFEUILLE_AURELIE_T[[#This Row],[BONI COMPTABLE]]&lt;&gt;0,1,"")</f>
        <v/>
      </c>
      <c r="AY59" s="190" t="str">
        <f>IF(PORTEFEUILLE_AURELIE_T[[#This Row],[MALI COMPTABLE]]&lt;&gt;0,1,"")</f>
        <v/>
      </c>
      <c r="AZ59" s="194"/>
      <c r="BA59" s="188"/>
      <c r="BB59" s="188"/>
      <c r="BC59" s="188"/>
      <c r="BD59" s="194"/>
      <c r="BE59" s="194"/>
      <c r="BF59" s="194"/>
      <c r="BG59" s="192"/>
      <c r="BH59" s="194"/>
      <c r="BI59" s="194"/>
      <c r="BJ59" s="195"/>
      <c r="BK59" s="194"/>
    </row>
    <row r="60" spans="1:63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SUM(PORTEFEUILLE_AURELIE_T[[#This Row],[PCR COMPTABLE €]:[MONTANT
RESPONSABLE RELATION CLIENT €]])-PORTEFEUILLE_AURELIE_T[[#This Row],[MONTANT TOTAL LETTRE DE MISION €]]</f>
        <v>0</v>
      </c>
      <c r="AI60" s="191"/>
      <c r="AJ60" s="188"/>
      <c r="AK60" s="201"/>
      <c r="AL60" s="201"/>
      <c r="AM60" s="246"/>
      <c r="AN60" s="205"/>
      <c r="AO60" s="205"/>
      <c r="AP60" s="205"/>
      <c r="AQ60" s="205"/>
      <c r="AR6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S6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T60" s="188" t="str">
        <f>IF(PORTEFEUILLE_AURELIE_T[[#This Row],[BONI AAC]]&lt;&gt;0,1,"")</f>
        <v/>
      </c>
      <c r="AU60" s="188" t="str">
        <f>IF(PORTEFEUILLE_AURELIE_T[[#This Row],[MALI AAC]]&lt;&gt;0,1,"")</f>
        <v/>
      </c>
      <c r="AV60" s="225">
        <f>IF(AP60&lt;&gt;"",IF((AP60*Paramètres!$H$4)-PORTEFEUILLE_AURELIE_T[[#This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€]]-(DELPHINE!AP59*Paramètres!$H$4),0),0)</f>
        <v>0</v>
      </c>
      <c r="AW60" s="225">
        <f>IF(AP60&lt;&gt;"",IF(((AP60*Paramètres!$H$4)-PORTEFEUILLE_AURELIE_T[[#This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€]])&gt;0,(AP60*Paramètres!$H$4)-PORTEFEUILLE_AURELIE_T[[#This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X60" s="190" t="str">
        <f>IF(PORTEFEUILLE_AURELIE_T[[#This Row],[BONI COMPTABLE]]&lt;&gt;0,1,"")</f>
        <v/>
      </c>
      <c r="AY60" s="190" t="str">
        <f>IF(PORTEFEUILLE_AURELIE_T[[#This Row],[MALI COMPTABLE]]&lt;&gt;0,1,"")</f>
        <v/>
      </c>
      <c r="AZ60" s="205"/>
      <c r="BA60" s="188"/>
      <c r="BB60" s="188"/>
      <c r="BC60" s="188"/>
      <c r="BD60" s="205"/>
      <c r="BE60" s="205"/>
      <c r="BF60" s="205"/>
      <c r="BG60" s="192"/>
      <c r="BH60" s="205"/>
      <c r="BI60" s="205"/>
      <c r="BJ60" s="206"/>
      <c r="BK60" s="205"/>
    </row>
    <row r="63" spans="1:63" x14ac:dyDescent="0.25">
      <c r="B63" s="89" t="s">
        <v>120</v>
      </c>
    </row>
    <row r="65" spans="2:52" x14ac:dyDescent="0.25">
      <c r="B65" s="279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80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280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81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275" t="s">
        <v>123</v>
      </c>
      <c r="C69" s="275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2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80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280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81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275" t="s">
        <v>123</v>
      </c>
      <c r="C75" s="275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2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80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B79" s="280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281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B81" s="275" t="s">
        <v>123</v>
      </c>
      <c r="C81" s="275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6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277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7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277" t="s">
        <v>123</v>
      </c>
      <c r="C88" s="277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8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277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COUNTIFS($I$3:$I$60,"&lt;&gt;",$BB$3:$BB$60,"X",$E$3:$E$60,DATE(Paramètres!A4,Paramètres!D15,Paramètres!C15),$F$3:$F$60,"EARL")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277" t="s">
        <v>123</v>
      </c>
      <c r="C94" s="277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B98" s="277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277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B100" s="277" t="s">
        <v>123</v>
      </c>
      <c r="C100" s="277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79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80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280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81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275" t="s">
        <v>123</v>
      </c>
      <c r="C108" s="275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2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80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280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81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275" t="s">
        <v>123</v>
      </c>
      <c r="C114" s="275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2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80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B118" s="280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B119" s="281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B120" s="275" t="s">
        <v>123</v>
      </c>
      <c r="C120" s="275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  <row r="181" spans="21:52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  <c r="AZ181" s="164"/>
    </row>
    <row r="182" spans="21:52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</row>
    <row r="183" spans="21:52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  <c r="AY183" s="164"/>
      <c r="AZ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443" priority="6">
      <formula>AND(P3&lt;&gt;"",P3&lt;&gt;"OUI")</formula>
    </cfRule>
  </conditionalFormatting>
  <conditionalFormatting sqref="AN3:AO60 S3:AH60">
    <cfRule type="expression" dxfId="442" priority="5" stopIfTrue="1">
      <formula>$AH3&lt;&gt;0</formula>
    </cfRule>
  </conditionalFormatting>
  <conditionalFormatting sqref="A6:E60 C3:E5 A3:A5">
    <cfRule type="expression" dxfId="441" priority="7" stopIfTrue="1">
      <formula>AND($I3&lt;&gt;"",AND($J3="",AND($BA3="",$BB3="")))</formula>
    </cfRule>
    <cfRule type="expression" dxfId="440" priority="8" stopIfTrue="1">
      <formula>AND($J3&lt;&gt;"",AND($BA3="",$BB3=""))</formula>
    </cfRule>
    <cfRule type="expression" dxfId="439" priority="9" stopIfTrue="1">
      <formula>AND($BA3&lt;&gt;"",$BB3="")</formula>
    </cfRule>
    <cfRule type="expression" dxfId="438" priority="10" stopIfTrue="1">
      <formula>$BB3="X"</formula>
    </cfRule>
  </conditionalFormatting>
  <conditionalFormatting sqref="B3:B5">
    <cfRule type="expression" dxfId="437" priority="1" stopIfTrue="1">
      <formula>AND($I3&lt;&gt;"",AND($J3="",AND($BA3="",$BB3="")))</formula>
    </cfRule>
    <cfRule type="expression" dxfId="436" priority="2" stopIfTrue="1">
      <formula>AND($J3&lt;&gt;"",AND($BA3="",$BB3=""))</formula>
    </cfRule>
    <cfRule type="expression" dxfId="435" priority="3" stopIfTrue="1">
      <formula>AND($BA3&lt;&gt;"",$BB3="")</formula>
    </cfRule>
    <cfRule type="expression" dxfId="434" priority="4" stopIfTrue="1">
      <formula>$BB3="X"</formula>
    </cfRule>
  </conditionalFormatting>
  <dataValidations count="12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I3:BK60">
      <formula1>"OUI,NON,N/C"</formula1>
    </dataValidation>
    <dataValidation type="list" allowBlank="1" showInputMessage="1" showErrorMessage="1" sqref="AN3:AN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BA3:BC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O3:AO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Y3:JY60 TU3:TU60 ADQ3:ADQ60 ANM3:ANM60 AXI3:AXI60 BHE3:BHE60 BRA3:BRA60 CAW3:CAW60 CKS3:CKS60 CUO3:CUO60 DEK3:DEK60 DOG3:DOG60 DYC3:DYC60 EHY3:EHY60 ERU3:ERU60 FBQ3:FBQ60 FLM3:FLM60 FVI3:FVI60 GFE3:GFE60 GPA3:GPA60 GYW3:GYW60 HIS3:HIS60 HSO3:HSO60 ICK3:ICK60 IMG3:IMG60 IWC3:IWC60 JFY3:JFY60 JPU3:JPU60 JZQ3:JZQ60 KJM3:KJM60 KTI3:KTI60 LDE3:LDE60 LNA3:LNA60 LWW3:LWW60 MGS3:MGS60 MQO3:MQO60 NAK3:NAK60 NKG3:NKG60 NUC3:NUC60 ODY3:ODY60 ONU3:ONU60 OXQ3:OXQ60 PHM3:PHM60 PRI3:PRI60 QBE3:QBE60 QLA3:QLA60 QUW3:QUW60 RES3:RES60 ROO3:ROO60 RYK3:RYK60 SIG3:SIG60 SSC3:SSC60 TBY3:TBY60 TLU3:TLU60 TVQ3:TVQ60 UFM3:UFM60 UPI3:UPI60 UZE3:UZE60 VJA3:VJA60 VSW3:VSW60 WCS3:WCS60 WMO3:WMO60 WWK3:WWK60 G65539:G65596 JX65539:JX65596 TT65539:TT65596 ADP65539:ADP65596 ANL65539:ANL65596 AXH65539:AXH65596 BHD65539:BHD65596 BQZ65539:BQZ65596 CAV65539:CAV65596 CKR65539:CKR65596 CUN65539:CUN65596 DEJ65539:DEJ65596 DOF65539:DOF65596 DYB65539:DYB65596 EHX65539:EHX65596 ERT65539:ERT65596 FBP65539:FBP65596 FLL65539:FLL65596 FVH65539:FVH65596 GFD65539:GFD65596 GOZ65539:GOZ65596 GYV65539:GYV65596 HIR65539:HIR65596 HSN65539:HSN65596 ICJ65539:ICJ65596 IMF65539:IMF65596 IWB65539:IWB65596 JFX65539:JFX65596 JPT65539:JPT65596 JZP65539:JZP65596 KJL65539:KJL65596 KTH65539:KTH65596 LDD65539:LDD65596 LMZ65539:LMZ65596 LWV65539:LWV65596 MGR65539:MGR65596 MQN65539:MQN65596 NAJ65539:NAJ65596 NKF65539:NKF65596 NUB65539:NUB65596 ODX65539:ODX65596 ONT65539:ONT65596 OXP65539:OXP65596 PHL65539:PHL65596 PRH65539:PRH65596 QBD65539:QBD65596 QKZ65539:QKZ65596 QUV65539:QUV65596 RER65539:RER65596 RON65539:RON65596 RYJ65539:RYJ65596 SIF65539:SIF65596 SSB65539:SSB65596 TBX65539:TBX65596 TLT65539:TLT65596 TVP65539:TVP65596 UFL65539:UFL65596 UPH65539:UPH65596 UZD65539:UZD65596 VIZ65539:VIZ65596 VSV65539:VSV65596 WCR65539:WCR65596 WMN65539:WMN65596 WWJ65539:WWJ65596 G131075:G131132 JX131075:JX131132 TT131075:TT131132 ADP131075:ADP131132 ANL131075:ANL131132 AXH131075:AXH131132 BHD131075:BHD131132 BQZ131075:BQZ131132 CAV131075:CAV131132 CKR131075:CKR131132 CUN131075:CUN131132 DEJ131075:DEJ131132 DOF131075:DOF131132 DYB131075:DYB131132 EHX131075:EHX131132 ERT131075:ERT131132 FBP131075:FBP131132 FLL131075:FLL131132 FVH131075:FVH131132 GFD131075:GFD131132 GOZ131075:GOZ131132 GYV131075:GYV131132 HIR131075:HIR131132 HSN131075:HSN131132 ICJ131075:ICJ131132 IMF131075:IMF131132 IWB131075:IWB131132 JFX131075:JFX131132 JPT131075:JPT131132 JZP131075:JZP131132 KJL131075:KJL131132 KTH131075:KTH131132 LDD131075:LDD131132 LMZ131075:LMZ131132 LWV131075:LWV131132 MGR131075:MGR131132 MQN131075:MQN131132 NAJ131075:NAJ131132 NKF131075:NKF131132 NUB131075:NUB131132 ODX131075:ODX131132 ONT131075:ONT131132 OXP131075:OXP131132 PHL131075:PHL131132 PRH131075:PRH131132 QBD131075:QBD131132 QKZ131075:QKZ131132 QUV131075:QUV131132 RER131075:RER131132 RON131075:RON131132 RYJ131075:RYJ131132 SIF131075:SIF131132 SSB131075:SSB131132 TBX131075:TBX131132 TLT131075:TLT131132 TVP131075:TVP131132 UFL131075:UFL131132 UPH131075:UPH131132 UZD131075:UZD131132 VIZ131075:VIZ131132 VSV131075:VSV131132 WCR131075:WCR131132 WMN131075:WMN131132 WWJ131075:WWJ131132 G196611:G196668 JX196611:JX196668 TT196611:TT196668 ADP196611:ADP196668 ANL196611:ANL196668 AXH196611:AXH196668 BHD196611:BHD196668 BQZ196611:BQZ196668 CAV196611:CAV196668 CKR196611:CKR196668 CUN196611:CUN196668 DEJ196611:DEJ196668 DOF196611:DOF196668 DYB196611:DYB196668 EHX196611:EHX196668 ERT196611:ERT196668 FBP196611:FBP196668 FLL196611:FLL196668 FVH196611:FVH196668 GFD196611:GFD196668 GOZ196611:GOZ196668 GYV196611:GYV196668 HIR196611:HIR196668 HSN196611:HSN196668 ICJ196611:ICJ196668 IMF196611:IMF196668 IWB196611:IWB196668 JFX196611:JFX196668 JPT196611:JPT196668 JZP196611:JZP196668 KJL196611:KJL196668 KTH196611:KTH196668 LDD196611:LDD196668 LMZ196611:LMZ196668 LWV196611:LWV196668 MGR196611:MGR196668 MQN196611:MQN196668 NAJ196611:NAJ196668 NKF196611:NKF196668 NUB196611:NUB196668 ODX196611:ODX196668 ONT196611:ONT196668 OXP196611:OXP196668 PHL196611:PHL196668 PRH196611:PRH196668 QBD196611:QBD196668 QKZ196611:QKZ196668 QUV196611:QUV196668 RER196611:RER196668 RON196611:RON196668 RYJ196611:RYJ196668 SIF196611:SIF196668 SSB196611:SSB196668 TBX196611:TBX196668 TLT196611:TLT196668 TVP196611:TVP196668 UFL196611:UFL196668 UPH196611:UPH196668 UZD196611:UZD196668 VIZ196611:VIZ196668 VSV196611:VSV196668 WCR196611:WCR196668 WMN196611:WMN196668 WWJ196611:WWJ196668 G262147:G262204 JX262147:JX262204 TT262147:TT262204 ADP262147:ADP262204 ANL262147:ANL262204 AXH262147:AXH262204 BHD262147:BHD262204 BQZ262147:BQZ262204 CAV262147:CAV262204 CKR262147:CKR262204 CUN262147:CUN262204 DEJ262147:DEJ262204 DOF262147:DOF262204 DYB262147:DYB262204 EHX262147:EHX262204 ERT262147:ERT262204 FBP262147:FBP262204 FLL262147:FLL262204 FVH262147:FVH262204 GFD262147:GFD262204 GOZ262147:GOZ262204 GYV262147:GYV262204 HIR262147:HIR262204 HSN262147:HSN262204 ICJ262147:ICJ262204 IMF262147:IMF262204 IWB262147:IWB262204 JFX262147:JFX262204 JPT262147:JPT262204 JZP262147:JZP262204 KJL262147:KJL262204 KTH262147:KTH262204 LDD262147:LDD262204 LMZ262147:LMZ262204 LWV262147:LWV262204 MGR262147:MGR262204 MQN262147:MQN262204 NAJ262147:NAJ262204 NKF262147:NKF262204 NUB262147:NUB262204 ODX262147:ODX262204 ONT262147:ONT262204 OXP262147:OXP262204 PHL262147:PHL262204 PRH262147:PRH262204 QBD262147:QBD262204 QKZ262147:QKZ262204 QUV262147:QUV262204 RER262147:RER262204 RON262147:RON262204 RYJ262147:RYJ262204 SIF262147:SIF262204 SSB262147:SSB262204 TBX262147:TBX262204 TLT262147:TLT262204 TVP262147:TVP262204 UFL262147:UFL262204 UPH262147:UPH262204 UZD262147:UZD262204 VIZ262147:VIZ262204 VSV262147:VSV262204 WCR262147:WCR262204 WMN262147:WMN262204 WWJ262147:WWJ262204 G327683:G327740 JX327683:JX327740 TT327683:TT327740 ADP327683:ADP327740 ANL327683:ANL327740 AXH327683:AXH327740 BHD327683:BHD327740 BQZ327683:BQZ327740 CAV327683:CAV327740 CKR327683:CKR327740 CUN327683:CUN327740 DEJ327683:DEJ327740 DOF327683:DOF327740 DYB327683:DYB327740 EHX327683:EHX327740 ERT327683:ERT327740 FBP327683:FBP327740 FLL327683:FLL327740 FVH327683:FVH327740 GFD327683:GFD327740 GOZ327683:GOZ327740 GYV327683:GYV327740 HIR327683:HIR327740 HSN327683:HSN327740 ICJ327683:ICJ327740 IMF327683:IMF327740 IWB327683:IWB327740 JFX327683:JFX327740 JPT327683:JPT327740 JZP327683:JZP327740 KJL327683:KJL327740 KTH327683:KTH327740 LDD327683:LDD327740 LMZ327683:LMZ327740 LWV327683:LWV327740 MGR327683:MGR327740 MQN327683:MQN327740 NAJ327683:NAJ327740 NKF327683:NKF327740 NUB327683:NUB327740 ODX327683:ODX327740 ONT327683:ONT327740 OXP327683:OXP327740 PHL327683:PHL327740 PRH327683:PRH327740 QBD327683:QBD327740 QKZ327683:QKZ327740 QUV327683:QUV327740 RER327683:RER327740 RON327683:RON327740 RYJ327683:RYJ327740 SIF327683:SIF327740 SSB327683:SSB327740 TBX327683:TBX327740 TLT327683:TLT327740 TVP327683:TVP327740 UFL327683:UFL327740 UPH327683:UPH327740 UZD327683:UZD327740 VIZ327683:VIZ327740 VSV327683:VSV327740 WCR327683:WCR327740 WMN327683:WMN327740 WWJ327683:WWJ327740 G393219:G393276 JX393219:JX393276 TT393219:TT393276 ADP393219:ADP393276 ANL393219:ANL393276 AXH393219:AXH393276 BHD393219:BHD393276 BQZ393219:BQZ393276 CAV393219:CAV393276 CKR393219:CKR393276 CUN393219:CUN393276 DEJ393219:DEJ393276 DOF393219:DOF393276 DYB393219:DYB393276 EHX393219:EHX393276 ERT393219:ERT393276 FBP393219:FBP393276 FLL393219:FLL393276 FVH393219:FVH393276 GFD393219:GFD393276 GOZ393219:GOZ393276 GYV393219:GYV393276 HIR393219:HIR393276 HSN393219:HSN393276 ICJ393219:ICJ393276 IMF393219:IMF393276 IWB393219:IWB393276 JFX393219:JFX393276 JPT393219:JPT393276 JZP393219:JZP393276 KJL393219:KJL393276 KTH393219:KTH393276 LDD393219:LDD393276 LMZ393219:LMZ393276 LWV393219:LWV393276 MGR393219:MGR393276 MQN393219:MQN393276 NAJ393219:NAJ393276 NKF393219:NKF393276 NUB393219:NUB393276 ODX393219:ODX393276 ONT393219:ONT393276 OXP393219:OXP393276 PHL393219:PHL393276 PRH393219:PRH393276 QBD393219:QBD393276 QKZ393219:QKZ393276 QUV393219:QUV393276 RER393219:RER393276 RON393219:RON393276 RYJ393219:RYJ393276 SIF393219:SIF393276 SSB393219:SSB393276 TBX393219:TBX393276 TLT393219:TLT393276 TVP393219:TVP393276 UFL393219:UFL393276 UPH393219:UPH393276 UZD393219:UZD393276 VIZ393219:VIZ393276 VSV393219:VSV393276 WCR393219:WCR393276 WMN393219:WMN393276 WWJ393219:WWJ393276 G458755:G458812 JX458755:JX458812 TT458755:TT458812 ADP458755:ADP458812 ANL458755:ANL458812 AXH458755:AXH458812 BHD458755:BHD458812 BQZ458755:BQZ458812 CAV458755:CAV458812 CKR458755:CKR458812 CUN458755:CUN458812 DEJ458755:DEJ458812 DOF458755:DOF458812 DYB458755:DYB458812 EHX458755:EHX458812 ERT458755:ERT458812 FBP458755:FBP458812 FLL458755:FLL458812 FVH458755:FVH458812 GFD458755:GFD458812 GOZ458755:GOZ458812 GYV458755:GYV458812 HIR458755:HIR458812 HSN458755:HSN458812 ICJ458755:ICJ458812 IMF458755:IMF458812 IWB458755:IWB458812 JFX458755:JFX458812 JPT458755:JPT458812 JZP458755:JZP458812 KJL458755:KJL458812 KTH458755:KTH458812 LDD458755:LDD458812 LMZ458755:LMZ458812 LWV458755:LWV458812 MGR458755:MGR458812 MQN458755:MQN458812 NAJ458755:NAJ458812 NKF458755:NKF458812 NUB458755:NUB458812 ODX458755:ODX458812 ONT458755:ONT458812 OXP458755:OXP458812 PHL458755:PHL458812 PRH458755:PRH458812 QBD458755:QBD458812 QKZ458755:QKZ458812 QUV458755:QUV458812 RER458755:RER458812 RON458755:RON458812 RYJ458755:RYJ458812 SIF458755:SIF458812 SSB458755:SSB458812 TBX458755:TBX458812 TLT458755:TLT458812 TVP458755:TVP458812 UFL458755:UFL458812 UPH458755:UPH458812 UZD458755:UZD458812 VIZ458755:VIZ458812 VSV458755:VSV458812 WCR458755:WCR458812 WMN458755:WMN458812 WWJ458755:WWJ458812 G524291:G524348 JX524291:JX524348 TT524291:TT524348 ADP524291:ADP524348 ANL524291:ANL524348 AXH524291:AXH524348 BHD524291:BHD524348 BQZ524291:BQZ524348 CAV524291:CAV524348 CKR524291:CKR524348 CUN524291:CUN524348 DEJ524291:DEJ524348 DOF524291:DOF524348 DYB524291:DYB524348 EHX524291:EHX524348 ERT524291:ERT524348 FBP524291:FBP524348 FLL524291:FLL524348 FVH524291:FVH524348 GFD524291:GFD524348 GOZ524291:GOZ524348 GYV524291:GYV524348 HIR524291:HIR524348 HSN524291:HSN524348 ICJ524291:ICJ524348 IMF524291:IMF524348 IWB524291:IWB524348 JFX524291:JFX524348 JPT524291:JPT524348 JZP524291:JZP524348 KJL524291:KJL524348 KTH524291:KTH524348 LDD524291:LDD524348 LMZ524291:LMZ524348 LWV524291:LWV524348 MGR524291:MGR524348 MQN524291:MQN524348 NAJ524291:NAJ524348 NKF524291:NKF524348 NUB524291:NUB524348 ODX524291:ODX524348 ONT524291:ONT524348 OXP524291:OXP524348 PHL524291:PHL524348 PRH524291:PRH524348 QBD524291:QBD524348 QKZ524291:QKZ524348 QUV524291:QUV524348 RER524291:RER524348 RON524291:RON524348 RYJ524291:RYJ524348 SIF524291:SIF524348 SSB524291:SSB524348 TBX524291:TBX524348 TLT524291:TLT524348 TVP524291:TVP524348 UFL524291:UFL524348 UPH524291:UPH524348 UZD524291:UZD524348 VIZ524291:VIZ524348 VSV524291:VSV524348 WCR524291:WCR524348 WMN524291:WMN524348 WWJ524291:WWJ524348 G589827:G589884 JX589827:JX589884 TT589827:TT589884 ADP589827:ADP589884 ANL589827:ANL589884 AXH589827:AXH589884 BHD589827:BHD589884 BQZ589827:BQZ589884 CAV589827:CAV589884 CKR589827:CKR589884 CUN589827:CUN589884 DEJ589827:DEJ589884 DOF589827:DOF589884 DYB589827:DYB589884 EHX589827:EHX589884 ERT589827:ERT589884 FBP589827:FBP589884 FLL589827:FLL589884 FVH589827:FVH589884 GFD589827:GFD589884 GOZ589827:GOZ589884 GYV589827:GYV589884 HIR589827:HIR589884 HSN589827:HSN589884 ICJ589827:ICJ589884 IMF589827:IMF589884 IWB589827:IWB589884 JFX589827:JFX589884 JPT589827:JPT589884 JZP589827:JZP589884 KJL589827:KJL589884 KTH589827:KTH589884 LDD589827:LDD589884 LMZ589827:LMZ589884 LWV589827:LWV589884 MGR589827:MGR589884 MQN589827:MQN589884 NAJ589827:NAJ589884 NKF589827:NKF589884 NUB589827:NUB589884 ODX589827:ODX589884 ONT589827:ONT589884 OXP589827:OXP589884 PHL589827:PHL589884 PRH589827:PRH589884 QBD589827:QBD589884 QKZ589827:QKZ589884 QUV589827:QUV589884 RER589827:RER589884 RON589827:RON589884 RYJ589827:RYJ589884 SIF589827:SIF589884 SSB589827:SSB589884 TBX589827:TBX589884 TLT589827:TLT589884 TVP589827:TVP589884 UFL589827:UFL589884 UPH589827:UPH589884 UZD589827:UZD589884 VIZ589827:VIZ589884 VSV589827:VSV589884 WCR589827:WCR589884 WMN589827:WMN589884 WWJ589827:WWJ589884 G655363:G655420 JX655363:JX655420 TT655363:TT655420 ADP655363:ADP655420 ANL655363:ANL655420 AXH655363:AXH655420 BHD655363:BHD655420 BQZ655363:BQZ655420 CAV655363:CAV655420 CKR655363:CKR655420 CUN655363:CUN655420 DEJ655363:DEJ655420 DOF655363:DOF655420 DYB655363:DYB655420 EHX655363:EHX655420 ERT655363:ERT655420 FBP655363:FBP655420 FLL655363:FLL655420 FVH655363:FVH655420 GFD655363:GFD655420 GOZ655363:GOZ655420 GYV655363:GYV655420 HIR655363:HIR655420 HSN655363:HSN655420 ICJ655363:ICJ655420 IMF655363:IMF655420 IWB655363:IWB655420 JFX655363:JFX655420 JPT655363:JPT655420 JZP655363:JZP655420 KJL655363:KJL655420 KTH655363:KTH655420 LDD655363:LDD655420 LMZ655363:LMZ655420 LWV655363:LWV655420 MGR655363:MGR655420 MQN655363:MQN655420 NAJ655363:NAJ655420 NKF655363:NKF655420 NUB655363:NUB655420 ODX655363:ODX655420 ONT655363:ONT655420 OXP655363:OXP655420 PHL655363:PHL655420 PRH655363:PRH655420 QBD655363:QBD655420 QKZ655363:QKZ655420 QUV655363:QUV655420 RER655363:RER655420 RON655363:RON655420 RYJ655363:RYJ655420 SIF655363:SIF655420 SSB655363:SSB655420 TBX655363:TBX655420 TLT655363:TLT655420 TVP655363:TVP655420 UFL655363:UFL655420 UPH655363:UPH655420 UZD655363:UZD655420 VIZ655363:VIZ655420 VSV655363:VSV655420 WCR655363:WCR655420 WMN655363:WMN655420 WWJ655363:WWJ655420 G720899:G720956 JX720899:JX720956 TT720899:TT720956 ADP720899:ADP720956 ANL720899:ANL720956 AXH720899:AXH720956 BHD720899:BHD720956 BQZ720899:BQZ720956 CAV720899:CAV720956 CKR720899:CKR720956 CUN720899:CUN720956 DEJ720899:DEJ720956 DOF720899:DOF720956 DYB720899:DYB720956 EHX720899:EHX720956 ERT720899:ERT720956 FBP720899:FBP720956 FLL720899:FLL720956 FVH720899:FVH720956 GFD720899:GFD720956 GOZ720899:GOZ720956 GYV720899:GYV720956 HIR720899:HIR720956 HSN720899:HSN720956 ICJ720899:ICJ720956 IMF720899:IMF720956 IWB720899:IWB720956 JFX720899:JFX720956 JPT720899:JPT720956 JZP720899:JZP720956 KJL720899:KJL720956 KTH720899:KTH720956 LDD720899:LDD720956 LMZ720899:LMZ720956 LWV720899:LWV720956 MGR720899:MGR720956 MQN720899:MQN720956 NAJ720899:NAJ720956 NKF720899:NKF720956 NUB720899:NUB720956 ODX720899:ODX720956 ONT720899:ONT720956 OXP720899:OXP720956 PHL720899:PHL720956 PRH720899:PRH720956 QBD720899:QBD720956 QKZ720899:QKZ720956 QUV720899:QUV720956 RER720899:RER720956 RON720899:RON720956 RYJ720899:RYJ720956 SIF720899:SIF720956 SSB720899:SSB720956 TBX720899:TBX720956 TLT720899:TLT720956 TVP720899:TVP720956 UFL720899:UFL720956 UPH720899:UPH720956 UZD720899:UZD720956 VIZ720899:VIZ720956 VSV720899:VSV720956 WCR720899:WCR720956 WMN720899:WMN720956 WWJ720899:WWJ720956 G786435:G786492 JX786435:JX786492 TT786435:TT786492 ADP786435:ADP786492 ANL786435:ANL786492 AXH786435:AXH786492 BHD786435:BHD786492 BQZ786435:BQZ786492 CAV786435:CAV786492 CKR786435:CKR786492 CUN786435:CUN786492 DEJ786435:DEJ786492 DOF786435:DOF786492 DYB786435:DYB786492 EHX786435:EHX786492 ERT786435:ERT786492 FBP786435:FBP786492 FLL786435:FLL786492 FVH786435:FVH786492 GFD786435:GFD786492 GOZ786435:GOZ786492 GYV786435:GYV786492 HIR786435:HIR786492 HSN786435:HSN786492 ICJ786435:ICJ786492 IMF786435:IMF786492 IWB786435:IWB786492 JFX786435:JFX786492 JPT786435:JPT786492 JZP786435:JZP786492 KJL786435:KJL786492 KTH786435:KTH786492 LDD786435:LDD786492 LMZ786435:LMZ786492 LWV786435:LWV786492 MGR786435:MGR786492 MQN786435:MQN786492 NAJ786435:NAJ786492 NKF786435:NKF786492 NUB786435:NUB786492 ODX786435:ODX786492 ONT786435:ONT786492 OXP786435:OXP786492 PHL786435:PHL786492 PRH786435:PRH786492 QBD786435:QBD786492 QKZ786435:QKZ786492 QUV786435:QUV786492 RER786435:RER786492 RON786435:RON786492 RYJ786435:RYJ786492 SIF786435:SIF786492 SSB786435:SSB786492 TBX786435:TBX786492 TLT786435:TLT786492 TVP786435:TVP786492 UFL786435:UFL786492 UPH786435:UPH786492 UZD786435:UZD786492 VIZ786435:VIZ786492 VSV786435:VSV786492 WCR786435:WCR786492 WMN786435:WMN786492 WWJ786435:WWJ786492 G851971:G852028 JX851971:JX852028 TT851971:TT852028 ADP851971:ADP852028 ANL851971:ANL852028 AXH851971:AXH852028 BHD851971:BHD852028 BQZ851971:BQZ852028 CAV851971:CAV852028 CKR851971:CKR852028 CUN851971:CUN852028 DEJ851971:DEJ852028 DOF851971:DOF852028 DYB851971:DYB852028 EHX851971:EHX852028 ERT851971:ERT852028 FBP851971:FBP852028 FLL851971:FLL852028 FVH851971:FVH852028 GFD851971:GFD852028 GOZ851971:GOZ852028 GYV851971:GYV852028 HIR851971:HIR852028 HSN851971:HSN852028 ICJ851971:ICJ852028 IMF851971:IMF852028 IWB851971:IWB852028 JFX851971:JFX852028 JPT851971:JPT852028 JZP851971:JZP852028 KJL851971:KJL852028 KTH851971:KTH852028 LDD851971:LDD852028 LMZ851971:LMZ852028 LWV851971:LWV852028 MGR851971:MGR852028 MQN851971:MQN852028 NAJ851971:NAJ852028 NKF851971:NKF852028 NUB851971:NUB852028 ODX851971:ODX852028 ONT851971:ONT852028 OXP851971:OXP852028 PHL851971:PHL852028 PRH851971:PRH852028 QBD851971:QBD852028 QKZ851971:QKZ852028 QUV851971:QUV852028 RER851971:RER852028 RON851971:RON852028 RYJ851971:RYJ852028 SIF851971:SIF852028 SSB851971:SSB852028 TBX851971:TBX852028 TLT851971:TLT852028 TVP851971:TVP852028 UFL851971:UFL852028 UPH851971:UPH852028 UZD851971:UZD852028 VIZ851971:VIZ852028 VSV851971:VSV852028 WCR851971:WCR852028 WMN851971:WMN852028 WWJ851971:WWJ852028 G917507:G917564 JX917507:JX917564 TT917507:TT917564 ADP917507:ADP917564 ANL917507:ANL917564 AXH917507:AXH917564 BHD917507:BHD917564 BQZ917507:BQZ917564 CAV917507:CAV917564 CKR917507:CKR917564 CUN917507:CUN917564 DEJ917507:DEJ917564 DOF917507:DOF917564 DYB917507:DYB917564 EHX917507:EHX917564 ERT917507:ERT917564 FBP917507:FBP917564 FLL917507:FLL917564 FVH917507:FVH917564 GFD917507:GFD917564 GOZ917507:GOZ917564 GYV917507:GYV917564 HIR917507:HIR917564 HSN917507:HSN917564 ICJ917507:ICJ917564 IMF917507:IMF917564 IWB917507:IWB917564 JFX917507:JFX917564 JPT917507:JPT917564 JZP917507:JZP917564 KJL917507:KJL917564 KTH917507:KTH917564 LDD917507:LDD917564 LMZ917507:LMZ917564 LWV917507:LWV917564 MGR917507:MGR917564 MQN917507:MQN917564 NAJ917507:NAJ917564 NKF917507:NKF917564 NUB917507:NUB917564 ODX917507:ODX917564 ONT917507:ONT917564 OXP917507:OXP917564 PHL917507:PHL917564 PRH917507:PRH917564 QBD917507:QBD917564 QKZ917507:QKZ917564 QUV917507:QUV917564 RER917507:RER917564 RON917507:RON917564 RYJ917507:RYJ917564 SIF917507:SIF917564 SSB917507:SSB917564 TBX917507:TBX917564 TLT917507:TLT917564 TVP917507:TVP917564 UFL917507:UFL917564 UPH917507:UPH917564 UZD917507:UZD917564 VIZ917507:VIZ917564 VSV917507:VSV917564 WCR917507:WCR917564 WMN917507:WMN917564 WWJ917507:WWJ917564 G983043:G983100 JX983043:JX983100 TT983043:TT983100 ADP983043:ADP983100 ANL983043:ANL983100 AXH983043:AXH983100 BHD983043:BHD983100 BQZ983043:BQZ983100 CAV983043:CAV983100 CKR983043:CKR983100 CUN983043:CUN983100 DEJ983043:DEJ983100 DOF983043:DOF983100 DYB983043:DYB983100 EHX983043:EHX983100 ERT983043:ERT983100 FBP983043:FBP983100 FLL983043:FLL983100 FVH983043:FVH983100 GFD983043:GFD983100 GOZ983043:GOZ983100 GYV983043:GYV983100 HIR983043:HIR983100 HSN983043:HSN983100 ICJ983043:ICJ983100 IMF983043:IMF983100 IWB983043:IWB983100 JFX983043:JFX983100 JPT983043:JPT983100 JZP983043:JZP983100 KJL983043:KJL983100 KTH983043:KTH983100 LDD983043:LDD983100 LMZ983043:LMZ983100 LWV983043:LWV983100 MGR983043:MGR983100 MQN983043:MQN983100 NAJ983043:NAJ983100 NKF983043:NKF983100 NUB983043:NUB983100 ODX983043:ODX983100 ONT983043:ONT983100 OXP983043:OXP983100 PHL983043:PHL983100 PRH983043:PRH983100 QBD983043:QBD983100 QKZ983043:QKZ983100 QUV983043:QUV983100 RER983043:RER983100 RON983043:RON983100 RYJ983043:RYJ983100 SIF983043:SIF983100 SSB983043:SSB983100 TBX983043:TBX983100 TLT983043:TLT983100 TVP983043:TVP983100 UFL983043:UFL983100 UPH983043:UPH983100 UZD983043:UZD983100 VIZ983043:VIZ983100 VSV983043:VSV983100 WCR983043:WCR983100 WMN983043:WMN983100 WWJ983043:WWJ983100 G3:G60">
      <formula1>"IS,IR,"</formula1>
    </dataValidation>
    <dataValidation type="list" allowBlank="1" showInputMessage="1" showErrorMessage="1" sqref="D3:D60 JV3:JV60 TR3:TR60 ADN3:ADN60 ANJ3:ANJ60 AXF3:AXF60 BHB3:BHB60 BQX3:BQX60 CAT3:CAT60 CKP3:CKP60 CUL3:CUL60 DEH3:DEH60 DOD3:DOD60 DXZ3:DXZ60 EHV3:EHV60 ERR3:ERR60 FBN3:FBN60 FLJ3:FLJ60 FVF3:FVF60 GFB3:GFB60 GOX3:GOX60 GYT3:GYT60 HIP3:HIP60 HSL3:HSL60 ICH3:ICH60 IMD3:IMD60 IVZ3:IVZ60 JFV3:JFV60 JPR3:JPR60 JZN3:JZN60 KJJ3:KJJ60 KTF3:KTF60 LDB3:LDB60 LMX3:LMX60 LWT3:LWT60 MGP3:MGP60 MQL3:MQL60 NAH3:NAH60 NKD3:NKD60 NTZ3:NTZ60 ODV3:ODV60 ONR3:ONR60 OXN3:OXN60 PHJ3:PHJ60 PRF3:PRF60 QBB3:QBB60 QKX3:QKX60 QUT3:QUT60 REP3:REP60 ROL3:ROL60 RYH3:RYH60 SID3:SID60 SRZ3:SRZ60 TBV3:TBV60 TLR3:TLR60 TVN3:TVN60 UFJ3:UFJ60 UPF3:UPF60 UZB3:UZB60 VIX3:VIX60 VST3:VST60 WCP3:WCP60 WML3:WML60 WWH3:WWH60 D65539:D65596 JU65539:JU65596 TQ65539:TQ65596 ADM65539:ADM65596 ANI65539:ANI65596 AXE65539:AXE65596 BHA65539:BHA65596 BQW65539:BQW65596 CAS65539:CAS65596 CKO65539:CKO65596 CUK65539:CUK65596 DEG65539:DEG65596 DOC65539:DOC65596 DXY65539:DXY65596 EHU65539:EHU65596 ERQ65539:ERQ65596 FBM65539:FBM65596 FLI65539:FLI65596 FVE65539:FVE65596 GFA65539:GFA65596 GOW65539:GOW65596 GYS65539:GYS65596 HIO65539:HIO65596 HSK65539:HSK65596 ICG65539:ICG65596 IMC65539:IMC65596 IVY65539:IVY65596 JFU65539:JFU65596 JPQ65539:JPQ65596 JZM65539:JZM65596 KJI65539:KJI65596 KTE65539:KTE65596 LDA65539:LDA65596 LMW65539:LMW65596 LWS65539:LWS65596 MGO65539:MGO65596 MQK65539:MQK65596 NAG65539:NAG65596 NKC65539:NKC65596 NTY65539:NTY65596 ODU65539:ODU65596 ONQ65539:ONQ65596 OXM65539:OXM65596 PHI65539:PHI65596 PRE65539:PRE65596 QBA65539:QBA65596 QKW65539:QKW65596 QUS65539:QUS65596 REO65539:REO65596 ROK65539:ROK65596 RYG65539:RYG65596 SIC65539:SIC65596 SRY65539:SRY65596 TBU65539:TBU65596 TLQ65539:TLQ65596 TVM65539:TVM65596 UFI65539:UFI65596 UPE65539:UPE65596 UZA65539:UZA65596 VIW65539:VIW65596 VSS65539:VSS65596 WCO65539:WCO65596 WMK65539:WMK65596 WWG65539:WWG65596 D131075:D131132 JU131075:JU131132 TQ131075:TQ131132 ADM131075:ADM131132 ANI131075:ANI131132 AXE131075:AXE131132 BHA131075:BHA131132 BQW131075:BQW131132 CAS131075:CAS131132 CKO131075:CKO131132 CUK131075:CUK131132 DEG131075:DEG131132 DOC131075:DOC131132 DXY131075:DXY131132 EHU131075:EHU131132 ERQ131075:ERQ131132 FBM131075:FBM131132 FLI131075:FLI131132 FVE131075:FVE131132 GFA131075:GFA131132 GOW131075:GOW131132 GYS131075:GYS131132 HIO131075:HIO131132 HSK131075:HSK131132 ICG131075:ICG131132 IMC131075:IMC131132 IVY131075:IVY131132 JFU131075:JFU131132 JPQ131075:JPQ131132 JZM131075:JZM131132 KJI131075:KJI131132 KTE131075:KTE131132 LDA131075:LDA131132 LMW131075:LMW131132 LWS131075:LWS131132 MGO131075:MGO131132 MQK131075:MQK131132 NAG131075:NAG131132 NKC131075:NKC131132 NTY131075:NTY131132 ODU131075:ODU131132 ONQ131075:ONQ131132 OXM131075:OXM131132 PHI131075:PHI131132 PRE131075:PRE131132 QBA131075:QBA131132 QKW131075:QKW131132 QUS131075:QUS131132 REO131075:REO131132 ROK131075:ROK131132 RYG131075:RYG131132 SIC131075:SIC131132 SRY131075:SRY131132 TBU131075:TBU131132 TLQ131075:TLQ131132 TVM131075:TVM131132 UFI131075:UFI131132 UPE131075:UPE131132 UZA131075:UZA131132 VIW131075:VIW131132 VSS131075:VSS131132 WCO131075:WCO131132 WMK131075:WMK131132 WWG131075:WWG131132 D196611:D196668 JU196611:JU196668 TQ196611:TQ196668 ADM196611:ADM196668 ANI196611:ANI196668 AXE196611:AXE196668 BHA196611:BHA196668 BQW196611:BQW196668 CAS196611:CAS196668 CKO196611:CKO196668 CUK196611:CUK196668 DEG196611:DEG196668 DOC196611:DOC196668 DXY196611:DXY196668 EHU196611:EHU196668 ERQ196611:ERQ196668 FBM196611:FBM196668 FLI196611:FLI196668 FVE196611:FVE196668 GFA196611:GFA196668 GOW196611:GOW196668 GYS196611:GYS196668 HIO196611:HIO196668 HSK196611:HSK196668 ICG196611:ICG196668 IMC196611:IMC196668 IVY196611:IVY196668 JFU196611:JFU196668 JPQ196611:JPQ196668 JZM196611:JZM196668 KJI196611:KJI196668 KTE196611:KTE196668 LDA196611:LDA196668 LMW196611:LMW196668 LWS196611:LWS196668 MGO196611:MGO196668 MQK196611:MQK196668 NAG196611:NAG196668 NKC196611:NKC196668 NTY196611:NTY196668 ODU196611:ODU196668 ONQ196611:ONQ196668 OXM196611:OXM196668 PHI196611:PHI196668 PRE196611:PRE196668 QBA196611:QBA196668 QKW196611:QKW196668 QUS196611:QUS196668 REO196611:REO196668 ROK196611:ROK196668 RYG196611:RYG196668 SIC196611:SIC196668 SRY196611:SRY196668 TBU196611:TBU196668 TLQ196611:TLQ196668 TVM196611:TVM196668 UFI196611:UFI196668 UPE196611:UPE196668 UZA196611:UZA196668 VIW196611:VIW196668 VSS196611:VSS196668 WCO196611:WCO196668 WMK196611:WMK196668 WWG196611:WWG196668 D262147:D262204 JU262147:JU262204 TQ262147:TQ262204 ADM262147:ADM262204 ANI262147:ANI262204 AXE262147:AXE262204 BHA262147:BHA262204 BQW262147:BQW262204 CAS262147:CAS262204 CKO262147:CKO262204 CUK262147:CUK262204 DEG262147:DEG262204 DOC262147:DOC262204 DXY262147:DXY262204 EHU262147:EHU262204 ERQ262147:ERQ262204 FBM262147:FBM262204 FLI262147:FLI262204 FVE262147:FVE262204 GFA262147:GFA262204 GOW262147:GOW262204 GYS262147:GYS262204 HIO262147:HIO262204 HSK262147:HSK262204 ICG262147:ICG262204 IMC262147:IMC262204 IVY262147:IVY262204 JFU262147:JFU262204 JPQ262147:JPQ262204 JZM262147:JZM262204 KJI262147:KJI262204 KTE262147:KTE262204 LDA262147:LDA262204 LMW262147:LMW262204 LWS262147:LWS262204 MGO262147:MGO262204 MQK262147:MQK262204 NAG262147:NAG262204 NKC262147:NKC262204 NTY262147:NTY262204 ODU262147:ODU262204 ONQ262147:ONQ262204 OXM262147:OXM262204 PHI262147:PHI262204 PRE262147:PRE262204 QBA262147:QBA262204 QKW262147:QKW262204 QUS262147:QUS262204 REO262147:REO262204 ROK262147:ROK262204 RYG262147:RYG262204 SIC262147:SIC262204 SRY262147:SRY262204 TBU262147:TBU262204 TLQ262147:TLQ262204 TVM262147:TVM262204 UFI262147:UFI262204 UPE262147:UPE262204 UZA262147:UZA262204 VIW262147:VIW262204 VSS262147:VSS262204 WCO262147:WCO262204 WMK262147:WMK262204 WWG262147:WWG262204 D327683:D327740 JU327683:JU327740 TQ327683:TQ327740 ADM327683:ADM327740 ANI327683:ANI327740 AXE327683:AXE327740 BHA327683:BHA327740 BQW327683:BQW327740 CAS327683:CAS327740 CKO327683:CKO327740 CUK327683:CUK327740 DEG327683:DEG327740 DOC327683:DOC327740 DXY327683:DXY327740 EHU327683:EHU327740 ERQ327683:ERQ327740 FBM327683:FBM327740 FLI327683:FLI327740 FVE327683:FVE327740 GFA327683:GFA327740 GOW327683:GOW327740 GYS327683:GYS327740 HIO327683:HIO327740 HSK327683:HSK327740 ICG327683:ICG327740 IMC327683:IMC327740 IVY327683:IVY327740 JFU327683:JFU327740 JPQ327683:JPQ327740 JZM327683:JZM327740 KJI327683:KJI327740 KTE327683:KTE327740 LDA327683:LDA327740 LMW327683:LMW327740 LWS327683:LWS327740 MGO327683:MGO327740 MQK327683:MQK327740 NAG327683:NAG327740 NKC327683:NKC327740 NTY327683:NTY327740 ODU327683:ODU327740 ONQ327683:ONQ327740 OXM327683:OXM327740 PHI327683:PHI327740 PRE327683:PRE327740 QBA327683:QBA327740 QKW327683:QKW327740 QUS327683:QUS327740 REO327683:REO327740 ROK327683:ROK327740 RYG327683:RYG327740 SIC327683:SIC327740 SRY327683:SRY327740 TBU327683:TBU327740 TLQ327683:TLQ327740 TVM327683:TVM327740 UFI327683:UFI327740 UPE327683:UPE327740 UZA327683:UZA327740 VIW327683:VIW327740 VSS327683:VSS327740 WCO327683:WCO327740 WMK327683:WMK327740 WWG327683:WWG327740 D393219:D393276 JU393219:JU393276 TQ393219:TQ393276 ADM393219:ADM393276 ANI393219:ANI393276 AXE393219:AXE393276 BHA393219:BHA393276 BQW393219:BQW393276 CAS393219:CAS393276 CKO393219:CKO393276 CUK393219:CUK393276 DEG393219:DEG393276 DOC393219:DOC393276 DXY393219:DXY393276 EHU393219:EHU393276 ERQ393219:ERQ393276 FBM393219:FBM393276 FLI393219:FLI393276 FVE393219:FVE393276 GFA393219:GFA393276 GOW393219:GOW393276 GYS393219:GYS393276 HIO393219:HIO393276 HSK393219:HSK393276 ICG393219:ICG393276 IMC393219:IMC393276 IVY393219:IVY393276 JFU393219:JFU393276 JPQ393219:JPQ393276 JZM393219:JZM393276 KJI393219:KJI393276 KTE393219:KTE393276 LDA393219:LDA393276 LMW393219:LMW393276 LWS393219:LWS393276 MGO393219:MGO393276 MQK393219:MQK393276 NAG393219:NAG393276 NKC393219:NKC393276 NTY393219:NTY393276 ODU393219:ODU393276 ONQ393219:ONQ393276 OXM393219:OXM393276 PHI393219:PHI393276 PRE393219:PRE393276 QBA393219:QBA393276 QKW393219:QKW393276 QUS393219:QUS393276 REO393219:REO393276 ROK393219:ROK393276 RYG393219:RYG393276 SIC393219:SIC393276 SRY393219:SRY393276 TBU393219:TBU393276 TLQ393219:TLQ393276 TVM393219:TVM393276 UFI393219:UFI393276 UPE393219:UPE393276 UZA393219:UZA393276 VIW393219:VIW393276 VSS393219:VSS393276 WCO393219:WCO393276 WMK393219:WMK393276 WWG393219:WWG393276 D458755:D458812 JU458755:JU458812 TQ458755:TQ458812 ADM458755:ADM458812 ANI458755:ANI458812 AXE458755:AXE458812 BHA458755:BHA458812 BQW458755:BQW458812 CAS458755:CAS458812 CKO458755:CKO458812 CUK458755:CUK458812 DEG458755:DEG458812 DOC458755:DOC458812 DXY458755:DXY458812 EHU458755:EHU458812 ERQ458755:ERQ458812 FBM458755:FBM458812 FLI458755:FLI458812 FVE458755:FVE458812 GFA458755:GFA458812 GOW458755:GOW458812 GYS458755:GYS458812 HIO458755:HIO458812 HSK458755:HSK458812 ICG458755:ICG458812 IMC458755:IMC458812 IVY458755:IVY458812 JFU458755:JFU458812 JPQ458755:JPQ458812 JZM458755:JZM458812 KJI458755:KJI458812 KTE458755:KTE458812 LDA458755:LDA458812 LMW458755:LMW458812 LWS458755:LWS458812 MGO458755:MGO458812 MQK458755:MQK458812 NAG458755:NAG458812 NKC458755:NKC458812 NTY458755:NTY458812 ODU458755:ODU458812 ONQ458755:ONQ458812 OXM458755:OXM458812 PHI458755:PHI458812 PRE458755:PRE458812 QBA458755:QBA458812 QKW458755:QKW458812 QUS458755:QUS458812 REO458755:REO458812 ROK458755:ROK458812 RYG458755:RYG458812 SIC458755:SIC458812 SRY458755:SRY458812 TBU458755:TBU458812 TLQ458755:TLQ458812 TVM458755:TVM458812 UFI458755:UFI458812 UPE458755:UPE458812 UZA458755:UZA458812 VIW458755:VIW458812 VSS458755:VSS458812 WCO458755:WCO458812 WMK458755:WMK458812 WWG458755:WWG458812 D524291:D524348 JU524291:JU524348 TQ524291:TQ524348 ADM524291:ADM524348 ANI524291:ANI524348 AXE524291:AXE524348 BHA524291:BHA524348 BQW524291:BQW524348 CAS524291:CAS524348 CKO524291:CKO524348 CUK524291:CUK524348 DEG524291:DEG524348 DOC524291:DOC524348 DXY524291:DXY524348 EHU524291:EHU524348 ERQ524291:ERQ524348 FBM524291:FBM524348 FLI524291:FLI524348 FVE524291:FVE524348 GFA524291:GFA524348 GOW524291:GOW524348 GYS524291:GYS524348 HIO524291:HIO524348 HSK524291:HSK524348 ICG524291:ICG524348 IMC524291:IMC524348 IVY524291:IVY524348 JFU524291:JFU524348 JPQ524291:JPQ524348 JZM524291:JZM524348 KJI524291:KJI524348 KTE524291:KTE524348 LDA524291:LDA524348 LMW524291:LMW524348 LWS524291:LWS524348 MGO524291:MGO524348 MQK524291:MQK524348 NAG524291:NAG524348 NKC524291:NKC524348 NTY524291:NTY524348 ODU524291:ODU524348 ONQ524291:ONQ524348 OXM524291:OXM524348 PHI524291:PHI524348 PRE524291:PRE524348 QBA524291:QBA524348 QKW524291:QKW524348 QUS524291:QUS524348 REO524291:REO524348 ROK524291:ROK524348 RYG524291:RYG524348 SIC524291:SIC524348 SRY524291:SRY524348 TBU524291:TBU524348 TLQ524291:TLQ524348 TVM524291:TVM524348 UFI524291:UFI524348 UPE524291:UPE524348 UZA524291:UZA524348 VIW524291:VIW524348 VSS524291:VSS524348 WCO524291:WCO524348 WMK524291:WMK524348 WWG524291:WWG524348 D589827:D589884 JU589827:JU589884 TQ589827:TQ589884 ADM589827:ADM589884 ANI589827:ANI589884 AXE589827:AXE589884 BHA589827:BHA589884 BQW589827:BQW589884 CAS589827:CAS589884 CKO589827:CKO589884 CUK589827:CUK589884 DEG589827:DEG589884 DOC589827:DOC589884 DXY589827:DXY589884 EHU589827:EHU589884 ERQ589827:ERQ589884 FBM589827:FBM589884 FLI589827:FLI589884 FVE589827:FVE589884 GFA589827:GFA589884 GOW589827:GOW589884 GYS589827:GYS589884 HIO589827:HIO589884 HSK589827:HSK589884 ICG589827:ICG589884 IMC589827:IMC589884 IVY589827:IVY589884 JFU589827:JFU589884 JPQ589827:JPQ589884 JZM589827:JZM589884 KJI589827:KJI589884 KTE589827:KTE589884 LDA589827:LDA589884 LMW589827:LMW589884 LWS589827:LWS589884 MGO589827:MGO589884 MQK589827:MQK589884 NAG589827:NAG589884 NKC589827:NKC589884 NTY589827:NTY589884 ODU589827:ODU589884 ONQ589827:ONQ589884 OXM589827:OXM589884 PHI589827:PHI589884 PRE589827:PRE589884 QBA589827:QBA589884 QKW589827:QKW589884 QUS589827:QUS589884 REO589827:REO589884 ROK589827:ROK589884 RYG589827:RYG589884 SIC589827:SIC589884 SRY589827:SRY589884 TBU589827:TBU589884 TLQ589827:TLQ589884 TVM589827:TVM589884 UFI589827:UFI589884 UPE589827:UPE589884 UZA589827:UZA589884 VIW589827:VIW589884 VSS589827:VSS589884 WCO589827:WCO589884 WMK589827:WMK589884 WWG589827:WWG589884 D655363:D655420 JU655363:JU655420 TQ655363:TQ655420 ADM655363:ADM655420 ANI655363:ANI655420 AXE655363:AXE655420 BHA655363:BHA655420 BQW655363:BQW655420 CAS655363:CAS655420 CKO655363:CKO655420 CUK655363:CUK655420 DEG655363:DEG655420 DOC655363:DOC655420 DXY655363:DXY655420 EHU655363:EHU655420 ERQ655363:ERQ655420 FBM655363:FBM655420 FLI655363:FLI655420 FVE655363:FVE655420 GFA655363:GFA655420 GOW655363:GOW655420 GYS655363:GYS655420 HIO655363:HIO655420 HSK655363:HSK655420 ICG655363:ICG655420 IMC655363:IMC655420 IVY655363:IVY655420 JFU655363:JFU655420 JPQ655363:JPQ655420 JZM655363:JZM655420 KJI655363:KJI655420 KTE655363:KTE655420 LDA655363:LDA655420 LMW655363:LMW655420 LWS655363:LWS655420 MGO655363:MGO655420 MQK655363:MQK655420 NAG655363:NAG655420 NKC655363:NKC655420 NTY655363:NTY655420 ODU655363:ODU655420 ONQ655363:ONQ655420 OXM655363:OXM655420 PHI655363:PHI655420 PRE655363:PRE655420 QBA655363:QBA655420 QKW655363:QKW655420 QUS655363:QUS655420 REO655363:REO655420 ROK655363:ROK655420 RYG655363:RYG655420 SIC655363:SIC655420 SRY655363:SRY655420 TBU655363:TBU655420 TLQ655363:TLQ655420 TVM655363:TVM655420 UFI655363:UFI655420 UPE655363:UPE655420 UZA655363:UZA655420 VIW655363:VIW655420 VSS655363:VSS655420 WCO655363:WCO655420 WMK655363:WMK655420 WWG655363:WWG655420 D720899:D720956 JU720899:JU720956 TQ720899:TQ720956 ADM720899:ADM720956 ANI720899:ANI720956 AXE720899:AXE720956 BHA720899:BHA720956 BQW720899:BQW720956 CAS720899:CAS720956 CKO720899:CKO720956 CUK720899:CUK720956 DEG720899:DEG720956 DOC720899:DOC720956 DXY720899:DXY720956 EHU720899:EHU720956 ERQ720899:ERQ720956 FBM720899:FBM720956 FLI720899:FLI720956 FVE720899:FVE720956 GFA720899:GFA720956 GOW720899:GOW720956 GYS720899:GYS720956 HIO720899:HIO720956 HSK720899:HSK720956 ICG720899:ICG720956 IMC720899:IMC720956 IVY720899:IVY720956 JFU720899:JFU720956 JPQ720899:JPQ720956 JZM720899:JZM720956 KJI720899:KJI720956 KTE720899:KTE720956 LDA720899:LDA720956 LMW720899:LMW720956 LWS720899:LWS720956 MGO720899:MGO720956 MQK720899:MQK720956 NAG720899:NAG720956 NKC720899:NKC720956 NTY720899:NTY720956 ODU720899:ODU720956 ONQ720899:ONQ720956 OXM720899:OXM720956 PHI720899:PHI720956 PRE720899:PRE720956 QBA720899:QBA720956 QKW720899:QKW720956 QUS720899:QUS720956 REO720899:REO720956 ROK720899:ROK720956 RYG720899:RYG720956 SIC720899:SIC720956 SRY720899:SRY720956 TBU720899:TBU720956 TLQ720899:TLQ720956 TVM720899:TVM720956 UFI720899:UFI720956 UPE720899:UPE720956 UZA720899:UZA720956 VIW720899:VIW720956 VSS720899:VSS720956 WCO720899:WCO720956 WMK720899:WMK720956 WWG720899:WWG720956 D786435:D786492 JU786435:JU786492 TQ786435:TQ786492 ADM786435:ADM786492 ANI786435:ANI786492 AXE786435:AXE786492 BHA786435:BHA786492 BQW786435:BQW786492 CAS786435:CAS786492 CKO786435:CKO786492 CUK786435:CUK786492 DEG786435:DEG786492 DOC786435:DOC786492 DXY786435:DXY786492 EHU786435:EHU786492 ERQ786435:ERQ786492 FBM786435:FBM786492 FLI786435:FLI786492 FVE786435:FVE786492 GFA786435:GFA786492 GOW786435:GOW786492 GYS786435:GYS786492 HIO786435:HIO786492 HSK786435:HSK786492 ICG786435:ICG786492 IMC786435:IMC786492 IVY786435:IVY786492 JFU786435:JFU786492 JPQ786435:JPQ786492 JZM786435:JZM786492 KJI786435:KJI786492 KTE786435:KTE786492 LDA786435:LDA786492 LMW786435:LMW786492 LWS786435:LWS786492 MGO786435:MGO786492 MQK786435:MQK786492 NAG786435:NAG786492 NKC786435:NKC786492 NTY786435:NTY786492 ODU786435:ODU786492 ONQ786435:ONQ786492 OXM786435:OXM786492 PHI786435:PHI786492 PRE786435:PRE786492 QBA786435:QBA786492 QKW786435:QKW786492 QUS786435:QUS786492 REO786435:REO786492 ROK786435:ROK786492 RYG786435:RYG786492 SIC786435:SIC786492 SRY786435:SRY786492 TBU786435:TBU786492 TLQ786435:TLQ786492 TVM786435:TVM786492 UFI786435:UFI786492 UPE786435:UPE786492 UZA786435:UZA786492 VIW786435:VIW786492 VSS786435:VSS786492 WCO786435:WCO786492 WMK786435:WMK786492 WWG786435:WWG786492 D851971:D852028 JU851971:JU852028 TQ851971:TQ852028 ADM851971:ADM852028 ANI851971:ANI852028 AXE851971:AXE852028 BHA851971:BHA852028 BQW851971:BQW852028 CAS851971:CAS852028 CKO851971:CKO852028 CUK851971:CUK852028 DEG851971:DEG852028 DOC851971:DOC852028 DXY851971:DXY852028 EHU851971:EHU852028 ERQ851971:ERQ852028 FBM851971:FBM852028 FLI851971:FLI852028 FVE851971:FVE852028 GFA851971:GFA852028 GOW851971:GOW852028 GYS851971:GYS852028 HIO851971:HIO852028 HSK851971:HSK852028 ICG851971:ICG852028 IMC851971:IMC852028 IVY851971:IVY852028 JFU851971:JFU852028 JPQ851971:JPQ852028 JZM851971:JZM852028 KJI851971:KJI852028 KTE851971:KTE852028 LDA851971:LDA852028 LMW851971:LMW852028 LWS851971:LWS852028 MGO851971:MGO852028 MQK851971:MQK852028 NAG851971:NAG852028 NKC851971:NKC852028 NTY851971:NTY852028 ODU851971:ODU852028 ONQ851971:ONQ852028 OXM851971:OXM852028 PHI851971:PHI852028 PRE851971:PRE852028 QBA851971:QBA852028 QKW851971:QKW852028 QUS851971:QUS852028 REO851971:REO852028 ROK851971:ROK852028 RYG851971:RYG852028 SIC851971:SIC852028 SRY851971:SRY852028 TBU851971:TBU852028 TLQ851971:TLQ852028 TVM851971:TVM852028 UFI851971:UFI852028 UPE851971:UPE852028 UZA851971:UZA852028 VIW851971:VIW852028 VSS851971:VSS852028 WCO851971:WCO852028 WMK851971:WMK852028 WWG851971:WWG852028 D917507:D917564 JU917507:JU917564 TQ917507:TQ917564 ADM917507:ADM917564 ANI917507:ANI917564 AXE917507:AXE917564 BHA917507:BHA917564 BQW917507:BQW917564 CAS917507:CAS917564 CKO917507:CKO917564 CUK917507:CUK917564 DEG917507:DEG917564 DOC917507:DOC917564 DXY917507:DXY917564 EHU917507:EHU917564 ERQ917507:ERQ917564 FBM917507:FBM917564 FLI917507:FLI917564 FVE917507:FVE917564 GFA917507:GFA917564 GOW917507:GOW917564 GYS917507:GYS917564 HIO917507:HIO917564 HSK917507:HSK917564 ICG917507:ICG917564 IMC917507:IMC917564 IVY917507:IVY917564 JFU917507:JFU917564 JPQ917507:JPQ917564 JZM917507:JZM917564 KJI917507:KJI917564 KTE917507:KTE917564 LDA917507:LDA917564 LMW917507:LMW917564 LWS917507:LWS917564 MGO917507:MGO917564 MQK917507:MQK917564 NAG917507:NAG917564 NKC917507:NKC917564 NTY917507:NTY917564 ODU917507:ODU917564 ONQ917507:ONQ917564 OXM917507:OXM917564 PHI917507:PHI917564 PRE917507:PRE917564 QBA917507:QBA917564 QKW917507:QKW917564 QUS917507:QUS917564 REO917507:REO917564 ROK917507:ROK917564 RYG917507:RYG917564 SIC917507:SIC917564 SRY917507:SRY917564 TBU917507:TBU917564 TLQ917507:TLQ917564 TVM917507:TVM917564 UFI917507:UFI917564 UPE917507:UPE917564 UZA917507:UZA917564 VIW917507:VIW917564 VSS917507:VSS917564 WCO917507:WCO917564 WMK917507:WMK917564 WWG917507:WWG917564 D983043:D983100 JU983043:JU983100 TQ983043:TQ983100 ADM983043:ADM983100 ANI983043:ANI983100 AXE983043:AXE983100 BHA983043:BHA983100 BQW983043:BQW983100 CAS983043:CAS983100 CKO983043:CKO983100 CUK983043:CUK983100 DEG983043:DEG983100 DOC983043:DOC983100 DXY983043:DXY983100 EHU983043:EHU983100 ERQ983043:ERQ983100 FBM983043:FBM983100 FLI983043:FLI983100 FVE983043:FVE983100 GFA983043:GFA983100 GOW983043:GOW983100 GYS983043:GYS983100 HIO983043:HIO983100 HSK983043:HSK983100 ICG983043:ICG983100 IMC983043:IMC983100 IVY983043:IVY983100 JFU983043:JFU983100 JPQ983043:JPQ983100 JZM983043:JZM983100 KJI983043:KJI983100 KTE983043:KTE983100 LDA983043:LDA983100 LMW983043:LMW983100 LWS983043:LWS983100 MGO983043:MGO983100 MQK983043:MQK983100 NAG983043:NAG983100 NKC983043:NKC983100 NTY983043:NTY983100 ODU983043:ODU983100 ONQ983043:ONQ983100 OXM983043:OXM983100 PHI983043:PHI983100 PRE983043:PRE983100 QBA983043:QBA983100 QKW983043:QKW983100 QUS983043:QUS983100 REO983043:REO983100 ROK983043:ROK983100 RYG983043:RYG983100 SIC983043:SIC983100 SRY983043:SRY983100 TBU983043:TBU983100 TLQ983043:TLQ983100 TVM983043:TVM983100 UFI983043:UFI983100 UPE983043:UPE983100 UZA983043:UZA983100 VIW983043:VIW983100 VSS983043:VSS983100 WCO983043:WCO983100 WMK983043:WMK983100 WWG983043:WWG983100">
      <formula1>"ACS,AGRI,BNC,"</formula1>
    </dataValidation>
    <dataValidation type="list" allowBlank="1" showInputMessage="1" showErrorMessage="1" sqref="AL3:AL60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BH3:BH60</xm:sqref>
        </x14:dataValidation>
        <x14:dataValidation type="list" allowBlank="1" showInputMessage="1" showErrorMessage="1">
          <x14:formula1>
            <xm:f>Paramètres!$N$4:$N$13</xm:f>
          </x14:formula1>
          <xm:sqref>BG3:BG60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N183"/>
  <sheetViews>
    <sheetView zoomScale="85" zoomScaleNormal="85" workbookViewId="0">
      <pane xSplit="5" ySplit="2" topLeftCell="F3" activePane="bottomRight" state="frozen"/>
      <selection activeCell="F22" sqref="F22"/>
      <selection pane="topRight" activeCell="F22" sqref="F22"/>
      <selection pane="bottomLeft" activeCell="F22" sqref="F22"/>
      <selection pane="bottomRight" activeCell="A4" sqref="A4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9" width="18" style="89" customWidth="1"/>
    <col min="40" max="45" width="19" style="89" customWidth="1"/>
    <col min="46" max="46" width="11.42578125" style="241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4" width="11.42578125" style="89" customWidth="1"/>
    <col min="115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1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147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69" t="s">
        <v>141</v>
      </c>
      <c r="B3" s="170">
        <v>862009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SUM(PORTEFEUILLE_ERIC[[#This Row],[PCR COMPTABLE €]:[MONTANT
RESPONSABLE RELATION CLIENT €]])-PORTEFEUILLE_ERIC[[#This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/>
      <c r="AM3" s="188"/>
      <c r="AN3" s="188" t="s">
        <v>199</v>
      </c>
      <c r="AO3" s="188" t="s">
        <v>200</v>
      </c>
      <c r="AP3" s="188">
        <v>36</v>
      </c>
      <c r="AQ3" s="188">
        <v>16</v>
      </c>
      <c r="AR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400</v>
      </c>
      <c r="AT3" s="188" t="str">
        <f>IF(PORTEFEUILLE_ERIC[[#This Row],[BONI AAC]]&lt;&gt;0,1,"")</f>
        <v/>
      </c>
      <c r="AU3" s="188">
        <f>IF(PORTEFEUILLE_ERIC[[#This Row],[MALI AAC]]&lt;&gt;0,1,"")</f>
        <v>1</v>
      </c>
      <c r="AV3" s="225">
        <f>IF(AP3&lt;&gt;"",IF((AP3*Paramètres!$H$4)-PORTEFEUILLE_ERIC[[#This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€]]-(DELPHINE!AP3*Paramètres!$H$4),0),0)</f>
        <v>0</v>
      </c>
      <c r="AW3" s="225">
        <f>IF(AP3&lt;&gt;"",IF(((AP3*Paramètres!$H$4)-PORTEFEUILLE_ERIC[[#This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" s="190" t="str">
        <f>IF(PORTEFEUILLE_ERIC[[#This Row],[BONI COMPTABLE]]&lt;&gt;0,1,"")</f>
        <v/>
      </c>
      <c r="AY3" s="190" t="str">
        <f>IF(PORTEFEUILLE_ERIC[[#This Row],[MALI COMPTABLE]]&lt;&gt;0,1,"")</f>
        <v/>
      </c>
      <c r="AZ3" s="188">
        <v>2</v>
      </c>
      <c r="BA3" s="188" t="s">
        <v>209</v>
      </c>
      <c r="BB3" s="188" t="s">
        <v>209</v>
      </c>
      <c r="BC3" s="188"/>
      <c r="BD3" s="188"/>
      <c r="BE3" s="188"/>
      <c r="BF3" s="188"/>
      <c r="BG3" s="192" t="s">
        <v>214</v>
      </c>
      <c r="BH3" s="192" t="s">
        <v>191</v>
      </c>
      <c r="BI3" s="192" t="s">
        <v>200</v>
      </c>
      <c r="BJ3" s="193"/>
      <c r="BK3" s="192"/>
    </row>
    <row r="4" spans="1:78" x14ac:dyDescent="0.25">
      <c r="A4" s="169" t="s">
        <v>141</v>
      </c>
      <c r="B4" s="170">
        <v>860112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SUM(PORTEFEUILLE_ERIC[[#This Row],[PCR COMPTABLE €]:[MONTANT
RESPONSABLE RELATION CLIENT €]])-PORTEFEUILLE_ERIC[[#This Row],[MONTANT TOTAL LETTRE DE MISION €]]</f>
        <v>0</v>
      </c>
      <c r="AI4" s="191" t="s">
        <v>153</v>
      </c>
      <c r="AJ4" s="188" t="s">
        <v>154</v>
      </c>
      <c r="AK4" s="188"/>
      <c r="AL4" s="188"/>
      <c r="AM4" s="188"/>
      <c r="AN4" s="188" t="s">
        <v>199</v>
      </c>
      <c r="AO4" s="188"/>
      <c r="AP4" s="188">
        <v>30</v>
      </c>
      <c r="AQ4" s="188">
        <v>20</v>
      </c>
      <c r="AR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1000</v>
      </c>
      <c r="AT4" s="188" t="str">
        <f>IF(PORTEFEUILLE_ERIC[[#This Row],[BONI AAC]]&lt;&gt;0,1,"")</f>
        <v/>
      </c>
      <c r="AU4" s="188">
        <f>IF(PORTEFEUILLE_ERIC[[#This Row],[MALI AAC]]&lt;&gt;0,1,"")</f>
        <v>1</v>
      </c>
      <c r="AV4" s="225">
        <f>IF(AP4&lt;&gt;"",IF((AP4*Paramètres!$H$4)-PORTEFEUILLE_ERIC[[#This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€]]-(DELPHINE!AP4*Paramètres!$H$4),0),0)</f>
        <v>0</v>
      </c>
      <c r="AW4" s="225">
        <f>IF(AP4&lt;&gt;"",IF(((AP4*Paramètres!$H$4)-PORTEFEUILLE_ERIC[[#This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3000</v>
      </c>
      <c r="AX4" s="190" t="str">
        <f>IF(PORTEFEUILLE_ERIC[[#This Row],[BONI COMPTABLE]]&lt;&gt;0,1,"")</f>
        <v/>
      </c>
      <c r="AY4" s="190">
        <f>IF(PORTEFEUILLE_ERIC[[#This Row],[MALI COMPTABLE]]&lt;&gt;0,1,"")</f>
        <v>1</v>
      </c>
      <c r="AZ4" s="188">
        <v>4</v>
      </c>
      <c r="BA4" s="188" t="s">
        <v>209</v>
      </c>
      <c r="BB4" s="188" t="s">
        <v>209</v>
      </c>
      <c r="BC4" s="188"/>
      <c r="BD4" s="188"/>
      <c r="BE4" s="188"/>
      <c r="BF4" s="188"/>
      <c r="BG4" s="192" t="s">
        <v>214</v>
      </c>
      <c r="BH4" s="194" t="s">
        <v>138</v>
      </c>
      <c r="BI4" s="194" t="s">
        <v>215</v>
      </c>
      <c r="BJ4" s="195"/>
      <c r="BK4" s="194"/>
    </row>
    <row r="5" spans="1:78" x14ac:dyDescent="0.25">
      <c r="A5" s="169" t="s">
        <v>141</v>
      </c>
      <c r="B5" s="170">
        <v>860083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SUM(PORTEFEUILLE_ERIC[[#This Row],[PCR COMPTABLE €]:[MONTANT
RESPONSABLE RELATION CLIENT €]])-PORTEFEUILLE_ERIC[[#This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/>
      <c r="AO5" s="188"/>
      <c r="AP5" s="188">
        <v>60</v>
      </c>
      <c r="AQ5" s="188">
        <v>60</v>
      </c>
      <c r="AR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2200</v>
      </c>
      <c r="AT5" s="188" t="str">
        <f>IF(PORTEFEUILLE_ERIC[[#This Row],[BONI AAC]]&lt;&gt;0,1,"")</f>
        <v/>
      </c>
      <c r="AU5" s="188">
        <f>IF(PORTEFEUILLE_ERIC[[#This Row],[MALI AAC]]&lt;&gt;0,1,"")</f>
        <v>1</v>
      </c>
      <c r="AV5" s="225">
        <f>IF(AP5&lt;&gt;"",IF((AP5*Paramètres!$H$4)-PORTEFEUILLE_ERIC[[#This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€]]-(DELPHINE!AP5*Paramètres!$H$4),0),0)</f>
        <v>0</v>
      </c>
      <c r="AW5" s="225">
        <f>IF(AP5&lt;&gt;"",IF(((AP5*Paramètres!$H$4)-PORTEFEUILLE_ERIC[[#This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4150</v>
      </c>
      <c r="AX5" s="190" t="str">
        <f>IF(PORTEFEUILLE_ERIC[[#This Row],[BONI COMPTABLE]]&lt;&gt;0,1,"")</f>
        <v/>
      </c>
      <c r="AY5" s="190">
        <f>IF(PORTEFEUILLE_ERIC[[#This Row],[MALI COMPTABLE]]&lt;&gt;0,1,"")</f>
        <v>1</v>
      </c>
      <c r="AZ5" s="188"/>
      <c r="BA5" s="188"/>
      <c r="BB5" s="188"/>
      <c r="BC5" s="188"/>
      <c r="BD5" s="188"/>
      <c r="BE5" s="188"/>
      <c r="BF5" s="188"/>
      <c r="BG5" s="192" t="s">
        <v>214</v>
      </c>
      <c r="BH5" s="194" t="s">
        <v>140</v>
      </c>
      <c r="BI5" s="194" t="s">
        <v>205</v>
      </c>
      <c r="BJ5" s="195" t="s">
        <v>200</v>
      </c>
      <c r="BK5" s="194"/>
    </row>
    <row r="6" spans="1:78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SUM(PORTEFEUILLE_ERIC[[#This Row],[PCR COMPTABLE €]:[MONTANT
RESPONSABLE RELATION CLIENT €]])-PORTEFEUILLE_ERIC[[#This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188"/>
      <c r="AQ6" s="188"/>
      <c r="AR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6" s="188" t="str">
        <f>IF(PORTEFEUILLE_ERIC[[#This Row],[BONI AAC]]&lt;&gt;0,1,"")</f>
        <v/>
      </c>
      <c r="AU6" s="188" t="str">
        <f>IF(PORTEFEUILLE_ERIC[[#This Row],[MALI AAC]]&lt;&gt;0,1,"")</f>
        <v/>
      </c>
      <c r="AV6" s="225">
        <f>IF(AP6&lt;&gt;"",IF((AP6*Paramètres!$H$4)-PORTEFEUILLE_ERIC[[#This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€]]-(DELPHINE!#REF!*Paramètres!$H$4),0),0)</f>
        <v>0</v>
      </c>
      <c r="AW6" s="225">
        <f>IF(AP6&lt;&gt;"",IF(((AP6*Paramètres!$H$4)-PORTEFEUILLE_ERIC[[#This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6" s="190" t="str">
        <f>IF(PORTEFEUILLE_ERIC[[#This Row],[BONI COMPTABLE]]&lt;&gt;0,1,"")</f>
        <v/>
      </c>
      <c r="AY6" s="190" t="str">
        <f>IF(PORTEFEUILLE_ERIC[[#This Row],[MALI COMPTABLE]]&lt;&gt;0,1,"")</f>
        <v/>
      </c>
      <c r="AZ6" s="188"/>
      <c r="BA6" s="188"/>
      <c r="BB6" s="188"/>
      <c r="BC6" s="188"/>
      <c r="BD6" s="188"/>
      <c r="BE6" s="188"/>
      <c r="BF6" s="188"/>
      <c r="BG6" s="192"/>
      <c r="BH6" s="194"/>
      <c r="BI6" s="194"/>
      <c r="BJ6" s="195"/>
      <c r="BK6" s="194"/>
    </row>
    <row r="7" spans="1:78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SUM(PORTEFEUILLE_ERIC[[#This Row],[PCR COMPTABLE €]:[MONTANT
RESPONSABLE RELATION CLIENT €]])-PORTEFEUILLE_ERIC[[#This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188"/>
      <c r="AQ7" s="188"/>
      <c r="AR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7" s="188" t="str">
        <f>IF(PORTEFEUILLE_ERIC[[#This Row],[BONI AAC]]&lt;&gt;0,1,"")</f>
        <v/>
      </c>
      <c r="AU7" s="188" t="str">
        <f>IF(PORTEFEUILLE_ERIC[[#This Row],[MALI AAC]]&lt;&gt;0,1,"")</f>
        <v/>
      </c>
      <c r="AV7" s="225">
        <f>IF(AP7&lt;&gt;"",IF((AP7*Paramètres!$H$4)-PORTEFEUILLE_ERIC[[#This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€]]-(DELPHINE!AP6*Paramètres!$H$4),0),0)</f>
        <v>0</v>
      </c>
      <c r="AW7" s="225">
        <f>IF(AP7&lt;&gt;"",IF(((AP7*Paramètres!$H$4)-PORTEFEUILLE_ERIC[[#This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7" s="190" t="str">
        <f>IF(PORTEFEUILLE_ERIC[[#This Row],[BONI COMPTABLE]]&lt;&gt;0,1,"")</f>
        <v/>
      </c>
      <c r="AY7" s="190" t="str">
        <f>IF(PORTEFEUILLE_ERIC[[#This Row],[MALI COMPTABLE]]&lt;&gt;0,1,"")</f>
        <v/>
      </c>
      <c r="AZ7" s="188"/>
      <c r="BA7" s="188"/>
      <c r="BB7" s="188"/>
      <c r="BC7" s="188"/>
      <c r="BD7" s="196"/>
      <c r="BE7" s="196"/>
      <c r="BF7" s="196"/>
      <c r="BG7" s="192"/>
      <c r="BH7" s="194"/>
      <c r="BI7" s="194"/>
      <c r="BJ7" s="195"/>
      <c r="BK7" s="194"/>
    </row>
    <row r="8" spans="1:78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SUM(PORTEFEUILLE_ERIC[[#This Row],[PCR COMPTABLE €]:[MONTANT
RESPONSABLE RELATION CLIENT €]])-PORTEFEUILLE_ERIC[[#This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188"/>
      <c r="AQ8" s="188"/>
      <c r="AR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8" s="188" t="str">
        <f>IF(PORTEFEUILLE_ERIC[[#This Row],[BONI AAC]]&lt;&gt;0,1,"")</f>
        <v/>
      </c>
      <c r="AU8" s="188" t="str">
        <f>IF(PORTEFEUILLE_ERIC[[#This Row],[MALI AAC]]&lt;&gt;0,1,"")</f>
        <v/>
      </c>
      <c r="AV8" s="225">
        <f>IF(AP8&lt;&gt;"",IF((AP8*Paramètres!$H$4)-PORTEFEUILLE_ERIC[[#This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€]]-(DELPHINE!AP7*Paramètres!$H$4),0),0)</f>
        <v>0</v>
      </c>
      <c r="AW8" s="225">
        <f>IF(AP8&lt;&gt;"",IF(((AP8*Paramètres!$H$4)-PORTEFEUILLE_ERIC[[#This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8" s="190" t="str">
        <f>IF(PORTEFEUILLE_ERIC[[#This Row],[BONI COMPTABLE]]&lt;&gt;0,1,"")</f>
        <v/>
      </c>
      <c r="AY8" s="190" t="str">
        <f>IF(PORTEFEUILLE_ERIC[[#This Row],[MALI COMPTABLE]]&lt;&gt;0,1,"")</f>
        <v/>
      </c>
      <c r="AZ8" s="188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SUM(PORTEFEUILLE_ERIC[[#This Row],[PCR COMPTABLE €]:[MONTANT
RESPONSABLE RELATION CLIENT €]])-PORTEFEUILLE_ERIC[[#This Row],[MONTANT TOTAL LETTRE DE MISION €]]</f>
        <v>0</v>
      </c>
      <c r="AI9" s="191"/>
      <c r="AJ9" s="188"/>
      <c r="AK9" s="188"/>
      <c r="AL9" s="188"/>
      <c r="AM9" s="188"/>
      <c r="AN9" s="196"/>
      <c r="AO9" s="196"/>
      <c r="AP9" s="196"/>
      <c r="AQ9" s="196"/>
      <c r="AR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9" s="188" t="str">
        <f>IF(PORTEFEUILLE_ERIC[[#This Row],[BONI AAC]]&lt;&gt;0,1,"")</f>
        <v/>
      </c>
      <c r="AU9" s="188" t="str">
        <f>IF(PORTEFEUILLE_ERIC[[#This Row],[MALI AAC]]&lt;&gt;0,1,"")</f>
        <v/>
      </c>
      <c r="AV9" s="225">
        <f>IF(AP9&lt;&gt;"",IF((AP9*Paramètres!$H$4)-PORTEFEUILLE_ERIC[[#This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€]]-(DELPHINE!AP8*Paramètres!$H$4),0),0)</f>
        <v>0</v>
      </c>
      <c r="AW9" s="225">
        <f>IF(AP9&lt;&gt;"",IF(((AP9*Paramètres!$H$4)-PORTEFEUILLE_ERIC[[#This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9" s="190" t="str">
        <f>IF(PORTEFEUILLE_ERIC[[#This Row],[BONI COMPTABLE]]&lt;&gt;0,1,"")</f>
        <v/>
      </c>
      <c r="AY9" s="190" t="str">
        <f>IF(PORTEFEUILLE_ERIC[[#This Row],[MALI COMPTABLE]]&lt;&gt;0,1,"")</f>
        <v/>
      </c>
      <c r="AZ9" s="196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SUM(PORTEFEUILLE_ERIC[[#This Row],[PCR COMPTABLE €]:[MONTANT
RESPONSABLE RELATION CLIENT €]])-PORTEFEUILLE_ERIC[[#This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188"/>
      <c r="AQ10" s="188"/>
      <c r="AR1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0" s="188" t="str">
        <f>IF(PORTEFEUILLE_ERIC[[#This Row],[BONI AAC]]&lt;&gt;0,1,"")</f>
        <v/>
      </c>
      <c r="AU10" s="188" t="str">
        <f>IF(PORTEFEUILLE_ERIC[[#This Row],[MALI AAC]]&lt;&gt;0,1,"")</f>
        <v/>
      </c>
      <c r="AV10" s="225">
        <f>IF(AP10&lt;&gt;"",IF((AP10*Paramètres!$H$4)-PORTEFEUILLE_ERIC[[#This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€]]-(DELPHINE!AP9*Paramètres!$H$4),0),0)</f>
        <v>0</v>
      </c>
      <c r="AW10" s="225">
        <f>IF(AP10&lt;&gt;"",IF(((AP10*Paramètres!$H$4)-PORTEFEUILLE_ERIC[[#This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0" s="190" t="str">
        <f>IF(PORTEFEUILLE_ERIC[[#This Row],[BONI COMPTABLE]]&lt;&gt;0,1,"")</f>
        <v/>
      </c>
      <c r="AY10" s="190" t="str">
        <f>IF(PORTEFEUILLE_ERIC[[#This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SUM(PORTEFEUILLE_ERIC[[#This Row],[PCR COMPTABLE €]:[MONTANT
RESPONSABLE RELATION CLIENT €]])-PORTEFEUILLE_ERIC[[#This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188"/>
      <c r="AQ11" s="188"/>
      <c r="AR1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1" s="188" t="str">
        <f>IF(PORTEFEUILLE_ERIC[[#This Row],[BONI AAC]]&lt;&gt;0,1,"")</f>
        <v/>
      </c>
      <c r="AU11" s="188" t="str">
        <f>IF(PORTEFEUILLE_ERIC[[#This Row],[MALI AAC]]&lt;&gt;0,1,"")</f>
        <v/>
      </c>
      <c r="AV11" s="225">
        <f>IF(AP11&lt;&gt;"",IF((AP11*Paramètres!$H$4)-PORTEFEUILLE_ERIC[[#This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€]]-(DELPHINE!AP10*Paramètres!$H$4),0),0)</f>
        <v>0</v>
      </c>
      <c r="AW11" s="225">
        <f>IF(AP11&lt;&gt;"",IF(((AP11*Paramètres!$H$4)-PORTEFEUILLE_ERIC[[#This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1" s="190" t="str">
        <f>IF(PORTEFEUILLE_ERIC[[#This Row],[BONI COMPTABLE]]&lt;&gt;0,1,"")</f>
        <v/>
      </c>
      <c r="AY11" s="190" t="str">
        <f>IF(PORTEFEUILLE_ERIC[[#This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SUM(PORTEFEUILLE_ERIC[[#This Row],[PCR COMPTABLE €]:[MONTANT
RESPONSABLE RELATION CLIENT €]])-PORTEFEUILLE_ERIC[[#This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188"/>
      <c r="AQ12" s="188"/>
      <c r="AR1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2" s="188" t="str">
        <f>IF(PORTEFEUILLE_ERIC[[#This Row],[BONI AAC]]&lt;&gt;0,1,"")</f>
        <v/>
      </c>
      <c r="AU12" s="188" t="str">
        <f>IF(PORTEFEUILLE_ERIC[[#This Row],[MALI AAC]]&lt;&gt;0,1,"")</f>
        <v/>
      </c>
      <c r="AV12" s="225">
        <f>IF(AP12&lt;&gt;"",IF((AP12*Paramètres!$H$4)-PORTEFEUILLE_ERIC[[#This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€]]-(DELPHINE!AP11*Paramètres!$H$4),0),0)</f>
        <v>0</v>
      </c>
      <c r="AW12" s="225">
        <f>IF(AP12&lt;&gt;"",IF(((AP12*Paramètres!$H$4)-PORTEFEUILLE_ERIC[[#This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2" s="190" t="str">
        <f>IF(PORTEFEUILLE_ERIC[[#This Row],[BONI COMPTABLE]]&lt;&gt;0,1,"")</f>
        <v/>
      </c>
      <c r="AY12" s="190" t="str">
        <f>IF(PORTEFEUILLE_ERIC[[#This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SUM(PORTEFEUILLE_ERIC[[#This Row],[PCR COMPTABLE €]:[MONTANT
RESPONSABLE RELATION CLIENT €]])-PORTEFEUILLE_ERIC[[#This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188"/>
      <c r="AQ13" s="188"/>
      <c r="AR1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3" s="188" t="str">
        <f>IF(PORTEFEUILLE_ERIC[[#This Row],[BONI AAC]]&lt;&gt;0,1,"")</f>
        <v/>
      </c>
      <c r="AU13" s="188" t="str">
        <f>IF(PORTEFEUILLE_ERIC[[#This Row],[MALI AAC]]&lt;&gt;0,1,"")</f>
        <v/>
      </c>
      <c r="AV13" s="225">
        <f>IF(AP13&lt;&gt;"",IF((AP13*Paramètres!$H$4)-PORTEFEUILLE_ERIC[[#This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€]]-(DELPHINE!AP12*Paramètres!$H$4),0),0)</f>
        <v>0</v>
      </c>
      <c r="AW13" s="225">
        <f>IF(AP13&lt;&gt;"",IF(((AP13*Paramètres!$H$4)-PORTEFEUILLE_ERIC[[#This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3" s="190" t="str">
        <f>IF(PORTEFEUILLE_ERIC[[#This Row],[BONI COMPTABLE]]&lt;&gt;0,1,"")</f>
        <v/>
      </c>
      <c r="AY13" s="190" t="str">
        <f>IF(PORTEFEUILLE_ERIC[[#This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SUM(PORTEFEUILLE_ERIC[[#This Row],[PCR COMPTABLE €]:[MONTANT
RESPONSABLE RELATION CLIENT €]])-PORTEFEUILLE_ERIC[[#This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188"/>
      <c r="AQ14" s="188"/>
      <c r="AR1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4" s="188" t="str">
        <f>IF(PORTEFEUILLE_ERIC[[#This Row],[BONI AAC]]&lt;&gt;0,1,"")</f>
        <v/>
      </c>
      <c r="AU14" s="188" t="str">
        <f>IF(PORTEFEUILLE_ERIC[[#This Row],[MALI AAC]]&lt;&gt;0,1,"")</f>
        <v/>
      </c>
      <c r="AV14" s="225">
        <f>IF(AP14&lt;&gt;"",IF((AP14*Paramètres!$H$4)-PORTEFEUILLE_ERIC[[#This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€]]-(DELPHINE!AP13*Paramètres!$H$4),0),0)</f>
        <v>0</v>
      </c>
      <c r="AW14" s="225">
        <f>IF(AP14&lt;&gt;"",IF(((AP14*Paramètres!$H$4)-PORTEFEUILLE_ERIC[[#This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4" s="190" t="str">
        <f>IF(PORTEFEUILLE_ERIC[[#This Row],[BONI COMPTABLE]]&lt;&gt;0,1,"")</f>
        <v/>
      </c>
      <c r="AY14" s="190" t="str">
        <f>IF(PORTEFEUILLE_ERIC[[#This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SUM(PORTEFEUILLE_ERIC[[#This Row],[PCR COMPTABLE €]:[MONTANT
RESPONSABLE RELATION CLIENT €]])-PORTEFEUILLE_ERIC[[#This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188"/>
      <c r="AQ15" s="188"/>
      <c r="AR1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5" s="188" t="str">
        <f>IF(PORTEFEUILLE_ERIC[[#This Row],[BONI AAC]]&lt;&gt;0,1,"")</f>
        <v/>
      </c>
      <c r="AU15" s="188" t="str">
        <f>IF(PORTEFEUILLE_ERIC[[#This Row],[MALI AAC]]&lt;&gt;0,1,"")</f>
        <v/>
      </c>
      <c r="AV15" s="225">
        <f>IF(AP15&lt;&gt;"",IF((AP15*Paramètres!$H$4)-PORTEFEUILLE_ERIC[[#This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€]]-(DELPHINE!AP14*Paramètres!$H$4),0),0)</f>
        <v>0</v>
      </c>
      <c r="AW15" s="225">
        <f>IF(AP15&lt;&gt;"",IF(((AP15*Paramètres!$H$4)-PORTEFEUILLE_ERIC[[#This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5" s="190" t="str">
        <f>IF(PORTEFEUILLE_ERIC[[#This Row],[BONI COMPTABLE]]&lt;&gt;0,1,"")</f>
        <v/>
      </c>
      <c r="AY15" s="190" t="str">
        <f>IF(PORTEFEUILLE_ERIC[[#This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SUM(PORTEFEUILLE_ERIC[[#This Row],[PCR COMPTABLE €]:[MONTANT
RESPONSABLE RELATION CLIENT €]])-PORTEFEUILLE_ERIC[[#This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188"/>
      <c r="AQ16" s="188"/>
      <c r="AR1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6" s="188" t="str">
        <f>IF(PORTEFEUILLE_ERIC[[#This Row],[BONI AAC]]&lt;&gt;0,1,"")</f>
        <v/>
      </c>
      <c r="AU16" s="188" t="str">
        <f>IF(PORTEFEUILLE_ERIC[[#This Row],[MALI AAC]]&lt;&gt;0,1,"")</f>
        <v/>
      </c>
      <c r="AV16" s="225">
        <f>IF(AP16&lt;&gt;"",IF((AP16*Paramètres!$H$4)-PORTEFEUILLE_ERIC[[#This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€]]-(DELPHINE!AP15*Paramètres!$H$4),0),0)</f>
        <v>0</v>
      </c>
      <c r="AW16" s="225">
        <f>IF(AP16&lt;&gt;"",IF(((AP16*Paramètres!$H$4)-PORTEFEUILLE_ERIC[[#This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6" s="190" t="str">
        <f>IF(PORTEFEUILLE_ERIC[[#This Row],[BONI COMPTABLE]]&lt;&gt;0,1,"")</f>
        <v/>
      </c>
      <c r="AY16" s="190" t="str">
        <f>IF(PORTEFEUILLE_ERIC[[#This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SUM(PORTEFEUILLE_ERIC[[#This Row],[PCR COMPTABLE €]:[MONTANT
RESPONSABLE RELATION CLIENT €]])-PORTEFEUILLE_ERIC[[#This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188"/>
      <c r="AQ17" s="188"/>
      <c r="AR1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7" s="188" t="str">
        <f>IF(PORTEFEUILLE_ERIC[[#This Row],[BONI AAC]]&lt;&gt;0,1,"")</f>
        <v/>
      </c>
      <c r="AU17" s="188" t="str">
        <f>IF(PORTEFEUILLE_ERIC[[#This Row],[MALI AAC]]&lt;&gt;0,1,"")</f>
        <v/>
      </c>
      <c r="AV17" s="225">
        <f>IF(AP17&lt;&gt;"",IF((AP17*Paramètres!$H$4)-PORTEFEUILLE_ERIC[[#This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€]]-(DELPHINE!AP16*Paramètres!$H$4),0),0)</f>
        <v>0</v>
      </c>
      <c r="AW17" s="225">
        <f>IF(AP17&lt;&gt;"",IF(((AP17*Paramètres!$H$4)-PORTEFEUILLE_ERIC[[#This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7" s="190" t="str">
        <f>IF(PORTEFEUILLE_ERIC[[#This Row],[BONI COMPTABLE]]&lt;&gt;0,1,"")</f>
        <v/>
      </c>
      <c r="AY17" s="190" t="str">
        <f>IF(PORTEFEUILLE_ERIC[[#This Row],[MALI COMPTABLE]]&lt;&gt;0,1,"")</f>
        <v/>
      </c>
      <c r="AZ17" s="188"/>
      <c r="BA17" s="188"/>
      <c r="BB17" s="188"/>
      <c r="BC17" s="188"/>
      <c r="BD17" s="188"/>
      <c r="BE17" s="188"/>
      <c r="BF17" s="188"/>
      <c r="BG17" s="192"/>
      <c r="BH17" s="194"/>
      <c r="BI17" s="194"/>
      <c r="BJ17" s="195"/>
      <c r="BK17" s="194"/>
    </row>
    <row r="18" spans="1:63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SUM(PORTEFEUILLE_ERIC[[#This Row],[PCR COMPTABLE €]:[MONTANT
RESPONSABLE RELATION CLIENT €]])-PORTEFEUILLE_ERIC[[#This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188"/>
      <c r="AQ18" s="188"/>
      <c r="AR1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8" s="188" t="str">
        <f>IF(PORTEFEUILLE_ERIC[[#This Row],[BONI AAC]]&lt;&gt;0,1,"")</f>
        <v/>
      </c>
      <c r="AU18" s="188" t="str">
        <f>IF(PORTEFEUILLE_ERIC[[#This Row],[MALI AAC]]&lt;&gt;0,1,"")</f>
        <v/>
      </c>
      <c r="AV18" s="225">
        <f>IF(AP18&lt;&gt;"",IF((AP18*Paramètres!$H$4)-PORTEFEUILLE_ERIC[[#This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€]]-(DELPHINE!AP17*Paramètres!$H$4),0),0)</f>
        <v>0</v>
      </c>
      <c r="AW18" s="225">
        <f>IF(AP18&lt;&gt;"",IF(((AP18*Paramètres!$H$4)-PORTEFEUILLE_ERIC[[#This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8" s="190" t="str">
        <f>IF(PORTEFEUILLE_ERIC[[#This Row],[BONI COMPTABLE]]&lt;&gt;0,1,"")</f>
        <v/>
      </c>
      <c r="AY18" s="190" t="str">
        <f>IF(PORTEFEUILLE_ERIC[[#This Row],[MALI COMPTABLE]]&lt;&gt;0,1,"")</f>
        <v/>
      </c>
      <c r="AZ18" s="188"/>
      <c r="BA18" s="188"/>
      <c r="BB18" s="188"/>
      <c r="BC18" s="188"/>
      <c r="BD18" s="188"/>
      <c r="BE18" s="188"/>
      <c r="BF18" s="188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SUM(PORTEFEUILLE_ERIC[[#This Row],[PCR COMPTABLE €]:[MONTANT
RESPONSABLE RELATION CLIENT €]])-PORTEFEUILLE_ERIC[[#This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188"/>
      <c r="AQ19" s="188"/>
      <c r="AR1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1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19" s="188" t="str">
        <f>IF(PORTEFEUILLE_ERIC[[#This Row],[BONI AAC]]&lt;&gt;0,1,"")</f>
        <v/>
      </c>
      <c r="AU19" s="188" t="str">
        <f>IF(PORTEFEUILLE_ERIC[[#This Row],[MALI AAC]]&lt;&gt;0,1,"")</f>
        <v/>
      </c>
      <c r="AV19" s="225">
        <f>IF(AP19&lt;&gt;"",IF((AP19*Paramètres!$H$4)-PORTEFEUILLE_ERIC[[#This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€]]-(DELPHINE!AP18*Paramètres!$H$4),0),0)</f>
        <v>0</v>
      </c>
      <c r="AW19" s="225">
        <f>IF(AP19&lt;&gt;"",IF(((AP19*Paramètres!$H$4)-PORTEFEUILLE_ERIC[[#This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19" s="190" t="str">
        <f>IF(PORTEFEUILLE_ERIC[[#This Row],[BONI COMPTABLE]]&lt;&gt;0,1,"")</f>
        <v/>
      </c>
      <c r="AY19" s="190" t="str">
        <f>IF(PORTEFEUILLE_ERIC[[#This Row],[MALI COMPTABLE]]&lt;&gt;0,1,"")</f>
        <v/>
      </c>
      <c r="AZ19" s="188"/>
      <c r="BA19" s="188"/>
      <c r="BB19" s="188"/>
      <c r="BC19" s="188"/>
      <c r="BD19" s="188"/>
      <c r="BE19" s="188"/>
      <c r="BF19" s="188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SUM(PORTEFEUILLE_ERIC[[#This Row],[PCR COMPTABLE €]:[MONTANT
RESPONSABLE RELATION CLIENT €]])-PORTEFEUILLE_ERIC[[#This Row],[MONTANT TOTAL LETTRE DE MISION €]]</f>
        <v>0</v>
      </c>
      <c r="AI20" s="191"/>
      <c r="AJ20" s="188"/>
      <c r="AK20" s="188"/>
      <c r="AL20" s="188"/>
      <c r="AM20" s="188"/>
      <c r="AN20" s="196"/>
      <c r="AO20" s="196"/>
      <c r="AP20" s="196"/>
      <c r="AQ20" s="196"/>
      <c r="AR2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0" s="188" t="str">
        <f>IF(PORTEFEUILLE_ERIC[[#This Row],[BONI AAC]]&lt;&gt;0,1,"")</f>
        <v/>
      </c>
      <c r="AU20" s="188" t="str">
        <f>IF(PORTEFEUILLE_ERIC[[#This Row],[MALI AAC]]&lt;&gt;0,1,"")</f>
        <v/>
      </c>
      <c r="AV20" s="225">
        <f>IF(AP20&lt;&gt;"",IF((AP20*Paramètres!$H$4)-PORTEFEUILLE_ERIC[[#This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€]]-(DELPHINE!AP19*Paramètres!$H$4),0),0)</f>
        <v>0</v>
      </c>
      <c r="AW20" s="225">
        <f>IF(AP20&lt;&gt;"",IF(((AP20*Paramètres!$H$4)-PORTEFEUILLE_ERIC[[#This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0" s="190" t="str">
        <f>IF(PORTEFEUILLE_ERIC[[#This Row],[BONI COMPTABLE]]&lt;&gt;0,1,"")</f>
        <v/>
      </c>
      <c r="AY20" s="190" t="str">
        <f>IF(PORTEFEUILLE_ERIC[[#This Row],[MALI COMPTABLE]]&lt;&gt;0,1,"")</f>
        <v/>
      </c>
      <c r="AZ20" s="196"/>
      <c r="BA20" s="188"/>
      <c r="BB20" s="188"/>
      <c r="BC20" s="188"/>
      <c r="BD20" s="196"/>
      <c r="BE20" s="196"/>
      <c r="BF20" s="196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SUM(PORTEFEUILLE_ERIC[[#This Row],[PCR COMPTABLE €]:[MONTANT
RESPONSABLE RELATION CLIENT €]])-PORTEFEUILLE_ERIC[[#This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188"/>
      <c r="AQ21" s="188"/>
      <c r="AR2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1" s="188" t="str">
        <f>IF(PORTEFEUILLE_ERIC[[#This Row],[BONI AAC]]&lt;&gt;0,1,"")</f>
        <v/>
      </c>
      <c r="AU21" s="188" t="str">
        <f>IF(PORTEFEUILLE_ERIC[[#This Row],[MALI AAC]]&lt;&gt;0,1,"")</f>
        <v/>
      </c>
      <c r="AV21" s="225">
        <f>IF(AP21&lt;&gt;"",IF((AP21*Paramètres!$H$4)-PORTEFEUILLE_ERIC[[#This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€]]-(DELPHINE!AP20*Paramètres!$H$4),0),0)</f>
        <v>0</v>
      </c>
      <c r="AW21" s="225">
        <f>IF(AP21&lt;&gt;"",IF(((AP21*Paramètres!$H$4)-PORTEFEUILLE_ERIC[[#This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1" s="190" t="str">
        <f>IF(PORTEFEUILLE_ERIC[[#This Row],[BONI COMPTABLE]]&lt;&gt;0,1,"")</f>
        <v/>
      </c>
      <c r="AY21" s="190" t="str">
        <f>IF(PORTEFEUILLE_ERIC[[#This Row],[MALI COMPTABLE]]&lt;&gt;0,1,"")</f>
        <v/>
      </c>
      <c r="AZ21" s="188"/>
      <c r="BA21" s="188"/>
      <c r="BB21" s="188"/>
      <c r="BC21" s="188"/>
      <c r="BD21" s="196"/>
      <c r="BE21" s="196"/>
      <c r="BF21" s="196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SUM(PORTEFEUILLE_ERIC[[#This Row],[PCR COMPTABLE €]:[MONTANT
RESPONSABLE RELATION CLIENT €]])-PORTEFEUILLE_ERIC[[#This Row],[MONTANT TOTAL LETTRE DE MISION €]]</f>
        <v>0</v>
      </c>
      <c r="AI22" s="191"/>
      <c r="AJ22" s="188"/>
      <c r="AK22" s="188"/>
      <c r="AL22" s="188"/>
      <c r="AM22" s="188"/>
      <c r="AN22" s="197"/>
      <c r="AO22" s="197"/>
      <c r="AP22" s="197"/>
      <c r="AQ22" s="197"/>
      <c r="AR2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2" s="188" t="str">
        <f>IF(PORTEFEUILLE_ERIC[[#This Row],[BONI AAC]]&lt;&gt;0,1,"")</f>
        <v/>
      </c>
      <c r="AU22" s="188" t="str">
        <f>IF(PORTEFEUILLE_ERIC[[#This Row],[MALI AAC]]&lt;&gt;0,1,"")</f>
        <v/>
      </c>
      <c r="AV22" s="225">
        <f>IF(AP22&lt;&gt;"",IF((AP22*Paramètres!$H$4)-PORTEFEUILLE_ERIC[[#This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€]]-(DELPHINE!AP21*Paramètres!$H$4),0),0)</f>
        <v>0</v>
      </c>
      <c r="AW22" s="225">
        <f>IF(AP22&lt;&gt;"",IF(((AP22*Paramètres!$H$4)-PORTEFEUILLE_ERIC[[#This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2" s="190" t="str">
        <f>IF(PORTEFEUILLE_ERIC[[#This Row],[BONI COMPTABLE]]&lt;&gt;0,1,"")</f>
        <v/>
      </c>
      <c r="AY22" s="190" t="str">
        <f>IF(PORTEFEUILLE_ERIC[[#This Row],[MALI COMPTABLE]]&lt;&gt;0,1,"")</f>
        <v/>
      </c>
      <c r="AZ22" s="188"/>
      <c r="BA22" s="188"/>
      <c r="BB22" s="188"/>
      <c r="BC22" s="188"/>
      <c r="BD22" s="196"/>
      <c r="BE22" s="196"/>
      <c r="BF22" s="196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SUM(PORTEFEUILLE_ERIC[[#This Row],[PCR COMPTABLE €]:[MONTANT
RESPONSABLE RELATION CLIENT €]])-PORTEFEUILLE_ERIC[[#This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188"/>
      <c r="AQ23" s="188"/>
      <c r="AR2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3" s="188" t="str">
        <f>IF(PORTEFEUILLE_ERIC[[#This Row],[BONI AAC]]&lt;&gt;0,1,"")</f>
        <v/>
      </c>
      <c r="AU23" s="188" t="str">
        <f>IF(PORTEFEUILLE_ERIC[[#This Row],[MALI AAC]]&lt;&gt;0,1,"")</f>
        <v/>
      </c>
      <c r="AV23" s="225">
        <f>IF(AP23&lt;&gt;"",IF((AP23*Paramètres!$H$4)-PORTEFEUILLE_ERIC[[#This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€]]-(DELPHINE!AP22*Paramètres!$H$4),0),0)</f>
        <v>0</v>
      </c>
      <c r="AW23" s="225">
        <f>IF(AP23&lt;&gt;"",IF(((AP23*Paramètres!$H$4)-PORTEFEUILLE_ERIC[[#This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3" s="190" t="str">
        <f>IF(PORTEFEUILLE_ERIC[[#This Row],[BONI COMPTABLE]]&lt;&gt;0,1,"")</f>
        <v/>
      </c>
      <c r="AY23" s="190" t="str">
        <f>IF(PORTEFEUILLE_ERIC[[#This Row],[MALI COMPTABLE]]&lt;&gt;0,1,"")</f>
        <v/>
      </c>
      <c r="AZ23" s="188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SUM(PORTEFEUILLE_ERIC[[#This Row],[PCR COMPTABLE €]:[MONTANT
RESPONSABLE RELATION CLIENT €]])-PORTEFEUILLE_ERIC[[#This Row],[MONTANT TOTAL LETTRE DE MISION €]]</f>
        <v>0</v>
      </c>
      <c r="AI24" s="191"/>
      <c r="AJ24" s="188"/>
      <c r="AK24" s="188"/>
      <c r="AL24" s="188"/>
      <c r="AM24" s="188"/>
      <c r="AN24" s="196"/>
      <c r="AO24" s="196"/>
      <c r="AP24" s="196"/>
      <c r="AQ24" s="196"/>
      <c r="AR2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4" s="188" t="str">
        <f>IF(PORTEFEUILLE_ERIC[[#This Row],[BONI AAC]]&lt;&gt;0,1,"")</f>
        <v/>
      </c>
      <c r="AU24" s="188" t="str">
        <f>IF(PORTEFEUILLE_ERIC[[#This Row],[MALI AAC]]&lt;&gt;0,1,"")</f>
        <v/>
      </c>
      <c r="AV24" s="225">
        <f>IF(AP24&lt;&gt;"",IF((AP24*Paramètres!$H$4)-PORTEFEUILLE_ERIC[[#This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€]]-(DELPHINE!AP23*Paramètres!$H$4),0),0)</f>
        <v>0</v>
      </c>
      <c r="AW24" s="225">
        <f>IF(AP24&lt;&gt;"",IF(((AP24*Paramètres!$H$4)-PORTEFEUILLE_ERIC[[#This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4" s="190" t="str">
        <f>IF(PORTEFEUILLE_ERIC[[#This Row],[BONI COMPTABLE]]&lt;&gt;0,1,"")</f>
        <v/>
      </c>
      <c r="AY24" s="190" t="str">
        <f>IF(PORTEFEUILLE_ERIC[[#This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SUM(PORTEFEUILLE_ERIC[[#This Row],[PCR COMPTABLE €]:[MONTANT
RESPONSABLE RELATION CLIENT €]])-PORTEFEUILLE_ERIC[[#This Row],[MONTANT TOTAL LETTRE DE MISION €]]</f>
        <v>0</v>
      </c>
      <c r="AI25" s="191"/>
      <c r="AJ25" s="188"/>
      <c r="AK25" s="188"/>
      <c r="AL25" s="188"/>
      <c r="AM25" s="188"/>
      <c r="AN25" s="196"/>
      <c r="AO25" s="196"/>
      <c r="AP25" s="196"/>
      <c r="AQ25" s="196"/>
      <c r="AR2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5" s="188" t="str">
        <f>IF(PORTEFEUILLE_ERIC[[#This Row],[BONI AAC]]&lt;&gt;0,1,"")</f>
        <v/>
      </c>
      <c r="AU25" s="188" t="str">
        <f>IF(PORTEFEUILLE_ERIC[[#This Row],[MALI AAC]]&lt;&gt;0,1,"")</f>
        <v/>
      </c>
      <c r="AV25" s="225">
        <f>IF(AP25&lt;&gt;"",IF((AP25*Paramètres!$H$4)-PORTEFEUILLE_ERIC[[#This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€]]-(DELPHINE!AP24*Paramètres!$H$4),0),0)</f>
        <v>0</v>
      </c>
      <c r="AW25" s="225">
        <f>IF(AP25&lt;&gt;"",IF(((AP25*Paramètres!$H$4)-PORTEFEUILLE_ERIC[[#This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5" s="190" t="str">
        <f>IF(PORTEFEUILLE_ERIC[[#This Row],[BONI COMPTABLE]]&lt;&gt;0,1,"")</f>
        <v/>
      </c>
      <c r="AY25" s="190" t="str">
        <f>IF(PORTEFEUILLE_ERIC[[#This Row],[MALI COMPTABLE]]&lt;&gt;0,1,"")</f>
        <v/>
      </c>
      <c r="AZ25" s="196"/>
      <c r="BA25" s="188"/>
      <c r="BB25" s="188"/>
      <c r="BC25" s="188"/>
      <c r="BD25" s="188"/>
      <c r="BE25" s="188"/>
      <c r="BF25" s="188"/>
      <c r="BG25" s="192"/>
      <c r="BH25" s="194"/>
      <c r="BI25" s="194"/>
      <c r="BJ25" s="195"/>
      <c r="BK25" s="194"/>
    </row>
    <row r="26" spans="1:63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SUM(PORTEFEUILLE_ERIC[[#This Row],[PCR COMPTABLE €]:[MONTANT
RESPONSABLE RELATION CLIENT €]])-PORTEFEUILLE_ERIC[[#This Row],[MONTANT TOTAL LETTRE DE MISION €]]</f>
        <v>0</v>
      </c>
      <c r="AI26" s="191"/>
      <c r="AJ26" s="188"/>
      <c r="AK26" s="188"/>
      <c r="AL26" s="188"/>
      <c r="AM26" s="188"/>
      <c r="AN26" s="196"/>
      <c r="AO26" s="196"/>
      <c r="AP26" s="196"/>
      <c r="AQ26" s="196"/>
      <c r="AR2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6" s="188" t="str">
        <f>IF(PORTEFEUILLE_ERIC[[#This Row],[BONI AAC]]&lt;&gt;0,1,"")</f>
        <v/>
      </c>
      <c r="AU26" s="188" t="str">
        <f>IF(PORTEFEUILLE_ERIC[[#This Row],[MALI AAC]]&lt;&gt;0,1,"")</f>
        <v/>
      </c>
      <c r="AV26" s="225">
        <f>IF(AP26&lt;&gt;"",IF((AP26*Paramètres!$H$4)-PORTEFEUILLE_ERIC[[#This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€]]-(DELPHINE!AP25*Paramètres!$H$4),0),0)</f>
        <v>0</v>
      </c>
      <c r="AW26" s="225">
        <f>IF(AP26&lt;&gt;"",IF(((AP26*Paramètres!$H$4)-PORTEFEUILLE_ERIC[[#This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6" s="190" t="str">
        <f>IF(PORTEFEUILLE_ERIC[[#This Row],[BONI COMPTABLE]]&lt;&gt;0,1,"")</f>
        <v/>
      </c>
      <c r="AY26" s="190" t="str">
        <f>IF(PORTEFEUILLE_ERIC[[#This Row],[MALI COMPTABLE]]&lt;&gt;0,1,"")</f>
        <v/>
      </c>
      <c r="AZ26" s="196"/>
      <c r="BA26" s="188"/>
      <c r="BB26" s="188"/>
      <c r="BC26" s="188"/>
      <c r="BD26" s="188"/>
      <c r="BE26" s="188"/>
      <c r="BF26" s="188"/>
      <c r="BG26" s="192"/>
      <c r="BH26" s="194"/>
      <c r="BI26" s="194"/>
      <c r="BJ26" s="195"/>
      <c r="BK26" s="194"/>
    </row>
    <row r="27" spans="1:63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SUM(PORTEFEUILLE_ERIC[[#This Row],[PCR COMPTABLE €]:[MONTANT
RESPONSABLE RELATION CLIENT €]])-PORTEFEUILLE_ERIC[[#This Row],[MONTANT TOTAL LETTRE DE MISION €]]</f>
        <v>0</v>
      </c>
      <c r="AI27" s="191"/>
      <c r="AJ27" s="188"/>
      <c r="AK27" s="188"/>
      <c r="AL27" s="188"/>
      <c r="AM27" s="188"/>
      <c r="AN27" s="196"/>
      <c r="AO27" s="196"/>
      <c r="AP27" s="196"/>
      <c r="AQ27" s="196"/>
      <c r="AR2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7" s="188" t="str">
        <f>IF(PORTEFEUILLE_ERIC[[#This Row],[BONI AAC]]&lt;&gt;0,1,"")</f>
        <v/>
      </c>
      <c r="AU27" s="188" t="str">
        <f>IF(PORTEFEUILLE_ERIC[[#This Row],[MALI AAC]]&lt;&gt;0,1,"")</f>
        <v/>
      </c>
      <c r="AV27" s="225">
        <f>IF(AP27&lt;&gt;"",IF((AP27*Paramètres!$H$4)-PORTEFEUILLE_ERIC[[#This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€]]-(DELPHINE!AP26*Paramètres!$H$4),0),0)</f>
        <v>0</v>
      </c>
      <c r="AW27" s="225">
        <f>IF(AP27&lt;&gt;"",IF(((AP27*Paramètres!$H$4)-PORTEFEUILLE_ERIC[[#This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7" s="190" t="str">
        <f>IF(PORTEFEUILLE_ERIC[[#This Row],[BONI COMPTABLE]]&lt;&gt;0,1,"")</f>
        <v/>
      </c>
      <c r="AY27" s="190" t="str">
        <f>IF(PORTEFEUILLE_ERIC[[#This Row],[MALI COMPTABLE]]&lt;&gt;0,1,"")</f>
        <v/>
      </c>
      <c r="AZ27" s="196"/>
      <c r="BA27" s="188"/>
      <c r="BB27" s="188"/>
      <c r="BC27" s="188"/>
      <c r="BD27" s="188"/>
      <c r="BE27" s="188"/>
      <c r="BF27" s="188"/>
      <c r="BG27" s="192"/>
      <c r="BH27" s="194"/>
      <c r="BI27" s="194"/>
      <c r="BJ27" s="195"/>
      <c r="BK27" s="194"/>
    </row>
    <row r="28" spans="1:63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SUM(PORTEFEUILLE_ERIC[[#This Row],[PCR COMPTABLE €]:[MONTANT
RESPONSABLE RELATION CLIENT €]])-PORTEFEUILLE_ERIC[[#This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188"/>
      <c r="AQ28" s="188"/>
      <c r="AR2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8" s="188" t="str">
        <f>IF(PORTEFEUILLE_ERIC[[#This Row],[BONI AAC]]&lt;&gt;0,1,"")</f>
        <v/>
      </c>
      <c r="AU28" s="188" t="str">
        <f>IF(PORTEFEUILLE_ERIC[[#This Row],[MALI AAC]]&lt;&gt;0,1,"")</f>
        <v/>
      </c>
      <c r="AV28" s="225">
        <f>IF(AP28&lt;&gt;"",IF((AP28*Paramètres!$H$4)-PORTEFEUILLE_ERIC[[#This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€]]-(DELPHINE!AP27*Paramètres!$H$4),0),0)</f>
        <v>0</v>
      </c>
      <c r="AW28" s="225">
        <f>IF(AP28&lt;&gt;"",IF(((AP28*Paramètres!$H$4)-PORTEFEUILLE_ERIC[[#This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8" s="190" t="str">
        <f>IF(PORTEFEUILLE_ERIC[[#This Row],[BONI COMPTABLE]]&lt;&gt;0,1,"")</f>
        <v/>
      </c>
      <c r="AY28" s="190" t="str">
        <f>IF(PORTEFEUILLE_ERIC[[#This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6"/>
      <c r="BI28" s="196"/>
      <c r="BJ28" s="198"/>
      <c r="BK28" s="196"/>
    </row>
    <row r="29" spans="1:63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SUM(PORTEFEUILLE_ERIC[[#This Row],[PCR COMPTABLE €]:[MONTANT
RESPONSABLE RELATION CLIENT €]])-PORTEFEUILLE_ERIC[[#This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188"/>
      <c r="AQ29" s="188"/>
      <c r="AR2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2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29" s="188" t="str">
        <f>IF(PORTEFEUILLE_ERIC[[#This Row],[BONI AAC]]&lt;&gt;0,1,"")</f>
        <v/>
      </c>
      <c r="AU29" s="188" t="str">
        <f>IF(PORTEFEUILLE_ERIC[[#This Row],[MALI AAC]]&lt;&gt;0,1,"")</f>
        <v/>
      </c>
      <c r="AV29" s="225">
        <f>IF(AP29&lt;&gt;"",IF((AP29*Paramètres!$H$4)-PORTEFEUILLE_ERIC[[#This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€]]-(DELPHINE!AP28*Paramètres!$H$4),0),0)</f>
        <v>0</v>
      </c>
      <c r="AW29" s="225">
        <f>IF(AP29&lt;&gt;"",IF(((AP29*Paramètres!$H$4)-PORTEFEUILLE_ERIC[[#This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29" s="190" t="str">
        <f>IF(PORTEFEUILLE_ERIC[[#This Row],[BONI COMPTABLE]]&lt;&gt;0,1,"")</f>
        <v/>
      </c>
      <c r="AY29" s="190" t="str">
        <f>IF(PORTEFEUILLE_ERIC[[#This Row],[MALI COMPTABLE]]&lt;&gt;0,1,"")</f>
        <v/>
      </c>
      <c r="AZ29" s="188"/>
      <c r="BA29" s="188"/>
      <c r="BB29" s="188"/>
      <c r="BC29" s="188"/>
      <c r="BD29" s="196"/>
      <c r="BE29" s="196"/>
      <c r="BF29" s="196"/>
      <c r="BG29" s="192"/>
      <c r="BH29" s="194"/>
      <c r="BI29" s="194"/>
      <c r="BJ29" s="195"/>
      <c r="BK29" s="194"/>
    </row>
    <row r="30" spans="1:63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SUM(PORTEFEUILLE_ERIC[[#This Row],[PCR COMPTABLE €]:[MONTANT
RESPONSABLE RELATION CLIENT €]])-PORTEFEUILLE_ERIC[[#This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188"/>
      <c r="AQ30" s="188"/>
      <c r="AR3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0" s="188" t="str">
        <f>IF(PORTEFEUILLE_ERIC[[#This Row],[BONI AAC]]&lt;&gt;0,1,"")</f>
        <v/>
      </c>
      <c r="AU30" s="188" t="str">
        <f>IF(PORTEFEUILLE_ERIC[[#This Row],[MALI AAC]]&lt;&gt;0,1,"")</f>
        <v/>
      </c>
      <c r="AV30" s="225">
        <f>IF(AP30&lt;&gt;"",IF((AP30*Paramètres!$H$4)-PORTEFEUILLE_ERIC[[#This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€]]-(DELPHINE!AP29*Paramètres!$H$4),0),0)</f>
        <v>0</v>
      </c>
      <c r="AW30" s="225">
        <f>IF(AP30&lt;&gt;"",IF(((AP30*Paramètres!$H$4)-PORTEFEUILLE_ERIC[[#This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0" s="190" t="str">
        <f>IF(PORTEFEUILLE_ERIC[[#This Row],[BONI COMPTABLE]]&lt;&gt;0,1,"")</f>
        <v/>
      </c>
      <c r="AY30" s="190" t="str">
        <f>IF(PORTEFEUILLE_ERIC[[#This Row],[MALI COMPTABLE]]&lt;&gt;0,1,"")</f>
        <v/>
      </c>
      <c r="AZ30" s="188"/>
      <c r="BA30" s="188"/>
      <c r="BB30" s="188"/>
      <c r="BC30" s="188"/>
      <c r="BD30" s="188"/>
      <c r="BE30" s="188"/>
      <c r="BF30" s="188"/>
      <c r="BG30" s="192"/>
      <c r="BH30" s="194"/>
      <c r="BI30" s="194"/>
      <c r="BJ30" s="195"/>
      <c r="BK30" s="194"/>
    </row>
    <row r="31" spans="1:63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SUM(PORTEFEUILLE_ERIC[[#This Row],[PCR COMPTABLE €]:[MONTANT
RESPONSABLE RELATION CLIENT €]])-PORTEFEUILLE_ERIC[[#This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188"/>
      <c r="AQ31" s="188"/>
      <c r="AR3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1" s="188" t="str">
        <f>IF(PORTEFEUILLE_ERIC[[#This Row],[BONI AAC]]&lt;&gt;0,1,"")</f>
        <v/>
      </c>
      <c r="AU31" s="188" t="str">
        <f>IF(PORTEFEUILLE_ERIC[[#This Row],[MALI AAC]]&lt;&gt;0,1,"")</f>
        <v/>
      </c>
      <c r="AV31" s="225">
        <f>IF(AP31&lt;&gt;"",IF((AP31*Paramètres!$H$4)-PORTEFEUILLE_ERIC[[#This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€]]-(DELPHINE!AP30*Paramètres!$H$4),0),0)</f>
        <v>0</v>
      </c>
      <c r="AW31" s="225">
        <f>IF(AP31&lt;&gt;"",IF(((AP31*Paramètres!$H$4)-PORTEFEUILLE_ERIC[[#This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1" s="190" t="str">
        <f>IF(PORTEFEUILLE_ERIC[[#This Row],[BONI COMPTABLE]]&lt;&gt;0,1,"")</f>
        <v/>
      </c>
      <c r="AY31" s="190" t="str">
        <f>IF(PORTEFEUILLE_ERIC[[#This Row],[MALI COMPTABLE]]&lt;&gt;0,1,"")</f>
        <v/>
      </c>
      <c r="AZ31" s="188"/>
      <c r="BA31" s="188"/>
      <c r="BB31" s="188"/>
      <c r="BC31" s="188"/>
      <c r="BD31" s="196"/>
      <c r="BE31" s="196"/>
      <c r="BF31" s="196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SUM(PORTEFEUILLE_ERIC[[#This Row],[PCR COMPTABLE €]:[MONTANT
RESPONSABLE RELATION CLIENT €]])-PORTEFEUILLE_ERIC[[#This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188"/>
      <c r="AQ32" s="188"/>
      <c r="AR3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2" s="188" t="str">
        <f>IF(PORTEFEUILLE_ERIC[[#This Row],[BONI AAC]]&lt;&gt;0,1,"")</f>
        <v/>
      </c>
      <c r="AU32" s="188" t="str">
        <f>IF(PORTEFEUILLE_ERIC[[#This Row],[MALI AAC]]&lt;&gt;0,1,"")</f>
        <v/>
      </c>
      <c r="AV32" s="225">
        <f>IF(AP32&lt;&gt;"",IF((AP32*Paramètres!$H$4)-PORTEFEUILLE_ERIC[[#This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€]]-(DELPHINE!AP31*Paramètres!$H$4),0),0)</f>
        <v>0</v>
      </c>
      <c r="AW32" s="225">
        <f>IF(AP32&lt;&gt;"",IF(((AP32*Paramètres!$H$4)-PORTEFEUILLE_ERIC[[#This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2" s="190" t="str">
        <f>IF(PORTEFEUILLE_ERIC[[#This Row],[BONI COMPTABLE]]&lt;&gt;0,1,"")</f>
        <v/>
      </c>
      <c r="AY32" s="190" t="str">
        <f>IF(PORTEFEUILLE_ERIC[[#This Row],[MALI COMPTABLE]]&lt;&gt;0,1,"")</f>
        <v/>
      </c>
      <c r="AZ32" s="188"/>
      <c r="BA32" s="188"/>
      <c r="BB32" s="188"/>
      <c r="BC32" s="188"/>
      <c r="BD32" s="188"/>
      <c r="BE32" s="188"/>
      <c r="BF32" s="188"/>
      <c r="BG32" s="192"/>
      <c r="BH32" s="194"/>
      <c r="BI32" s="194"/>
      <c r="BJ32" s="195"/>
      <c r="BK32" s="194"/>
    </row>
    <row r="33" spans="1:63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SUM(PORTEFEUILLE_ERIC[[#This Row],[PCR COMPTABLE €]:[MONTANT
RESPONSABLE RELATION CLIENT €]])-PORTEFEUILLE_ERIC[[#This Row],[MONTANT TOTAL LETTRE DE MISION €]]</f>
        <v>0</v>
      </c>
      <c r="AI33" s="191"/>
      <c r="AJ33" s="188"/>
      <c r="AK33" s="188"/>
      <c r="AL33" s="188"/>
      <c r="AM33" s="188"/>
      <c r="AN33" s="196"/>
      <c r="AO33" s="196"/>
      <c r="AP33" s="196"/>
      <c r="AQ33" s="196"/>
      <c r="AR3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3" s="188" t="str">
        <f>IF(PORTEFEUILLE_ERIC[[#This Row],[BONI AAC]]&lt;&gt;0,1,"")</f>
        <v/>
      </c>
      <c r="AU33" s="188" t="str">
        <f>IF(PORTEFEUILLE_ERIC[[#This Row],[MALI AAC]]&lt;&gt;0,1,"")</f>
        <v/>
      </c>
      <c r="AV33" s="225">
        <f>IF(AP33&lt;&gt;"",IF((AP33*Paramètres!$H$4)-PORTEFEUILLE_ERIC[[#This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€]]-(DELPHINE!AP32*Paramètres!$H$4),0),0)</f>
        <v>0</v>
      </c>
      <c r="AW33" s="225">
        <f>IF(AP33&lt;&gt;"",IF(((AP33*Paramètres!$H$4)-PORTEFEUILLE_ERIC[[#This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3" s="190" t="str">
        <f>IF(PORTEFEUILLE_ERIC[[#This Row],[BONI COMPTABLE]]&lt;&gt;0,1,"")</f>
        <v/>
      </c>
      <c r="AY33" s="190" t="str">
        <f>IF(PORTEFEUILLE_ERIC[[#This Row],[MALI COMPTABLE]]&lt;&gt;0,1,"")</f>
        <v/>
      </c>
      <c r="AZ33" s="196"/>
      <c r="BA33" s="188"/>
      <c r="BB33" s="188"/>
      <c r="BC33" s="188"/>
      <c r="BD33" s="196"/>
      <c r="BE33" s="196"/>
      <c r="BF33" s="196"/>
      <c r="BG33" s="192"/>
      <c r="BH33" s="194"/>
      <c r="BI33" s="194"/>
      <c r="BJ33" s="195"/>
      <c r="BK33" s="194"/>
    </row>
    <row r="34" spans="1:63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SUM(PORTEFEUILLE_ERIC[[#This Row],[PCR COMPTABLE €]:[MONTANT
RESPONSABLE RELATION CLIENT €]])-PORTEFEUILLE_ERIC[[#This Row],[MONTANT TOTAL LETTRE DE MISION €]]</f>
        <v>0</v>
      </c>
      <c r="AI34" s="191"/>
      <c r="AJ34" s="188"/>
      <c r="AK34" s="188"/>
      <c r="AL34" s="188"/>
      <c r="AM34" s="188"/>
      <c r="AN34" s="196"/>
      <c r="AO34" s="196"/>
      <c r="AP34" s="196"/>
      <c r="AQ34" s="196"/>
      <c r="AR3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4" s="188" t="str">
        <f>IF(PORTEFEUILLE_ERIC[[#This Row],[BONI AAC]]&lt;&gt;0,1,"")</f>
        <v/>
      </c>
      <c r="AU34" s="188" t="str">
        <f>IF(PORTEFEUILLE_ERIC[[#This Row],[MALI AAC]]&lt;&gt;0,1,"")</f>
        <v/>
      </c>
      <c r="AV34" s="225">
        <f>IF(AP34&lt;&gt;"",IF((AP34*Paramètres!$H$4)-PORTEFEUILLE_ERIC[[#This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€]]-(DELPHINE!AP33*Paramètres!$H$4),0),0)</f>
        <v>0</v>
      </c>
      <c r="AW34" s="225">
        <f>IF(AP34&lt;&gt;"",IF(((AP34*Paramètres!$H$4)-PORTEFEUILLE_ERIC[[#This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4" s="190" t="str">
        <f>IF(PORTEFEUILLE_ERIC[[#This Row],[BONI COMPTABLE]]&lt;&gt;0,1,"")</f>
        <v/>
      </c>
      <c r="AY34" s="190" t="str">
        <f>IF(PORTEFEUILLE_ERIC[[#This Row],[MALI COMPTABLE]]&lt;&gt;0,1,"")</f>
        <v/>
      </c>
      <c r="AZ34" s="196"/>
      <c r="BA34" s="188"/>
      <c r="BB34" s="188"/>
      <c r="BC34" s="188"/>
      <c r="BD34" s="188"/>
      <c r="BE34" s="188"/>
      <c r="BF34" s="188"/>
      <c r="BG34" s="192"/>
      <c r="BH34" s="194"/>
      <c r="BI34" s="194"/>
      <c r="BJ34" s="195"/>
      <c r="BK34" s="194"/>
    </row>
    <row r="35" spans="1:63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SUM(PORTEFEUILLE_ERIC[[#This Row],[PCR COMPTABLE €]:[MONTANT
RESPONSABLE RELATION CLIENT €]])-PORTEFEUILLE_ERIC[[#This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188"/>
      <c r="AQ35" s="188"/>
      <c r="AR3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5" s="188" t="str">
        <f>IF(PORTEFEUILLE_ERIC[[#This Row],[BONI AAC]]&lt;&gt;0,1,"")</f>
        <v/>
      </c>
      <c r="AU35" s="188" t="str">
        <f>IF(PORTEFEUILLE_ERIC[[#This Row],[MALI AAC]]&lt;&gt;0,1,"")</f>
        <v/>
      </c>
      <c r="AV35" s="225">
        <f>IF(AP35&lt;&gt;"",IF((AP35*Paramètres!$H$4)-PORTEFEUILLE_ERIC[[#This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€]]-(DELPHINE!AP34*Paramètres!$H$4),0),0)</f>
        <v>0</v>
      </c>
      <c r="AW35" s="225">
        <f>IF(AP35&lt;&gt;"",IF(((AP35*Paramètres!$H$4)-PORTEFEUILLE_ERIC[[#This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5" s="190" t="str">
        <f>IF(PORTEFEUILLE_ERIC[[#This Row],[BONI COMPTABLE]]&lt;&gt;0,1,"")</f>
        <v/>
      </c>
      <c r="AY35" s="190" t="str">
        <f>IF(PORTEFEUILLE_ERIC[[#This Row],[MALI COMPTABLE]]&lt;&gt;0,1,"")</f>
        <v/>
      </c>
      <c r="AZ35" s="188"/>
      <c r="BA35" s="188"/>
      <c r="BB35" s="188"/>
      <c r="BC35" s="188"/>
      <c r="BD35" s="188"/>
      <c r="BE35" s="188"/>
      <c r="BF35" s="188"/>
      <c r="BG35" s="192"/>
      <c r="BH35" s="194"/>
      <c r="BI35" s="194"/>
      <c r="BJ35" s="195"/>
      <c r="BK35" s="194"/>
    </row>
    <row r="36" spans="1:63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SUM(PORTEFEUILLE_ERIC[[#This Row],[PCR COMPTABLE €]:[MONTANT
RESPONSABLE RELATION CLIENT €]])-PORTEFEUILLE_ERIC[[#This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188"/>
      <c r="AQ36" s="188"/>
      <c r="AR3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6" s="188" t="str">
        <f>IF(PORTEFEUILLE_ERIC[[#This Row],[BONI AAC]]&lt;&gt;0,1,"")</f>
        <v/>
      </c>
      <c r="AU36" s="188" t="str">
        <f>IF(PORTEFEUILLE_ERIC[[#This Row],[MALI AAC]]&lt;&gt;0,1,"")</f>
        <v/>
      </c>
      <c r="AV36" s="225">
        <f>IF(AP36&lt;&gt;"",IF((AP36*Paramètres!$H$4)-PORTEFEUILLE_ERIC[[#This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€]]-(DELPHINE!AP35*Paramètres!$H$4),0),0)</f>
        <v>0</v>
      </c>
      <c r="AW36" s="225">
        <f>IF(AP36&lt;&gt;"",IF(((AP36*Paramètres!$H$4)-PORTEFEUILLE_ERIC[[#This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6" s="190" t="str">
        <f>IF(PORTEFEUILLE_ERIC[[#This Row],[BONI COMPTABLE]]&lt;&gt;0,1,"")</f>
        <v/>
      </c>
      <c r="AY36" s="190" t="str">
        <f>IF(PORTEFEUILLE_ERIC[[#This Row],[MALI COMPTABLE]]&lt;&gt;0,1,"")</f>
        <v/>
      </c>
      <c r="AZ36" s="188"/>
      <c r="BA36" s="188"/>
      <c r="BB36" s="188"/>
      <c r="BC36" s="188"/>
      <c r="BD36" s="196"/>
      <c r="BE36" s="196"/>
      <c r="BF36" s="196"/>
      <c r="BG36" s="192"/>
      <c r="BH36" s="194"/>
      <c r="BI36" s="194"/>
      <c r="BJ36" s="195"/>
      <c r="BK36" s="194"/>
    </row>
    <row r="37" spans="1:63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SUM(PORTEFEUILLE_ERIC[[#This Row],[PCR COMPTABLE €]:[MONTANT
RESPONSABLE RELATION CLIENT €]])-PORTEFEUILLE_ERIC[[#This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188"/>
      <c r="AQ37" s="188"/>
      <c r="AR3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7" s="188" t="str">
        <f>IF(PORTEFEUILLE_ERIC[[#This Row],[BONI AAC]]&lt;&gt;0,1,"")</f>
        <v/>
      </c>
      <c r="AU37" s="188" t="str">
        <f>IF(PORTEFEUILLE_ERIC[[#This Row],[MALI AAC]]&lt;&gt;0,1,"")</f>
        <v/>
      </c>
      <c r="AV37" s="225">
        <f>IF(AP37&lt;&gt;"",IF((AP37*Paramètres!$H$4)-PORTEFEUILLE_ERIC[[#This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€]]-(DELPHINE!AP36*Paramètres!$H$4),0),0)</f>
        <v>0</v>
      </c>
      <c r="AW37" s="225">
        <f>IF(AP37&lt;&gt;"",IF(((AP37*Paramètres!$H$4)-PORTEFEUILLE_ERIC[[#This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7" s="190" t="str">
        <f>IF(PORTEFEUILLE_ERIC[[#This Row],[BONI COMPTABLE]]&lt;&gt;0,1,"")</f>
        <v/>
      </c>
      <c r="AY37" s="190" t="str">
        <f>IF(PORTEFEUILLE_ERIC[[#This Row],[MALI COMPTABLE]]&lt;&gt;0,1,"")</f>
        <v/>
      </c>
      <c r="AZ37" s="188"/>
      <c r="BA37" s="188"/>
      <c r="BB37" s="188"/>
      <c r="BC37" s="188"/>
      <c r="BD37" s="196"/>
      <c r="BE37" s="196"/>
      <c r="BF37" s="196"/>
      <c r="BG37" s="192"/>
      <c r="BH37" s="194"/>
      <c r="BI37" s="194"/>
      <c r="BJ37" s="195"/>
      <c r="BK37" s="194"/>
    </row>
    <row r="38" spans="1:63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SUM(PORTEFEUILLE_ERIC[[#This Row],[PCR COMPTABLE €]:[MONTANT
RESPONSABLE RELATION CLIENT €]])-PORTEFEUILLE_ERIC[[#This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188"/>
      <c r="AQ38" s="188"/>
      <c r="AR3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8" s="188" t="str">
        <f>IF(PORTEFEUILLE_ERIC[[#This Row],[BONI AAC]]&lt;&gt;0,1,"")</f>
        <v/>
      </c>
      <c r="AU38" s="188" t="str">
        <f>IF(PORTEFEUILLE_ERIC[[#This Row],[MALI AAC]]&lt;&gt;0,1,"")</f>
        <v/>
      </c>
      <c r="AV38" s="225">
        <f>IF(AP38&lt;&gt;"",IF((AP38*Paramètres!$H$4)-PORTEFEUILLE_ERIC[[#This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€]]-(DELPHINE!AP37*Paramètres!$H$4),0),0)</f>
        <v>0</v>
      </c>
      <c r="AW38" s="225">
        <f>IF(AP38&lt;&gt;"",IF(((AP38*Paramètres!$H$4)-PORTEFEUILLE_ERIC[[#This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8" s="190" t="str">
        <f>IF(PORTEFEUILLE_ERIC[[#This Row],[BONI COMPTABLE]]&lt;&gt;0,1,"")</f>
        <v/>
      </c>
      <c r="AY38" s="190" t="str">
        <f>IF(PORTEFEUILLE_ERIC[[#This Row],[MALI COMPTABLE]]&lt;&gt;0,1,"")</f>
        <v/>
      </c>
      <c r="AZ38" s="188"/>
      <c r="BA38" s="188"/>
      <c r="BB38" s="188"/>
      <c r="BC38" s="188"/>
      <c r="BD38" s="196"/>
      <c r="BE38" s="196"/>
      <c r="BF38" s="196"/>
      <c r="BG38" s="192"/>
      <c r="BH38" s="194"/>
      <c r="BI38" s="194"/>
      <c r="BJ38" s="195"/>
      <c r="BK38" s="194"/>
    </row>
    <row r="39" spans="1:63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SUM(PORTEFEUILLE_ERIC[[#This Row],[PCR COMPTABLE €]:[MONTANT
RESPONSABLE RELATION CLIENT €]])-PORTEFEUILLE_ERIC[[#This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188"/>
      <c r="AQ39" s="188"/>
      <c r="AR3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3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39" s="188" t="str">
        <f>IF(PORTEFEUILLE_ERIC[[#This Row],[BONI AAC]]&lt;&gt;0,1,"")</f>
        <v/>
      </c>
      <c r="AU39" s="188" t="str">
        <f>IF(PORTEFEUILLE_ERIC[[#This Row],[MALI AAC]]&lt;&gt;0,1,"")</f>
        <v/>
      </c>
      <c r="AV39" s="225">
        <f>IF(AP39&lt;&gt;"",IF((AP39*Paramètres!$H$4)-PORTEFEUILLE_ERIC[[#This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€]]-(DELPHINE!AP38*Paramètres!$H$4),0),0)</f>
        <v>0</v>
      </c>
      <c r="AW39" s="225">
        <f>IF(AP39&lt;&gt;"",IF(((AP39*Paramètres!$H$4)-PORTEFEUILLE_ERIC[[#This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39" s="190" t="str">
        <f>IF(PORTEFEUILLE_ERIC[[#This Row],[BONI COMPTABLE]]&lt;&gt;0,1,"")</f>
        <v/>
      </c>
      <c r="AY39" s="190" t="str">
        <f>IF(PORTEFEUILLE_ERIC[[#This Row],[MALI COMPTABLE]]&lt;&gt;0,1,"")</f>
        <v/>
      </c>
      <c r="AZ39" s="188"/>
      <c r="BA39" s="188"/>
      <c r="BB39" s="188"/>
      <c r="BC39" s="188"/>
      <c r="BD39" s="188"/>
      <c r="BE39" s="188"/>
      <c r="BF39" s="188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SUM(PORTEFEUILLE_ERIC[[#This Row],[PCR COMPTABLE €]:[MONTANT
RESPONSABLE RELATION CLIENT €]])-PORTEFEUILLE_ERIC[[#This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188"/>
      <c r="AQ40" s="188"/>
      <c r="AR4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0" s="188" t="str">
        <f>IF(PORTEFEUILLE_ERIC[[#This Row],[BONI AAC]]&lt;&gt;0,1,"")</f>
        <v/>
      </c>
      <c r="AU40" s="188" t="str">
        <f>IF(PORTEFEUILLE_ERIC[[#This Row],[MALI AAC]]&lt;&gt;0,1,"")</f>
        <v/>
      </c>
      <c r="AV40" s="225">
        <f>IF(AP40&lt;&gt;"",IF((AP40*Paramètres!$H$4)-PORTEFEUILLE_ERIC[[#This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€]]-(DELPHINE!AP39*Paramètres!$H$4),0),0)</f>
        <v>0</v>
      </c>
      <c r="AW40" s="225">
        <f>IF(AP40&lt;&gt;"",IF(((AP40*Paramètres!$H$4)-PORTEFEUILLE_ERIC[[#This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0" s="190" t="str">
        <f>IF(PORTEFEUILLE_ERIC[[#This Row],[BONI COMPTABLE]]&lt;&gt;0,1,"")</f>
        <v/>
      </c>
      <c r="AY40" s="190" t="str">
        <f>IF(PORTEFEUILLE_ERIC[[#This Row],[MALI COMPTABLE]]&lt;&gt;0,1,"")</f>
        <v/>
      </c>
      <c r="AZ40" s="188"/>
      <c r="BA40" s="188"/>
      <c r="BB40" s="188"/>
      <c r="BC40" s="188"/>
      <c r="BD40" s="188"/>
      <c r="BE40" s="188"/>
      <c r="BF40" s="188"/>
      <c r="BG40" s="192"/>
      <c r="BH40" s="194"/>
      <c r="BI40" s="194"/>
      <c r="BJ40" s="195"/>
      <c r="BK40" s="194"/>
    </row>
    <row r="41" spans="1:63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SUM(PORTEFEUILLE_ERIC[[#This Row],[PCR COMPTABLE €]:[MONTANT
RESPONSABLE RELATION CLIENT €]])-PORTEFEUILLE_ERIC[[#This Row],[MONTANT TOTAL LETTRE DE MISION €]]</f>
        <v>0</v>
      </c>
      <c r="AI41" s="191"/>
      <c r="AJ41" s="188"/>
      <c r="AK41" s="188"/>
      <c r="AL41" s="188"/>
      <c r="AM41" s="188"/>
      <c r="AN41" s="196"/>
      <c r="AO41" s="196"/>
      <c r="AP41" s="196"/>
      <c r="AQ41" s="196"/>
      <c r="AR4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1" s="188" t="str">
        <f>IF(PORTEFEUILLE_ERIC[[#This Row],[BONI AAC]]&lt;&gt;0,1,"")</f>
        <v/>
      </c>
      <c r="AU41" s="188" t="str">
        <f>IF(PORTEFEUILLE_ERIC[[#This Row],[MALI AAC]]&lt;&gt;0,1,"")</f>
        <v/>
      </c>
      <c r="AV41" s="225">
        <f>IF(AP41&lt;&gt;"",IF((AP41*Paramètres!$H$4)-PORTEFEUILLE_ERIC[[#This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€]]-(DELPHINE!AP40*Paramètres!$H$4),0),0)</f>
        <v>0</v>
      </c>
      <c r="AW41" s="225">
        <f>IF(AP41&lt;&gt;"",IF(((AP41*Paramètres!$H$4)-PORTEFEUILLE_ERIC[[#This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1" s="190" t="str">
        <f>IF(PORTEFEUILLE_ERIC[[#This Row],[BONI COMPTABLE]]&lt;&gt;0,1,"")</f>
        <v/>
      </c>
      <c r="AY41" s="190" t="str">
        <f>IF(PORTEFEUILLE_ERIC[[#This Row],[MALI COMPTABLE]]&lt;&gt;0,1,"")</f>
        <v/>
      </c>
      <c r="AZ41" s="196"/>
      <c r="BA41" s="188"/>
      <c r="BB41" s="188"/>
      <c r="BC41" s="188"/>
      <c r="BD41" s="188"/>
      <c r="BE41" s="188"/>
      <c r="BF41" s="188"/>
      <c r="BG41" s="192"/>
      <c r="BH41" s="194"/>
      <c r="BI41" s="194"/>
      <c r="BJ41" s="195"/>
      <c r="BK41" s="194"/>
    </row>
    <row r="42" spans="1:63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SUM(PORTEFEUILLE_ERIC[[#This Row],[PCR COMPTABLE €]:[MONTANT
RESPONSABLE RELATION CLIENT €]])-PORTEFEUILLE_ERIC[[#This Row],[MONTANT TOTAL LETTRE DE MISION €]]</f>
        <v>0</v>
      </c>
      <c r="AI42" s="191"/>
      <c r="AJ42" s="188"/>
      <c r="AK42" s="188"/>
      <c r="AL42" s="188"/>
      <c r="AM42" s="188"/>
      <c r="AN42" s="196"/>
      <c r="AO42" s="196"/>
      <c r="AP42" s="196"/>
      <c r="AQ42" s="196"/>
      <c r="AR4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2" s="188" t="str">
        <f>IF(PORTEFEUILLE_ERIC[[#This Row],[BONI AAC]]&lt;&gt;0,1,"")</f>
        <v/>
      </c>
      <c r="AU42" s="188" t="str">
        <f>IF(PORTEFEUILLE_ERIC[[#This Row],[MALI AAC]]&lt;&gt;0,1,"")</f>
        <v/>
      </c>
      <c r="AV42" s="225">
        <f>IF(AP42&lt;&gt;"",IF((AP42*Paramètres!$H$4)-PORTEFEUILLE_ERIC[[#This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€]]-(DELPHINE!AP41*Paramètres!$H$4),0),0)</f>
        <v>0</v>
      </c>
      <c r="AW42" s="225">
        <f>IF(AP42&lt;&gt;"",IF(((AP42*Paramètres!$H$4)-PORTEFEUILLE_ERIC[[#This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2" s="190" t="str">
        <f>IF(PORTEFEUILLE_ERIC[[#This Row],[BONI COMPTABLE]]&lt;&gt;0,1,"")</f>
        <v/>
      </c>
      <c r="AY42" s="190" t="str">
        <f>IF(PORTEFEUILLE_ERIC[[#This Row],[MALI COMPTABLE]]&lt;&gt;0,1,"")</f>
        <v/>
      </c>
      <c r="AZ42" s="196"/>
      <c r="BA42" s="188"/>
      <c r="BB42" s="188"/>
      <c r="BC42" s="188"/>
      <c r="BD42" s="196"/>
      <c r="BE42" s="196"/>
      <c r="BF42" s="196"/>
      <c r="BG42" s="192"/>
      <c r="BH42" s="194"/>
      <c r="BI42" s="194"/>
      <c r="BJ42" s="195"/>
      <c r="BK42" s="194"/>
    </row>
    <row r="43" spans="1:63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SUM(PORTEFEUILLE_ERIC[[#This Row],[PCR COMPTABLE €]:[MONTANT
RESPONSABLE RELATION CLIENT €]])-PORTEFEUILLE_ERIC[[#This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188"/>
      <c r="AQ43" s="188"/>
      <c r="AR4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3" s="188" t="str">
        <f>IF(PORTEFEUILLE_ERIC[[#This Row],[BONI AAC]]&lt;&gt;0,1,"")</f>
        <v/>
      </c>
      <c r="AU43" s="188" t="str">
        <f>IF(PORTEFEUILLE_ERIC[[#This Row],[MALI AAC]]&lt;&gt;0,1,"")</f>
        <v/>
      </c>
      <c r="AV43" s="225">
        <f>IF(AP43&lt;&gt;"",IF((AP43*Paramètres!$H$4)-PORTEFEUILLE_ERIC[[#This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€]]-(DELPHINE!AP42*Paramètres!$H$4),0),0)</f>
        <v>0</v>
      </c>
      <c r="AW43" s="225">
        <f>IF(AP43&lt;&gt;"",IF(((AP43*Paramètres!$H$4)-PORTEFEUILLE_ERIC[[#This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3" s="190" t="str">
        <f>IF(PORTEFEUILLE_ERIC[[#This Row],[BONI COMPTABLE]]&lt;&gt;0,1,"")</f>
        <v/>
      </c>
      <c r="AY43" s="190" t="str">
        <f>IF(PORTEFEUILLE_ERIC[[#This Row],[MALI COMPTABLE]]&lt;&gt;0,1,"")</f>
        <v/>
      </c>
      <c r="AZ43" s="188"/>
      <c r="BA43" s="188"/>
      <c r="BB43" s="188"/>
      <c r="BC43" s="188"/>
      <c r="BD43" s="196"/>
      <c r="BE43" s="196"/>
      <c r="BF43" s="196"/>
      <c r="BG43" s="192"/>
      <c r="BH43" s="194"/>
      <c r="BI43" s="194"/>
      <c r="BJ43" s="195"/>
      <c r="BK43" s="194"/>
    </row>
    <row r="44" spans="1:63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SUM(PORTEFEUILLE_ERIC[[#This Row],[PCR COMPTABLE €]:[MONTANT
RESPONSABLE RELATION CLIENT €]])-PORTEFEUILLE_ERIC[[#This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188"/>
      <c r="AQ44" s="188"/>
      <c r="AR4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4" s="188" t="str">
        <f>IF(PORTEFEUILLE_ERIC[[#This Row],[BONI AAC]]&lt;&gt;0,1,"")</f>
        <v/>
      </c>
      <c r="AU44" s="188" t="str">
        <f>IF(PORTEFEUILLE_ERIC[[#This Row],[MALI AAC]]&lt;&gt;0,1,"")</f>
        <v/>
      </c>
      <c r="AV44" s="225">
        <f>IF(AP44&lt;&gt;"",IF((AP44*Paramètres!$H$4)-PORTEFEUILLE_ERIC[[#This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€]]-(DELPHINE!AP43*Paramètres!$H$4),0),0)</f>
        <v>0</v>
      </c>
      <c r="AW44" s="225">
        <f>IF(AP44&lt;&gt;"",IF(((AP44*Paramètres!$H$4)-PORTEFEUILLE_ERIC[[#This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4" s="190" t="str">
        <f>IF(PORTEFEUILLE_ERIC[[#This Row],[BONI COMPTABLE]]&lt;&gt;0,1,"")</f>
        <v/>
      </c>
      <c r="AY44" s="190" t="str">
        <f>IF(PORTEFEUILLE_ERIC[[#This Row],[MALI COMPTABLE]]&lt;&gt;0,1,"")</f>
        <v/>
      </c>
      <c r="AZ44" s="188"/>
      <c r="BA44" s="188"/>
      <c r="BB44" s="188"/>
      <c r="BC44" s="188"/>
      <c r="BD44" s="196"/>
      <c r="BE44" s="196"/>
      <c r="BF44" s="196"/>
      <c r="BG44" s="192"/>
      <c r="BH44" s="194"/>
      <c r="BI44" s="194"/>
      <c r="BJ44" s="195"/>
      <c r="BK44" s="194"/>
    </row>
    <row r="45" spans="1:63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SUM(PORTEFEUILLE_ERIC[[#This Row],[PCR COMPTABLE €]:[MONTANT
RESPONSABLE RELATION CLIENT €]])-PORTEFEUILLE_ERIC[[#This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188"/>
      <c r="AQ45" s="188"/>
      <c r="AR4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5" s="188" t="str">
        <f>IF(PORTEFEUILLE_ERIC[[#This Row],[BONI AAC]]&lt;&gt;0,1,"")</f>
        <v/>
      </c>
      <c r="AU45" s="188" t="str">
        <f>IF(PORTEFEUILLE_ERIC[[#This Row],[MALI AAC]]&lt;&gt;0,1,"")</f>
        <v/>
      </c>
      <c r="AV45" s="225">
        <f>IF(AP45&lt;&gt;"",IF((AP45*Paramètres!$H$4)-PORTEFEUILLE_ERIC[[#This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€]]-(DELPHINE!AP44*Paramètres!$H$4),0),0)</f>
        <v>0</v>
      </c>
      <c r="AW45" s="225">
        <f>IF(AP45&lt;&gt;"",IF(((AP45*Paramètres!$H$4)-PORTEFEUILLE_ERIC[[#This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5" s="190" t="str">
        <f>IF(PORTEFEUILLE_ERIC[[#This Row],[BONI COMPTABLE]]&lt;&gt;0,1,"")</f>
        <v/>
      </c>
      <c r="AY45" s="190" t="str">
        <f>IF(PORTEFEUILLE_ERIC[[#This Row],[MALI COMPTABLE]]&lt;&gt;0,1,"")</f>
        <v/>
      </c>
      <c r="AZ45" s="188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SUM(PORTEFEUILLE_ERIC[[#This Row],[PCR COMPTABLE €]:[MONTANT
RESPONSABLE RELATION CLIENT €]])-PORTEFEUILLE_ERIC[[#This Row],[MONTANT TOTAL LETTRE DE MISION €]]</f>
        <v>0</v>
      </c>
      <c r="AI46" s="191"/>
      <c r="AJ46" s="188"/>
      <c r="AK46" s="188"/>
      <c r="AL46" s="188"/>
      <c r="AM46" s="188"/>
      <c r="AN46" s="196"/>
      <c r="AO46" s="196"/>
      <c r="AP46" s="196"/>
      <c r="AQ46" s="196"/>
      <c r="AR4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6" s="188" t="str">
        <f>IF(PORTEFEUILLE_ERIC[[#This Row],[BONI AAC]]&lt;&gt;0,1,"")</f>
        <v/>
      </c>
      <c r="AU46" s="188" t="str">
        <f>IF(PORTEFEUILLE_ERIC[[#This Row],[MALI AAC]]&lt;&gt;0,1,"")</f>
        <v/>
      </c>
      <c r="AV46" s="225">
        <f>IF(AP46&lt;&gt;"",IF((AP46*Paramètres!$H$4)-PORTEFEUILLE_ERIC[[#This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€]]-(DELPHINE!AP45*Paramètres!$H$4),0),0)</f>
        <v>0</v>
      </c>
      <c r="AW46" s="225">
        <f>IF(AP46&lt;&gt;"",IF(((AP46*Paramètres!$H$4)-PORTEFEUILLE_ERIC[[#This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6" s="190" t="str">
        <f>IF(PORTEFEUILLE_ERIC[[#This Row],[BONI COMPTABLE]]&lt;&gt;0,1,"")</f>
        <v/>
      </c>
      <c r="AY46" s="190" t="str">
        <f>IF(PORTEFEUILLE_ERIC[[#This Row],[MALI COMPTABLE]]&lt;&gt;0,1,"")</f>
        <v/>
      </c>
      <c r="AZ46" s="196"/>
      <c r="BA46" s="188"/>
      <c r="BB46" s="188"/>
      <c r="BC46" s="188"/>
      <c r="BD46" s="188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SUM(PORTEFEUILLE_ERIC[[#This Row],[PCR COMPTABLE €]:[MONTANT
RESPONSABLE RELATION CLIENT €]])-PORTEFEUILLE_ERIC[[#This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188"/>
      <c r="AQ47" s="188"/>
      <c r="AR4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7" s="188" t="str">
        <f>IF(PORTEFEUILLE_ERIC[[#This Row],[BONI AAC]]&lt;&gt;0,1,"")</f>
        <v/>
      </c>
      <c r="AU47" s="188" t="str">
        <f>IF(PORTEFEUILLE_ERIC[[#This Row],[MALI AAC]]&lt;&gt;0,1,"")</f>
        <v/>
      </c>
      <c r="AV47" s="225">
        <f>IF(AP47&lt;&gt;"",IF((AP47*Paramètres!$H$4)-PORTEFEUILLE_ERIC[[#This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€]]-(DELPHINE!AP46*Paramètres!$H$4),0),0)</f>
        <v>0</v>
      </c>
      <c r="AW47" s="225">
        <f>IF(AP47&lt;&gt;"",IF(((AP47*Paramètres!$H$4)-PORTEFEUILLE_ERIC[[#This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7" s="190" t="str">
        <f>IF(PORTEFEUILLE_ERIC[[#This Row],[BONI COMPTABLE]]&lt;&gt;0,1,"")</f>
        <v/>
      </c>
      <c r="AY47" s="190" t="str">
        <f>IF(PORTEFEUILLE_ERIC[[#This Row],[MALI COMPTABLE]]&lt;&gt;0,1,"")</f>
        <v/>
      </c>
      <c r="AZ47" s="188"/>
      <c r="BA47" s="188"/>
      <c r="BB47" s="188"/>
      <c r="BC47" s="188"/>
      <c r="BD47" s="188"/>
      <c r="BE47" s="188"/>
      <c r="BF47" s="188"/>
      <c r="BG47" s="192"/>
      <c r="BH47" s="194"/>
      <c r="BI47" s="194"/>
      <c r="BJ47" s="195"/>
      <c r="BK47" s="194"/>
    </row>
    <row r="48" spans="1:63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SUM(PORTEFEUILLE_ERIC[[#This Row],[PCR COMPTABLE €]:[MONTANT
RESPONSABLE RELATION CLIENT €]])-PORTEFEUILLE_ERIC[[#This Row],[MONTANT TOTAL LETTRE DE MISION €]]</f>
        <v>0</v>
      </c>
      <c r="AI48" s="191"/>
      <c r="AJ48" s="188"/>
      <c r="AK48" s="188"/>
      <c r="AL48" s="188"/>
      <c r="AM48" s="188"/>
      <c r="AN48" s="196"/>
      <c r="AO48" s="196"/>
      <c r="AP48" s="196"/>
      <c r="AQ48" s="196"/>
      <c r="AR4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8" s="188" t="str">
        <f>IF(PORTEFEUILLE_ERIC[[#This Row],[BONI AAC]]&lt;&gt;0,1,"")</f>
        <v/>
      </c>
      <c r="AU48" s="188" t="str">
        <f>IF(PORTEFEUILLE_ERIC[[#This Row],[MALI AAC]]&lt;&gt;0,1,"")</f>
        <v/>
      </c>
      <c r="AV48" s="225">
        <f>IF(AP48&lt;&gt;"",IF((AP48*Paramètres!$H$4)-PORTEFEUILLE_ERIC[[#This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€]]-(DELPHINE!AP47*Paramètres!$H$4),0),0)</f>
        <v>0</v>
      </c>
      <c r="AW48" s="225">
        <f>IF(AP48&lt;&gt;"",IF(((AP48*Paramètres!$H$4)-PORTEFEUILLE_ERIC[[#This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8" s="190" t="str">
        <f>IF(PORTEFEUILLE_ERIC[[#This Row],[BONI COMPTABLE]]&lt;&gt;0,1,"")</f>
        <v/>
      </c>
      <c r="AY48" s="190" t="str">
        <f>IF(PORTEFEUILLE_ERIC[[#This Row],[MALI COMPTABLE]]&lt;&gt;0,1,"")</f>
        <v/>
      </c>
      <c r="AZ48" s="196"/>
      <c r="BA48" s="188"/>
      <c r="BB48" s="188"/>
      <c r="BC48" s="188"/>
      <c r="BD48" s="188"/>
      <c r="BE48" s="188"/>
      <c r="BF48" s="188"/>
      <c r="BG48" s="192"/>
      <c r="BH48" s="194"/>
      <c r="BI48" s="194"/>
      <c r="BJ48" s="195"/>
      <c r="BK48" s="194"/>
    </row>
    <row r="49" spans="1:63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SUM(PORTEFEUILLE_ERIC[[#This Row],[PCR COMPTABLE €]:[MONTANT
RESPONSABLE RELATION CLIENT €]])-PORTEFEUILLE_ERIC[[#This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188"/>
      <c r="AQ49" s="188"/>
      <c r="AR4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4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49" s="188" t="str">
        <f>IF(PORTEFEUILLE_ERIC[[#This Row],[BONI AAC]]&lt;&gt;0,1,"")</f>
        <v/>
      </c>
      <c r="AU49" s="188" t="str">
        <f>IF(PORTEFEUILLE_ERIC[[#This Row],[MALI AAC]]&lt;&gt;0,1,"")</f>
        <v/>
      </c>
      <c r="AV49" s="225">
        <f>IF(AP49&lt;&gt;"",IF((AP49*Paramètres!$H$4)-PORTEFEUILLE_ERIC[[#This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€]]-(DELPHINE!AP48*Paramètres!$H$4),0),0)</f>
        <v>0</v>
      </c>
      <c r="AW49" s="225">
        <f>IF(AP49&lt;&gt;"",IF(((AP49*Paramètres!$H$4)-PORTEFEUILLE_ERIC[[#This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49" s="190" t="str">
        <f>IF(PORTEFEUILLE_ERIC[[#This Row],[BONI COMPTABLE]]&lt;&gt;0,1,"")</f>
        <v/>
      </c>
      <c r="AY49" s="190" t="str">
        <f>IF(PORTEFEUILLE_ERIC[[#This Row],[MALI COMPTABLE]]&lt;&gt;0,1,"")</f>
        <v/>
      </c>
      <c r="AZ49" s="188"/>
      <c r="BA49" s="188"/>
      <c r="BB49" s="188"/>
      <c r="BC49" s="188"/>
      <c r="BD49" s="196"/>
      <c r="BE49" s="188"/>
      <c r="BF49" s="188"/>
      <c r="BG49" s="192"/>
      <c r="BH49" s="194"/>
      <c r="BI49" s="194"/>
      <c r="BJ49" s="195"/>
      <c r="BK49" s="194"/>
    </row>
    <row r="50" spans="1:63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SUM(PORTEFEUILLE_ERIC[[#This Row],[PCR COMPTABLE €]:[MONTANT
RESPONSABLE RELATION CLIENT €]])-PORTEFEUILLE_ERIC[[#This Row],[MONTANT TOTAL LETTRE DE MISION €]]</f>
        <v>0</v>
      </c>
      <c r="AI50" s="191"/>
      <c r="AJ50" s="188"/>
      <c r="AK50" s="188"/>
      <c r="AL50" s="188"/>
      <c r="AM50" s="188"/>
      <c r="AN50" s="196"/>
      <c r="AO50" s="196"/>
      <c r="AP50" s="196"/>
      <c r="AQ50" s="196"/>
      <c r="AR5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0" s="188" t="str">
        <f>IF(PORTEFEUILLE_ERIC[[#This Row],[BONI AAC]]&lt;&gt;0,1,"")</f>
        <v/>
      </c>
      <c r="AU50" s="188" t="str">
        <f>IF(PORTEFEUILLE_ERIC[[#This Row],[MALI AAC]]&lt;&gt;0,1,"")</f>
        <v/>
      </c>
      <c r="AV50" s="225">
        <f>IF(AP50&lt;&gt;"",IF((AP50*Paramètres!$H$4)-PORTEFEUILLE_ERIC[[#This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€]]-(DELPHINE!AP49*Paramètres!$H$4),0),0)</f>
        <v>0</v>
      </c>
      <c r="AW50" s="225">
        <f>IF(AP50&lt;&gt;"",IF(((AP50*Paramètres!$H$4)-PORTEFEUILLE_ERIC[[#This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0" s="190" t="str">
        <f>IF(PORTEFEUILLE_ERIC[[#This Row],[BONI COMPTABLE]]&lt;&gt;0,1,"")</f>
        <v/>
      </c>
      <c r="AY50" s="190" t="str">
        <f>IF(PORTEFEUILLE_ERIC[[#This Row],[MALI COMPTABLE]]&lt;&gt;0,1,"")</f>
        <v/>
      </c>
      <c r="AZ50" s="196"/>
      <c r="BA50" s="188"/>
      <c r="BB50" s="188"/>
      <c r="BC50" s="188"/>
      <c r="BD50" s="196"/>
      <c r="BE50" s="196"/>
      <c r="BF50" s="196"/>
      <c r="BG50" s="192"/>
      <c r="BH50" s="194"/>
      <c r="BI50" s="194"/>
      <c r="BJ50" s="195"/>
      <c r="BK50" s="194"/>
    </row>
    <row r="51" spans="1:63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SUM(PORTEFEUILLE_ERIC[[#This Row],[PCR COMPTABLE €]:[MONTANT
RESPONSABLE RELATION CLIENT €]])-PORTEFEUILLE_ERIC[[#This Row],[MONTANT TOTAL LETTRE DE MISION €]]</f>
        <v>0</v>
      </c>
      <c r="AI51" s="191"/>
      <c r="AJ51" s="188"/>
      <c r="AK51" s="188"/>
      <c r="AL51" s="188"/>
      <c r="AM51" s="188"/>
      <c r="AN51" s="196"/>
      <c r="AO51" s="196"/>
      <c r="AP51" s="196"/>
      <c r="AQ51" s="196"/>
      <c r="AR5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1" s="188" t="str">
        <f>IF(PORTEFEUILLE_ERIC[[#This Row],[BONI AAC]]&lt;&gt;0,1,"")</f>
        <v/>
      </c>
      <c r="AU51" s="188" t="str">
        <f>IF(PORTEFEUILLE_ERIC[[#This Row],[MALI AAC]]&lt;&gt;0,1,"")</f>
        <v/>
      </c>
      <c r="AV51" s="225">
        <f>IF(AP51&lt;&gt;"",IF((AP51*Paramètres!$H$4)-PORTEFEUILLE_ERIC[[#This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€]]-(DELPHINE!AP50*Paramètres!$H$4),0),0)</f>
        <v>0</v>
      </c>
      <c r="AW51" s="225">
        <f>IF(AP51&lt;&gt;"",IF(((AP51*Paramètres!$H$4)-PORTEFEUILLE_ERIC[[#This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1" s="190" t="str">
        <f>IF(PORTEFEUILLE_ERIC[[#This Row],[BONI COMPTABLE]]&lt;&gt;0,1,"")</f>
        <v/>
      </c>
      <c r="AY51" s="190" t="str">
        <f>IF(PORTEFEUILLE_ERIC[[#This Row],[MALI COMPTABLE]]&lt;&gt;0,1,"")</f>
        <v/>
      </c>
      <c r="AZ51" s="196"/>
      <c r="BA51" s="188"/>
      <c r="BB51" s="188"/>
      <c r="BC51" s="188"/>
      <c r="BD51" s="196"/>
      <c r="BE51" s="196"/>
      <c r="BF51" s="196"/>
      <c r="BG51" s="192"/>
      <c r="BH51" s="194"/>
      <c r="BI51" s="194"/>
      <c r="BJ51" s="195"/>
      <c r="BK51" s="194"/>
    </row>
    <row r="52" spans="1:63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SUM(PORTEFEUILLE_ERIC[[#This Row],[PCR COMPTABLE €]:[MONTANT
RESPONSABLE RELATION CLIENT €]])-PORTEFEUILLE_ERIC[[#This Row],[MONTANT TOTAL LETTRE DE MISION €]]</f>
        <v>0</v>
      </c>
      <c r="AI52" s="191"/>
      <c r="AJ52" s="188"/>
      <c r="AK52" s="188"/>
      <c r="AL52" s="188"/>
      <c r="AM52" s="188"/>
      <c r="AN52" s="196"/>
      <c r="AO52" s="196"/>
      <c r="AP52" s="196"/>
      <c r="AQ52" s="196"/>
      <c r="AR5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2" s="188" t="str">
        <f>IF(PORTEFEUILLE_ERIC[[#This Row],[BONI AAC]]&lt;&gt;0,1,"")</f>
        <v/>
      </c>
      <c r="AU52" s="188" t="str">
        <f>IF(PORTEFEUILLE_ERIC[[#This Row],[MALI AAC]]&lt;&gt;0,1,"")</f>
        <v/>
      </c>
      <c r="AV52" s="225">
        <f>IF(AP52&lt;&gt;"",IF((AP52*Paramètres!$H$4)-PORTEFEUILLE_ERIC[[#This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€]]-(DELPHINE!AP51*Paramètres!$H$4),0),0)</f>
        <v>0</v>
      </c>
      <c r="AW52" s="225">
        <f>IF(AP52&lt;&gt;"",IF(((AP52*Paramètres!$H$4)-PORTEFEUILLE_ERIC[[#This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2" s="190" t="str">
        <f>IF(PORTEFEUILLE_ERIC[[#This Row],[BONI COMPTABLE]]&lt;&gt;0,1,"")</f>
        <v/>
      </c>
      <c r="AY52" s="190" t="str">
        <f>IF(PORTEFEUILLE_ERIC[[#This Row],[MALI COMPTABLE]]&lt;&gt;0,1,"")</f>
        <v/>
      </c>
      <c r="AZ52" s="196"/>
      <c r="BA52" s="188"/>
      <c r="BB52" s="188"/>
      <c r="BC52" s="188"/>
      <c r="BD52" s="196"/>
      <c r="BE52" s="196"/>
      <c r="BF52" s="196"/>
      <c r="BG52" s="192"/>
      <c r="BH52" s="194"/>
      <c r="BI52" s="194"/>
      <c r="BJ52" s="195"/>
      <c r="BK52" s="194"/>
    </row>
    <row r="53" spans="1:63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SUM(PORTEFEUILLE_ERIC[[#This Row],[PCR COMPTABLE €]:[MONTANT
RESPONSABLE RELATION CLIENT €]])-PORTEFEUILLE_ERIC[[#This Row],[MONTANT TOTAL LETTRE DE MISION €]]</f>
        <v>0</v>
      </c>
      <c r="AI53" s="191"/>
      <c r="AJ53" s="188"/>
      <c r="AK53" s="201"/>
      <c r="AL53" s="201"/>
      <c r="AM53" s="201"/>
      <c r="AN53" s="202"/>
      <c r="AO53" s="202"/>
      <c r="AP53" s="202"/>
      <c r="AQ53" s="202"/>
      <c r="AR5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3" s="188" t="str">
        <f>IF(PORTEFEUILLE_ERIC[[#This Row],[BONI AAC]]&lt;&gt;0,1,"")</f>
        <v/>
      </c>
      <c r="AU53" s="188" t="str">
        <f>IF(PORTEFEUILLE_ERIC[[#This Row],[MALI AAC]]&lt;&gt;0,1,"")</f>
        <v/>
      </c>
      <c r="AV53" s="225">
        <f>IF(AP53&lt;&gt;"",IF((AP53*Paramètres!$H$4)-PORTEFEUILLE_ERIC[[#This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€]]-(DELPHINE!AP52*Paramètres!$H$4),0),0)</f>
        <v>0</v>
      </c>
      <c r="AW53" s="225">
        <f>IF(AP53&lt;&gt;"",IF(((AP53*Paramètres!$H$4)-PORTEFEUILLE_ERIC[[#This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3" s="190" t="str">
        <f>IF(PORTEFEUILLE_ERIC[[#This Row],[BONI COMPTABLE]]&lt;&gt;0,1,"")</f>
        <v/>
      </c>
      <c r="AY53" s="190" t="str">
        <f>IF(PORTEFEUILLE_ERIC[[#This Row],[MALI COMPTABLE]]&lt;&gt;0,1,"")</f>
        <v/>
      </c>
      <c r="AZ53" s="202"/>
      <c r="BA53" s="188"/>
      <c r="BB53" s="188"/>
      <c r="BC53" s="188"/>
      <c r="BD53" s="202"/>
      <c r="BE53" s="202"/>
      <c r="BF53" s="202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SUM(PORTEFEUILLE_ERIC[[#This Row],[PCR COMPTABLE €]:[MONTANT
RESPONSABLE RELATION CLIENT €]])-PORTEFEUILLE_ERIC[[#This Row],[MONTANT TOTAL LETTRE DE MISION €]]</f>
        <v>0</v>
      </c>
      <c r="AI54" s="191"/>
      <c r="AJ54" s="188"/>
      <c r="AK54" s="188"/>
      <c r="AL54" s="188"/>
      <c r="AM54" s="188"/>
      <c r="AN54" s="194"/>
      <c r="AO54" s="194"/>
      <c r="AP54" s="194"/>
      <c r="AQ54" s="194"/>
      <c r="AR5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4" s="188" t="str">
        <f>IF(PORTEFEUILLE_ERIC[[#This Row],[BONI AAC]]&lt;&gt;0,1,"")</f>
        <v/>
      </c>
      <c r="AU54" s="188" t="str">
        <f>IF(PORTEFEUILLE_ERIC[[#This Row],[MALI AAC]]&lt;&gt;0,1,"")</f>
        <v/>
      </c>
      <c r="AV54" s="225">
        <f>IF(AP54&lt;&gt;"",IF((AP54*Paramètres!$H$4)-PORTEFEUILLE_ERIC[[#This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€]]-(DELPHINE!AP53*Paramètres!$H$4),0),0)</f>
        <v>0</v>
      </c>
      <c r="AW54" s="225">
        <f>IF(AP54&lt;&gt;"",IF(((AP54*Paramètres!$H$4)-PORTEFEUILLE_ERIC[[#This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4" s="190" t="str">
        <f>IF(PORTEFEUILLE_ERIC[[#This Row],[BONI COMPTABLE]]&lt;&gt;0,1,"")</f>
        <v/>
      </c>
      <c r="AY54" s="190" t="str">
        <f>IF(PORTEFEUILLE_ERIC[[#This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SUM(PORTEFEUILLE_ERIC[[#This Row],[PCR COMPTABLE €]:[MONTANT
RESPONSABLE RELATION CLIENT €]])-PORTEFEUILLE_ERIC[[#This Row],[MONTANT TOTAL LETTRE DE MISION €]]</f>
        <v>0</v>
      </c>
      <c r="AI55" s="191"/>
      <c r="AJ55" s="188"/>
      <c r="AK55" s="188"/>
      <c r="AL55" s="188"/>
      <c r="AM55" s="188"/>
      <c r="AN55" s="194"/>
      <c r="AO55" s="194"/>
      <c r="AP55" s="194"/>
      <c r="AQ55" s="194"/>
      <c r="AR5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5" s="188" t="str">
        <f>IF(PORTEFEUILLE_ERIC[[#This Row],[BONI AAC]]&lt;&gt;0,1,"")</f>
        <v/>
      </c>
      <c r="AU55" s="188" t="str">
        <f>IF(PORTEFEUILLE_ERIC[[#This Row],[MALI AAC]]&lt;&gt;0,1,"")</f>
        <v/>
      </c>
      <c r="AV55" s="225">
        <f>IF(AP55&lt;&gt;"",IF((AP55*Paramètres!$H$4)-PORTEFEUILLE_ERIC[[#This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€]]-(DELPHINE!AP54*Paramètres!$H$4),0),0)</f>
        <v>0</v>
      </c>
      <c r="AW55" s="225">
        <f>IF(AP55&lt;&gt;"",IF(((AP55*Paramètres!$H$4)-PORTEFEUILLE_ERIC[[#This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5" s="190" t="str">
        <f>IF(PORTEFEUILLE_ERIC[[#This Row],[BONI COMPTABLE]]&lt;&gt;0,1,"")</f>
        <v/>
      </c>
      <c r="AY55" s="190" t="str">
        <f>IF(PORTEFEUILLE_ERIC[[#This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SUM(PORTEFEUILLE_ERIC[[#This Row],[PCR COMPTABLE €]:[MONTANT
RESPONSABLE RELATION CLIENT €]])-PORTEFEUILLE_ERIC[[#This Row],[MONTANT TOTAL LETTRE DE MISION €]]</f>
        <v>0</v>
      </c>
      <c r="AI56" s="191"/>
      <c r="AJ56" s="188"/>
      <c r="AK56" s="188"/>
      <c r="AL56" s="188"/>
      <c r="AM56" s="188"/>
      <c r="AN56" s="194"/>
      <c r="AO56" s="194"/>
      <c r="AP56" s="194"/>
      <c r="AQ56" s="194"/>
      <c r="AR5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6" s="188" t="str">
        <f>IF(PORTEFEUILLE_ERIC[[#This Row],[BONI AAC]]&lt;&gt;0,1,"")</f>
        <v/>
      </c>
      <c r="AU56" s="188" t="str">
        <f>IF(PORTEFEUILLE_ERIC[[#This Row],[MALI AAC]]&lt;&gt;0,1,"")</f>
        <v/>
      </c>
      <c r="AV56" s="225">
        <f>IF(AP56&lt;&gt;"",IF((AP56*Paramètres!$H$4)-PORTEFEUILLE_ERIC[[#This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€]]-(DELPHINE!AP55*Paramètres!$H$4),0),0)</f>
        <v>0</v>
      </c>
      <c r="AW56" s="225">
        <f>IF(AP56&lt;&gt;"",IF(((AP56*Paramètres!$H$4)-PORTEFEUILLE_ERIC[[#This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6" s="190" t="str">
        <f>IF(PORTEFEUILLE_ERIC[[#This Row],[BONI COMPTABLE]]&lt;&gt;0,1,"")</f>
        <v/>
      </c>
      <c r="AY56" s="190" t="str">
        <f>IF(PORTEFEUILLE_ERIC[[#This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SUM(PORTEFEUILLE_ERIC[[#This Row],[PCR COMPTABLE €]:[MONTANT
RESPONSABLE RELATION CLIENT €]])-PORTEFEUILLE_ERIC[[#This Row],[MONTANT TOTAL LETTRE DE MISION €]]</f>
        <v>0</v>
      </c>
      <c r="AI57" s="191"/>
      <c r="AJ57" s="188"/>
      <c r="AK57" s="188"/>
      <c r="AL57" s="188"/>
      <c r="AM57" s="188"/>
      <c r="AN57" s="194"/>
      <c r="AO57" s="194"/>
      <c r="AP57" s="194"/>
      <c r="AQ57" s="194"/>
      <c r="AR5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7" s="188" t="str">
        <f>IF(PORTEFEUILLE_ERIC[[#This Row],[BONI AAC]]&lt;&gt;0,1,"")</f>
        <v/>
      </c>
      <c r="AU57" s="188" t="str">
        <f>IF(PORTEFEUILLE_ERIC[[#This Row],[MALI AAC]]&lt;&gt;0,1,"")</f>
        <v/>
      </c>
      <c r="AV57" s="225">
        <f>IF(AP57&lt;&gt;"",IF((AP57*Paramètres!$H$4)-PORTEFEUILLE_ERIC[[#This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€]]-(DELPHINE!AP56*Paramètres!$H$4),0),0)</f>
        <v>0</v>
      </c>
      <c r="AW57" s="225">
        <f>IF(AP57&lt;&gt;"",IF(((AP57*Paramètres!$H$4)-PORTEFEUILLE_ERIC[[#This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7" s="190" t="str">
        <f>IF(PORTEFEUILLE_ERIC[[#This Row],[BONI COMPTABLE]]&lt;&gt;0,1,"")</f>
        <v/>
      </c>
      <c r="AY57" s="190" t="str">
        <f>IF(PORTEFEUILLE_ERIC[[#This Row],[MALI COMPTABLE]]&lt;&gt;0,1,"")</f>
        <v/>
      </c>
      <c r="AZ57" s="194"/>
      <c r="BA57" s="188"/>
      <c r="BB57" s="188"/>
      <c r="BC57" s="188"/>
      <c r="BD57" s="194"/>
      <c r="BE57" s="194"/>
      <c r="BF57" s="194"/>
      <c r="BG57" s="192"/>
      <c r="BH57" s="194"/>
      <c r="BI57" s="194"/>
      <c r="BJ57" s="195"/>
      <c r="BK57" s="194"/>
    </row>
    <row r="58" spans="1:63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SUM(PORTEFEUILLE_ERIC[[#This Row],[PCR COMPTABLE €]:[MONTANT
RESPONSABLE RELATION CLIENT €]])-PORTEFEUILLE_ERIC[[#This Row],[MONTANT TOTAL LETTRE DE MISION €]]</f>
        <v>0</v>
      </c>
      <c r="AI58" s="191"/>
      <c r="AJ58" s="188"/>
      <c r="AK58" s="188"/>
      <c r="AL58" s="188"/>
      <c r="AM58" s="188"/>
      <c r="AN58" s="194"/>
      <c r="AO58" s="194"/>
      <c r="AP58" s="194"/>
      <c r="AQ58" s="194"/>
      <c r="AR5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8" s="188" t="str">
        <f>IF(PORTEFEUILLE_ERIC[[#This Row],[BONI AAC]]&lt;&gt;0,1,"")</f>
        <v/>
      </c>
      <c r="AU58" s="188" t="str">
        <f>IF(PORTEFEUILLE_ERIC[[#This Row],[MALI AAC]]&lt;&gt;0,1,"")</f>
        <v/>
      </c>
      <c r="AV58" s="225">
        <f>IF(AP58&lt;&gt;"",IF((AP58*Paramètres!$H$4)-PORTEFEUILLE_ERIC[[#This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€]]-(DELPHINE!AP57*Paramètres!$H$4),0),0)</f>
        <v>0</v>
      </c>
      <c r="AW58" s="225">
        <f>IF(AP58&lt;&gt;"",IF(((AP58*Paramètres!$H$4)-PORTEFEUILLE_ERIC[[#This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8" s="190" t="str">
        <f>IF(PORTEFEUILLE_ERIC[[#This Row],[BONI COMPTABLE]]&lt;&gt;0,1,"")</f>
        <v/>
      </c>
      <c r="AY58" s="190" t="str">
        <f>IF(PORTEFEUILLE_ERIC[[#This Row],[MALI COMPTABLE]]&lt;&gt;0,1,"")</f>
        <v/>
      </c>
      <c r="AZ58" s="194"/>
      <c r="BA58" s="188"/>
      <c r="BB58" s="188"/>
      <c r="BC58" s="188"/>
      <c r="BD58" s="194"/>
      <c r="BE58" s="194"/>
      <c r="BF58" s="194"/>
      <c r="BG58" s="192"/>
      <c r="BH58" s="194"/>
      <c r="BI58" s="194"/>
      <c r="BJ58" s="195"/>
      <c r="BK58" s="194"/>
    </row>
    <row r="59" spans="1:63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SUM(PORTEFEUILLE_ERIC[[#This Row],[PCR COMPTABLE €]:[MONTANT
RESPONSABLE RELATION CLIENT €]])-PORTEFEUILLE_ERIC[[#This Row],[MONTANT TOTAL LETTRE DE MISION €]]</f>
        <v>0</v>
      </c>
      <c r="AI59" s="191"/>
      <c r="AJ59" s="188"/>
      <c r="AK59" s="188"/>
      <c r="AL59" s="188"/>
      <c r="AM59" s="188"/>
      <c r="AN59" s="194"/>
      <c r="AO59" s="194"/>
      <c r="AP59" s="194"/>
      <c r="AQ59" s="194"/>
      <c r="AR5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5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59" s="188" t="str">
        <f>IF(PORTEFEUILLE_ERIC[[#This Row],[BONI AAC]]&lt;&gt;0,1,"")</f>
        <v/>
      </c>
      <c r="AU59" s="188" t="str">
        <f>IF(PORTEFEUILLE_ERIC[[#This Row],[MALI AAC]]&lt;&gt;0,1,"")</f>
        <v/>
      </c>
      <c r="AV59" s="225">
        <f>IF(AP59&lt;&gt;"",IF((AP59*Paramètres!$H$4)-PORTEFEUILLE_ERIC[[#This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€]]-(DELPHINE!AP58*Paramètres!$H$4),0),0)</f>
        <v>0</v>
      </c>
      <c r="AW59" s="225">
        <f>IF(AP59&lt;&gt;"",IF(((AP59*Paramètres!$H$4)-PORTEFEUILLE_ERIC[[#This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59" s="190" t="str">
        <f>IF(PORTEFEUILLE_ERIC[[#This Row],[BONI COMPTABLE]]&lt;&gt;0,1,"")</f>
        <v/>
      </c>
      <c r="AY59" s="190" t="str">
        <f>IF(PORTEFEUILLE_ERIC[[#This Row],[MALI COMPTABLE]]&lt;&gt;0,1,"")</f>
        <v/>
      </c>
      <c r="AZ59" s="194"/>
      <c r="BA59" s="188"/>
      <c r="BB59" s="188"/>
      <c r="BC59" s="188"/>
      <c r="BD59" s="194"/>
      <c r="BE59" s="194"/>
      <c r="BF59" s="194"/>
      <c r="BG59" s="192"/>
      <c r="BH59" s="194"/>
      <c r="BI59" s="194"/>
      <c r="BJ59" s="195"/>
      <c r="BK59" s="194"/>
    </row>
    <row r="60" spans="1:63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SUM(PORTEFEUILLE_ERIC[[#This Row],[PCR COMPTABLE €]:[MONTANT
RESPONSABLE RELATION CLIENT €]])-PORTEFEUILLE_ERIC[[#This Row],[MONTANT TOTAL LETTRE DE MISION €]]</f>
        <v>0</v>
      </c>
      <c r="AI60" s="191"/>
      <c r="AJ60" s="188"/>
      <c r="AK60" s="201"/>
      <c r="AL60" s="201"/>
      <c r="AM60" s="201"/>
      <c r="AN60" s="205"/>
      <c r="AO60" s="205"/>
      <c r="AP60" s="205"/>
      <c r="AQ60" s="205"/>
      <c r="AR6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S6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T60" s="188" t="str">
        <f>IF(PORTEFEUILLE_ERIC[[#This Row],[BONI AAC]]&lt;&gt;0,1,"")</f>
        <v/>
      </c>
      <c r="AU60" s="188" t="str">
        <f>IF(PORTEFEUILLE_ERIC[[#This Row],[MALI AAC]]&lt;&gt;0,1,"")</f>
        <v/>
      </c>
      <c r="AV60" s="225">
        <f>IF(AP60&lt;&gt;"",IF((AP60*Paramètres!$H$4)-PORTEFEUILLE_ERIC[[#This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€]]-(DELPHINE!AP59*Paramètres!$H$4),0),0)</f>
        <v>0</v>
      </c>
      <c r="AW60" s="225">
        <f>IF(AP60&lt;&gt;"",IF(((AP60*Paramètres!$H$4)-PORTEFEUILLE_ERIC[[#This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€]])&gt;0,(AP60*Paramètres!$H$4)-PORTEFEUILLE_ERIC[[#This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X60" s="190" t="str">
        <f>IF(PORTEFEUILLE_ERIC[[#This Row],[BONI COMPTABLE]]&lt;&gt;0,1,"")</f>
        <v/>
      </c>
      <c r="AY60" s="190" t="str">
        <f>IF(PORTEFEUILLE_ERIC[[#This Row],[MALI COMPTABLE]]&lt;&gt;0,1,"")</f>
        <v/>
      </c>
      <c r="AZ60" s="205"/>
      <c r="BA60" s="188"/>
      <c r="BB60" s="188"/>
      <c r="BC60" s="188"/>
      <c r="BD60" s="205"/>
      <c r="BE60" s="205"/>
      <c r="BF60" s="205"/>
      <c r="BG60" s="192"/>
      <c r="BH60" s="205"/>
      <c r="BI60" s="205"/>
      <c r="BJ60" s="206"/>
      <c r="BK60" s="205"/>
    </row>
    <row r="63" spans="1:63" x14ac:dyDescent="0.25">
      <c r="B63" s="89" t="s">
        <v>120</v>
      </c>
    </row>
    <row r="65" spans="2:52" x14ac:dyDescent="0.25">
      <c r="B65" s="279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80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280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81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275" t="s">
        <v>123</v>
      </c>
      <c r="C69" s="275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2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80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280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81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275" t="s">
        <v>123</v>
      </c>
      <c r="C75" s="275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2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80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B79" s="280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281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B81" s="275" t="s">
        <v>123</v>
      </c>
      <c r="C81" s="275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6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277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7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277" t="s">
        <v>123</v>
      </c>
      <c r="C88" s="277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8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277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COUNTIFS($I$3:$I$60,"&lt;&gt;",$BB$3:$BB$60,"X",$E$3:$E$60,DATE(Paramètres!A4,Paramètres!D15,Paramètres!C15),$F$3:$F$60,"EARL")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277" t="s">
        <v>123</v>
      </c>
      <c r="C94" s="277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B98" s="277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277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B100" s="277" t="s">
        <v>123</v>
      </c>
      <c r="C100" s="277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79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80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280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81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275" t="s">
        <v>123</v>
      </c>
      <c r="C108" s="275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2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80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280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81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275" t="s">
        <v>123</v>
      </c>
      <c r="C114" s="275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2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80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B118" s="280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B119" s="281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B120" s="275" t="s">
        <v>123</v>
      </c>
      <c r="C120" s="275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  <row r="181" spans="21:52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  <c r="AZ181" s="164"/>
    </row>
    <row r="182" spans="21:52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</row>
    <row r="183" spans="21:52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  <c r="AY183" s="164"/>
      <c r="AZ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367" priority="6">
      <formula>AND(P3&lt;&gt;"",P3&lt;&gt;"OUI")</formula>
    </cfRule>
  </conditionalFormatting>
  <conditionalFormatting sqref="AN3:AO60 S3:AH60">
    <cfRule type="expression" dxfId="366" priority="5" stopIfTrue="1">
      <formula>$AH3&lt;&gt;0</formula>
    </cfRule>
  </conditionalFormatting>
  <conditionalFormatting sqref="A6:E60 C3:E5 A3:A5">
    <cfRule type="expression" dxfId="365" priority="7" stopIfTrue="1">
      <formula>AND($I3&lt;&gt;"",AND($J3="",AND($BA3="",$BB3="")))</formula>
    </cfRule>
    <cfRule type="expression" dxfId="364" priority="8" stopIfTrue="1">
      <formula>AND($J3&lt;&gt;"",AND($BA3="",$BB3=""))</formula>
    </cfRule>
    <cfRule type="expression" dxfId="363" priority="9" stopIfTrue="1">
      <formula>AND($BA3&lt;&gt;"",$BB3="")</formula>
    </cfRule>
    <cfRule type="expression" dxfId="362" priority="10" stopIfTrue="1">
      <formula>$BB3="X"</formula>
    </cfRule>
  </conditionalFormatting>
  <conditionalFormatting sqref="B3:B5">
    <cfRule type="expression" dxfId="361" priority="1" stopIfTrue="1">
      <formula>AND($I3&lt;&gt;"",AND($J3="",AND($BA3="",$BB3="")))</formula>
    </cfRule>
    <cfRule type="expression" dxfId="360" priority="2" stopIfTrue="1">
      <formula>AND($J3&lt;&gt;"",AND($BA3="",$BB3=""))</formula>
    </cfRule>
    <cfRule type="expression" dxfId="359" priority="3" stopIfTrue="1">
      <formula>AND($BA3&lt;&gt;"",$BB3="")</formula>
    </cfRule>
    <cfRule type="expression" dxfId="358" priority="4" stopIfTrue="1">
      <formula>$BB3="X"</formula>
    </cfRule>
  </conditionalFormatting>
  <dataValidations count="12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I3:BK60">
      <formula1>"OUI,NON,N/C"</formula1>
    </dataValidation>
    <dataValidation type="list" allowBlank="1" showInputMessage="1" showErrorMessage="1" sqref="AN3:AN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BA3:BC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O3:AO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Y3:JY60 TU3:TU60 ADQ3:ADQ60 ANM3:ANM60 AXI3:AXI60 BHE3:BHE60 BRA3:BRA60 CAW3:CAW60 CKS3:CKS60 CUO3:CUO60 DEK3:DEK60 DOG3:DOG60 DYC3:DYC60 EHY3:EHY60 ERU3:ERU60 FBQ3:FBQ60 FLM3:FLM60 FVI3:FVI60 GFE3:GFE60 GPA3:GPA60 GYW3:GYW60 HIS3:HIS60 HSO3:HSO60 ICK3:ICK60 IMG3:IMG60 IWC3:IWC60 JFY3:JFY60 JPU3:JPU60 JZQ3:JZQ60 KJM3:KJM60 KTI3:KTI60 LDE3:LDE60 LNA3:LNA60 LWW3:LWW60 MGS3:MGS60 MQO3:MQO60 NAK3:NAK60 NKG3:NKG60 NUC3:NUC60 ODY3:ODY60 ONU3:ONU60 OXQ3:OXQ60 PHM3:PHM60 PRI3:PRI60 QBE3:QBE60 QLA3:QLA60 QUW3:QUW60 RES3:RES60 ROO3:ROO60 RYK3:RYK60 SIG3:SIG60 SSC3:SSC60 TBY3:TBY60 TLU3:TLU60 TVQ3:TVQ60 UFM3:UFM60 UPI3:UPI60 UZE3:UZE60 VJA3:VJA60 VSW3:VSW60 WCS3:WCS60 WMO3:WMO60 WWK3:WWK60 G65539:G65596 JX65539:JX65596 TT65539:TT65596 ADP65539:ADP65596 ANL65539:ANL65596 AXH65539:AXH65596 BHD65539:BHD65596 BQZ65539:BQZ65596 CAV65539:CAV65596 CKR65539:CKR65596 CUN65539:CUN65596 DEJ65539:DEJ65596 DOF65539:DOF65596 DYB65539:DYB65596 EHX65539:EHX65596 ERT65539:ERT65596 FBP65539:FBP65596 FLL65539:FLL65596 FVH65539:FVH65596 GFD65539:GFD65596 GOZ65539:GOZ65596 GYV65539:GYV65596 HIR65539:HIR65596 HSN65539:HSN65596 ICJ65539:ICJ65596 IMF65539:IMF65596 IWB65539:IWB65596 JFX65539:JFX65596 JPT65539:JPT65596 JZP65539:JZP65596 KJL65539:KJL65596 KTH65539:KTH65596 LDD65539:LDD65596 LMZ65539:LMZ65596 LWV65539:LWV65596 MGR65539:MGR65596 MQN65539:MQN65596 NAJ65539:NAJ65596 NKF65539:NKF65596 NUB65539:NUB65596 ODX65539:ODX65596 ONT65539:ONT65596 OXP65539:OXP65596 PHL65539:PHL65596 PRH65539:PRH65596 QBD65539:QBD65596 QKZ65539:QKZ65596 QUV65539:QUV65596 RER65539:RER65596 RON65539:RON65596 RYJ65539:RYJ65596 SIF65539:SIF65596 SSB65539:SSB65596 TBX65539:TBX65596 TLT65539:TLT65596 TVP65539:TVP65596 UFL65539:UFL65596 UPH65539:UPH65596 UZD65539:UZD65596 VIZ65539:VIZ65596 VSV65539:VSV65596 WCR65539:WCR65596 WMN65539:WMN65596 WWJ65539:WWJ65596 G131075:G131132 JX131075:JX131132 TT131075:TT131132 ADP131075:ADP131132 ANL131075:ANL131132 AXH131075:AXH131132 BHD131075:BHD131132 BQZ131075:BQZ131132 CAV131075:CAV131132 CKR131075:CKR131132 CUN131075:CUN131132 DEJ131075:DEJ131132 DOF131075:DOF131132 DYB131075:DYB131132 EHX131075:EHX131132 ERT131075:ERT131132 FBP131075:FBP131132 FLL131075:FLL131132 FVH131075:FVH131132 GFD131075:GFD131132 GOZ131075:GOZ131132 GYV131075:GYV131132 HIR131075:HIR131132 HSN131075:HSN131132 ICJ131075:ICJ131132 IMF131075:IMF131132 IWB131075:IWB131132 JFX131075:JFX131132 JPT131075:JPT131132 JZP131075:JZP131132 KJL131075:KJL131132 KTH131075:KTH131132 LDD131075:LDD131132 LMZ131075:LMZ131132 LWV131075:LWV131132 MGR131075:MGR131132 MQN131075:MQN131132 NAJ131075:NAJ131132 NKF131075:NKF131132 NUB131075:NUB131132 ODX131075:ODX131132 ONT131075:ONT131132 OXP131075:OXP131132 PHL131075:PHL131132 PRH131075:PRH131132 QBD131075:QBD131132 QKZ131075:QKZ131132 QUV131075:QUV131132 RER131075:RER131132 RON131075:RON131132 RYJ131075:RYJ131132 SIF131075:SIF131132 SSB131075:SSB131132 TBX131075:TBX131132 TLT131075:TLT131132 TVP131075:TVP131132 UFL131075:UFL131132 UPH131075:UPH131132 UZD131075:UZD131132 VIZ131075:VIZ131132 VSV131075:VSV131132 WCR131075:WCR131132 WMN131075:WMN131132 WWJ131075:WWJ131132 G196611:G196668 JX196611:JX196668 TT196611:TT196668 ADP196611:ADP196668 ANL196611:ANL196668 AXH196611:AXH196668 BHD196611:BHD196668 BQZ196611:BQZ196668 CAV196611:CAV196668 CKR196611:CKR196668 CUN196611:CUN196668 DEJ196611:DEJ196668 DOF196611:DOF196668 DYB196611:DYB196668 EHX196611:EHX196668 ERT196611:ERT196668 FBP196611:FBP196668 FLL196611:FLL196668 FVH196611:FVH196668 GFD196611:GFD196668 GOZ196611:GOZ196668 GYV196611:GYV196668 HIR196611:HIR196668 HSN196611:HSN196668 ICJ196611:ICJ196668 IMF196611:IMF196668 IWB196611:IWB196668 JFX196611:JFX196668 JPT196611:JPT196668 JZP196611:JZP196668 KJL196611:KJL196668 KTH196611:KTH196668 LDD196611:LDD196668 LMZ196611:LMZ196668 LWV196611:LWV196668 MGR196611:MGR196668 MQN196611:MQN196668 NAJ196611:NAJ196668 NKF196611:NKF196668 NUB196611:NUB196668 ODX196611:ODX196668 ONT196611:ONT196668 OXP196611:OXP196668 PHL196611:PHL196668 PRH196611:PRH196668 QBD196611:QBD196668 QKZ196611:QKZ196668 QUV196611:QUV196668 RER196611:RER196668 RON196611:RON196668 RYJ196611:RYJ196668 SIF196611:SIF196668 SSB196611:SSB196668 TBX196611:TBX196668 TLT196611:TLT196668 TVP196611:TVP196668 UFL196611:UFL196668 UPH196611:UPH196668 UZD196611:UZD196668 VIZ196611:VIZ196668 VSV196611:VSV196668 WCR196611:WCR196668 WMN196611:WMN196668 WWJ196611:WWJ196668 G262147:G262204 JX262147:JX262204 TT262147:TT262204 ADP262147:ADP262204 ANL262147:ANL262204 AXH262147:AXH262204 BHD262147:BHD262204 BQZ262147:BQZ262204 CAV262147:CAV262204 CKR262147:CKR262204 CUN262147:CUN262204 DEJ262147:DEJ262204 DOF262147:DOF262204 DYB262147:DYB262204 EHX262147:EHX262204 ERT262147:ERT262204 FBP262147:FBP262204 FLL262147:FLL262204 FVH262147:FVH262204 GFD262147:GFD262204 GOZ262147:GOZ262204 GYV262147:GYV262204 HIR262147:HIR262204 HSN262147:HSN262204 ICJ262147:ICJ262204 IMF262147:IMF262204 IWB262147:IWB262204 JFX262147:JFX262204 JPT262147:JPT262204 JZP262147:JZP262204 KJL262147:KJL262204 KTH262147:KTH262204 LDD262147:LDD262204 LMZ262147:LMZ262204 LWV262147:LWV262204 MGR262147:MGR262204 MQN262147:MQN262204 NAJ262147:NAJ262204 NKF262147:NKF262204 NUB262147:NUB262204 ODX262147:ODX262204 ONT262147:ONT262204 OXP262147:OXP262204 PHL262147:PHL262204 PRH262147:PRH262204 QBD262147:QBD262204 QKZ262147:QKZ262204 QUV262147:QUV262204 RER262147:RER262204 RON262147:RON262204 RYJ262147:RYJ262204 SIF262147:SIF262204 SSB262147:SSB262204 TBX262147:TBX262204 TLT262147:TLT262204 TVP262147:TVP262204 UFL262147:UFL262204 UPH262147:UPH262204 UZD262147:UZD262204 VIZ262147:VIZ262204 VSV262147:VSV262204 WCR262147:WCR262204 WMN262147:WMN262204 WWJ262147:WWJ262204 G327683:G327740 JX327683:JX327740 TT327683:TT327740 ADP327683:ADP327740 ANL327683:ANL327740 AXH327683:AXH327740 BHD327683:BHD327740 BQZ327683:BQZ327740 CAV327683:CAV327740 CKR327683:CKR327740 CUN327683:CUN327740 DEJ327683:DEJ327740 DOF327683:DOF327740 DYB327683:DYB327740 EHX327683:EHX327740 ERT327683:ERT327740 FBP327683:FBP327740 FLL327683:FLL327740 FVH327683:FVH327740 GFD327683:GFD327740 GOZ327683:GOZ327740 GYV327683:GYV327740 HIR327683:HIR327740 HSN327683:HSN327740 ICJ327683:ICJ327740 IMF327683:IMF327740 IWB327683:IWB327740 JFX327683:JFX327740 JPT327683:JPT327740 JZP327683:JZP327740 KJL327683:KJL327740 KTH327683:KTH327740 LDD327683:LDD327740 LMZ327683:LMZ327740 LWV327683:LWV327740 MGR327683:MGR327740 MQN327683:MQN327740 NAJ327683:NAJ327740 NKF327683:NKF327740 NUB327683:NUB327740 ODX327683:ODX327740 ONT327683:ONT327740 OXP327683:OXP327740 PHL327683:PHL327740 PRH327683:PRH327740 QBD327683:QBD327740 QKZ327683:QKZ327740 QUV327683:QUV327740 RER327683:RER327740 RON327683:RON327740 RYJ327683:RYJ327740 SIF327683:SIF327740 SSB327683:SSB327740 TBX327683:TBX327740 TLT327683:TLT327740 TVP327683:TVP327740 UFL327683:UFL327740 UPH327683:UPH327740 UZD327683:UZD327740 VIZ327683:VIZ327740 VSV327683:VSV327740 WCR327683:WCR327740 WMN327683:WMN327740 WWJ327683:WWJ327740 G393219:G393276 JX393219:JX393276 TT393219:TT393276 ADP393219:ADP393276 ANL393219:ANL393276 AXH393219:AXH393276 BHD393219:BHD393276 BQZ393219:BQZ393276 CAV393219:CAV393276 CKR393219:CKR393276 CUN393219:CUN393276 DEJ393219:DEJ393276 DOF393219:DOF393276 DYB393219:DYB393276 EHX393219:EHX393276 ERT393219:ERT393276 FBP393219:FBP393276 FLL393219:FLL393276 FVH393219:FVH393276 GFD393219:GFD393276 GOZ393219:GOZ393276 GYV393219:GYV393276 HIR393219:HIR393276 HSN393219:HSN393276 ICJ393219:ICJ393276 IMF393219:IMF393276 IWB393219:IWB393276 JFX393219:JFX393276 JPT393219:JPT393276 JZP393219:JZP393276 KJL393219:KJL393276 KTH393219:KTH393276 LDD393219:LDD393276 LMZ393219:LMZ393276 LWV393219:LWV393276 MGR393219:MGR393276 MQN393219:MQN393276 NAJ393219:NAJ393276 NKF393219:NKF393276 NUB393219:NUB393276 ODX393219:ODX393276 ONT393219:ONT393276 OXP393219:OXP393276 PHL393219:PHL393276 PRH393219:PRH393276 QBD393219:QBD393276 QKZ393219:QKZ393276 QUV393219:QUV393276 RER393219:RER393276 RON393219:RON393276 RYJ393219:RYJ393276 SIF393219:SIF393276 SSB393219:SSB393276 TBX393219:TBX393276 TLT393219:TLT393276 TVP393219:TVP393276 UFL393219:UFL393276 UPH393219:UPH393276 UZD393219:UZD393276 VIZ393219:VIZ393276 VSV393219:VSV393276 WCR393219:WCR393276 WMN393219:WMN393276 WWJ393219:WWJ393276 G458755:G458812 JX458755:JX458812 TT458755:TT458812 ADP458755:ADP458812 ANL458755:ANL458812 AXH458755:AXH458812 BHD458755:BHD458812 BQZ458755:BQZ458812 CAV458755:CAV458812 CKR458755:CKR458812 CUN458755:CUN458812 DEJ458755:DEJ458812 DOF458755:DOF458812 DYB458755:DYB458812 EHX458755:EHX458812 ERT458755:ERT458812 FBP458755:FBP458812 FLL458755:FLL458812 FVH458755:FVH458812 GFD458755:GFD458812 GOZ458755:GOZ458812 GYV458755:GYV458812 HIR458755:HIR458812 HSN458755:HSN458812 ICJ458755:ICJ458812 IMF458755:IMF458812 IWB458755:IWB458812 JFX458755:JFX458812 JPT458755:JPT458812 JZP458755:JZP458812 KJL458755:KJL458812 KTH458755:KTH458812 LDD458755:LDD458812 LMZ458755:LMZ458812 LWV458755:LWV458812 MGR458755:MGR458812 MQN458755:MQN458812 NAJ458755:NAJ458812 NKF458755:NKF458812 NUB458755:NUB458812 ODX458755:ODX458812 ONT458755:ONT458812 OXP458755:OXP458812 PHL458755:PHL458812 PRH458755:PRH458812 QBD458755:QBD458812 QKZ458755:QKZ458812 QUV458755:QUV458812 RER458755:RER458812 RON458755:RON458812 RYJ458755:RYJ458812 SIF458755:SIF458812 SSB458755:SSB458812 TBX458755:TBX458812 TLT458755:TLT458812 TVP458755:TVP458812 UFL458755:UFL458812 UPH458755:UPH458812 UZD458755:UZD458812 VIZ458755:VIZ458812 VSV458755:VSV458812 WCR458755:WCR458812 WMN458755:WMN458812 WWJ458755:WWJ458812 G524291:G524348 JX524291:JX524348 TT524291:TT524348 ADP524291:ADP524348 ANL524291:ANL524348 AXH524291:AXH524348 BHD524291:BHD524348 BQZ524291:BQZ524348 CAV524291:CAV524348 CKR524291:CKR524348 CUN524291:CUN524348 DEJ524291:DEJ524348 DOF524291:DOF524348 DYB524291:DYB524348 EHX524291:EHX524348 ERT524291:ERT524348 FBP524291:FBP524348 FLL524291:FLL524348 FVH524291:FVH524348 GFD524291:GFD524348 GOZ524291:GOZ524348 GYV524291:GYV524348 HIR524291:HIR524348 HSN524291:HSN524348 ICJ524291:ICJ524348 IMF524291:IMF524348 IWB524291:IWB524348 JFX524291:JFX524348 JPT524291:JPT524348 JZP524291:JZP524348 KJL524291:KJL524348 KTH524291:KTH524348 LDD524291:LDD524348 LMZ524291:LMZ524348 LWV524291:LWV524348 MGR524291:MGR524348 MQN524291:MQN524348 NAJ524291:NAJ524348 NKF524291:NKF524348 NUB524291:NUB524348 ODX524291:ODX524348 ONT524291:ONT524348 OXP524291:OXP524348 PHL524291:PHL524348 PRH524291:PRH524348 QBD524291:QBD524348 QKZ524291:QKZ524348 QUV524291:QUV524348 RER524291:RER524348 RON524291:RON524348 RYJ524291:RYJ524348 SIF524291:SIF524348 SSB524291:SSB524348 TBX524291:TBX524348 TLT524291:TLT524348 TVP524291:TVP524348 UFL524291:UFL524348 UPH524291:UPH524348 UZD524291:UZD524348 VIZ524291:VIZ524348 VSV524291:VSV524348 WCR524291:WCR524348 WMN524291:WMN524348 WWJ524291:WWJ524348 G589827:G589884 JX589827:JX589884 TT589827:TT589884 ADP589827:ADP589884 ANL589827:ANL589884 AXH589827:AXH589884 BHD589827:BHD589884 BQZ589827:BQZ589884 CAV589827:CAV589884 CKR589827:CKR589884 CUN589827:CUN589884 DEJ589827:DEJ589884 DOF589827:DOF589884 DYB589827:DYB589884 EHX589827:EHX589884 ERT589827:ERT589884 FBP589827:FBP589884 FLL589827:FLL589884 FVH589827:FVH589884 GFD589827:GFD589884 GOZ589827:GOZ589884 GYV589827:GYV589884 HIR589827:HIR589884 HSN589827:HSN589884 ICJ589827:ICJ589884 IMF589827:IMF589884 IWB589827:IWB589884 JFX589827:JFX589884 JPT589827:JPT589884 JZP589827:JZP589884 KJL589827:KJL589884 KTH589827:KTH589884 LDD589827:LDD589884 LMZ589827:LMZ589884 LWV589827:LWV589884 MGR589827:MGR589884 MQN589827:MQN589884 NAJ589827:NAJ589884 NKF589827:NKF589884 NUB589827:NUB589884 ODX589827:ODX589884 ONT589827:ONT589884 OXP589827:OXP589884 PHL589827:PHL589884 PRH589827:PRH589884 QBD589827:QBD589884 QKZ589827:QKZ589884 QUV589827:QUV589884 RER589827:RER589884 RON589827:RON589884 RYJ589827:RYJ589884 SIF589827:SIF589884 SSB589827:SSB589884 TBX589827:TBX589884 TLT589827:TLT589884 TVP589827:TVP589884 UFL589827:UFL589884 UPH589827:UPH589884 UZD589827:UZD589884 VIZ589827:VIZ589884 VSV589827:VSV589884 WCR589827:WCR589884 WMN589827:WMN589884 WWJ589827:WWJ589884 G655363:G655420 JX655363:JX655420 TT655363:TT655420 ADP655363:ADP655420 ANL655363:ANL655420 AXH655363:AXH655420 BHD655363:BHD655420 BQZ655363:BQZ655420 CAV655363:CAV655420 CKR655363:CKR655420 CUN655363:CUN655420 DEJ655363:DEJ655420 DOF655363:DOF655420 DYB655363:DYB655420 EHX655363:EHX655420 ERT655363:ERT655420 FBP655363:FBP655420 FLL655363:FLL655420 FVH655363:FVH655420 GFD655363:GFD655420 GOZ655363:GOZ655420 GYV655363:GYV655420 HIR655363:HIR655420 HSN655363:HSN655420 ICJ655363:ICJ655420 IMF655363:IMF655420 IWB655363:IWB655420 JFX655363:JFX655420 JPT655363:JPT655420 JZP655363:JZP655420 KJL655363:KJL655420 KTH655363:KTH655420 LDD655363:LDD655420 LMZ655363:LMZ655420 LWV655363:LWV655420 MGR655363:MGR655420 MQN655363:MQN655420 NAJ655363:NAJ655420 NKF655363:NKF655420 NUB655363:NUB655420 ODX655363:ODX655420 ONT655363:ONT655420 OXP655363:OXP655420 PHL655363:PHL655420 PRH655363:PRH655420 QBD655363:QBD655420 QKZ655363:QKZ655420 QUV655363:QUV655420 RER655363:RER655420 RON655363:RON655420 RYJ655363:RYJ655420 SIF655363:SIF655420 SSB655363:SSB655420 TBX655363:TBX655420 TLT655363:TLT655420 TVP655363:TVP655420 UFL655363:UFL655420 UPH655363:UPH655420 UZD655363:UZD655420 VIZ655363:VIZ655420 VSV655363:VSV655420 WCR655363:WCR655420 WMN655363:WMN655420 WWJ655363:WWJ655420 G720899:G720956 JX720899:JX720956 TT720899:TT720956 ADP720899:ADP720956 ANL720899:ANL720956 AXH720899:AXH720956 BHD720899:BHD720956 BQZ720899:BQZ720956 CAV720899:CAV720956 CKR720899:CKR720956 CUN720899:CUN720956 DEJ720899:DEJ720956 DOF720899:DOF720956 DYB720899:DYB720956 EHX720899:EHX720956 ERT720899:ERT720956 FBP720899:FBP720956 FLL720899:FLL720956 FVH720899:FVH720956 GFD720899:GFD720956 GOZ720899:GOZ720956 GYV720899:GYV720956 HIR720899:HIR720956 HSN720899:HSN720956 ICJ720899:ICJ720956 IMF720899:IMF720956 IWB720899:IWB720956 JFX720899:JFX720956 JPT720899:JPT720956 JZP720899:JZP720956 KJL720899:KJL720956 KTH720899:KTH720956 LDD720899:LDD720956 LMZ720899:LMZ720956 LWV720899:LWV720956 MGR720899:MGR720956 MQN720899:MQN720956 NAJ720899:NAJ720956 NKF720899:NKF720956 NUB720899:NUB720956 ODX720899:ODX720956 ONT720899:ONT720956 OXP720899:OXP720956 PHL720899:PHL720956 PRH720899:PRH720956 QBD720899:QBD720956 QKZ720899:QKZ720956 QUV720899:QUV720956 RER720899:RER720956 RON720899:RON720956 RYJ720899:RYJ720956 SIF720899:SIF720956 SSB720899:SSB720956 TBX720899:TBX720956 TLT720899:TLT720956 TVP720899:TVP720956 UFL720899:UFL720956 UPH720899:UPH720956 UZD720899:UZD720956 VIZ720899:VIZ720956 VSV720899:VSV720956 WCR720899:WCR720956 WMN720899:WMN720956 WWJ720899:WWJ720956 G786435:G786492 JX786435:JX786492 TT786435:TT786492 ADP786435:ADP786492 ANL786435:ANL786492 AXH786435:AXH786492 BHD786435:BHD786492 BQZ786435:BQZ786492 CAV786435:CAV786492 CKR786435:CKR786492 CUN786435:CUN786492 DEJ786435:DEJ786492 DOF786435:DOF786492 DYB786435:DYB786492 EHX786435:EHX786492 ERT786435:ERT786492 FBP786435:FBP786492 FLL786435:FLL786492 FVH786435:FVH786492 GFD786435:GFD786492 GOZ786435:GOZ786492 GYV786435:GYV786492 HIR786435:HIR786492 HSN786435:HSN786492 ICJ786435:ICJ786492 IMF786435:IMF786492 IWB786435:IWB786492 JFX786435:JFX786492 JPT786435:JPT786492 JZP786435:JZP786492 KJL786435:KJL786492 KTH786435:KTH786492 LDD786435:LDD786492 LMZ786435:LMZ786492 LWV786435:LWV786492 MGR786435:MGR786492 MQN786435:MQN786492 NAJ786435:NAJ786492 NKF786435:NKF786492 NUB786435:NUB786492 ODX786435:ODX786492 ONT786435:ONT786492 OXP786435:OXP786492 PHL786435:PHL786492 PRH786435:PRH786492 QBD786435:QBD786492 QKZ786435:QKZ786492 QUV786435:QUV786492 RER786435:RER786492 RON786435:RON786492 RYJ786435:RYJ786492 SIF786435:SIF786492 SSB786435:SSB786492 TBX786435:TBX786492 TLT786435:TLT786492 TVP786435:TVP786492 UFL786435:UFL786492 UPH786435:UPH786492 UZD786435:UZD786492 VIZ786435:VIZ786492 VSV786435:VSV786492 WCR786435:WCR786492 WMN786435:WMN786492 WWJ786435:WWJ786492 G851971:G852028 JX851971:JX852028 TT851971:TT852028 ADP851971:ADP852028 ANL851971:ANL852028 AXH851971:AXH852028 BHD851971:BHD852028 BQZ851971:BQZ852028 CAV851971:CAV852028 CKR851971:CKR852028 CUN851971:CUN852028 DEJ851971:DEJ852028 DOF851971:DOF852028 DYB851971:DYB852028 EHX851971:EHX852028 ERT851971:ERT852028 FBP851971:FBP852028 FLL851971:FLL852028 FVH851971:FVH852028 GFD851971:GFD852028 GOZ851971:GOZ852028 GYV851971:GYV852028 HIR851971:HIR852028 HSN851971:HSN852028 ICJ851971:ICJ852028 IMF851971:IMF852028 IWB851971:IWB852028 JFX851971:JFX852028 JPT851971:JPT852028 JZP851971:JZP852028 KJL851971:KJL852028 KTH851971:KTH852028 LDD851971:LDD852028 LMZ851971:LMZ852028 LWV851971:LWV852028 MGR851971:MGR852028 MQN851971:MQN852028 NAJ851971:NAJ852028 NKF851971:NKF852028 NUB851971:NUB852028 ODX851971:ODX852028 ONT851971:ONT852028 OXP851971:OXP852028 PHL851971:PHL852028 PRH851971:PRH852028 QBD851971:QBD852028 QKZ851971:QKZ852028 QUV851971:QUV852028 RER851971:RER852028 RON851971:RON852028 RYJ851971:RYJ852028 SIF851971:SIF852028 SSB851971:SSB852028 TBX851971:TBX852028 TLT851971:TLT852028 TVP851971:TVP852028 UFL851971:UFL852028 UPH851971:UPH852028 UZD851971:UZD852028 VIZ851971:VIZ852028 VSV851971:VSV852028 WCR851971:WCR852028 WMN851971:WMN852028 WWJ851971:WWJ852028 G917507:G917564 JX917507:JX917564 TT917507:TT917564 ADP917507:ADP917564 ANL917507:ANL917564 AXH917507:AXH917564 BHD917507:BHD917564 BQZ917507:BQZ917564 CAV917507:CAV917564 CKR917507:CKR917564 CUN917507:CUN917564 DEJ917507:DEJ917564 DOF917507:DOF917564 DYB917507:DYB917564 EHX917507:EHX917564 ERT917507:ERT917564 FBP917507:FBP917564 FLL917507:FLL917564 FVH917507:FVH917564 GFD917507:GFD917564 GOZ917507:GOZ917564 GYV917507:GYV917564 HIR917507:HIR917564 HSN917507:HSN917564 ICJ917507:ICJ917564 IMF917507:IMF917564 IWB917507:IWB917564 JFX917507:JFX917564 JPT917507:JPT917564 JZP917507:JZP917564 KJL917507:KJL917564 KTH917507:KTH917564 LDD917507:LDD917564 LMZ917507:LMZ917564 LWV917507:LWV917564 MGR917507:MGR917564 MQN917507:MQN917564 NAJ917507:NAJ917564 NKF917507:NKF917564 NUB917507:NUB917564 ODX917507:ODX917564 ONT917507:ONT917564 OXP917507:OXP917564 PHL917507:PHL917564 PRH917507:PRH917564 QBD917507:QBD917564 QKZ917507:QKZ917564 QUV917507:QUV917564 RER917507:RER917564 RON917507:RON917564 RYJ917507:RYJ917564 SIF917507:SIF917564 SSB917507:SSB917564 TBX917507:TBX917564 TLT917507:TLT917564 TVP917507:TVP917564 UFL917507:UFL917564 UPH917507:UPH917564 UZD917507:UZD917564 VIZ917507:VIZ917564 VSV917507:VSV917564 WCR917507:WCR917564 WMN917507:WMN917564 WWJ917507:WWJ917564 G983043:G983100 JX983043:JX983100 TT983043:TT983100 ADP983043:ADP983100 ANL983043:ANL983100 AXH983043:AXH983100 BHD983043:BHD983100 BQZ983043:BQZ983100 CAV983043:CAV983100 CKR983043:CKR983100 CUN983043:CUN983100 DEJ983043:DEJ983100 DOF983043:DOF983100 DYB983043:DYB983100 EHX983043:EHX983100 ERT983043:ERT983100 FBP983043:FBP983100 FLL983043:FLL983100 FVH983043:FVH983100 GFD983043:GFD983100 GOZ983043:GOZ983100 GYV983043:GYV983100 HIR983043:HIR983100 HSN983043:HSN983100 ICJ983043:ICJ983100 IMF983043:IMF983100 IWB983043:IWB983100 JFX983043:JFX983100 JPT983043:JPT983100 JZP983043:JZP983100 KJL983043:KJL983100 KTH983043:KTH983100 LDD983043:LDD983100 LMZ983043:LMZ983100 LWV983043:LWV983100 MGR983043:MGR983100 MQN983043:MQN983100 NAJ983043:NAJ983100 NKF983043:NKF983100 NUB983043:NUB983100 ODX983043:ODX983100 ONT983043:ONT983100 OXP983043:OXP983100 PHL983043:PHL983100 PRH983043:PRH983100 QBD983043:QBD983100 QKZ983043:QKZ983100 QUV983043:QUV983100 RER983043:RER983100 RON983043:RON983100 RYJ983043:RYJ983100 SIF983043:SIF983100 SSB983043:SSB983100 TBX983043:TBX983100 TLT983043:TLT983100 TVP983043:TVP983100 UFL983043:UFL983100 UPH983043:UPH983100 UZD983043:UZD983100 VIZ983043:VIZ983100 VSV983043:VSV983100 WCR983043:WCR983100 WMN983043:WMN983100 WWJ983043:WWJ983100 G3:G60">
      <formula1>"IS,IR,"</formula1>
    </dataValidation>
    <dataValidation type="list" allowBlank="1" showInputMessage="1" showErrorMessage="1" sqref="D3:D60 JV3:JV60 TR3:TR60 ADN3:ADN60 ANJ3:ANJ60 AXF3:AXF60 BHB3:BHB60 BQX3:BQX60 CAT3:CAT60 CKP3:CKP60 CUL3:CUL60 DEH3:DEH60 DOD3:DOD60 DXZ3:DXZ60 EHV3:EHV60 ERR3:ERR60 FBN3:FBN60 FLJ3:FLJ60 FVF3:FVF60 GFB3:GFB60 GOX3:GOX60 GYT3:GYT60 HIP3:HIP60 HSL3:HSL60 ICH3:ICH60 IMD3:IMD60 IVZ3:IVZ60 JFV3:JFV60 JPR3:JPR60 JZN3:JZN60 KJJ3:KJJ60 KTF3:KTF60 LDB3:LDB60 LMX3:LMX60 LWT3:LWT60 MGP3:MGP60 MQL3:MQL60 NAH3:NAH60 NKD3:NKD60 NTZ3:NTZ60 ODV3:ODV60 ONR3:ONR60 OXN3:OXN60 PHJ3:PHJ60 PRF3:PRF60 QBB3:QBB60 QKX3:QKX60 QUT3:QUT60 REP3:REP60 ROL3:ROL60 RYH3:RYH60 SID3:SID60 SRZ3:SRZ60 TBV3:TBV60 TLR3:TLR60 TVN3:TVN60 UFJ3:UFJ60 UPF3:UPF60 UZB3:UZB60 VIX3:VIX60 VST3:VST60 WCP3:WCP60 WML3:WML60 WWH3:WWH60 D65539:D65596 JU65539:JU65596 TQ65539:TQ65596 ADM65539:ADM65596 ANI65539:ANI65596 AXE65539:AXE65596 BHA65539:BHA65596 BQW65539:BQW65596 CAS65539:CAS65596 CKO65539:CKO65596 CUK65539:CUK65596 DEG65539:DEG65596 DOC65539:DOC65596 DXY65539:DXY65596 EHU65539:EHU65596 ERQ65539:ERQ65596 FBM65539:FBM65596 FLI65539:FLI65596 FVE65539:FVE65596 GFA65539:GFA65596 GOW65539:GOW65596 GYS65539:GYS65596 HIO65539:HIO65596 HSK65539:HSK65596 ICG65539:ICG65596 IMC65539:IMC65596 IVY65539:IVY65596 JFU65539:JFU65596 JPQ65539:JPQ65596 JZM65539:JZM65596 KJI65539:KJI65596 KTE65539:KTE65596 LDA65539:LDA65596 LMW65539:LMW65596 LWS65539:LWS65596 MGO65539:MGO65596 MQK65539:MQK65596 NAG65539:NAG65596 NKC65539:NKC65596 NTY65539:NTY65596 ODU65539:ODU65596 ONQ65539:ONQ65596 OXM65539:OXM65596 PHI65539:PHI65596 PRE65539:PRE65596 QBA65539:QBA65596 QKW65539:QKW65596 QUS65539:QUS65596 REO65539:REO65596 ROK65539:ROK65596 RYG65539:RYG65596 SIC65539:SIC65596 SRY65539:SRY65596 TBU65539:TBU65596 TLQ65539:TLQ65596 TVM65539:TVM65596 UFI65539:UFI65596 UPE65539:UPE65596 UZA65539:UZA65596 VIW65539:VIW65596 VSS65539:VSS65596 WCO65539:WCO65596 WMK65539:WMK65596 WWG65539:WWG65596 D131075:D131132 JU131075:JU131132 TQ131075:TQ131132 ADM131075:ADM131132 ANI131075:ANI131132 AXE131075:AXE131132 BHA131075:BHA131132 BQW131075:BQW131132 CAS131075:CAS131132 CKO131075:CKO131132 CUK131075:CUK131132 DEG131075:DEG131132 DOC131075:DOC131132 DXY131075:DXY131132 EHU131075:EHU131132 ERQ131075:ERQ131132 FBM131075:FBM131132 FLI131075:FLI131132 FVE131075:FVE131132 GFA131075:GFA131132 GOW131075:GOW131132 GYS131075:GYS131132 HIO131075:HIO131132 HSK131075:HSK131132 ICG131075:ICG131132 IMC131075:IMC131132 IVY131075:IVY131132 JFU131075:JFU131132 JPQ131075:JPQ131132 JZM131075:JZM131132 KJI131075:KJI131132 KTE131075:KTE131132 LDA131075:LDA131132 LMW131075:LMW131132 LWS131075:LWS131132 MGO131075:MGO131132 MQK131075:MQK131132 NAG131075:NAG131132 NKC131075:NKC131132 NTY131075:NTY131132 ODU131075:ODU131132 ONQ131075:ONQ131132 OXM131075:OXM131132 PHI131075:PHI131132 PRE131075:PRE131132 QBA131075:QBA131132 QKW131075:QKW131132 QUS131075:QUS131132 REO131075:REO131132 ROK131075:ROK131132 RYG131075:RYG131132 SIC131075:SIC131132 SRY131075:SRY131132 TBU131075:TBU131132 TLQ131075:TLQ131132 TVM131075:TVM131132 UFI131075:UFI131132 UPE131075:UPE131132 UZA131075:UZA131132 VIW131075:VIW131132 VSS131075:VSS131132 WCO131075:WCO131132 WMK131075:WMK131132 WWG131075:WWG131132 D196611:D196668 JU196611:JU196668 TQ196611:TQ196668 ADM196611:ADM196668 ANI196611:ANI196668 AXE196611:AXE196668 BHA196611:BHA196668 BQW196611:BQW196668 CAS196611:CAS196668 CKO196611:CKO196668 CUK196611:CUK196668 DEG196611:DEG196668 DOC196611:DOC196668 DXY196611:DXY196668 EHU196611:EHU196668 ERQ196611:ERQ196668 FBM196611:FBM196668 FLI196611:FLI196668 FVE196611:FVE196668 GFA196611:GFA196668 GOW196611:GOW196668 GYS196611:GYS196668 HIO196611:HIO196668 HSK196611:HSK196668 ICG196611:ICG196668 IMC196611:IMC196668 IVY196611:IVY196668 JFU196611:JFU196668 JPQ196611:JPQ196668 JZM196611:JZM196668 KJI196611:KJI196668 KTE196611:KTE196668 LDA196611:LDA196668 LMW196611:LMW196668 LWS196611:LWS196668 MGO196611:MGO196668 MQK196611:MQK196668 NAG196611:NAG196668 NKC196611:NKC196668 NTY196611:NTY196668 ODU196611:ODU196668 ONQ196611:ONQ196668 OXM196611:OXM196668 PHI196611:PHI196668 PRE196611:PRE196668 QBA196611:QBA196668 QKW196611:QKW196668 QUS196611:QUS196668 REO196611:REO196668 ROK196611:ROK196668 RYG196611:RYG196668 SIC196611:SIC196668 SRY196611:SRY196668 TBU196611:TBU196668 TLQ196611:TLQ196668 TVM196611:TVM196668 UFI196611:UFI196668 UPE196611:UPE196668 UZA196611:UZA196668 VIW196611:VIW196668 VSS196611:VSS196668 WCO196611:WCO196668 WMK196611:WMK196668 WWG196611:WWG196668 D262147:D262204 JU262147:JU262204 TQ262147:TQ262204 ADM262147:ADM262204 ANI262147:ANI262204 AXE262147:AXE262204 BHA262147:BHA262204 BQW262147:BQW262204 CAS262147:CAS262204 CKO262147:CKO262204 CUK262147:CUK262204 DEG262147:DEG262204 DOC262147:DOC262204 DXY262147:DXY262204 EHU262147:EHU262204 ERQ262147:ERQ262204 FBM262147:FBM262204 FLI262147:FLI262204 FVE262147:FVE262204 GFA262147:GFA262204 GOW262147:GOW262204 GYS262147:GYS262204 HIO262147:HIO262204 HSK262147:HSK262204 ICG262147:ICG262204 IMC262147:IMC262204 IVY262147:IVY262204 JFU262147:JFU262204 JPQ262147:JPQ262204 JZM262147:JZM262204 KJI262147:KJI262204 KTE262147:KTE262204 LDA262147:LDA262204 LMW262147:LMW262204 LWS262147:LWS262204 MGO262147:MGO262204 MQK262147:MQK262204 NAG262147:NAG262204 NKC262147:NKC262204 NTY262147:NTY262204 ODU262147:ODU262204 ONQ262147:ONQ262204 OXM262147:OXM262204 PHI262147:PHI262204 PRE262147:PRE262204 QBA262147:QBA262204 QKW262147:QKW262204 QUS262147:QUS262204 REO262147:REO262204 ROK262147:ROK262204 RYG262147:RYG262204 SIC262147:SIC262204 SRY262147:SRY262204 TBU262147:TBU262204 TLQ262147:TLQ262204 TVM262147:TVM262204 UFI262147:UFI262204 UPE262147:UPE262204 UZA262147:UZA262204 VIW262147:VIW262204 VSS262147:VSS262204 WCO262147:WCO262204 WMK262147:WMK262204 WWG262147:WWG262204 D327683:D327740 JU327683:JU327740 TQ327683:TQ327740 ADM327683:ADM327740 ANI327683:ANI327740 AXE327683:AXE327740 BHA327683:BHA327740 BQW327683:BQW327740 CAS327683:CAS327740 CKO327683:CKO327740 CUK327683:CUK327740 DEG327683:DEG327740 DOC327683:DOC327740 DXY327683:DXY327740 EHU327683:EHU327740 ERQ327683:ERQ327740 FBM327683:FBM327740 FLI327683:FLI327740 FVE327683:FVE327740 GFA327683:GFA327740 GOW327683:GOW327740 GYS327683:GYS327740 HIO327683:HIO327740 HSK327683:HSK327740 ICG327683:ICG327740 IMC327683:IMC327740 IVY327683:IVY327740 JFU327683:JFU327740 JPQ327683:JPQ327740 JZM327683:JZM327740 KJI327683:KJI327740 KTE327683:KTE327740 LDA327683:LDA327740 LMW327683:LMW327740 LWS327683:LWS327740 MGO327683:MGO327740 MQK327683:MQK327740 NAG327683:NAG327740 NKC327683:NKC327740 NTY327683:NTY327740 ODU327683:ODU327740 ONQ327683:ONQ327740 OXM327683:OXM327740 PHI327683:PHI327740 PRE327683:PRE327740 QBA327683:QBA327740 QKW327683:QKW327740 QUS327683:QUS327740 REO327683:REO327740 ROK327683:ROK327740 RYG327683:RYG327740 SIC327683:SIC327740 SRY327683:SRY327740 TBU327683:TBU327740 TLQ327683:TLQ327740 TVM327683:TVM327740 UFI327683:UFI327740 UPE327683:UPE327740 UZA327683:UZA327740 VIW327683:VIW327740 VSS327683:VSS327740 WCO327683:WCO327740 WMK327683:WMK327740 WWG327683:WWG327740 D393219:D393276 JU393219:JU393276 TQ393219:TQ393276 ADM393219:ADM393276 ANI393219:ANI393276 AXE393219:AXE393276 BHA393219:BHA393276 BQW393219:BQW393276 CAS393219:CAS393276 CKO393219:CKO393276 CUK393219:CUK393276 DEG393219:DEG393276 DOC393219:DOC393276 DXY393219:DXY393276 EHU393219:EHU393276 ERQ393219:ERQ393276 FBM393219:FBM393276 FLI393219:FLI393276 FVE393219:FVE393276 GFA393219:GFA393276 GOW393219:GOW393276 GYS393219:GYS393276 HIO393219:HIO393276 HSK393219:HSK393276 ICG393219:ICG393276 IMC393219:IMC393276 IVY393219:IVY393276 JFU393219:JFU393276 JPQ393219:JPQ393276 JZM393219:JZM393276 KJI393219:KJI393276 KTE393219:KTE393276 LDA393219:LDA393276 LMW393219:LMW393276 LWS393219:LWS393276 MGO393219:MGO393276 MQK393219:MQK393276 NAG393219:NAG393276 NKC393219:NKC393276 NTY393219:NTY393276 ODU393219:ODU393276 ONQ393219:ONQ393276 OXM393219:OXM393276 PHI393219:PHI393276 PRE393219:PRE393276 QBA393219:QBA393276 QKW393219:QKW393276 QUS393219:QUS393276 REO393219:REO393276 ROK393219:ROK393276 RYG393219:RYG393276 SIC393219:SIC393276 SRY393219:SRY393276 TBU393219:TBU393276 TLQ393219:TLQ393276 TVM393219:TVM393276 UFI393219:UFI393276 UPE393219:UPE393276 UZA393219:UZA393276 VIW393219:VIW393276 VSS393219:VSS393276 WCO393219:WCO393276 WMK393219:WMK393276 WWG393219:WWG393276 D458755:D458812 JU458755:JU458812 TQ458755:TQ458812 ADM458755:ADM458812 ANI458755:ANI458812 AXE458755:AXE458812 BHA458755:BHA458812 BQW458755:BQW458812 CAS458755:CAS458812 CKO458755:CKO458812 CUK458755:CUK458812 DEG458755:DEG458812 DOC458755:DOC458812 DXY458755:DXY458812 EHU458755:EHU458812 ERQ458755:ERQ458812 FBM458755:FBM458812 FLI458755:FLI458812 FVE458755:FVE458812 GFA458755:GFA458812 GOW458755:GOW458812 GYS458755:GYS458812 HIO458755:HIO458812 HSK458755:HSK458812 ICG458755:ICG458812 IMC458755:IMC458812 IVY458755:IVY458812 JFU458755:JFU458812 JPQ458755:JPQ458812 JZM458755:JZM458812 KJI458755:KJI458812 KTE458755:KTE458812 LDA458755:LDA458812 LMW458755:LMW458812 LWS458755:LWS458812 MGO458755:MGO458812 MQK458755:MQK458812 NAG458755:NAG458812 NKC458755:NKC458812 NTY458755:NTY458812 ODU458755:ODU458812 ONQ458755:ONQ458812 OXM458755:OXM458812 PHI458755:PHI458812 PRE458755:PRE458812 QBA458755:QBA458812 QKW458755:QKW458812 QUS458755:QUS458812 REO458755:REO458812 ROK458755:ROK458812 RYG458755:RYG458812 SIC458755:SIC458812 SRY458755:SRY458812 TBU458755:TBU458812 TLQ458755:TLQ458812 TVM458755:TVM458812 UFI458755:UFI458812 UPE458755:UPE458812 UZA458755:UZA458812 VIW458755:VIW458812 VSS458755:VSS458812 WCO458755:WCO458812 WMK458755:WMK458812 WWG458755:WWG458812 D524291:D524348 JU524291:JU524348 TQ524291:TQ524348 ADM524291:ADM524348 ANI524291:ANI524348 AXE524291:AXE524348 BHA524291:BHA524348 BQW524291:BQW524348 CAS524291:CAS524348 CKO524291:CKO524348 CUK524291:CUK524348 DEG524291:DEG524348 DOC524291:DOC524348 DXY524291:DXY524348 EHU524291:EHU524348 ERQ524291:ERQ524348 FBM524291:FBM524348 FLI524291:FLI524348 FVE524291:FVE524348 GFA524291:GFA524348 GOW524291:GOW524348 GYS524291:GYS524348 HIO524291:HIO524348 HSK524291:HSK524348 ICG524291:ICG524348 IMC524291:IMC524348 IVY524291:IVY524348 JFU524291:JFU524348 JPQ524291:JPQ524348 JZM524291:JZM524348 KJI524291:KJI524348 KTE524291:KTE524348 LDA524291:LDA524348 LMW524291:LMW524348 LWS524291:LWS524348 MGO524291:MGO524348 MQK524291:MQK524348 NAG524291:NAG524348 NKC524291:NKC524348 NTY524291:NTY524348 ODU524291:ODU524348 ONQ524291:ONQ524348 OXM524291:OXM524348 PHI524291:PHI524348 PRE524291:PRE524348 QBA524291:QBA524348 QKW524291:QKW524348 QUS524291:QUS524348 REO524291:REO524348 ROK524291:ROK524348 RYG524291:RYG524348 SIC524291:SIC524348 SRY524291:SRY524348 TBU524291:TBU524348 TLQ524291:TLQ524348 TVM524291:TVM524348 UFI524291:UFI524348 UPE524291:UPE524348 UZA524291:UZA524348 VIW524291:VIW524348 VSS524291:VSS524348 WCO524291:WCO524348 WMK524291:WMK524348 WWG524291:WWG524348 D589827:D589884 JU589827:JU589884 TQ589827:TQ589884 ADM589827:ADM589884 ANI589827:ANI589884 AXE589827:AXE589884 BHA589827:BHA589884 BQW589827:BQW589884 CAS589827:CAS589884 CKO589827:CKO589884 CUK589827:CUK589884 DEG589827:DEG589884 DOC589827:DOC589884 DXY589827:DXY589884 EHU589827:EHU589884 ERQ589827:ERQ589884 FBM589827:FBM589884 FLI589827:FLI589884 FVE589827:FVE589884 GFA589827:GFA589884 GOW589827:GOW589884 GYS589827:GYS589884 HIO589827:HIO589884 HSK589827:HSK589884 ICG589827:ICG589884 IMC589827:IMC589884 IVY589827:IVY589884 JFU589827:JFU589884 JPQ589827:JPQ589884 JZM589827:JZM589884 KJI589827:KJI589884 KTE589827:KTE589884 LDA589827:LDA589884 LMW589827:LMW589884 LWS589827:LWS589884 MGO589827:MGO589884 MQK589827:MQK589884 NAG589827:NAG589884 NKC589827:NKC589884 NTY589827:NTY589884 ODU589827:ODU589884 ONQ589827:ONQ589884 OXM589827:OXM589884 PHI589827:PHI589884 PRE589827:PRE589884 QBA589827:QBA589884 QKW589827:QKW589884 QUS589827:QUS589884 REO589827:REO589884 ROK589827:ROK589884 RYG589827:RYG589884 SIC589827:SIC589884 SRY589827:SRY589884 TBU589827:TBU589884 TLQ589827:TLQ589884 TVM589827:TVM589884 UFI589827:UFI589884 UPE589827:UPE589884 UZA589827:UZA589884 VIW589827:VIW589884 VSS589827:VSS589884 WCO589827:WCO589884 WMK589827:WMK589884 WWG589827:WWG589884 D655363:D655420 JU655363:JU655420 TQ655363:TQ655420 ADM655363:ADM655420 ANI655363:ANI655420 AXE655363:AXE655420 BHA655363:BHA655420 BQW655363:BQW655420 CAS655363:CAS655420 CKO655363:CKO655420 CUK655363:CUK655420 DEG655363:DEG655420 DOC655363:DOC655420 DXY655363:DXY655420 EHU655363:EHU655420 ERQ655363:ERQ655420 FBM655363:FBM655420 FLI655363:FLI655420 FVE655363:FVE655420 GFA655363:GFA655420 GOW655363:GOW655420 GYS655363:GYS655420 HIO655363:HIO655420 HSK655363:HSK655420 ICG655363:ICG655420 IMC655363:IMC655420 IVY655363:IVY655420 JFU655363:JFU655420 JPQ655363:JPQ655420 JZM655363:JZM655420 KJI655363:KJI655420 KTE655363:KTE655420 LDA655363:LDA655420 LMW655363:LMW655420 LWS655363:LWS655420 MGO655363:MGO655420 MQK655363:MQK655420 NAG655363:NAG655420 NKC655363:NKC655420 NTY655363:NTY655420 ODU655363:ODU655420 ONQ655363:ONQ655420 OXM655363:OXM655420 PHI655363:PHI655420 PRE655363:PRE655420 QBA655363:QBA655420 QKW655363:QKW655420 QUS655363:QUS655420 REO655363:REO655420 ROK655363:ROK655420 RYG655363:RYG655420 SIC655363:SIC655420 SRY655363:SRY655420 TBU655363:TBU655420 TLQ655363:TLQ655420 TVM655363:TVM655420 UFI655363:UFI655420 UPE655363:UPE655420 UZA655363:UZA655420 VIW655363:VIW655420 VSS655363:VSS655420 WCO655363:WCO655420 WMK655363:WMK655420 WWG655363:WWG655420 D720899:D720956 JU720899:JU720956 TQ720899:TQ720956 ADM720899:ADM720956 ANI720899:ANI720956 AXE720899:AXE720956 BHA720899:BHA720956 BQW720899:BQW720956 CAS720899:CAS720956 CKO720899:CKO720956 CUK720899:CUK720956 DEG720899:DEG720956 DOC720899:DOC720956 DXY720899:DXY720956 EHU720899:EHU720956 ERQ720899:ERQ720956 FBM720899:FBM720956 FLI720899:FLI720956 FVE720899:FVE720956 GFA720899:GFA720956 GOW720899:GOW720956 GYS720899:GYS720956 HIO720899:HIO720956 HSK720899:HSK720956 ICG720899:ICG720956 IMC720899:IMC720956 IVY720899:IVY720956 JFU720899:JFU720956 JPQ720899:JPQ720956 JZM720899:JZM720956 KJI720899:KJI720956 KTE720899:KTE720956 LDA720899:LDA720956 LMW720899:LMW720956 LWS720899:LWS720956 MGO720899:MGO720956 MQK720899:MQK720956 NAG720899:NAG720956 NKC720899:NKC720956 NTY720899:NTY720956 ODU720899:ODU720956 ONQ720899:ONQ720956 OXM720899:OXM720956 PHI720899:PHI720956 PRE720899:PRE720956 QBA720899:QBA720956 QKW720899:QKW720956 QUS720899:QUS720956 REO720899:REO720956 ROK720899:ROK720956 RYG720899:RYG720956 SIC720899:SIC720956 SRY720899:SRY720956 TBU720899:TBU720956 TLQ720899:TLQ720956 TVM720899:TVM720956 UFI720899:UFI720956 UPE720899:UPE720956 UZA720899:UZA720956 VIW720899:VIW720956 VSS720899:VSS720956 WCO720899:WCO720956 WMK720899:WMK720956 WWG720899:WWG720956 D786435:D786492 JU786435:JU786492 TQ786435:TQ786492 ADM786435:ADM786492 ANI786435:ANI786492 AXE786435:AXE786492 BHA786435:BHA786492 BQW786435:BQW786492 CAS786435:CAS786492 CKO786435:CKO786492 CUK786435:CUK786492 DEG786435:DEG786492 DOC786435:DOC786492 DXY786435:DXY786492 EHU786435:EHU786492 ERQ786435:ERQ786492 FBM786435:FBM786492 FLI786435:FLI786492 FVE786435:FVE786492 GFA786435:GFA786492 GOW786435:GOW786492 GYS786435:GYS786492 HIO786435:HIO786492 HSK786435:HSK786492 ICG786435:ICG786492 IMC786435:IMC786492 IVY786435:IVY786492 JFU786435:JFU786492 JPQ786435:JPQ786492 JZM786435:JZM786492 KJI786435:KJI786492 KTE786435:KTE786492 LDA786435:LDA786492 LMW786435:LMW786492 LWS786435:LWS786492 MGO786435:MGO786492 MQK786435:MQK786492 NAG786435:NAG786492 NKC786435:NKC786492 NTY786435:NTY786492 ODU786435:ODU786492 ONQ786435:ONQ786492 OXM786435:OXM786492 PHI786435:PHI786492 PRE786435:PRE786492 QBA786435:QBA786492 QKW786435:QKW786492 QUS786435:QUS786492 REO786435:REO786492 ROK786435:ROK786492 RYG786435:RYG786492 SIC786435:SIC786492 SRY786435:SRY786492 TBU786435:TBU786492 TLQ786435:TLQ786492 TVM786435:TVM786492 UFI786435:UFI786492 UPE786435:UPE786492 UZA786435:UZA786492 VIW786435:VIW786492 VSS786435:VSS786492 WCO786435:WCO786492 WMK786435:WMK786492 WWG786435:WWG786492 D851971:D852028 JU851971:JU852028 TQ851971:TQ852028 ADM851971:ADM852028 ANI851971:ANI852028 AXE851971:AXE852028 BHA851971:BHA852028 BQW851971:BQW852028 CAS851971:CAS852028 CKO851971:CKO852028 CUK851971:CUK852028 DEG851971:DEG852028 DOC851971:DOC852028 DXY851971:DXY852028 EHU851971:EHU852028 ERQ851971:ERQ852028 FBM851971:FBM852028 FLI851971:FLI852028 FVE851971:FVE852028 GFA851971:GFA852028 GOW851971:GOW852028 GYS851971:GYS852028 HIO851971:HIO852028 HSK851971:HSK852028 ICG851971:ICG852028 IMC851971:IMC852028 IVY851971:IVY852028 JFU851971:JFU852028 JPQ851971:JPQ852028 JZM851971:JZM852028 KJI851971:KJI852028 KTE851971:KTE852028 LDA851971:LDA852028 LMW851971:LMW852028 LWS851971:LWS852028 MGO851971:MGO852028 MQK851971:MQK852028 NAG851971:NAG852028 NKC851971:NKC852028 NTY851971:NTY852028 ODU851971:ODU852028 ONQ851971:ONQ852028 OXM851971:OXM852028 PHI851971:PHI852028 PRE851971:PRE852028 QBA851971:QBA852028 QKW851971:QKW852028 QUS851971:QUS852028 REO851971:REO852028 ROK851971:ROK852028 RYG851971:RYG852028 SIC851971:SIC852028 SRY851971:SRY852028 TBU851971:TBU852028 TLQ851971:TLQ852028 TVM851971:TVM852028 UFI851971:UFI852028 UPE851971:UPE852028 UZA851971:UZA852028 VIW851971:VIW852028 VSS851971:VSS852028 WCO851971:WCO852028 WMK851971:WMK852028 WWG851971:WWG852028 D917507:D917564 JU917507:JU917564 TQ917507:TQ917564 ADM917507:ADM917564 ANI917507:ANI917564 AXE917507:AXE917564 BHA917507:BHA917564 BQW917507:BQW917564 CAS917507:CAS917564 CKO917507:CKO917564 CUK917507:CUK917564 DEG917507:DEG917564 DOC917507:DOC917564 DXY917507:DXY917564 EHU917507:EHU917564 ERQ917507:ERQ917564 FBM917507:FBM917564 FLI917507:FLI917564 FVE917507:FVE917564 GFA917507:GFA917564 GOW917507:GOW917564 GYS917507:GYS917564 HIO917507:HIO917564 HSK917507:HSK917564 ICG917507:ICG917564 IMC917507:IMC917564 IVY917507:IVY917564 JFU917507:JFU917564 JPQ917507:JPQ917564 JZM917507:JZM917564 KJI917507:KJI917564 KTE917507:KTE917564 LDA917507:LDA917564 LMW917507:LMW917564 LWS917507:LWS917564 MGO917507:MGO917564 MQK917507:MQK917564 NAG917507:NAG917564 NKC917507:NKC917564 NTY917507:NTY917564 ODU917507:ODU917564 ONQ917507:ONQ917564 OXM917507:OXM917564 PHI917507:PHI917564 PRE917507:PRE917564 QBA917507:QBA917564 QKW917507:QKW917564 QUS917507:QUS917564 REO917507:REO917564 ROK917507:ROK917564 RYG917507:RYG917564 SIC917507:SIC917564 SRY917507:SRY917564 TBU917507:TBU917564 TLQ917507:TLQ917564 TVM917507:TVM917564 UFI917507:UFI917564 UPE917507:UPE917564 UZA917507:UZA917564 VIW917507:VIW917564 VSS917507:VSS917564 WCO917507:WCO917564 WMK917507:WMK917564 WWG917507:WWG917564 D983043:D983100 JU983043:JU983100 TQ983043:TQ983100 ADM983043:ADM983100 ANI983043:ANI983100 AXE983043:AXE983100 BHA983043:BHA983100 BQW983043:BQW983100 CAS983043:CAS983100 CKO983043:CKO983100 CUK983043:CUK983100 DEG983043:DEG983100 DOC983043:DOC983100 DXY983043:DXY983100 EHU983043:EHU983100 ERQ983043:ERQ983100 FBM983043:FBM983100 FLI983043:FLI983100 FVE983043:FVE983100 GFA983043:GFA983100 GOW983043:GOW983100 GYS983043:GYS983100 HIO983043:HIO983100 HSK983043:HSK983100 ICG983043:ICG983100 IMC983043:IMC983100 IVY983043:IVY983100 JFU983043:JFU983100 JPQ983043:JPQ983100 JZM983043:JZM983100 KJI983043:KJI983100 KTE983043:KTE983100 LDA983043:LDA983100 LMW983043:LMW983100 LWS983043:LWS983100 MGO983043:MGO983100 MQK983043:MQK983100 NAG983043:NAG983100 NKC983043:NKC983100 NTY983043:NTY983100 ODU983043:ODU983100 ONQ983043:ONQ983100 OXM983043:OXM983100 PHI983043:PHI983100 PRE983043:PRE983100 QBA983043:QBA983100 QKW983043:QKW983100 QUS983043:QUS983100 REO983043:REO983100 ROK983043:ROK983100 RYG983043:RYG983100 SIC983043:SIC983100 SRY983043:SRY983100 TBU983043:TBU983100 TLQ983043:TLQ983100 TVM983043:TVM983100 UFI983043:UFI983100 UPE983043:UPE983100 UZA983043:UZA983100 VIW983043:VIW983100 VSS983043:VSS983100 WCO983043:WCO983100 WMK983043:WMK983100 WWG983043:WWG983100">
      <formula1>"ACS,AGRI,BNC,"</formula1>
    </dataValidation>
    <dataValidation type="list" allowBlank="1" showInputMessage="1" showErrorMessage="1" sqref="AL3:AL60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BH3:BH60</xm:sqref>
        </x14:dataValidation>
        <x14:dataValidation type="list" allowBlank="1" showInputMessage="1" showErrorMessage="1">
          <x14:formula1>
            <xm:f>Paramètres!$N$4:$N$13</xm:f>
          </x14:formula1>
          <xm:sqref>BG3:BG60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N183"/>
  <sheetViews>
    <sheetView zoomScale="85" zoomScaleNormal="85" workbookViewId="0">
      <pane xSplit="5" ySplit="2" topLeftCell="F3" activePane="bottomRight" state="frozen"/>
      <selection activeCell="F22" sqref="F22"/>
      <selection pane="topRight" activeCell="F22" sqref="F22"/>
      <selection pane="bottomLeft" activeCell="F22" sqref="F22"/>
      <selection pane="bottomRight" activeCell="A3" sqref="A3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9" width="18" style="89" customWidth="1"/>
    <col min="40" max="45" width="19" style="89" customWidth="1"/>
    <col min="46" max="46" width="11.42578125" style="241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4" width="11.42578125" style="89" customWidth="1"/>
    <col min="115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1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147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69" t="s">
        <v>226</v>
      </c>
      <c r="B3" s="170">
        <v>860078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SUM(PORTEFEUILLE_MARIE_PIERRE[[#This Row],[PCR COMPTABLE €]:[MONTANT
RESPONSABLE RELATION CLIENT €]])-PORTEFEUILLE_MARIE_PIERRE[[#This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/>
      <c r="AM3" s="191"/>
      <c r="AN3" s="188" t="s">
        <v>199</v>
      </c>
      <c r="AO3" s="188" t="s">
        <v>200</v>
      </c>
      <c r="AP3" s="188">
        <v>36</v>
      </c>
      <c r="AQ3" s="188">
        <v>16</v>
      </c>
      <c r="AR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400</v>
      </c>
      <c r="AT3" s="188" t="str">
        <f>IF(PORTEFEUILLE_MARIE_PIERRE[[#This Row],[BONI AAC]]&lt;&gt;0,1,"")</f>
        <v/>
      </c>
      <c r="AU3" s="188">
        <f>IF(PORTEFEUILLE_MARIE_PIERRE[[#This Row],[MALI AAC]]&lt;&gt;0,1,"")</f>
        <v>1</v>
      </c>
      <c r="AV3" s="225">
        <f>IF(AP3&lt;&gt;"",IF((AP3*Paramètres!$H$4)-PORTEFEUILLE_MARIE_PIERRE[[#This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€]]-(DELPHINE!AP3*Paramètres!$H$4),0),0)</f>
        <v>0</v>
      </c>
      <c r="AW3" s="225">
        <f>IF(AP3&lt;&gt;"",IF(((AP3*Paramètres!$H$4)-PORTEFEUILLE_MARIE_PIERRE[[#This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" s="190" t="str">
        <f>IF(PORTEFEUILLE_MARIE_PIERRE[[#This Row],[BONI COMPTABLE]]&lt;&gt;0,1,"")</f>
        <v/>
      </c>
      <c r="AY3" s="190" t="str">
        <f>IF(PORTEFEUILLE_MARIE_PIERRE[[#This Row],[MALI COMPTABLE]]&lt;&gt;0,1,"")</f>
        <v/>
      </c>
      <c r="AZ3" s="188">
        <v>2</v>
      </c>
      <c r="BA3" s="188" t="s">
        <v>209</v>
      </c>
      <c r="BB3" s="188" t="s">
        <v>209</v>
      </c>
      <c r="BC3" s="188"/>
      <c r="BD3" s="188"/>
      <c r="BE3" s="188"/>
      <c r="BF3" s="188"/>
      <c r="BG3" s="192" t="s">
        <v>214</v>
      </c>
      <c r="BH3" s="192" t="s">
        <v>191</v>
      </c>
      <c r="BI3" s="192" t="s">
        <v>200</v>
      </c>
      <c r="BJ3" s="193"/>
      <c r="BK3" s="192"/>
    </row>
    <row r="4" spans="1:78" x14ac:dyDescent="0.25">
      <c r="A4" s="169" t="s">
        <v>226</v>
      </c>
      <c r="B4" s="170">
        <v>860079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SUM(PORTEFEUILLE_MARIE_PIERRE[[#This Row],[PCR COMPTABLE €]:[MONTANT
RESPONSABLE RELATION CLIENT €]])-PORTEFEUILLE_MARIE_PIERRE[[#This Row],[MONTANT TOTAL LETTRE DE MISION €]]</f>
        <v>0</v>
      </c>
      <c r="AI4" s="191" t="s">
        <v>153</v>
      </c>
      <c r="AJ4" s="188" t="s">
        <v>154</v>
      </c>
      <c r="AK4" s="188"/>
      <c r="AL4" s="188"/>
      <c r="AM4" s="191"/>
      <c r="AN4" s="188" t="s">
        <v>199</v>
      </c>
      <c r="AO4" s="188"/>
      <c r="AP4" s="188">
        <v>30</v>
      </c>
      <c r="AQ4" s="188">
        <v>20</v>
      </c>
      <c r="AR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1000</v>
      </c>
      <c r="AT4" s="188" t="str">
        <f>IF(PORTEFEUILLE_MARIE_PIERRE[[#This Row],[BONI AAC]]&lt;&gt;0,1,"")</f>
        <v/>
      </c>
      <c r="AU4" s="188">
        <f>IF(PORTEFEUILLE_MARIE_PIERRE[[#This Row],[MALI AAC]]&lt;&gt;0,1,"")</f>
        <v>1</v>
      </c>
      <c r="AV4" s="225">
        <f>IF(AP4&lt;&gt;"",IF((AP4*Paramètres!$H$4)-PORTEFEUILLE_MARIE_PIERRE[[#This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€]]-(DELPHINE!AP4*Paramètres!$H$4),0),0)</f>
        <v>0</v>
      </c>
      <c r="AW4" s="225">
        <f>IF(AP4&lt;&gt;"",IF(((AP4*Paramètres!$H$4)-PORTEFEUILLE_MARIE_PIERRE[[#This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3000</v>
      </c>
      <c r="AX4" s="190" t="str">
        <f>IF(PORTEFEUILLE_MARIE_PIERRE[[#This Row],[BONI COMPTABLE]]&lt;&gt;0,1,"")</f>
        <v/>
      </c>
      <c r="AY4" s="190">
        <f>IF(PORTEFEUILLE_MARIE_PIERRE[[#This Row],[MALI COMPTABLE]]&lt;&gt;0,1,"")</f>
        <v>1</v>
      </c>
      <c r="AZ4" s="188">
        <v>4</v>
      </c>
      <c r="BA4" s="188" t="s">
        <v>209</v>
      </c>
      <c r="BB4" s="188" t="s">
        <v>209</v>
      </c>
      <c r="BC4" s="188"/>
      <c r="BD4" s="188"/>
      <c r="BE4" s="188"/>
      <c r="BF4" s="188"/>
      <c r="BG4" s="192" t="s">
        <v>214</v>
      </c>
      <c r="BH4" s="194" t="s">
        <v>138</v>
      </c>
      <c r="BI4" s="194" t="s">
        <v>215</v>
      </c>
      <c r="BJ4" s="195"/>
      <c r="BK4" s="194"/>
    </row>
    <row r="5" spans="1:78" x14ac:dyDescent="0.25">
      <c r="A5" s="169" t="s">
        <v>226</v>
      </c>
      <c r="B5" s="170">
        <v>860080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SUM(PORTEFEUILLE_MARIE_PIERRE[[#This Row],[PCR COMPTABLE €]:[MONTANT
RESPONSABLE RELATION CLIENT €]])-PORTEFEUILLE_MARIE_PIERRE[[#This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91"/>
      <c r="AN5" s="188"/>
      <c r="AO5" s="188"/>
      <c r="AP5" s="188">
        <v>60</v>
      </c>
      <c r="AQ5" s="188">
        <v>60</v>
      </c>
      <c r="AR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2200</v>
      </c>
      <c r="AT5" s="188" t="str">
        <f>IF(PORTEFEUILLE_MARIE_PIERRE[[#This Row],[BONI AAC]]&lt;&gt;0,1,"")</f>
        <v/>
      </c>
      <c r="AU5" s="188">
        <f>IF(PORTEFEUILLE_MARIE_PIERRE[[#This Row],[MALI AAC]]&lt;&gt;0,1,"")</f>
        <v>1</v>
      </c>
      <c r="AV5" s="225">
        <f>IF(AP5&lt;&gt;"",IF((AP5*Paramètres!$H$4)-PORTEFEUILLE_MARIE_PIERRE[[#This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€]]-(DELPHINE!AP5*Paramètres!$H$4),0),0)</f>
        <v>0</v>
      </c>
      <c r="AW5" s="225">
        <f>IF(AP5&lt;&gt;"",IF(((AP5*Paramètres!$H$4)-PORTEFEUILLE_MARIE_PIERRE[[#This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4150</v>
      </c>
      <c r="AX5" s="190" t="str">
        <f>IF(PORTEFEUILLE_MARIE_PIERRE[[#This Row],[BONI COMPTABLE]]&lt;&gt;0,1,"")</f>
        <v/>
      </c>
      <c r="AY5" s="190">
        <f>IF(PORTEFEUILLE_MARIE_PIERRE[[#This Row],[MALI COMPTABLE]]&lt;&gt;0,1,"")</f>
        <v>1</v>
      </c>
      <c r="AZ5" s="188"/>
      <c r="BA5" s="188"/>
      <c r="BB5" s="188"/>
      <c r="BC5" s="188"/>
      <c r="BD5" s="188"/>
      <c r="BE5" s="188"/>
      <c r="BF5" s="188"/>
      <c r="BG5" s="192" t="s">
        <v>214</v>
      </c>
      <c r="BH5" s="194" t="s">
        <v>140</v>
      </c>
      <c r="BI5" s="194" t="s">
        <v>205</v>
      </c>
      <c r="BJ5" s="195" t="s">
        <v>200</v>
      </c>
      <c r="BK5" s="194"/>
    </row>
    <row r="6" spans="1:78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SUM(PORTEFEUILLE_MARIE_PIERRE[[#This Row],[PCR COMPTABLE €]:[MONTANT
RESPONSABLE RELATION CLIENT €]])-PORTEFEUILLE_MARIE_PIERRE[[#This Row],[MONTANT TOTAL LETTRE DE MISION €]]</f>
        <v>0</v>
      </c>
      <c r="AI6" s="191"/>
      <c r="AJ6" s="188"/>
      <c r="AK6" s="188"/>
      <c r="AL6" s="188"/>
      <c r="AM6" s="191"/>
      <c r="AN6" s="188"/>
      <c r="AO6" s="188"/>
      <c r="AP6" s="188"/>
      <c r="AQ6" s="188"/>
      <c r="AR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6" s="188" t="str">
        <f>IF(PORTEFEUILLE_MARIE_PIERRE[[#This Row],[BONI AAC]]&lt;&gt;0,1,"")</f>
        <v/>
      </c>
      <c r="AU6" s="188" t="str">
        <f>IF(PORTEFEUILLE_MARIE_PIERRE[[#This Row],[MALI AAC]]&lt;&gt;0,1,"")</f>
        <v/>
      </c>
      <c r="AV6" s="225">
        <f>IF(AP6&lt;&gt;"",IF((AP6*Paramètres!$H$4)-PORTEFEUILLE_MARIE_PIERRE[[#This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€]]-(DELPHINE!#REF!*Paramètres!$H$4),0),0)</f>
        <v>0</v>
      </c>
      <c r="AW6" s="225">
        <f>IF(AP6&lt;&gt;"",IF(((AP6*Paramètres!$H$4)-PORTEFEUILLE_MARIE_PIERRE[[#This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6" s="190" t="str">
        <f>IF(PORTEFEUILLE_MARIE_PIERRE[[#This Row],[BONI COMPTABLE]]&lt;&gt;0,1,"")</f>
        <v/>
      </c>
      <c r="AY6" s="190" t="str">
        <f>IF(PORTEFEUILLE_MARIE_PIERRE[[#This Row],[MALI COMPTABLE]]&lt;&gt;0,1,"")</f>
        <v/>
      </c>
      <c r="AZ6" s="188"/>
      <c r="BA6" s="188"/>
      <c r="BB6" s="188"/>
      <c r="BC6" s="188"/>
      <c r="BD6" s="188"/>
      <c r="BE6" s="188"/>
      <c r="BF6" s="188"/>
      <c r="BG6" s="192"/>
      <c r="BH6" s="194"/>
      <c r="BI6" s="194"/>
      <c r="BJ6" s="195"/>
      <c r="BK6" s="194"/>
    </row>
    <row r="7" spans="1:78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SUM(PORTEFEUILLE_MARIE_PIERRE[[#This Row],[PCR COMPTABLE €]:[MONTANT
RESPONSABLE RELATION CLIENT €]])-PORTEFEUILLE_MARIE_PIERRE[[#This Row],[MONTANT TOTAL LETTRE DE MISION €]]</f>
        <v>0</v>
      </c>
      <c r="AI7" s="191"/>
      <c r="AJ7" s="188"/>
      <c r="AK7" s="188"/>
      <c r="AL7" s="188"/>
      <c r="AM7" s="191"/>
      <c r="AN7" s="188"/>
      <c r="AO7" s="188"/>
      <c r="AP7" s="188"/>
      <c r="AQ7" s="188"/>
      <c r="AR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7" s="188" t="str">
        <f>IF(PORTEFEUILLE_MARIE_PIERRE[[#This Row],[BONI AAC]]&lt;&gt;0,1,"")</f>
        <v/>
      </c>
      <c r="AU7" s="188" t="str">
        <f>IF(PORTEFEUILLE_MARIE_PIERRE[[#This Row],[MALI AAC]]&lt;&gt;0,1,"")</f>
        <v/>
      </c>
      <c r="AV7" s="225">
        <f>IF(AP7&lt;&gt;"",IF((AP7*Paramètres!$H$4)-PORTEFEUILLE_MARIE_PIERRE[[#This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€]]-(DELPHINE!AP6*Paramètres!$H$4),0),0)</f>
        <v>0</v>
      </c>
      <c r="AW7" s="225">
        <f>IF(AP7&lt;&gt;"",IF(((AP7*Paramètres!$H$4)-PORTEFEUILLE_MARIE_PIERRE[[#This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7" s="190" t="str">
        <f>IF(PORTEFEUILLE_MARIE_PIERRE[[#This Row],[BONI COMPTABLE]]&lt;&gt;0,1,"")</f>
        <v/>
      </c>
      <c r="AY7" s="190" t="str">
        <f>IF(PORTEFEUILLE_MARIE_PIERRE[[#This Row],[MALI COMPTABLE]]&lt;&gt;0,1,"")</f>
        <v/>
      </c>
      <c r="AZ7" s="188"/>
      <c r="BA7" s="188"/>
      <c r="BB7" s="188"/>
      <c r="BC7" s="188"/>
      <c r="BD7" s="196"/>
      <c r="BE7" s="196"/>
      <c r="BF7" s="196"/>
      <c r="BG7" s="192"/>
      <c r="BH7" s="194"/>
      <c r="BI7" s="194"/>
      <c r="BJ7" s="195"/>
      <c r="BK7" s="194"/>
    </row>
    <row r="8" spans="1:78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SUM(PORTEFEUILLE_MARIE_PIERRE[[#This Row],[PCR COMPTABLE €]:[MONTANT
RESPONSABLE RELATION CLIENT €]])-PORTEFEUILLE_MARIE_PIERRE[[#This Row],[MONTANT TOTAL LETTRE DE MISION €]]</f>
        <v>0</v>
      </c>
      <c r="AI8" s="191"/>
      <c r="AJ8" s="188"/>
      <c r="AK8" s="188"/>
      <c r="AL8" s="188"/>
      <c r="AM8" s="191"/>
      <c r="AN8" s="188"/>
      <c r="AO8" s="188"/>
      <c r="AP8" s="188"/>
      <c r="AQ8" s="188"/>
      <c r="AR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8" s="188" t="str">
        <f>IF(PORTEFEUILLE_MARIE_PIERRE[[#This Row],[BONI AAC]]&lt;&gt;0,1,"")</f>
        <v/>
      </c>
      <c r="AU8" s="188" t="str">
        <f>IF(PORTEFEUILLE_MARIE_PIERRE[[#This Row],[MALI AAC]]&lt;&gt;0,1,"")</f>
        <v/>
      </c>
      <c r="AV8" s="225">
        <f>IF(AP8&lt;&gt;"",IF((AP8*Paramètres!$H$4)-PORTEFEUILLE_MARIE_PIERRE[[#This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€]]-(DELPHINE!AP7*Paramètres!$H$4),0),0)</f>
        <v>0</v>
      </c>
      <c r="AW8" s="225">
        <f>IF(AP8&lt;&gt;"",IF(((AP8*Paramètres!$H$4)-PORTEFEUILLE_MARIE_PIERRE[[#This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8" s="190" t="str">
        <f>IF(PORTEFEUILLE_MARIE_PIERRE[[#This Row],[BONI COMPTABLE]]&lt;&gt;0,1,"")</f>
        <v/>
      </c>
      <c r="AY8" s="190" t="str">
        <f>IF(PORTEFEUILLE_MARIE_PIERRE[[#This Row],[MALI COMPTABLE]]&lt;&gt;0,1,"")</f>
        <v/>
      </c>
      <c r="AZ8" s="188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SUM(PORTEFEUILLE_MARIE_PIERRE[[#This Row],[PCR COMPTABLE €]:[MONTANT
RESPONSABLE RELATION CLIENT €]])-PORTEFEUILLE_MARIE_PIERRE[[#This Row],[MONTANT TOTAL LETTRE DE MISION €]]</f>
        <v>0</v>
      </c>
      <c r="AI9" s="191"/>
      <c r="AJ9" s="188"/>
      <c r="AK9" s="188"/>
      <c r="AL9" s="188"/>
      <c r="AM9" s="191"/>
      <c r="AN9" s="196"/>
      <c r="AO9" s="196"/>
      <c r="AP9" s="196"/>
      <c r="AQ9" s="196"/>
      <c r="AR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9" s="188" t="str">
        <f>IF(PORTEFEUILLE_MARIE_PIERRE[[#This Row],[BONI AAC]]&lt;&gt;0,1,"")</f>
        <v/>
      </c>
      <c r="AU9" s="188" t="str">
        <f>IF(PORTEFEUILLE_MARIE_PIERRE[[#This Row],[MALI AAC]]&lt;&gt;0,1,"")</f>
        <v/>
      </c>
      <c r="AV9" s="225">
        <f>IF(AP9&lt;&gt;"",IF((AP9*Paramètres!$H$4)-PORTEFEUILLE_MARIE_PIERRE[[#This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€]]-(DELPHINE!AP8*Paramètres!$H$4),0),0)</f>
        <v>0</v>
      </c>
      <c r="AW9" s="225">
        <f>IF(AP9&lt;&gt;"",IF(((AP9*Paramètres!$H$4)-PORTEFEUILLE_MARIE_PIERRE[[#This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9" s="190" t="str">
        <f>IF(PORTEFEUILLE_MARIE_PIERRE[[#This Row],[BONI COMPTABLE]]&lt;&gt;0,1,"")</f>
        <v/>
      </c>
      <c r="AY9" s="190" t="str">
        <f>IF(PORTEFEUILLE_MARIE_PIERRE[[#This Row],[MALI COMPTABLE]]&lt;&gt;0,1,"")</f>
        <v/>
      </c>
      <c r="AZ9" s="196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SUM(PORTEFEUILLE_MARIE_PIERRE[[#This Row],[PCR COMPTABLE €]:[MONTANT
RESPONSABLE RELATION CLIENT €]])-PORTEFEUILLE_MARIE_PIERRE[[#This Row],[MONTANT TOTAL LETTRE DE MISION €]]</f>
        <v>0</v>
      </c>
      <c r="AI10" s="191"/>
      <c r="AJ10" s="188"/>
      <c r="AK10" s="188"/>
      <c r="AL10" s="188"/>
      <c r="AM10" s="191"/>
      <c r="AN10" s="188"/>
      <c r="AO10" s="188"/>
      <c r="AP10" s="188"/>
      <c r="AQ10" s="188"/>
      <c r="AR1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0" s="188" t="str">
        <f>IF(PORTEFEUILLE_MARIE_PIERRE[[#This Row],[BONI AAC]]&lt;&gt;0,1,"")</f>
        <v/>
      </c>
      <c r="AU10" s="188" t="str">
        <f>IF(PORTEFEUILLE_MARIE_PIERRE[[#This Row],[MALI AAC]]&lt;&gt;0,1,"")</f>
        <v/>
      </c>
      <c r="AV10" s="225">
        <f>IF(AP10&lt;&gt;"",IF((AP10*Paramètres!$H$4)-PORTEFEUILLE_MARIE_PIERRE[[#This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€]]-(DELPHINE!AP9*Paramètres!$H$4),0),0)</f>
        <v>0</v>
      </c>
      <c r="AW10" s="225">
        <f>IF(AP10&lt;&gt;"",IF(((AP10*Paramètres!$H$4)-PORTEFEUILLE_MARIE_PIERRE[[#This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0" s="190" t="str">
        <f>IF(PORTEFEUILLE_MARIE_PIERRE[[#This Row],[BONI COMPTABLE]]&lt;&gt;0,1,"")</f>
        <v/>
      </c>
      <c r="AY10" s="190" t="str">
        <f>IF(PORTEFEUILLE_MARIE_PIERRE[[#This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SUM(PORTEFEUILLE_MARIE_PIERRE[[#This Row],[PCR COMPTABLE €]:[MONTANT
RESPONSABLE RELATION CLIENT €]])-PORTEFEUILLE_MARIE_PIERRE[[#This Row],[MONTANT TOTAL LETTRE DE MISION €]]</f>
        <v>0</v>
      </c>
      <c r="AI11" s="191"/>
      <c r="AJ11" s="188"/>
      <c r="AK11" s="188"/>
      <c r="AL11" s="188"/>
      <c r="AM11" s="191"/>
      <c r="AN11" s="188"/>
      <c r="AO11" s="188"/>
      <c r="AP11" s="188"/>
      <c r="AQ11" s="188"/>
      <c r="AR1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1" s="188" t="str">
        <f>IF(PORTEFEUILLE_MARIE_PIERRE[[#This Row],[BONI AAC]]&lt;&gt;0,1,"")</f>
        <v/>
      </c>
      <c r="AU11" s="188" t="str">
        <f>IF(PORTEFEUILLE_MARIE_PIERRE[[#This Row],[MALI AAC]]&lt;&gt;0,1,"")</f>
        <v/>
      </c>
      <c r="AV11" s="225">
        <f>IF(AP11&lt;&gt;"",IF((AP11*Paramètres!$H$4)-PORTEFEUILLE_MARIE_PIERRE[[#This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€]]-(DELPHINE!AP10*Paramètres!$H$4),0),0)</f>
        <v>0</v>
      </c>
      <c r="AW11" s="225">
        <f>IF(AP11&lt;&gt;"",IF(((AP11*Paramètres!$H$4)-PORTEFEUILLE_MARIE_PIERRE[[#This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1" s="190" t="str">
        <f>IF(PORTEFEUILLE_MARIE_PIERRE[[#This Row],[BONI COMPTABLE]]&lt;&gt;0,1,"")</f>
        <v/>
      </c>
      <c r="AY11" s="190" t="str">
        <f>IF(PORTEFEUILLE_MARIE_PIERRE[[#This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SUM(PORTEFEUILLE_MARIE_PIERRE[[#This Row],[PCR COMPTABLE €]:[MONTANT
RESPONSABLE RELATION CLIENT €]])-PORTEFEUILLE_MARIE_PIERRE[[#This Row],[MONTANT TOTAL LETTRE DE MISION €]]</f>
        <v>0</v>
      </c>
      <c r="AI12" s="191"/>
      <c r="AJ12" s="188"/>
      <c r="AK12" s="188"/>
      <c r="AL12" s="188"/>
      <c r="AM12" s="191"/>
      <c r="AN12" s="188"/>
      <c r="AO12" s="188"/>
      <c r="AP12" s="188"/>
      <c r="AQ12" s="188"/>
      <c r="AR1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2" s="188" t="str">
        <f>IF(PORTEFEUILLE_MARIE_PIERRE[[#This Row],[BONI AAC]]&lt;&gt;0,1,"")</f>
        <v/>
      </c>
      <c r="AU12" s="188" t="str">
        <f>IF(PORTEFEUILLE_MARIE_PIERRE[[#This Row],[MALI AAC]]&lt;&gt;0,1,"")</f>
        <v/>
      </c>
      <c r="AV12" s="225">
        <f>IF(AP12&lt;&gt;"",IF((AP12*Paramètres!$H$4)-PORTEFEUILLE_MARIE_PIERRE[[#This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€]]-(DELPHINE!AP11*Paramètres!$H$4),0),0)</f>
        <v>0</v>
      </c>
      <c r="AW12" s="225">
        <f>IF(AP12&lt;&gt;"",IF(((AP12*Paramètres!$H$4)-PORTEFEUILLE_MARIE_PIERRE[[#This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2" s="190" t="str">
        <f>IF(PORTEFEUILLE_MARIE_PIERRE[[#This Row],[BONI COMPTABLE]]&lt;&gt;0,1,"")</f>
        <v/>
      </c>
      <c r="AY12" s="190" t="str">
        <f>IF(PORTEFEUILLE_MARIE_PIERRE[[#This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SUM(PORTEFEUILLE_MARIE_PIERRE[[#This Row],[PCR COMPTABLE €]:[MONTANT
RESPONSABLE RELATION CLIENT €]])-PORTEFEUILLE_MARIE_PIERRE[[#This Row],[MONTANT TOTAL LETTRE DE MISION €]]</f>
        <v>0</v>
      </c>
      <c r="AI13" s="191"/>
      <c r="AJ13" s="188"/>
      <c r="AK13" s="188"/>
      <c r="AL13" s="188"/>
      <c r="AM13" s="191"/>
      <c r="AN13" s="188"/>
      <c r="AO13" s="188"/>
      <c r="AP13" s="188"/>
      <c r="AQ13" s="188"/>
      <c r="AR1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3" s="188" t="str">
        <f>IF(PORTEFEUILLE_MARIE_PIERRE[[#This Row],[BONI AAC]]&lt;&gt;0,1,"")</f>
        <v/>
      </c>
      <c r="AU13" s="188" t="str">
        <f>IF(PORTEFEUILLE_MARIE_PIERRE[[#This Row],[MALI AAC]]&lt;&gt;0,1,"")</f>
        <v/>
      </c>
      <c r="AV13" s="225">
        <f>IF(AP13&lt;&gt;"",IF((AP13*Paramètres!$H$4)-PORTEFEUILLE_MARIE_PIERRE[[#This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€]]-(DELPHINE!AP12*Paramètres!$H$4),0),0)</f>
        <v>0</v>
      </c>
      <c r="AW13" s="225">
        <f>IF(AP13&lt;&gt;"",IF(((AP13*Paramètres!$H$4)-PORTEFEUILLE_MARIE_PIERRE[[#This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3" s="190" t="str">
        <f>IF(PORTEFEUILLE_MARIE_PIERRE[[#This Row],[BONI COMPTABLE]]&lt;&gt;0,1,"")</f>
        <v/>
      </c>
      <c r="AY13" s="190" t="str">
        <f>IF(PORTEFEUILLE_MARIE_PIERRE[[#This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SUM(PORTEFEUILLE_MARIE_PIERRE[[#This Row],[PCR COMPTABLE €]:[MONTANT
RESPONSABLE RELATION CLIENT €]])-PORTEFEUILLE_MARIE_PIERRE[[#This Row],[MONTANT TOTAL LETTRE DE MISION €]]</f>
        <v>0</v>
      </c>
      <c r="AI14" s="191"/>
      <c r="AJ14" s="188"/>
      <c r="AK14" s="188"/>
      <c r="AL14" s="188"/>
      <c r="AM14" s="191"/>
      <c r="AN14" s="188"/>
      <c r="AO14" s="188"/>
      <c r="AP14" s="188"/>
      <c r="AQ14" s="188"/>
      <c r="AR1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4" s="188" t="str">
        <f>IF(PORTEFEUILLE_MARIE_PIERRE[[#This Row],[BONI AAC]]&lt;&gt;0,1,"")</f>
        <v/>
      </c>
      <c r="AU14" s="188" t="str">
        <f>IF(PORTEFEUILLE_MARIE_PIERRE[[#This Row],[MALI AAC]]&lt;&gt;0,1,"")</f>
        <v/>
      </c>
      <c r="AV14" s="225">
        <f>IF(AP14&lt;&gt;"",IF((AP14*Paramètres!$H$4)-PORTEFEUILLE_MARIE_PIERRE[[#This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€]]-(DELPHINE!AP13*Paramètres!$H$4),0),0)</f>
        <v>0</v>
      </c>
      <c r="AW14" s="225">
        <f>IF(AP14&lt;&gt;"",IF(((AP14*Paramètres!$H$4)-PORTEFEUILLE_MARIE_PIERRE[[#This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4" s="190" t="str">
        <f>IF(PORTEFEUILLE_MARIE_PIERRE[[#This Row],[BONI COMPTABLE]]&lt;&gt;0,1,"")</f>
        <v/>
      </c>
      <c r="AY14" s="190" t="str">
        <f>IF(PORTEFEUILLE_MARIE_PIERRE[[#This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SUM(PORTEFEUILLE_MARIE_PIERRE[[#This Row],[PCR COMPTABLE €]:[MONTANT
RESPONSABLE RELATION CLIENT €]])-PORTEFEUILLE_MARIE_PIERRE[[#This Row],[MONTANT TOTAL LETTRE DE MISION €]]</f>
        <v>0</v>
      </c>
      <c r="AI15" s="191"/>
      <c r="AJ15" s="188"/>
      <c r="AK15" s="188"/>
      <c r="AL15" s="188"/>
      <c r="AM15" s="191"/>
      <c r="AN15" s="188"/>
      <c r="AO15" s="188"/>
      <c r="AP15" s="188"/>
      <c r="AQ15" s="188"/>
      <c r="AR1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5" s="188" t="str">
        <f>IF(PORTEFEUILLE_MARIE_PIERRE[[#This Row],[BONI AAC]]&lt;&gt;0,1,"")</f>
        <v/>
      </c>
      <c r="AU15" s="188" t="str">
        <f>IF(PORTEFEUILLE_MARIE_PIERRE[[#This Row],[MALI AAC]]&lt;&gt;0,1,"")</f>
        <v/>
      </c>
      <c r="AV15" s="225">
        <f>IF(AP15&lt;&gt;"",IF((AP15*Paramètres!$H$4)-PORTEFEUILLE_MARIE_PIERRE[[#This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€]]-(DELPHINE!AP14*Paramètres!$H$4),0),0)</f>
        <v>0</v>
      </c>
      <c r="AW15" s="225">
        <f>IF(AP15&lt;&gt;"",IF(((AP15*Paramètres!$H$4)-PORTEFEUILLE_MARIE_PIERRE[[#This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5" s="190" t="str">
        <f>IF(PORTEFEUILLE_MARIE_PIERRE[[#This Row],[BONI COMPTABLE]]&lt;&gt;0,1,"")</f>
        <v/>
      </c>
      <c r="AY15" s="190" t="str">
        <f>IF(PORTEFEUILLE_MARIE_PIERRE[[#This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SUM(PORTEFEUILLE_MARIE_PIERRE[[#This Row],[PCR COMPTABLE €]:[MONTANT
RESPONSABLE RELATION CLIENT €]])-PORTEFEUILLE_MARIE_PIERRE[[#This Row],[MONTANT TOTAL LETTRE DE MISION €]]</f>
        <v>0</v>
      </c>
      <c r="AI16" s="191"/>
      <c r="AJ16" s="188"/>
      <c r="AK16" s="188"/>
      <c r="AL16" s="188"/>
      <c r="AM16" s="191"/>
      <c r="AN16" s="188"/>
      <c r="AO16" s="188"/>
      <c r="AP16" s="188"/>
      <c r="AQ16" s="188"/>
      <c r="AR1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6" s="188" t="str">
        <f>IF(PORTEFEUILLE_MARIE_PIERRE[[#This Row],[BONI AAC]]&lt;&gt;0,1,"")</f>
        <v/>
      </c>
      <c r="AU16" s="188" t="str">
        <f>IF(PORTEFEUILLE_MARIE_PIERRE[[#This Row],[MALI AAC]]&lt;&gt;0,1,"")</f>
        <v/>
      </c>
      <c r="AV16" s="225">
        <f>IF(AP16&lt;&gt;"",IF((AP16*Paramètres!$H$4)-PORTEFEUILLE_MARIE_PIERRE[[#This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€]]-(DELPHINE!AP15*Paramètres!$H$4),0),0)</f>
        <v>0</v>
      </c>
      <c r="AW16" s="225">
        <f>IF(AP16&lt;&gt;"",IF(((AP16*Paramètres!$H$4)-PORTEFEUILLE_MARIE_PIERRE[[#This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6" s="190" t="str">
        <f>IF(PORTEFEUILLE_MARIE_PIERRE[[#This Row],[BONI COMPTABLE]]&lt;&gt;0,1,"")</f>
        <v/>
      </c>
      <c r="AY16" s="190" t="str">
        <f>IF(PORTEFEUILLE_MARIE_PIERRE[[#This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SUM(PORTEFEUILLE_MARIE_PIERRE[[#This Row],[PCR COMPTABLE €]:[MONTANT
RESPONSABLE RELATION CLIENT €]])-PORTEFEUILLE_MARIE_PIERRE[[#This Row],[MONTANT TOTAL LETTRE DE MISION €]]</f>
        <v>0</v>
      </c>
      <c r="AI17" s="191"/>
      <c r="AJ17" s="188"/>
      <c r="AK17" s="188"/>
      <c r="AL17" s="188"/>
      <c r="AM17" s="191"/>
      <c r="AN17" s="188"/>
      <c r="AO17" s="188"/>
      <c r="AP17" s="188"/>
      <c r="AQ17" s="188"/>
      <c r="AR1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7" s="188" t="str">
        <f>IF(PORTEFEUILLE_MARIE_PIERRE[[#This Row],[BONI AAC]]&lt;&gt;0,1,"")</f>
        <v/>
      </c>
      <c r="AU17" s="188" t="str">
        <f>IF(PORTEFEUILLE_MARIE_PIERRE[[#This Row],[MALI AAC]]&lt;&gt;0,1,"")</f>
        <v/>
      </c>
      <c r="AV17" s="225">
        <f>IF(AP17&lt;&gt;"",IF((AP17*Paramètres!$H$4)-PORTEFEUILLE_MARIE_PIERRE[[#This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€]]-(DELPHINE!AP16*Paramètres!$H$4),0),0)</f>
        <v>0</v>
      </c>
      <c r="AW17" s="225">
        <f>IF(AP17&lt;&gt;"",IF(((AP17*Paramètres!$H$4)-PORTEFEUILLE_MARIE_PIERRE[[#This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7" s="190" t="str">
        <f>IF(PORTEFEUILLE_MARIE_PIERRE[[#This Row],[BONI COMPTABLE]]&lt;&gt;0,1,"")</f>
        <v/>
      </c>
      <c r="AY17" s="190" t="str">
        <f>IF(PORTEFEUILLE_MARIE_PIERRE[[#This Row],[MALI COMPTABLE]]&lt;&gt;0,1,"")</f>
        <v/>
      </c>
      <c r="AZ17" s="188"/>
      <c r="BA17" s="188"/>
      <c r="BB17" s="188"/>
      <c r="BC17" s="188"/>
      <c r="BD17" s="188"/>
      <c r="BE17" s="188"/>
      <c r="BF17" s="188"/>
      <c r="BG17" s="192"/>
      <c r="BH17" s="194"/>
      <c r="BI17" s="194"/>
      <c r="BJ17" s="195"/>
      <c r="BK17" s="194"/>
    </row>
    <row r="18" spans="1:63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SUM(PORTEFEUILLE_MARIE_PIERRE[[#This Row],[PCR COMPTABLE €]:[MONTANT
RESPONSABLE RELATION CLIENT €]])-PORTEFEUILLE_MARIE_PIERRE[[#This Row],[MONTANT TOTAL LETTRE DE MISION €]]</f>
        <v>0</v>
      </c>
      <c r="AI18" s="191"/>
      <c r="AJ18" s="188"/>
      <c r="AK18" s="188"/>
      <c r="AL18" s="188"/>
      <c r="AM18" s="191"/>
      <c r="AN18" s="188"/>
      <c r="AO18" s="188"/>
      <c r="AP18" s="188"/>
      <c r="AQ18" s="188"/>
      <c r="AR1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8" s="188" t="str">
        <f>IF(PORTEFEUILLE_MARIE_PIERRE[[#This Row],[BONI AAC]]&lt;&gt;0,1,"")</f>
        <v/>
      </c>
      <c r="AU18" s="188" t="str">
        <f>IF(PORTEFEUILLE_MARIE_PIERRE[[#This Row],[MALI AAC]]&lt;&gt;0,1,"")</f>
        <v/>
      </c>
      <c r="AV18" s="225">
        <f>IF(AP18&lt;&gt;"",IF((AP18*Paramètres!$H$4)-PORTEFEUILLE_MARIE_PIERRE[[#This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€]]-(DELPHINE!AP17*Paramètres!$H$4),0),0)</f>
        <v>0</v>
      </c>
      <c r="AW18" s="225">
        <f>IF(AP18&lt;&gt;"",IF(((AP18*Paramètres!$H$4)-PORTEFEUILLE_MARIE_PIERRE[[#This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8" s="190" t="str">
        <f>IF(PORTEFEUILLE_MARIE_PIERRE[[#This Row],[BONI COMPTABLE]]&lt;&gt;0,1,"")</f>
        <v/>
      </c>
      <c r="AY18" s="190" t="str">
        <f>IF(PORTEFEUILLE_MARIE_PIERRE[[#This Row],[MALI COMPTABLE]]&lt;&gt;0,1,"")</f>
        <v/>
      </c>
      <c r="AZ18" s="188"/>
      <c r="BA18" s="188"/>
      <c r="BB18" s="188"/>
      <c r="BC18" s="188"/>
      <c r="BD18" s="188"/>
      <c r="BE18" s="188"/>
      <c r="BF18" s="188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SUM(PORTEFEUILLE_MARIE_PIERRE[[#This Row],[PCR COMPTABLE €]:[MONTANT
RESPONSABLE RELATION CLIENT €]])-PORTEFEUILLE_MARIE_PIERRE[[#This Row],[MONTANT TOTAL LETTRE DE MISION €]]</f>
        <v>0</v>
      </c>
      <c r="AI19" s="191"/>
      <c r="AJ19" s="188"/>
      <c r="AK19" s="188"/>
      <c r="AL19" s="188"/>
      <c r="AM19" s="191"/>
      <c r="AN19" s="188"/>
      <c r="AO19" s="188"/>
      <c r="AP19" s="188"/>
      <c r="AQ19" s="188"/>
      <c r="AR1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1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19" s="188" t="str">
        <f>IF(PORTEFEUILLE_MARIE_PIERRE[[#This Row],[BONI AAC]]&lt;&gt;0,1,"")</f>
        <v/>
      </c>
      <c r="AU19" s="188" t="str">
        <f>IF(PORTEFEUILLE_MARIE_PIERRE[[#This Row],[MALI AAC]]&lt;&gt;0,1,"")</f>
        <v/>
      </c>
      <c r="AV19" s="225">
        <f>IF(AP19&lt;&gt;"",IF((AP19*Paramètres!$H$4)-PORTEFEUILLE_MARIE_PIERRE[[#This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€]]-(DELPHINE!AP18*Paramètres!$H$4),0),0)</f>
        <v>0</v>
      </c>
      <c r="AW19" s="225">
        <f>IF(AP19&lt;&gt;"",IF(((AP19*Paramètres!$H$4)-PORTEFEUILLE_MARIE_PIERRE[[#This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19" s="190" t="str">
        <f>IF(PORTEFEUILLE_MARIE_PIERRE[[#This Row],[BONI COMPTABLE]]&lt;&gt;0,1,"")</f>
        <v/>
      </c>
      <c r="AY19" s="190" t="str">
        <f>IF(PORTEFEUILLE_MARIE_PIERRE[[#This Row],[MALI COMPTABLE]]&lt;&gt;0,1,"")</f>
        <v/>
      </c>
      <c r="AZ19" s="188"/>
      <c r="BA19" s="188"/>
      <c r="BB19" s="188"/>
      <c r="BC19" s="188"/>
      <c r="BD19" s="188"/>
      <c r="BE19" s="188"/>
      <c r="BF19" s="188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SUM(PORTEFEUILLE_MARIE_PIERRE[[#This Row],[PCR COMPTABLE €]:[MONTANT
RESPONSABLE RELATION CLIENT €]])-PORTEFEUILLE_MARIE_PIERRE[[#This Row],[MONTANT TOTAL LETTRE DE MISION €]]</f>
        <v>0</v>
      </c>
      <c r="AI20" s="191"/>
      <c r="AJ20" s="188"/>
      <c r="AK20" s="188"/>
      <c r="AL20" s="188"/>
      <c r="AM20" s="191"/>
      <c r="AN20" s="196"/>
      <c r="AO20" s="196"/>
      <c r="AP20" s="196"/>
      <c r="AQ20" s="196"/>
      <c r="AR2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0" s="188" t="str">
        <f>IF(PORTEFEUILLE_MARIE_PIERRE[[#This Row],[BONI AAC]]&lt;&gt;0,1,"")</f>
        <v/>
      </c>
      <c r="AU20" s="188" t="str">
        <f>IF(PORTEFEUILLE_MARIE_PIERRE[[#This Row],[MALI AAC]]&lt;&gt;0,1,"")</f>
        <v/>
      </c>
      <c r="AV20" s="225">
        <f>IF(AP20&lt;&gt;"",IF((AP20*Paramètres!$H$4)-PORTEFEUILLE_MARIE_PIERRE[[#This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€]]-(DELPHINE!AP19*Paramètres!$H$4),0),0)</f>
        <v>0</v>
      </c>
      <c r="AW20" s="225">
        <f>IF(AP20&lt;&gt;"",IF(((AP20*Paramètres!$H$4)-PORTEFEUILLE_MARIE_PIERRE[[#This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0" s="190" t="str">
        <f>IF(PORTEFEUILLE_MARIE_PIERRE[[#This Row],[BONI COMPTABLE]]&lt;&gt;0,1,"")</f>
        <v/>
      </c>
      <c r="AY20" s="190" t="str">
        <f>IF(PORTEFEUILLE_MARIE_PIERRE[[#This Row],[MALI COMPTABLE]]&lt;&gt;0,1,"")</f>
        <v/>
      </c>
      <c r="AZ20" s="196"/>
      <c r="BA20" s="188"/>
      <c r="BB20" s="188"/>
      <c r="BC20" s="188"/>
      <c r="BD20" s="196"/>
      <c r="BE20" s="196"/>
      <c r="BF20" s="196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SUM(PORTEFEUILLE_MARIE_PIERRE[[#This Row],[PCR COMPTABLE €]:[MONTANT
RESPONSABLE RELATION CLIENT €]])-PORTEFEUILLE_MARIE_PIERRE[[#This Row],[MONTANT TOTAL LETTRE DE MISION €]]</f>
        <v>0</v>
      </c>
      <c r="AI21" s="191"/>
      <c r="AJ21" s="188"/>
      <c r="AK21" s="188"/>
      <c r="AL21" s="188"/>
      <c r="AM21" s="191"/>
      <c r="AN21" s="188"/>
      <c r="AO21" s="188"/>
      <c r="AP21" s="188"/>
      <c r="AQ21" s="188"/>
      <c r="AR2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1" s="188" t="str">
        <f>IF(PORTEFEUILLE_MARIE_PIERRE[[#This Row],[BONI AAC]]&lt;&gt;0,1,"")</f>
        <v/>
      </c>
      <c r="AU21" s="188" t="str">
        <f>IF(PORTEFEUILLE_MARIE_PIERRE[[#This Row],[MALI AAC]]&lt;&gt;0,1,"")</f>
        <v/>
      </c>
      <c r="AV21" s="225">
        <f>IF(AP21&lt;&gt;"",IF((AP21*Paramètres!$H$4)-PORTEFEUILLE_MARIE_PIERRE[[#This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€]]-(DELPHINE!AP20*Paramètres!$H$4),0),0)</f>
        <v>0</v>
      </c>
      <c r="AW21" s="225">
        <f>IF(AP21&lt;&gt;"",IF(((AP21*Paramètres!$H$4)-PORTEFEUILLE_MARIE_PIERRE[[#This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1" s="190" t="str">
        <f>IF(PORTEFEUILLE_MARIE_PIERRE[[#This Row],[BONI COMPTABLE]]&lt;&gt;0,1,"")</f>
        <v/>
      </c>
      <c r="AY21" s="190" t="str">
        <f>IF(PORTEFEUILLE_MARIE_PIERRE[[#This Row],[MALI COMPTABLE]]&lt;&gt;0,1,"")</f>
        <v/>
      </c>
      <c r="AZ21" s="188"/>
      <c r="BA21" s="188"/>
      <c r="BB21" s="188"/>
      <c r="BC21" s="188"/>
      <c r="BD21" s="196"/>
      <c r="BE21" s="196"/>
      <c r="BF21" s="196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SUM(PORTEFEUILLE_MARIE_PIERRE[[#This Row],[PCR COMPTABLE €]:[MONTANT
RESPONSABLE RELATION CLIENT €]])-PORTEFEUILLE_MARIE_PIERRE[[#This Row],[MONTANT TOTAL LETTRE DE MISION €]]</f>
        <v>0</v>
      </c>
      <c r="AI22" s="191"/>
      <c r="AJ22" s="188"/>
      <c r="AK22" s="188"/>
      <c r="AL22" s="188"/>
      <c r="AM22" s="191"/>
      <c r="AN22" s="197"/>
      <c r="AO22" s="197"/>
      <c r="AP22" s="197"/>
      <c r="AQ22" s="197"/>
      <c r="AR2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2" s="188" t="str">
        <f>IF(PORTEFEUILLE_MARIE_PIERRE[[#This Row],[BONI AAC]]&lt;&gt;0,1,"")</f>
        <v/>
      </c>
      <c r="AU22" s="188" t="str">
        <f>IF(PORTEFEUILLE_MARIE_PIERRE[[#This Row],[MALI AAC]]&lt;&gt;0,1,"")</f>
        <v/>
      </c>
      <c r="AV22" s="225">
        <f>IF(AP22&lt;&gt;"",IF((AP22*Paramètres!$H$4)-PORTEFEUILLE_MARIE_PIERRE[[#This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€]]-(DELPHINE!AP21*Paramètres!$H$4),0),0)</f>
        <v>0</v>
      </c>
      <c r="AW22" s="225">
        <f>IF(AP22&lt;&gt;"",IF(((AP22*Paramètres!$H$4)-PORTEFEUILLE_MARIE_PIERRE[[#This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2" s="190" t="str">
        <f>IF(PORTEFEUILLE_MARIE_PIERRE[[#This Row],[BONI COMPTABLE]]&lt;&gt;0,1,"")</f>
        <v/>
      </c>
      <c r="AY22" s="190" t="str">
        <f>IF(PORTEFEUILLE_MARIE_PIERRE[[#This Row],[MALI COMPTABLE]]&lt;&gt;0,1,"")</f>
        <v/>
      </c>
      <c r="AZ22" s="188"/>
      <c r="BA22" s="188"/>
      <c r="BB22" s="188"/>
      <c r="BC22" s="188"/>
      <c r="BD22" s="196"/>
      <c r="BE22" s="196"/>
      <c r="BF22" s="196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SUM(PORTEFEUILLE_MARIE_PIERRE[[#This Row],[PCR COMPTABLE €]:[MONTANT
RESPONSABLE RELATION CLIENT €]])-PORTEFEUILLE_MARIE_PIERRE[[#This Row],[MONTANT TOTAL LETTRE DE MISION €]]</f>
        <v>0</v>
      </c>
      <c r="AI23" s="191"/>
      <c r="AJ23" s="188"/>
      <c r="AK23" s="188"/>
      <c r="AL23" s="188"/>
      <c r="AM23" s="191"/>
      <c r="AN23" s="188"/>
      <c r="AO23" s="188"/>
      <c r="AP23" s="188"/>
      <c r="AQ23" s="188"/>
      <c r="AR2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3" s="188" t="str">
        <f>IF(PORTEFEUILLE_MARIE_PIERRE[[#This Row],[BONI AAC]]&lt;&gt;0,1,"")</f>
        <v/>
      </c>
      <c r="AU23" s="188" t="str">
        <f>IF(PORTEFEUILLE_MARIE_PIERRE[[#This Row],[MALI AAC]]&lt;&gt;0,1,"")</f>
        <v/>
      </c>
      <c r="AV23" s="225">
        <f>IF(AP23&lt;&gt;"",IF((AP23*Paramètres!$H$4)-PORTEFEUILLE_MARIE_PIERRE[[#This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€]]-(DELPHINE!AP22*Paramètres!$H$4),0),0)</f>
        <v>0</v>
      </c>
      <c r="AW23" s="225">
        <f>IF(AP23&lt;&gt;"",IF(((AP23*Paramètres!$H$4)-PORTEFEUILLE_MARIE_PIERRE[[#This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3" s="190" t="str">
        <f>IF(PORTEFEUILLE_MARIE_PIERRE[[#This Row],[BONI COMPTABLE]]&lt;&gt;0,1,"")</f>
        <v/>
      </c>
      <c r="AY23" s="190" t="str">
        <f>IF(PORTEFEUILLE_MARIE_PIERRE[[#This Row],[MALI COMPTABLE]]&lt;&gt;0,1,"")</f>
        <v/>
      </c>
      <c r="AZ23" s="188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SUM(PORTEFEUILLE_MARIE_PIERRE[[#This Row],[PCR COMPTABLE €]:[MONTANT
RESPONSABLE RELATION CLIENT €]])-PORTEFEUILLE_MARIE_PIERRE[[#This Row],[MONTANT TOTAL LETTRE DE MISION €]]</f>
        <v>0</v>
      </c>
      <c r="AI24" s="191"/>
      <c r="AJ24" s="188"/>
      <c r="AK24" s="188"/>
      <c r="AL24" s="188"/>
      <c r="AM24" s="191"/>
      <c r="AN24" s="196"/>
      <c r="AO24" s="196"/>
      <c r="AP24" s="196"/>
      <c r="AQ24" s="196"/>
      <c r="AR2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4" s="188" t="str">
        <f>IF(PORTEFEUILLE_MARIE_PIERRE[[#This Row],[BONI AAC]]&lt;&gt;0,1,"")</f>
        <v/>
      </c>
      <c r="AU24" s="188" t="str">
        <f>IF(PORTEFEUILLE_MARIE_PIERRE[[#This Row],[MALI AAC]]&lt;&gt;0,1,"")</f>
        <v/>
      </c>
      <c r="AV24" s="225">
        <f>IF(AP24&lt;&gt;"",IF((AP24*Paramètres!$H$4)-PORTEFEUILLE_MARIE_PIERRE[[#This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€]]-(DELPHINE!AP23*Paramètres!$H$4),0),0)</f>
        <v>0</v>
      </c>
      <c r="AW24" s="225">
        <f>IF(AP24&lt;&gt;"",IF(((AP24*Paramètres!$H$4)-PORTEFEUILLE_MARIE_PIERRE[[#This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4" s="190" t="str">
        <f>IF(PORTEFEUILLE_MARIE_PIERRE[[#This Row],[BONI COMPTABLE]]&lt;&gt;0,1,"")</f>
        <v/>
      </c>
      <c r="AY24" s="190" t="str">
        <f>IF(PORTEFEUILLE_MARIE_PIERRE[[#This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SUM(PORTEFEUILLE_MARIE_PIERRE[[#This Row],[PCR COMPTABLE €]:[MONTANT
RESPONSABLE RELATION CLIENT €]])-PORTEFEUILLE_MARIE_PIERRE[[#This Row],[MONTANT TOTAL LETTRE DE MISION €]]</f>
        <v>0</v>
      </c>
      <c r="AI25" s="191"/>
      <c r="AJ25" s="188"/>
      <c r="AK25" s="188"/>
      <c r="AL25" s="188"/>
      <c r="AM25" s="191"/>
      <c r="AN25" s="196"/>
      <c r="AO25" s="196"/>
      <c r="AP25" s="196"/>
      <c r="AQ25" s="196"/>
      <c r="AR2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5" s="188" t="str">
        <f>IF(PORTEFEUILLE_MARIE_PIERRE[[#This Row],[BONI AAC]]&lt;&gt;0,1,"")</f>
        <v/>
      </c>
      <c r="AU25" s="188" t="str">
        <f>IF(PORTEFEUILLE_MARIE_PIERRE[[#This Row],[MALI AAC]]&lt;&gt;0,1,"")</f>
        <v/>
      </c>
      <c r="AV25" s="225">
        <f>IF(AP25&lt;&gt;"",IF((AP25*Paramètres!$H$4)-PORTEFEUILLE_MARIE_PIERRE[[#This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€]]-(DELPHINE!AP24*Paramètres!$H$4),0),0)</f>
        <v>0</v>
      </c>
      <c r="AW25" s="225">
        <f>IF(AP25&lt;&gt;"",IF(((AP25*Paramètres!$H$4)-PORTEFEUILLE_MARIE_PIERRE[[#This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5" s="190" t="str">
        <f>IF(PORTEFEUILLE_MARIE_PIERRE[[#This Row],[BONI COMPTABLE]]&lt;&gt;0,1,"")</f>
        <v/>
      </c>
      <c r="AY25" s="190" t="str">
        <f>IF(PORTEFEUILLE_MARIE_PIERRE[[#This Row],[MALI COMPTABLE]]&lt;&gt;0,1,"")</f>
        <v/>
      </c>
      <c r="AZ25" s="196"/>
      <c r="BA25" s="188"/>
      <c r="BB25" s="188"/>
      <c r="BC25" s="188"/>
      <c r="BD25" s="188"/>
      <c r="BE25" s="188"/>
      <c r="BF25" s="188"/>
      <c r="BG25" s="192"/>
      <c r="BH25" s="194"/>
      <c r="BI25" s="194"/>
      <c r="BJ25" s="195"/>
      <c r="BK25" s="194"/>
    </row>
    <row r="26" spans="1:63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SUM(PORTEFEUILLE_MARIE_PIERRE[[#This Row],[PCR COMPTABLE €]:[MONTANT
RESPONSABLE RELATION CLIENT €]])-PORTEFEUILLE_MARIE_PIERRE[[#This Row],[MONTANT TOTAL LETTRE DE MISION €]]</f>
        <v>0</v>
      </c>
      <c r="AI26" s="191"/>
      <c r="AJ26" s="188"/>
      <c r="AK26" s="188"/>
      <c r="AL26" s="188"/>
      <c r="AM26" s="191"/>
      <c r="AN26" s="196"/>
      <c r="AO26" s="196"/>
      <c r="AP26" s="196"/>
      <c r="AQ26" s="196"/>
      <c r="AR2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6" s="188" t="str">
        <f>IF(PORTEFEUILLE_MARIE_PIERRE[[#This Row],[BONI AAC]]&lt;&gt;0,1,"")</f>
        <v/>
      </c>
      <c r="AU26" s="188" t="str">
        <f>IF(PORTEFEUILLE_MARIE_PIERRE[[#This Row],[MALI AAC]]&lt;&gt;0,1,"")</f>
        <v/>
      </c>
      <c r="AV26" s="225">
        <f>IF(AP26&lt;&gt;"",IF((AP26*Paramètres!$H$4)-PORTEFEUILLE_MARIE_PIERRE[[#This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€]]-(DELPHINE!AP25*Paramètres!$H$4),0),0)</f>
        <v>0</v>
      </c>
      <c r="AW26" s="225">
        <f>IF(AP26&lt;&gt;"",IF(((AP26*Paramètres!$H$4)-PORTEFEUILLE_MARIE_PIERRE[[#This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6" s="190" t="str">
        <f>IF(PORTEFEUILLE_MARIE_PIERRE[[#This Row],[BONI COMPTABLE]]&lt;&gt;0,1,"")</f>
        <v/>
      </c>
      <c r="AY26" s="190" t="str">
        <f>IF(PORTEFEUILLE_MARIE_PIERRE[[#This Row],[MALI COMPTABLE]]&lt;&gt;0,1,"")</f>
        <v/>
      </c>
      <c r="AZ26" s="196"/>
      <c r="BA26" s="188"/>
      <c r="BB26" s="188"/>
      <c r="BC26" s="188"/>
      <c r="BD26" s="188"/>
      <c r="BE26" s="188"/>
      <c r="BF26" s="188"/>
      <c r="BG26" s="192"/>
      <c r="BH26" s="194"/>
      <c r="BI26" s="194"/>
      <c r="BJ26" s="195"/>
      <c r="BK26" s="194"/>
    </row>
    <row r="27" spans="1:63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SUM(PORTEFEUILLE_MARIE_PIERRE[[#This Row],[PCR COMPTABLE €]:[MONTANT
RESPONSABLE RELATION CLIENT €]])-PORTEFEUILLE_MARIE_PIERRE[[#This Row],[MONTANT TOTAL LETTRE DE MISION €]]</f>
        <v>0</v>
      </c>
      <c r="AI27" s="191"/>
      <c r="AJ27" s="188"/>
      <c r="AK27" s="188"/>
      <c r="AL27" s="188"/>
      <c r="AM27" s="191"/>
      <c r="AN27" s="196"/>
      <c r="AO27" s="196"/>
      <c r="AP27" s="196"/>
      <c r="AQ27" s="196"/>
      <c r="AR2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7" s="188" t="str">
        <f>IF(PORTEFEUILLE_MARIE_PIERRE[[#This Row],[BONI AAC]]&lt;&gt;0,1,"")</f>
        <v/>
      </c>
      <c r="AU27" s="188" t="str">
        <f>IF(PORTEFEUILLE_MARIE_PIERRE[[#This Row],[MALI AAC]]&lt;&gt;0,1,"")</f>
        <v/>
      </c>
      <c r="AV27" s="225">
        <f>IF(AP27&lt;&gt;"",IF((AP27*Paramètres!$H$4)-PORTEFEUILLE_MARIE_PIERRE[[#This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€]]-(DELPHINE!AP26*Paramètres!$H$4),0),0)</f>
        <v>0</v>
      </c>
      <c r="AW27" s="225">
        <f>IF(AP27&lt;&gt;"",IF(((AP27*Paramètres!$H$4)-PORTEFEUILLE_MARIE_PIERRE[[#This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7" s="190" t="str">
        <f>IF(PORTEFEUILLE_MARIE_PIERRE[[#This Row],[BONI COMPTABLE]]&lt;&gt;0,1,"")</f>
        <v/>
      </c>
      <c r="AY27" s="190" t="str">
        <f>IF(PORTEFEUILLE_MARIE_PIERRE[[#This Row],[MALI COMPTABLE]]&lt;&gt;0,1,"")</f>
        <v/>
      </c>
      <c r="AZ27" s="196"/>
      <c r="BA27" s="188"/>
      <c r="BB27" s="188"/>
      <c r="BC27" s="188"/>
      <c r="BD27" s="188"/>
      <c r="BE27" s="188"/>
      <c r="BF27" s="188"/>
      <c r="BG27" s="192"/>
      <c r="BH27" s="194"/>
      <c r="BI27" s="194"/>
      <c r="BJ27" s="195"/>
      <c r="BK27" s="194"/>
    </row>
    <row r="28" spans="1:63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SUM(PORTEFEUILLE_MARIE_PIERRE[[#This Row],[PCR COMPTABLE €]:[MONTANT
RESPONSABLE RELATION CLIENT €]])-PORTEFEUILLE_MARIE_PIERRE[[#This Row],[MONTANT TOTAL LETTRE DE MISION €]]</f>
        <v>0</v>
      </c>
      <c r="AI28" s="191"/>
      <c r="AJ28" s="188"/>
      <c r="AK28" s="188"/>
      <c r="AL28" s="188"/>
      <c r="AM28" s="191"/>
      <c r="AN28" s="188"/>
      <c r="AO28" s="188"/>
      <c r="AP28" s="188"/>
      <c r="AQ28" s="188"/>
      <c r="AR2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8" s="188" t="str">
        <f>IF(PORTEFEUILLE_MARIE_PIERRE[[#This Row],[BONI AAC]]&lt;&gt;0,1,"")</f>
        <v/>
      </c>
      <c r="AU28" s="188" t="str">
        <f>IF(PORTEFEUILLE_MARIE_PIERRE[[#This Row],[MALI AAC]]&lt;&gt;0,1,"")</f>
        <v/>
      </c>
      <c r="AV28" s="225">
        <f>IF(AP28&lt;&gt;"",IF((AP28*Paramètres!$H$4)-PORTEFEUILLE_MARIE_PIERRE[[#This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€]]-(DELPHINE!AP27*Paramètres!$H$4),0),0)</f>
        <v>0</v>
      </c>
      <c r="AW28" s="225">
        <f>IF(AP28&lt;&gt;"",IF(((AP28*Paramètres!$H$4)-PORTEFEUILLE_MARIE_PIERRE[[#This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8" s="190" t="str">
        <f>IF(PORTEFEUILLE_MARIE_PIERRE[[#This Row],[BONI COMPTABLE]]&lt;&gt;0,1,"")</f>
        <v/>
      </c>
      <c r="AY28" s="190" t="str">
        <f>IF(PORTEFEUILLE_MARIE_PIERRE[[#This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6"/>
      <c r="BI28" s="196"/>
      <c r="BJ28" s="198"/>
      <c r="BK28" s="196"/>
    </row>
    <row r="29" spans="1:63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SUM(PORTEFEUILLE_MARIE_PIERRE[[#This Row],[PCR COMPTABLE €]:[MONTANT
RESPONSABLE RELATION CLIENT €]])-PORTEFEUILLE_MARIE_PIERRE[[#This Row],[MONTANT TOTAL LETTRE DE MISION €]]</f>
        <v>0</v>
      </c>
      <c r="AI29" s="191"/>
      <c r="AJ29" s="188"/>
      <c r="AK29" s="188"/>
      <c r="AL29" s="188"/>
      <c r="AM29" s="191"/>
      <c r="AN29" s="188"/>
      <c r="AO29" s="188"/>
      <c r="AP29" s="188"/>
      <c r="AQ29" s="188"/>
      <c r="AR2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2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29" s="188" t="str">
        <f>IF(PORTEFEUILLE_MARIE_PIERRE[[#This Row],[BONI AAC]]&lt;&gt;0,1,"")</f>
        <v/>
      </c>
      <c r="AU29" s="188" t="str">
        <f>IF(PORTEFEUILLE_MARIE_PIERRE[[#This Row],[MALI AAC]]&lt;&gt;0,1,"")</f>
        <v/>
      </c>
      <c r="AV29" s="225">
        <f>IF(AP29&lt;&gt;"",IF((AP29*Paramètres!$H$4)-PORTEFEUILLE_MARIE_PIERRE[[#This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€]]-(DELPHINE!AP28*Paramètres!$H$4),0),0)</f>
        <v>0</v>
      </c>
      <c r="AW29" s="225">
        <f>IF(AP29&lt;&gt;"",IF(((AP29*Paramètres!$H$4)-PORTEFEUILLE_MARIE_PIERRE[[#This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29" s="190" t="str">
        <f>IF(PORTEFEUILLE_MARIE_PIERRE[[#This Row],[BONI COMPTABLE]]&lt;&gt;0,1,"")</f>
        <v/>
      </c>
      <c r="AY29" s="190" t="str">
        <f>IF(PORTEFEUILLE_MARIE_PIERRE[[#This Row],[MALI COMPTABLE]]&lt;&gt;0,1,"")</f>
        <v/>
      </c>
      <c r="AZ29" s="188"/>
      <c r="BA29" s="188"/>
      <c r="BB29" s="188"/>
      <c r="BC29" s="188"/>
      <c r="BD29" s="196"/>
      <c r="BE29" s="196"/>
      <c r="BF29" s="196"/>
      <c r="BG29" s="192"/>
      <c r="BH29" s="194"/>
      <c r="BI29" s="194"/>
      <c r="BJ29" s="195"/>
      <c r="BK29" s="194"/>
    </row>
    <row r="30" spans="1:63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SUM(PORTEFEUILLE_MARIE_PIERRE[[#This Row],[PCR COMPTABLE €]:[MONTANT
RESPONSABLE RELATION CLIENT €]])-PORTEFEUILLE_MARIE_PIERRE[[#This Row],[MONTANT TOTAL LETTRE DE MISION €]]</f>
        <v>0</v>
      </c>
      <c r="AI30" s="191"/>
      <c r="AJ30" s="188"/>
      <c r="AK30" s="188"/>
      <c r="AL30" s="188"/>
      <c r="AM30" s="191"/>
      <c r="AN30" s="188"/>
      <c r="AO30" s="188"/>
      <c r="AP30" s="188"/>
      <c r="AQ30" s="188"/>
      <c r="AR3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0" s="188" t="str">
        <f>IF(PORTEFEUILLE_MARIE_PIERRE[[#This Row],[BONI AAC]]&lt;&gt;0,1,"")</f>
        <v/>
      </c>
      <c r="AU30" s="188" t="str">
        <f>IF(PORTEFEUILLE_MARIE_PIERRE[[#This Row],[MALI AAC]]&lt;&gt;0,1,"")</f>
        <v/>
      </c>
      <c r="AV30" s="225">
        <f>IF(AP30&lt;&gt;"",IF((AP30*Paramètres!$H$4)-PORTEFEUILLE_MARIE_PIERRE[[#This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€]]-(DELPHINE!AP29*Paramètres!$H$4),0),0)</f>
        <v>0</v>
      </c>
      <c r="AW30" s="225">
        <f>IF(AP30&lt;&gt;"",IF(((AP30*Paramètres!$H$4)-PORTEFEUILLE_MARIE_PIERRE[[#This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0" s="190" t="str">
        <f>IF(PORTEFEUILLE_MARIE_PIERRE[[#This Row],[BONI COMPTABLE]]&lt;&gt;0,1,"")</f>
        <v/>
      </c>
      <c r="AY30" s="190" t="str">
        <f>IF(PORTEFEUILLE_MARIE_PIERRE[[#This Row],[MALI COMPTABLE]]&lt;&gt;0,1,"")</f>
        <v/>
      </c>
      <c r="AZ30" s="188"/>
      <c r="BA30" s="188"/>
      <c r="BB30" s="188"/>
      <c r="BC30" s="188"/>
      <c r="BD30" s="188"/>
      <c r="BE30" s="188"/>
      <c r="BF30" s="188"/>
      <c r="BG30" s="192"/>
      <c r="BH30" s="194"/>
      <c r="BI30" s="194"/>
      <c r="BJ30" s="195"/>
      <c r="BK30" s="194"/>
    </row>
    <row r="31" spans="1:63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SUM(PORTEFEUILLE_MARIE_PIERRE[[#This Row],[PCR COMPTABLE €]:[MONTANT
RESPONSABLE RELATION CLIENT €]])-PORTEFEUILLE_MARIE_PIERRE[[#This Row],[MONTANT TOTAL LETTRE DE MISION €]]</f>
        <v>0</v>
      </c>
      <c r="AI31" s="191"/>
      <c r="AJ31" s="188"/>
      <c r="AK31" s="188"/>
      <c r="AL31" s="188"/>
      <c r="AM31" s="191"/>
      <c r="AN31" s="188"/>
      <c r="AO31" s="188"/>
      <c r="AP31" s="188"/>
      <c r="AQ31" s="188"/>
      <c r="AR3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1" s="188" t="str">
        <f>IF(PORTEFEUILLE_MARIE_PIERRE[[#This Row],[BONI AAC]]&lt;&gt;0,1,"")</f>
        <v/>
      </c>
      <c r="AU31" s="188" t="str">
        <f>IF(PORTEFEUILLE_MARIE_PIERRE[[#This Row],[MALI AAC]]&lt;&gt;0,1,"")</f>
        <v/>
      </c>
      <c r="AV31" s="225">
        <f>IF(AP31&lt;&gt;"",IF((AP31*Paramètres!$H$4)-PORTEFEUILLE_MARIE_PIERRE[[#This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€]]-(DELPHINE!AP30*Paramètres!$H$4),0),0)</f>
        <v>0</v>
      </c>
      <c r="AW31" s="225">
        <f>IF(AP31&lt;&gt;"",IF(((AP31*Paramètres!$H$4)-PORTEFEUILLE_MARIE_PIERRE[[#This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1" s="190" t="str">
        <f>IF(PORTEFEUILLE_MARIE_PIERRE[[#This Row],[BONI COMPTABLE]]&lt;&gt;0,1,"")</f>
        <v/>
      </c>
      <c r="AY31" s="190" t="str">
        <f>IF(PORTEFEUILLE_MARIE_PIERRE[[#This Row],[MALI COMPTABLE]]&lt;&gt;0,1,"")</f>
        <v/>
      </c>
      <c r="AZ31" s="188"/>
      <c r="BA31" s="188"/>
      <c r="BB31" s="188"/>
      <c r="BC31" s="188"/>
      <c r="BD31" s="196"/>
      <c r="BE31" s="196"/>
      <c r="BF31" s="196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SUM(PORTEFEUILLE_MARIE_PIERRE[[#This Row],[PCR COMPTABLE €]:[MONTANT
RESPONSABLE RELATION CLIENT €]])-PORTEFEUILLE_MARIE_PIERRE[[#This Row],[MONTANT TOTAL LETTRE DE MISION €]]</f>
        <v>0</v>
      </c>
      <c r="AI32" s="191"/>
      <c r="AJ32" s="188"/>
      <c r="AK32" s="188"/>
      <c r="AL32" s="188"/>
      <c r="AM32" s="191"/>
      <c r="AN32" s="188"/>
      <c r="AO32" s="188"/>
      <c r="AP32" s="188"/>
      <c r="AQ32" s="188"/>
      <c r="AR3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2" s="188" t="str">
        <f>IF(PORTEFEUILLE_MARIE_PIERRE[[#This Row],[BONI AAC]]&lt;&gt;0,1,"")</f>
        <v/>
      </c>
      <c r="AU32" s="188" t="str">
        <f>IF(PORTEFEUILLE_MARIE_PIERRE[[#This Row],[MALI AAC]]&lt;&gt;0,1,"")</f>
        <v/>
      </c>
      <c r="AV32" s="225">
        <f>IF(AP32&lt;&gt;"",IF((AP32*Paramètres!$H$4)-PORTEFEUILLE_MARIE_PIERRE[[#This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€]]-(DELPHINE!AP31*Paramètres!$H$4),0),0)</f>
        <v>0</v>
      </c>
      <c r="AW32" s="225">
        <f>IF(AP32&lt;&gt;"",IF(((AP32*Paramètres!$H$4)-PORTEFEUILLE_MARIE_PIERRE[[#This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2" s="190" t="str">
        <f>IF(PORTEFEUILLE_MARIE_PIERRE[[#This Row],[BONI COMPTABLE]]&lt;&gt;0,1,"")</f>
        <v/>
      </c>
      <c r="AY32" s="190" t="str">
        <f>IF(PORTEFEUILLE_MARIE_PIERRE[[#This Row],[MALI COMPTABLE]]&lt;&gt;0,1,"")</f>
        <v/>
      </c>
      <c r="AZ32" s="188"/>
      <c r="BA32" s="188"/>
      <c r="BB32" s="188"/>
      <c r="BC32" s="188"/>
      <c r="BD32" s="188"/>
      <c r="BE32" s="188"/>
      <c r="BF32" s="188"/>
      <c r="BG32" s="192"/>
      <c r="BH32" s="194"/>
      <c r="BI32" s="194"/>
      <c r="BJ32" s="195"/>
      <c r="BK32" s="194"/>
    </row>
    <row r="33" spans="1:63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SUM(PORTEFEUILLE_MARIE_PIERRE[[#This Row],[PCR COMPTABLE €]:[MONTANT
RESPONSABLE RELATION CLIENT €]])-PORTEFEUILLE_MARIE_PIERRE[[#This Row],[MONTANT TOTAL LETTRE DE MISION €]]</f>
        <v>0</v>
      </c>
      <c r="AI33" s="191"/>
      <c r="AJ33" s="188"/>
      <c r="AK33" s="188"/>
      <c r="AL33" s="188"/>
      <c r="AM33" s="191"/>
      <c r="AN33" s="196"/>
      <c r="AO33" s="196"/>
      <c r="AP33" s="196"/>
      <c r="AQ33" s="196"/>
      <c r="AR3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3" s="188" t="str">
        <f>IF(PORTEFEUILLE_MARIE_PIERRE[[#This Row],[BONI AAC]]&lt;&gt;0,1,"")</f>
        <v/>
      </c>
      <c r="AU33" s="188" t="str">
        <f>IF(PORTEFEUILLE_MARIE_PIERRE[[#This Row],[MALI AAC]]&lt;&gt;0,1,"")</f>
        <v/>
      </c>
      <c r="AV33" s="225">
        <f>IF(AP33&lt;&gt;"",IF((AP33*Paramètres!$H$4)-PORTEFEUILLE_MARIE_PIERRE[[#This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€]]-(DELPHINE!AP32*Paramètres!$H$4),0),0)</f>
        <v>0</v>
      </c>
      <c r="AW33" s="225">
        <f>IF(AP33&lt;&gt;"",IF(((AP33*Paramètres!$H$4)-PORTEFEUILLE_MARIE_PIERRE[[#This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3" s="190" t="str">
        <f>IF(PORTEFEUILLE_MARIE_PIERRE[[#This Row],[BONI COMPTABLE]]&lt;&gt;0,1,"")</f>
        <v/>
      </c>
      <c r="AY33" s="190" t="str">
        <f>IF(PORTEFEUILLE_MARIE_PIERRE[[#This Row],[MALI COMPTABLE]]&lt;&gt;0,1,"")</f>
        <v/>
      </c>
      <c r="AZ33" s="196"/>
      <c r="BA33" s="188"/>
      <c r="BB33" s="188"/>
      <c r="BC33" s="188"/>
      <c r="BD33" s="196"/>
      <c r="BE33" s="196"/>
      <c r="BF33" s="196"/>
      <c r="BG33" s="192"/>
      <c r="BH33" s="194"/>
      <c r="BI33" s="194"/>
      <c r="BJ33" s="195"/>
      <c r="BK33" s="194"/>
    </row>
    <row r="34" spans="1:63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SUM(PORTEFEUILLE_MARIE_PIERRE[[#This Row],[PCR COMPTABLE €]:[MONTANT
RESPONSABLE RELATION CLIENT €]])-PORTEFEUILLE_MARIE_PIERRE[[#This Row],[MONTANT TOTAL LETTRE DE MISION €]]</f>
        <v>0</v>
      </c>
      <c r="AI34" s="191"/>
      <c r="AJ34" s="188"/>
      <c r="AK34" s="188"/>
      <c r="AL34" s="188"/>
      <c r="AM34" s="191"/>
      <c r="AN34" s="196"/>
      <c r="AO34" s="196"/>
      <c r="AP34" s="196"/>
      <c r="AQ34" s="196"/>
      <c r="AR3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4" s="188" t="str">
        <f>IF(PORTEFEUILLE_MARIE_PIERRE[[#This Row],[BONI AAC]]&lt;&gt;0,1,"")</f>
        <v/>
      </c>
      <c r="AU34" s="188" t="str">
        <f>IF(PORTEFEUILLE_MARIE_PIERRE[[#This Row],[MALI AAC]]&lt;&gt;0,1,"")</f>
        <v/>
      </c>
      <c r="AV34" s="225">
        <f>IF(AP34&lt;&gt;"",IF((AP34*Paramètres!$H$4)-PORTEFEUILLE_MARIE_PIERRE[[#This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€]]-(DELPHINE!AP33*Paramètres!$H$4),0),0)</f>
        <v>0</v>
      </c>
      <c r="AW34" s="225">
        <f>IF(AP34&lt;&gt;"",IF(((AP34*Paramètres!$H$4)-PORTEFEUILLE_MARIE_PIERRE[[#This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4" s="190" t="str">
        <f>IF(PORTEFEUILLE_MARIE_PIERRE[[#This Row],[BONI COMPTABLE]]&lt;&gt;0,1,"")</f>
        <v/>
      </c>
      <c r="AY34" s="190" t="str">
        <f>IF(PORTEFEUILLE_MARIE_PIERRE[[#This Row],[MALI COMPTABLE]]&lt;&gt;0,1,"")</f>
        <v/>
      </c>
      <c r="AZ34" s="196"/>
      <c r="BA34" s="188"/>
      <c r="BB34" s="188"/>
      <c r="BC34" s="188"/>
      <c r="BD34" s="188"/>
      <c r="BE34" s="188"/>
      <c r="BF34" s="188"/>
      <c r="BG34" s="192"/>
      <c r="BH34" s="194"/>
      <c r="BI34" s="194"/>
      <c r="BJ34" s="195"/>
      <c r="BK34" s="194"/>
    </row>
    <row r="35" spans="1:63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SUM(PORTEFEUILLE_MARIE_PIERRE[[#This Row],[PCR COMPTABLE €]:[MONTANT
RESPONSABLE RELATION CLIENT €]])-PORTEFEUILLE_MARIE_PIERRE[[#This Row],[MONTANT TOTAL LETTRE DE MISION €]]</f>
        <v>0</v>
      </c>
      <c r="AI35" s="191"/>
      <c r="AJ35" s="188"/>
      <c r="AK35" s="188"/>
      <c r="AL35" s="188"/>
      <c r="AM35" s="191"/>
      <c r="AN35" s="188"/>
      <c r="AO35" s="188"/>
      <c r="AP35" s="188"/>
      <c r="AQ35" s="188"/>
      <c r="AR3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5" s="188" t="str">
        <f>IF(PORTEFEUILLE_MARIE_PIERRE[[#This Row],[BONI AAC]]&lt;&gt;0,1,"")</f>
        <v/>
      </c>
      <c r="AU35" s="188" t="str">
        <f>IF(PORTEFEUILLE_MARIE_PIERRE[[#This Row],[MALI AAC]]&lt;&gt;0,1,"")</f>
        <v/>
      </c>
      <c r="AV35" s="225">
        <f>IF(AP35&lt;&gt;"",IF((AP35*Paramètres!$H$4)-PORTEFEUILLE_MARIE_PIERRE[[#This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€]]-(DELPHINE!AP34*Paramètres!$H$4),0),0)</f>
        <v>0</v>
      </c>
      <c r="AW35" s="225">
        <f>IF(AP35&lt;&gt;"",IF(((AP35*Paramètres!$H$4)-PORTEFEUILLE_MARIE_PIERRE[[#This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5" s="190" t="str">
        <f>IF(PORTEFEUILLE_MARIE_PIERRE[[#This Row],[BONI COMPTABLE]]&lt;&gt;0,1,"")</f>
        <v/>
      </c>
      <c r="AY35" s="190" t="str">
        <f>IF(PORTEFEUILLE_MARIE_PIERRE[[#This Row],[MALI COMPTABLE]]&lt;&gt;0,1,"")</f>
        <v/>
      </c>
      <c r="AZ35" s="188"/>
      <c r="BA35" s="188"/>
      <c r="BB35" s="188"/>
      <c r="BC35" s="188"/>
      <c r="BD35" s="188"/>
      <c r="BE35" s="188"/>
      <c r="BF35" s="188"/>
      <c r="BG35" s="192"/>
      <c r="BH35" s="194"/>
      <c r="BI35" s="194"/>
      <c r="BJ35" s="195"/>
      <c r="BK35" s="194"/>
    </row>
    <row r="36" spans="1:63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SUM(PORTEFEUILLE_MARIE_PIERRE[[#This Row],[PCR COMPTABLE €]:[MONTANT
RESPONSABLE RELATION CLIENT €]])-PORTEFEUILLE_MARIE_PIERRE[[#This Row],[MONTANT TOTAL LETTRE DE MISION €]]</f>
        <v>0</v>
      </c>
      <c r="AI36" s="191"/>
      <c r="AJ36" s="188"/>
      <c r="AK36" s="188"/>
      <c r="AL36" s="188"/>
      <c r="AM36" s="191"/>
      <c r="AN36" s="188"/>
      <c r="AO36" s="188"/>
      <c r="AP36" s="188"/>
      <c r="AQ36" s="188"/>
      <c r="AR3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6" s="188" t="str">
        <f>IF(PORTEFEUILLE_MARIE_PIERRE[[#This Row],[BONI AAC]]&lt;&gt;0,1,"")</f>
        <v/>
      </c>
      <c r="AU36" s="188" t="str">
        <f>IF(PORTEFEUILLE_MARIE_PIERRE[[#This Row],[MALI AAC]]&lt;&gt;0,1,"")</f>
        <v/>
      </c>
      <c r="AV36" s="225">
        <f>IF(AP36&lt;&gt;"",IF((AP36*Paramètres!$H$4)-PORTEFEUILLE_MARIE_PIERRE[[#This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€]]-(DELPHINE!AP35*Paramètres!$H$4),0),0)</f>
        <v>0</v>
      </c>
      <c r="AW36" s="225">
        <f>IF(AP36&lt;&gt;"",IF(((AP36*Paramètres!$H$4)-PORTEFEUILLE_MARIE_PIERRE[[#This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6" s="190" t="str">
        <f>IF(PORTEFEUILLE_MARIE_PIERRE[[#This Row],[BONI COMPTABLE]]&lt;&gt;0,1,"")</f>
        <v/>
      </c>
      <c r="AY36" s="190" t="str">
        <f>IF(PORTEFEUILLE_MARIE_PIERRE[[#This Row],[MALI COMPTABLE]]&lt;&gt;0,1,"")</f>
        <v/>
      </c>
      <c r="AZ36" s="188"/>
      <c r="BA36" s="188"/>
      <c r="BB36" s="188"/>
      <c r="BC36" s="188"/>
      <c r="BD36" s="196"/>
      <c r="BE36" s="196"/>
      <c r="BF36" s="196"/>
      <c r="BG36" s="192"/>
      <c r="BH36" s="194"/>
      <c r="BI36" s="194"/>
      <c r="BJ36" s="195"/>
      <c r="BK36" s="194"/>
    </row>
    <row r="37" spans="1:63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SUM(PORTEFEUILLE_MARIE_PIERRE[[#This Row],[PCR COMPTABLE €]:[MONTANT
RESPONSABLE RELATION CLIENT €]])-PORTEFEUILLE_MARIE_PIERRE[[#This Row],[MONTANT TOTAL LETTRE DE MISION €]]</f>
        <v>0</v>
      </c>
      <c r="AI37" s="191"/>
      <c r="AJ37" s="188"/>
      <c r="AK37" s="188"/>
      <c r="AL37" s="188"/>
      <c r="AM37" s="191"/>
      <c r="AN37" s="188"/>
      <c r="AO37" s="188"/>
      <c r="AP37" s="188"/>
      <c r="AQ37" s="188"/>
      <c r="AR3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7" s="188" t="str">
        <f>IF(PORTEFEUILLE_MARIE_PIERRE[[#This Row],[BONI AAC]]&lt;&gt;0,1,"")</f>
        <v/>
      </c>
      <c r="AU37" s="188" t="str">
        <f>IF(PORTEFEUILLE_MARIE_PIERRE[[#This Row],[MALI AAC]]&lt;&gt;0,1,"")</f>
        <v/>
      </c>
      <c r="AV37" s="225">
        <f>IF(AP37&lt;&gt;"",IF((AP37*Paramètres!$H$4)-PORTEFEUILLE_MARIE_PIERRE[[#This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€]]-(DELPHINE!AP36*Paramètres!$H$4),0),0)</f>
        <v>0</v>
      </c>
      <c r="AW37" s="225">
        <f>IF(AP37&lt;&gt;"",IF(((AP37*Paramètres!$H$4)-PORTEFEUILLE_MARIE_PIERRE[[#This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7" s="190" t="str">
        <f>IF(PORTEFEUILLE_MARIE_PIERRE[[#This Row],[BONI COMPTABLE]]&lt;&gt;0,1,"")</f>
        <v/>
      </c>
      <c r="AY37" s="190" t="str">
        <f>IF(PORTEFEUILLE_MARIE_PIERRE[[#This Row],[MALI COMPTABLE]]&lt;&gt;0,1,"")</f>
        <v/>
      </c>
      <c r="AZ37" s="188"/>
      <c r="BA37" s="188"/>
      <c r="BB37" s="188"/>
      <c r="BC37" s="188"/>
      <c r="BD37" s="196"/>
      <c r="BE37" s="196"/>
      <c r="BF37" s="196"/>
      <c r="BG37" s="192"/>
      <c r="BH37" s="194"/>
      <c r="BI37" s="194"/>
      <c r="BJ37" s="195"/>
      <c r="BK37" s="194"/>
    </row>
    <row r="38" spans="1:63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SUM(PORTEFEUILLE_MARIE_PIERRE[[#This Row],[PCR COMPTABLE €]:[MONTANT
RESPONSABLE RELATION CLIENT €]])-PORTEFEUILLE_MARIE_PIERRE[[#This Row],[MONTANT TOTAL LETTRE DE MISION €]]</f>
        <v>0</v>
      </c>
      <c r="AI38" s="191"/>
      <c r="AJ38" s="188"/>
      <c r="AK38" s="188"/>
      <c r="AL38" s="188"/>
      <c r="AM38" s="191"/>
      <c r="AN38" s="188"/>
      <c r="AO38" s="188"/>
      <c r="AP38" s="188"/>
      <c r="AQ38" s="188"/>
      <c r="AR3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8" s="188" t="str">
        <f>IF(PORTEFEUILLE_MARIE_PIERRE[[#This Row],[BONI AAC]]&lt;&gt;0,1,"")</f>
        <v/>
      </c>
      <c r="AU38" s="188" t="str">
        <f>IF(PORTEFEUILLE_MARIE_PIERRE[[#This Row],[MALI AAC]]&lt;&gt;0,1,"")</f>
        <v/>
      </c>
      <c r="AV38" s="225">
        <f>IF(AP38&lt;&gt;"",IF((AP38*Paramètres!$H$4)-PORTEFEUILLE_MARIE_PIERRE[[#This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€]]-(DELPHINE!AP37*Paramètres!$H$4),0),0)</f>
        <v>0</v>
      </c>
      <c r="AW38" s="225">
        <f>IF(AP38&lt;&gt;"",IF(((AP38*Paramètres!$H$4)-PORTEFEUILLE_MARIE_PIERRE[[#This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8" s="190" t="str">
        <f>IF(PORTEFEUILLE_MARIE_PIERRE[[#This Row],[BONI COMPTABLE]]&lt;&gt;0,1,"")</f>
        <v/>
      </c>
      <c r="AY38" s="190" t="str">
        <f>IF(PORTEFEUILLE_MARIE_PIERRE[[#This Row],[MALI COMPTABLE]]&lt;&gt;0,1,"")</f>
        <v/>
      </c>
      <c r="AZ38" s="188"/>
      <c r="BA38" s="188"/>
      <c r="BB38" s="188"/>
      <c r="BC38" s="188"/>
      <c r="BD38" s="196"/>
      <c r="BE38" s="196"/>
      <c r="BF38" s="196"/>
      <c r="BG38" s="192"/>
      <c r="BH38" s="194"/>
      <c r="BI38" s="194"/>
      <c r="BJ38" s="195"/>
      <c r="BK38" s="194"/>
    </row>
    <row r="39" spans="1:63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SUM(PORTEFEUILLE_MARIE_PIERRE[[#This Row],[PCR COMPTABLE €]:[MONTANT
RESPONSABLE RELATION CLIENT €]])-PORTEFEUILLE_MARIE_PIERRE[[#This Row],[MONTANT TOTAL LETTRE DE MISION €]]</f>
        <v>0</v>
      </c>
      <c r="AI39" s="191"/>
      <c r="AJ39" s="188"/>
      <c r="AK39" s="188"/>
      <c r="AL39" s="188"/>
      <c r="AM39" s="191"/>
      <c r="AN39" s="188"/>
      <c r="AO39" s="188"/>
      <c r="AP39" s="188"/>
      <c r="AQ39" s="188"/>
      <c r="AR3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3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39" s="188" t="str">
        <f>IF(PORTEFEUILLE_MARIE_PIERRE[[#This Row],[BONI AAC]]&lt;&gt;0,1,"")</f>
        <v/>
      </c>
      <c r="AU39" s="188" t="str">
        <f>IF(PORTEFEUILLE_MARIE_PIERRE[[#This Row],[MALI AAC]]&lt;&gt;0,1,"")</f>
        <v/>
      </c>
      <c r="AV39" s="225">
        <f>IF(AP39&lt;&gt;"",IF((AP39*Paramètres!$H$4)-PORTEFEUILLE_MARIE_PIERRE[[#This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€]]-(DELPHINE!AP38*Paramètres!$H$4),0),0)</f>
        <v>0</v>
      </c>
      <c r="AW39" s="225">
        <f>IF(AP39&lt;&gt;"",IF(((AP39*Paramètres!$H$4)-PORTEFEUILLE_MARIE_PIERRE[[#This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39" s="190" t="str">
        <f>IF(PORTEFEUILLE_MARIE_PIERRE[[#This Row],[BONI COMPTABLE]]&lt;&gt;0,1,"")</f>
        <v/>
      </c>
      <c r="AY39" s="190" t="str">
        <f>IF(PORTEFEUILLE_MARIE_PIERRE[[#This Row],[MALI COMPTABLE]]&lt;&gt;0,1,"")</f>
        <v/>
      </c>
      <c r="AZ39" s="188"/>
      <c r="BA39" s="188"/>
      <c r="BB39" s="188"/>
      <c r="BC39" s="188"/>
      <c r="BD39" s="188"/>
      <c r="BE39" s="188"/>
      <c r="BF39" s="188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SUM(PORTEFEUILLE_MARIE_PIERRE[[#This Row],[PCR COMPTABLE €]:[MONTANT
RESPONSABLE RELATION CLIENT €]])-PORTEFEUILLE_MARIE_PIERRE[[#This Row],[MONTANT TOTAL LETTRE DE MISION €]]</f>
        <v>0</v>
      </c>
      <c r="AI40" s="191"/>
      <c r="AJ40" s="188"/>
      <c r="AK40" s="188"/>
      <c r="AL40" s="188"/>
      <c r="AM40" s="191"/>
      <c r="AN40" s="188"/>
      <c r="AO40" s="188"/>
      <c r="AP40" s="188"/>
      <c r="AQ40" s="188"/>
      <c r="AR4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0" s="188" t="str">
        <f>IF(PORTEFEUILLE_MARIE_PIERRE[[#This Row],[BONI AAC]]&lt;&gt;0,1,"")</f>
        <v/>
      </c>
      <c r="AU40" s="188" t="str">
        <f>IF(PORTEFEUILLE_MARIE_PIERRE[[#This Row],[MALI AAC]]&lt;&gt;0,1,"")</f>
        <v/>
      </c>
      <c r="AV40" s="225">
        <f>IF(AP40&lt;&gt;"",IF((AP40*Paramètres!$H$4)-PORTEFEUILLE_MARIE_PIERRE[[#This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€]]-(DELPHINE!AP39*Paramètres!$H$4),0),0)</f>
        <v>0</v>
      </c>
      <c r="AW40" s="225">
        <f>IF(AP40&lt;&gt;"",IF(((AP40*Paramètres!$H$4)-PORTEFEUILLE_MARIE_PIERRE[[#This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0" s="190" t="str">
        <f>IF(PORTEFEUILLE_MARIE_PIERRE[[#This Row],[BONI COMPTABLE]]&lt;&gt;0,1,"")</f>
        <v/>
      </c>
      <c r="AY40" s="190" t="str">
        <f>IF(PORTEFEUILLE_MARIE_PIERRE[[#This Row],[MALI COMPTABLE]]&lt;&gt;0,1,"")</f>
        <v/>
      </c>
      <c r="AZ40" s="188"/>
      <c r="BA40" s="188"/>
      <c r="BB40" s="188"/>
      <c r="BC40" s="188"/>
      <c r="BD40" s="188"/>
      <c r="BE40" s="188"/>
      <c r="BF40" s="188"/>
      <c r="BG40" s="192"/>
      <c r="BH40" s="194"/>
      <c r="BI40" s="194"/>
      <c r="BJ40" s="195"/>
      <c r="BK40" s="194"/>
    </row>
    <row r="41" spans="1:63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SUM(PORTEFEUILLE_MARIE_PIERRE[[#This Row],[PCR COMPTABLE €]:[MONTANT
RESPONSABLE RELATION CLIENT €]])-PORTEFEUILLE_MARIE_PIERRE[[#This Row],[MONTANT TOTAL LETTRE DE MISION €]]</f>
        <v>0</v>
      </c>
      <c r="AI41" s="191"/>
      <c r="AJ41" s="188"/>
      <c r="AK41" s="188"/>
      <c r="AL41" s="188"/>
      <c r="AM41" s="191"/>
      <c r="AN41" s="196"/>
      <c r="AO41" s="196"/>
      <c r="AP41" s="196"/>
      <c r="AQ41" s="196"/>
      <c r="AR4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1" s="188" t="str">
        <f>IF(PORTEFEUILLE_MARIE_PIERRE[[#This Row],[BONI AAC]]&lt;&gt;0,1,"")</f>
        <v/>
      </c>
      <c r="AU41" s="188" t="str">
        <f>IF(PORTEFEUILLE_MARIE_PIERRE[[#This Row],[MALI AAC]]&lt;&gt;0,1,"")</f>
        <v/>
      </c>
      <c r="AV41" s="225">
        <f>IF(AP41&lt;&gt;"",IF((AP41*Paramètres!$H$4)-PORTEFEUILLE_MARIE_PIERRE[[#This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€]]-(DELPHINE!AP40*Paramètres!$H$4),0),0)</f>
        <v>0</v>
      </c>
      <c r="AW41" s="225">
        <f>IF(AP41&lt;&gt;"",IF(((AP41*Paramètres!$H$4)-PORTEFEUILLE_MARIE_PIERRE[[#This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1" s="190" t="str">
        <f>IF(PORTEFEUILLE_MARIE_PIERRE[[#This Row],[BONI COMPTABLE]]&lt;&gt;0,1,"")</f>
        <v/>
      </c>
      <c r="AY41" s="190" t="str">
        <f>IF(PORTEFEUILLE_MARIE_PIERRE[[#This Row],[MALI COMPTABLE]]&lt;&gt;0,1,"")</f>
        <v/>
      </c>
      <c r="AZ41" s="196"/>
      <c r="BA41" s="188"/>
      <c r="BB41" s="188"/>
      <c r="BC41" s="188"/>
      <c r="BD41" s="188"/>
      <c r="BE41" s="188"/>
      <c r="BF41" s="188"/>
      <c r="BG41" s="192"/>
      <c r="BH41" s="194"/>
      <c r="BI41" s="194"/>
      <c r="BJ41" s="195"/>
      <c r="BK41" s="194"/>
    </row>
    <row r="42" spans="1:63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SUM(PORTEFEUILLE_MARIE_PIERRE[[#This Row],[PCR COMPTABLE €]:[MONTANT
RESPONSABLE RELATION CLIENT €]])-PORTEFEUILLE_MARIE_PIERRE[[#This Row],[MONTANT TOTAL LETTRE DE MISION €]]</f>
        <v>0</v>
      </c>
      <c r="AI42" s="191"/>
      <c r="AJ42" s="188"/>
      <c r="AK42" s="188"/>
      <c r="AL42" s="188"/>
      <c r="AM42" s="191"/>
      <c r="AN42" s="196"/>
      <c r="AO42" s="196"/>
      <c r="AP42" s="196"/>
      <c r="AQ42" s="196"/>
      <c r="AR4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2" s="188" t="str">
        <f>IF(PORTEFEUILLE_MARIE_PIERRE[[#This Row],[BONI AAC]]&lt;&gt;0,1,"")</f>
        <v/>
      </c>
      <c r="AU42" s="188" t="str">
        <f>IF(PORTEFEUILLE_MARIE_PIERRE[[#This Row],[MALI AAC]]&lt;&gt;0,1,"")</f>
        <v/>
      </c>
      <c r="AV42" s="225">
        <f>IF(AP42&lt;&gt;"",IF((AP42*Paramètres!$H$4)-PORTEFEUILLE_MARIE_PIERRE[[#This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€]]-(DELPHINE!AP41*Paramètres!$H$4),0),0)</f>
        <v>0</v>
      </c>
      <c r="AW42" s="225">
        <f>IF(AP42&lt;&gt;"",IF(((AP42*Paramètres!$H$4)-PORTEFEUILLE_MARIE_PIERRE[[#This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2" s="190" t="str">
        <f>IF(PORTEFEUILLE_MARIE_PIERRE[[#This Row],[BONI COMPTABLE]]&lt;&gt;0,1,"")</f>
        <v/>
      </c>
      <c r="AY42" s="190" t="str">
        <f>IF(PORTEFEUILLE_MARIE_PIERRE[[#This Row],[MALI COMPTABLE]]&lt;&gt;0,1,"")</f>
        <v/>
      </c>
      <c r="AZ42" s="196"/>
      <c r="BA42" s="188"/>
      <c r="BB42" s="188"/>
      <c r="BC42" s="188"/>
      <c r="BD42" s="196"/>
      <c r="BE42" s="196"/>
      <c r="BF42" s="196"/>
      <c r="BG42" s="192"/>
      <c r="BH42" s="194"/>
      <c r="BI42" s="194"/>
      <c r="BJ42" s="195"/>
      <c r="BK42" s="194"/>
    </row>
    <row r="43" spans="1:63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SUM(PORTEFEUILLE_MARIE_PIERRE[[#This Row],[PCR COMPTABLE €]:[MONTANT
RESPONSABLE RELATION CLIENT €]])-PORTEFEUILLE_MARIE_PIERRE[[#This Row],[MONTANT TOTAL LETTRE DE MISION €]]</f>
        <v>0</v>
      </c>
      <c r="AI43" s="191"/>
      <c r="AJ43" s="188"/>
      <c r="AK43" s="188"/>
      <c r="AL43" s="188"/>
      <c r="AM43" s="191"/>
      <c r="AN43" s="188"/>
      <c r="AO43" s="188"/>
      <c r="AP43" s="188"/>
      <c r="AQ43" s="188"/>
      <c r="AR4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3" s="188" t="str">
        <f>IF(PORTEFEUILLE_MARIE_PIERRE[[#This Row],[BONI AAC]]&lt;&gt;0,1,"")</f>
        <v/>
      </c>
      <c r="AU43" s="188" t="str">
        <f>IF(PORTEFEUILLE_MARIE_PIERRE[[#This Row],[MALI AAC]]&lt;&gt;0,1,"")</f>
        <v/>
      </c>
      <c r="AV43" s="225">
        <f>IF(AP43&lt;&gt;"",IF((AP43*Paramètres!$H$4)-PORTEFEUILLE_MARIE_PIERRE[[#This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€]]-(DELPHINE!AP42*Paramètres!$H$4),0),0)</f>
        <v>0</v>
      </c>
      <c r="AW43" s="225">
        <f>IF(AP43&lt;&gt;"",IF(((AP43*Paramètres!$H$4)-PORTEFEUILLE_MARIE_PIERRE[[#This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3" s="190" t="str">
        <f>IF(PORTEFEUILLE_MARIE_PIERRE[[#This Row],[BONI COMPTABLE]]&lt;&gt;0,1,"")</f>
        <v/>
      </c>
      <c r="AY43" s="190" t="str">
        <f>IF(PORTEFEUILLE_MARIE_PIERRE[[#This Row],[MALI COMPTABLE]]&lt;&gt;0,1,"")</f>
        <v/>
      </c>
      <c r="AZ43" s="188"/>
      <c r="BA43" s="188"/>
      <c r="BB43" s="188"/>
      <c r="BC43" s="188"/>
      <c r="BD43" s="196"/>
      <c r="BE43" s="196"/>
      <c r="BF43" s="196"/>
      <c r="BG43" s="192"/>
      <c r="BH43" s="194"/>
      <c r="BI43" s="194"/>
      <c r="BJ43" s="195"/>
      <c r="BK43" s="194"/>
    </row>
    <row r="44" spans="1:63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SUM(PORTEFEUILLE_MARIE_PIERRE[[#This Row],[PCR COMPTABLE €]:[MONTANT
RESPONSABLE RELATION CLIENT €]])-PORTEFEUILLE_MARIE_PIERRE[[#This Row],[MONTANT TOTAL LETTRE DE MISION €]]</f>
        <v>0</v>
      </c>
      <c r="AI44" s="191"/>
      <c r="AJ44" s="188"/>
      <c r="AK44" s="188"/>
      <c r="AL44" s="188"/>
      <c r="AM44" s="191"/>
      <c r="AN44" s="188"/>
      <c r="AO44" s="188"/>
      <c r="AP44" s="188"/>
      <c r="AQ44" s="188"/>
      <c r="AR4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4" s="188" t="str">
        <f>IF(PORTEFEUILLE_MARIE_PIERRE[[#This Row],[BONI AAC]]&lt;&gt;0,1,"")</f>
        <v/>
      </c>
      <c r="AU44" s="188" t="str">
        <f>IF(PORTEFEUILLE_MARIE_PIERRE[[#This Row],[MALI AAC]]&lt;&gt;0,1,"")</f>
        <v/>
      </c>
      <c r="AV44" s="225">
        <f>IF(AP44&lt;&gt;"",IF((AP44*Paramètres!$H$4)-PORTEFEUILLE_MARIE_PIERRE[[#This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€]]-(DELPHINE!AP43*Paramètres!$H$4),0),0)</f>
        <v>0</v>
      </c>
      <c r="AW44" s="225">
        <f>IF(AP44&lt;&gt;"",IF(((AP44*Paramètres!$H$4)-PORTEFEUILLE_MARIE_PIERRE[[#This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4" s="190" t="str">
        <f>IF(PORTEFEUILLE_MARIE_PIERRE[[#This Row],[BONI COMPTABLE]]&lt;&gt;0,1,"")</f>
        <v/>
      </c>
      <c r="AY44" s="190" t="str">
        <f>IF(PORTEFEUILLE_MARIE_PIERRE[[#This Row],[MALI COMPTABLE]]&lt;&gt;0,1,"")</f>
        <v/>
      </c>
      <c r="AZ44" s="188"/>
      <c r="BA44" s="188"/>
      <c r="BB44" s="188"/>
      <c r="BC44" s="188"/>
      <c r="BD44" s="196"/>
      <c r="BE44" s="196"/>
      <c r="BF44" s="196"/>
      <c r="BG44" s="192"/>
      <c r="BH44" s="194"/>
      <c r="BI44" s="194"/>
      <c r="BJ44" s="195"/>
      <c r="BK44" s="194"/>
    </row>
    <row r="45" spans="1:63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SUM(PORTEFEUILLE_MARIE_PIERRE[[#This Row],[PCR COMPTABLE €]:[MONTANT
RESPONSABLE RELATION CLIENT €]])-PORTEFEUILLE_MARIE_PIERRE[[#This Row],[MONTANT TOTAL LETTRE DE MISION €]]</f>
        <v>0</v>
      </c>
      <c r="AI45" s="191"/>
      <c r="AJ45" s="188"/>
      <c r="AK45" s="188"/>
      <c r="AL45" s="188"/>
      <c r="AM45" s="191"/>
      <c r="AN45" s="188"/>
      <c r="AO45" s="188"/>
      <c r="AP45" s="188"/>
      <c r="AQ45" s="188"/>
      <c r="AR4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5" s="188" t="str">
        <f>IF(PORTEFEUILLE_MARIE_PIERRE[[#This Row],[BONI AAC]]&lt;&gt;0,1,"")</f>
        <v/>
      </c>
      <c r="AU45" s="188" t="str">
        <f>IF(PORTEFEUILLE_MARIE_PIERRE[[#This Row],[MALI AAC]]&lt;&gt;0,1,"")</f>
        <v/>
      </c>
      <c r="AV45" s="225">
        <f>IF(AP45&lt;&gt;"",IF((AP45*Paramètres!$H$4)-PORTEFEUILLE_MARIE_PIERRE[[#This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€]]-(DELPHINE!AP44*Paramètres!$H$4),0),0)</f>
        <v>0</v>
      </c>
      <c r="AW45" s="225">
        <f>IF(AP45&lt;&gt;"",IF(((AP45*Paramètres!$H$4)-PORTEFEUILLE_MARIE_PIERRE[[#This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5" s="190" t="str">
        <f>IF(PORTEFEUILLE_MARIE_PIERRE[[#This Row],[BONI COMPTABLE]]&lt;&gt;0,1,"")</f>
        <v/>
      </c>
      <c r="AY45" s="190" t="str">
        <f>IF(PORTEFEUILLE_MARIE_PIERRE[[#This Row],[MALI COMPTABLE]]&lt;&gt;0,1,"")</f>
        <v/>
      </c>
      <c r="AZ45" s="188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SUM(PORTEFEUILLE_MARIE_PIERRE[[#This Row],[PCR COMPTABLE €]:[MONTANT
RESPONSABLE RELATION CLIENT €]])-PORTEFEUILLE_MARIE_PIERRE[[#This Row],[MONTANT TOTAL LETTRE DE MISION €]]</f>
        <v>0</v>
      </c>
      <c r="AI46" s="191"/>
      <c r="AJ46" s="188"/>
      <c r="AK46" s="188"/>
      <c r="AL46" s="188"/>
      <c r="AM46" s="191"/>
      <c r="AN46" s="196"/>
      <c r="AO46" s="196"/>
      <c r="AP46" s="196"/>
      <c r="AQ46" s="196"/>
      <c r="AR4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6" s="188" t="str">
        <f>IF(PORTEFEUILLE_MARIE_PIERRE[[#This Row],[BONI AAC]]&lt;&gt;0,1,"")</f>
        <v/>
      </c>
      <c r="AU46" s="188" t="str">
        <f>IF(PORTEFEUILLE_MARIE_PIERRE[[#This Row],[MALI AAC]]&lt;&gt;0,1,"")</f>
        <v/>
      </c>
      <c r="AV46" s="225">
        <f>IF(AP46&lt;&gt;"",IF((AP46*Paramètres!$H$4)-PORTEFEUILLE_MARIE_PIERRE[[#This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€]]-(DELPHINE!AP45*Paramètres!$H$4),0),0)</f>
        <v>0</v>
      </c>
      <c r="AW46" s="225">
        <f>IF(AP46&lt;&gt;"",IF(((AP46*Paramètres!$H$4)-PORTEFEUILLE_MARIE_PIERRE[[#This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6" s="190" t="str">
        <f>IF(PORTEFEUILLE_MARIE_PIERRE[[#This Row],[BONI COMPTABLE]]&lt;&gt;0,1,"")</f>
        <v/>
      </c>
      <c r="AY46" s="190" t="str">
        <f>IF(PORTEFEUILLE_MARIE_PIERRE[[#This Row],[MALI COMPTABLE]]&lt;&gt;0,1,"")</f>
        <v/>
      </c>
      <c r="AZ46" s="196"/>
      <c r="BA46" s="188"/>
      <c r="BB46" s="188"/>
      <c r="BC46" s="188"/>
      <c r="BD46" s="188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SUM(PORTEFEUILLE_MARIE_PIERRE[[#This Row],[PCR COMPTABLE €]:[MONTANT
RESPONSABLE RELATION CLIENT €]])-PORTEFEUILLE_MARIE_PIERRE[[#This Row],[MONTANT TOTAL LETTRE DE MISION €]]</f>
        <v>0</v>
      </c>
      <c r="AI47" s="191"/>
      <c r="AJ47" s="188"/>
      <c r="AK47" s="188"/>
      <c r="AL47" s="188"/>
      <c r="AM47" s="191"/>
      <c r="AN47" s="188"/>
      <c r="AO47" s="188"/>
      <c r="AP47" s="188"/>
      <c r="AQ47" s="188"/>
      <c r="AR4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7" s="188" t="str">
        <f>IF(PORTEFEUILLE_MARIE_PIERRE[[#This Row],[BONI AAC]]&lt;&gt;0,1,"")</f>
        <v/>
      </c>
      <c r="AU47" s="188" t="str">
        <f>IF(PORTEFEUILLE_MARIE_PIERRE[[#This Row],[MALI AAC]]&lt;&gt;0,1,"")</f>
        <v/>
      </c>
      <c r="AV47" s="225">
        <f>IF(AP47&lt;&gt;"",IF((AP47*Paramètres!$H$4)-PORTEFEUILLE_MARIE_PIERRE[[#This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€]]-(DELPHINE!AP46*Paramètres!$H$4),0),0)</f>
        <v>0</v>
      </c>
      <c r="AW47" s="225">
        <f>IF(AP47&lt;&gt;"",IF(((AP47*Paramètres!$H$4)-PORTEFEUILLE_MARIE_PIERRE[[#This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7" s="190" t="str">
        <f>IF(PORTEFEUILLE_MARIE_PIERRE[[#This Row],[BONI COMPTABLE]]&lt;&gt;0,1,"")</f>
        <v/>
      </c>
      <c r="AY47" s="190" t="str">
        <f>IF(PORTEFEUILLE_MARIE_PIERRE[[#This Row],[MALI COMPTABLE]]&lt;&gt;0,1,"")</f>
        <v/>
      </c>
      <c r="AZ47" s="188"/>
      <c r="BA47" s="188"/>
      <c r="BB47" s="188"/>
      <c r="BC47" s="188"/>
      <c r="BD47" s="188"/>
      <c r="BE47" s="188"/>
      <c r="BF47" s="188"/>
      <c r="BG47" s="192"/>
      <c r="BH47" s="194"/>
      <c r="BI47" s="194"/>
      <c r="BJ47" s="195"/>
      <c r="BK47" s="194"/>
    </row>
    <row r="48" spans="1:63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SUM(PORTEFEUILLE_MARIE_PIERRE[[#This Row],[PCR COMPTABLE €]:[MONTANT
RESPONSABLE RELATION CLIENT €]])-PORTEFEUILLE_MARIE_PIERRE[[#This Row],[MONTANT TOTAL LETTRE DE MISION €]]</f>
        <v>0</v>
      </c>
      <c r="AI48" s="191"/>
      <c r="AJ48" s="188"/>
      <c r="AK48" s="188"/>
      <c r="AL48" s="188"/>
      <c r="AM48" s="191"/>
      <c r="AN48" s="196"/>
      <c r="AO48" s="196"/>
      <c r="AP48" s="196"/>
      <c r="AQ48" s="196"/>
      <c r="AR4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8" s="188" t="str">
        <f>IF(PORTEFEUILLE_MARIE_PIERRE[[#This Row],[BONI AAC]]&lt;&gt;0,1,"")</f>
        <v/>
      </c>
      <c r="AU48" s="188" t="str">
        <f>IF(PORTEFEUILLE_MARIE_PIERRE[[#This Row],[MALI AAC]]&lt;&gt;0,1,"")</f>
        <v/>
      </c>
      <c r="AV48" s="225">
        <f>IF(AP48&lt;&gt;"",IF((AP48*Paramètres!$H$4)-PORTEFEUILLE_MARIE_PIERRE[[#This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€]]-(DELPHINE!AP47*Paramètres!$H$4),0),0)</f>
        <v>0</v>
      </c>
      <c r="AW48" s="225">
        <f>IF(AP48&lt;&gt;"",IF(((AP48*Paramètres!$H$4)-PORTEFEUILLE_MARIE_PIERRE[[#This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8" s="190" t="str">
        <f>IF(PORTEFEUILLE_MARIE_PIERRE[[#This Row],[BONI COMPTABLE]]&lt;&gt;0,1,"")</f>
        <v/>
      </c>
      <c r="AY48" s="190" t="str">
        <f>IF(PORTEFEUILLE_MARIE_PIERRE[[#This Row],[MALI COMPTABLE]]&lt;&gt;0,1,"")</f>
        <v/>
      </c>
      <c r="AZ48" s="196"/>
      <c r="BA48" s="188"/>
      <c r="BB48" s="188"/>
      <c r="BC48" s="188"/>
      <c r="BD48" s="188"/>
      <c r="BE48" s="188"/>
      <c r="BF48" s="188"/>
      <c r="BG48" s="192"/>
      <c r="BH48" s="194"/>
      <c r="BI48" s="194"/>
      <c r="BJ48" s="195"/>
      <c r="BK48" s="194"/>
    </row>
    <row r="49" spans="1:63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SUM(PORTEFEUILLE_MARIE_PIERRE[[#This Row],[PCR COMPTABLE €]:[MONTANT
RESPONSABLE RELATION CLIENT €]])-PORTEFEUILLE_MARIE_PIERRE[[#This Row],[MONTANT TOTAL LETTRE DE MISION €]]</f>
        <v>0</v>
      </c>
      <c r="AI49" s="191"/>
      <c r="AJ49" s="188"/>
      <c r="AK49" s="188"/>
      <c r="AL49" s="188"/>
      <c r="AM49" s="191"/>
      <c r="AN49" s="188"/>
      <c r="AO49" s="188"/>
      <c r="AP49" s="188"/>
      <c r="AQ49" s="188"/>
      <c r="AR4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4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49" s="188" t="str">
        <f>IF(PORTEFEUILLE_MARIE_PIERRE[[#This Row],[BONI AAC]]&lt;&gt;0,1,"")</f>
        <v/>
      </c>
      <c r="AU49" s="188" t="str">
        <f>IF(PORTEFEUILLE_MARIE_PIERRE[[#This Row],[MALI AAC]]&lt;&gt;0,1,"")</f>
        <v/>
      </c>
      <c r="AV49" s="225">
        <f>IF(AP49&lt;&gt;"",IF((AP49*Paramètres!$H$4)-PORTEFEUILLE_MARIE_PIERRE[[#This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€]]-(DELPHINE!AP48*Paramètres!$H$4),0),0)</f>
        <v>0</v>
      </c>
      <c r="AW49" s="225">
        <f>IF(AP49&lt;&gt;"",IF(((AP49*Paramètres!$H$4)-PORTEFEUILLE_MARIE_PIERRE[[#This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49" s="190" t="str">
        <f>IF(PORTEFEUILLE_MARIE_PIERRE[[#This Row],[BONI COMPTABLE]]&lt;&gt;0,1,"")</f>
        <v/>
      </c>
      <c r="AY49" s="190" t="str">
        <f>IF(PORTEFEUILLE_MARIE_PIERRE[[#This Row],[MALI COMPTABLE]]&lt;&gt;0,1,"")</f>
        <v/>
      </c>
      <c r="AZ49" s="188"/>
      <c r="BA49" s="188"/>
      <c r="BB49" s="188"/>
      <c r="BC49" s="188"/>
      <c r="BD49" s="196"/>
      <c r="BE49" s="188"/>
      <c r="BF49" s="188"/>
      <c r="BG49" s="192"/>
      <c r="BH49" s="194"/>
      <c r="BI49" s="194"/>
      <c r="BJ49" s="195"/>
      <c r="BK49" s="194"/>
    </row>
    <row r="50" spans="1:63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SUM(PORTEFEUILLE_MARIE_PIERRE[[#This Row],[PCR COMPTABLE €]:[MONTANT
RESPONSABLE RELATION CLIENT €]])-PORTEFEUILLE_MARIE_PIERRE[[#This Row],[MONTANT TOTAL LETTRE DE MISION €]]</f>
        <v>0</v>
      </c>
      <c r="AI50" s="191"/>
      <c r="AJ50" s="188"/>
      <c r="AK50" s="188"/>
      <c r="AL50" s="188"/>
      <c r="AM50" s="191"/>
      <c r="AN50" s="196"/>
      <c r="AO50" s="196"/>
      <c r="AP50" s="196"/>
      <c r="AQ50" s="196"/>
      <c r="AR5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0" s="188" t="str">
        <f>IF(PORTEFEUILLE_MARIE_PIERRE[[#This Row],[BONI AAC]]&lt;&gt;0,1,"")</f>
        <v/>
      </c>
      <c r="AU50" s="188" t="str">
        <f>IF(PORTEFEUILLE_MARIE_PIERRE[[#This Row],[MALI AAC]]&lt;&gt;0,1,"")</f>
        <v/>
      </c>
      <c r="AV50" s="225">
        <f>IF(AP50&lt;&gt;"",IF((AP50*Paramètres!$H$4)-PORTEFEUILLE_MARIE_PIERRE[[#This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€]]-(DELPHINE!AP49*Paramètres!$H$4),0),0)</f>
        <v>0</v>
      </c>
      <c r="AW50" s="225">
        <f>IF(AP50&lt;&gt;"",IF(((AP50*Paramètres!$H$4)-PORTEFEUILLE_MARIE_PIERRE[[#This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0" s="190" t="str">
        <f>IF(PORTEFEUILLE_MARIE_PIERRE[[#This Row],[BONI COMPTABLE]]&lt;&gt;0,1,"")</f>
        <v/>
      </c>
      <c r="AY50" s="190" t="str">
        <f>IF(PORTEFEUILLE_MARIE_PIERRE[[#This Row],[MALI COMPTABLE]]&lt;&gt;0,1,"")</f>
        <v/>
      </c>
      <c r="AZ50" s="196"/>
      <c r="BA50" s="188"/>
      <c r="BB50" s="188"/>
      <c r="BC50" s="188"/>
      <c r="BD50" s="196"/>
      <c r="BE50" s="196"/>
      <c r="BF50" s="196"/>
      <c r="BG50" s="192"/>
      <c r="BH50" s="194"/>
      <c r="BI50" s="194"/>
      <c r="BJ50" s="195"/>
      <c r="BK50" s="194"/>
    </row>
    <row r="51" spans="1:63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SUM(PORTEFEUILLE_MARIE_PIERRE[[#This Row],[PCR COMPTABLE €]:[MONTANT
RESPONSABLE RELATION CLIENT €]])-PORTEFEUILLE_MARIE_PIERRE[[#This Row],[MONTANT TOTAL LETTRE DE MISION €]]</f>
        <v>0</v>
      </c>
      <c r="AI51" s="191"/>
      <c r="AJ51" s="188"/>
      <c r="AK51" s="188"/>
      <c r="AL51" s="188"/>
      <c r="AM51" s="191"/>
      <c r="AN51" s="196"/>
      <c r="AO51" s="196"/>
      <c r="AP51" s="196"/>
      <c r="AQ51" s="196"/>
      <c r="AR5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1" s="188" t="str">
        <f>IF(PORTEFEUILLE_MARIE_PIERRE[[#This Row],[BONI AAC]]&lt;&gt;0,1,"")</f>
        <v/>
      </c>
      <c r="AU51" s="188" t="str">
        <f>IF(PORTEFEUILLE_MARIE_PIERRE[[#This Row],[MALI AAC]]&lt;&gt;0,1,"")</f>
        <v/>
      </c>
      <c r="AV51" s="225">
        <f>IF(AP51&lt;&gt;"",IF((AP51*Paramètres!$H$4)-PORTEFEUILLE_MARIE_PIERRE[[#This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€]]-(DELPHINE!AP50*Paramètres!$H$4),0),0)</f>
        <v>0</v>
      </c>
      <c r="AW51" s="225">
        <f>IF(AP51&lt;&gt;"",IF(((AP51*Paramètres!$H$4)-PORTEFEUILLE_MARIE_PIERRE[[#This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1" s="190" t="str">
        <f>IF(PORTEFEUILLE_MARIE_PIERRE[[#This Row],[BONI COMPTABLE]]&lt;&gt;0,1,"")</f>
        <v/>
      </c>
      <c r="AY51" s="190" t="str">
        <f>IF(PORTEFEUILLE_MARIE_PIERRE[[#This Row],[MALI COMPTABLE]]&lt;&gt;0,1,"")</f>
        <v/>
      </c>
      <c r="AZ51" s="196"/>
      <c r="BA51" s="188"/>
      <c r="BB51" s="188"/>
      <c r="BC51" s="188"/>
      <c r="BD51" s="196"/>
      <c r="BE51" s="196"/>
      <c r="BF51" s="196"/>
      <c r="BG51" s="192"/>
      <c r="BH51" s="194"/>
      <c r="BI51" s="194"/>
      <c r="BJ51" s="195"/>
      <c r="BK51" s="194"/>
    </row>
    <row r="52" spans="1:63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SUM(PORTEFEUILLE_MARIE_PIERRE[[#This Row],[PCR COMPTABLE €]:[MONTANT
RESPONSABLE RELATION CLIENT €]])-PORTEFEUILLE_MARIE_PIERRE[[#This Row],[MONTANT TOTAL LETTRE DE MISION €]]</f>
        <v>0</v>
      </c>
      <c r="AI52" s="191"/>
      <c r="AJ52" s="188"/>
      <c r="AK52" s="188"/>
      <c r="AL52" s="188"/>
      <c r="AM52" s="191"/>
      <c r="AN52" s="196"/>
      <c r="AO52" s="196"/>
      <c r="AP52" s="196"/>
      <c r="AQ52" s="196"/>
      <c r="AR5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2" s="188" t="str">
        <f>IF(PORTEFEUILLE_MARIE_PIERRE[[#This Row],[BONI AAC]]&lt;&gt;0,1,"")</f>
        <v/>
      </c>
      <c r="AU52" s="188" t="str">
        <f>IF(PORTEFEUILLE_MARIE_PIERRE[[#This Row],[MALI AAC]]&lt;&gt;0,1,"")</f>
        <v/>
      </c>
      <c r="AV52" s="225">
        <f>IF(AP52&lt;&gt;"",IF((AP52*Paramètres!$H$4)-PORTEFEUILLE_MARIE_PIERRE[[#This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€]]-(DELPHINE!AP51*Paramètres!$H$4),0),0)</f>
        <v>0</v>
      </c>
      <c r="AW52" s="225">
        <f>IF(AP52&lt;&gt;"",IF(((AP52*Paramètres!$H$4)-PORTEFEUILLE_MARIE_PIERRE[[#This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2" s="190" t="str">
        <f>IF(PORTEFEUILLE_MARIE_PIERRE[[#This Row],[BONI COMPTABLE]]&lt;&gt;0,1,"")</f>
        <v/>
      </c>
      <c r="AY52" s="190" t="str">
        <f>IF(PORTEFEUILLE_MARIE_PIERRE[[#This Row],[MALI COMPTABLE]]&lt;&gt;0,1,"")</f>
        <v/>
      </c>
      <c r="AZ52" s="196"/>
      <c r="BA52" s="188"/>
      <c r="BB52" s="188"/>
      <c r="BC52" s="188"/>
      <c r="BD52" s="196"/>
      <c r="BE52" s="196"/>
      <c r="BF52" s="196"/>
      <c r="BG52" s="192"/>
      <c r="BH52" s="194"/>
      <c r="BI52" s="194"/>
      <c r="BJ52" s="195"/>
      <c r="BK52" s="194"/>
    </row>
    <row r="53" spans="1:63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SUM(PORTEFEUILLE_MARIE_PIERRE[[#This Row],[PCR COMPTABLE €]:[MONTANT
RESPONSABLE RELATION CLIENT €]])-PORTEFEUILLE_MARIE_PIERRE[[#This Row],[MONTANT TOTAL LETTRE DE MISION €]]</f>
        <v>0</v>
      </c>
      <c r="AI53" s="191"/>
      <c r="AJ53" s="188"/>
      <c r="AK53" s="201"/>
      <c r="AL53" s="201"/>
      <c r="AM53" s="246"/>
      <c r="AN53" s="202"/>
      <c r="AO53" s="202"/>
      <c r="AP53" s="202"/>
      <c r="AQ53" s="202"/>
      <c r="AR5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3" s="188" t="str">
        <f>IF(PORTEFEUILLE_MARIE_PIERRE[[#This Row],[BONI AAC]]&lt;&gt;0,1,"")</f>
        <v/>
      </c>
      <c r="AU53" s="188" t="str">
        <f>IF(PORTEFEUILLE_MARIE_PIERRE[[#This Row],[MALI AAC]]&lt;&gt;0,1,"")</f>
        <v/>
      </c>
      <c r="AV53" s="225">
        <f>IF(AP53&lt;&gt;"",IF((AP53*Paramètres!$H$4)-PORTEFEUILLE_MARIE_PIERRE[[#This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€]]-(DELPHINE!AP52*Paramètres!$H$4),0),0)</f>
        <v>0</v>
      </c>
      <c r="AW53" s="225">
        <f>IF(AP53&lt;&gt;"",IF(((AP53*Paramètres!$H$4)-PORTEFEUILLE_MARIE_PIERRE[[#This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3" s="190" t="str">
        <f>IF(PORTEFEUILLE_MARIE_PIERRE[[#This Row],[BONI COMPTABLE]]&lt;&gt;0,1,"")</f>
        <v/>
      </c>
      <c r="AY53" s="190" t="str">
        <f>IF(PORTEFEUILLE_MARIE_PIERRE[[#This Row],[MALI COMPTABLE]]&lt;&gt;0,1,"")</f>
        <v/>
      </c>
      <c r="AZ53" s="202"/>
      <c r="BA53" s="188"/>
      <c r="BB53" s="188"/>
      <c r="BC53" s="188"/>
      <c r="BD53" s="202"/>
      <c r="BE53" s="202"/>
      <c r="BF53" s="202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SUM(PORTEFEUILLE_MARIE_PIERRE[[#This Row],[PCR COMPTABLE €]:[MONTANT
RESPONSABLE RELATION CLIENT €]])-PORTEFEUILLE_MARIE_PIERRE[[#This Row],[MONTANT TOTAL LETTRE DE MISION €]]</f>
        <v>0</v>
      </c>
      <c r="AI54" s="191"/>
      <c r="AJ54" s="188"/>
      <c r="AK54" s="188"/>
      <c r="AL54" s="188"/>
      <c r="AM54" s="191"/>
      <c r="AN54" s="194"/>
      <c r="AO54" s="194"/>
      <c r="AP54" s="194"/>
      <c r="AQ54" s="194"/>
      <c r="AR5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4" s="188" t="str">
        <f>IF(PORTEFEUILLE_MARIE_PIERRE[[#This Row],[BONI AAC]]&lt;&gt;0,1,"")</f>
        <v/>
      </c>
      <c r="AU54" s="188" t="str">
        <f>IF(PORTEFEUILLE_MARIE_PIERRE[[#This Row],[MALI AAC]]&lt;&gt;0,1,"")</f>
        <v/>
      </c>
      <c r="AV54" s="225">
        <f>IF(AP54&lt;&gt;"",IF((AP54*Paramètres!$H$4)-PORTEFEUILLE_MARIE_PIERRE[[#This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€]]-(DELPHINE!AP53*Paramètres!$H$4),0),0)</f>
        <v>0</v>
      </c>
      <c r="AW54" s="225">
        <f>IF(AP54&lt;&gt;"",IF(((AP54*Paramètres!$H$4)-PORTEFEUILLE_MARIE_PIERRE[[#This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4" s="190" t="str">
        <f>IF(PORTEFEUILLE_MARIE_PIERRE[[#This Row],[BONI COMPTABLE]]&lt;&gt;0,1,"")</f>
        <v/>
      </c>
      <c r="AY54" s="190" t="str">
        <f>IF(PORTEFEUILLE_MARIE_PIERRE[[#This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SUM(PORTEFEUILLE_MARIE_PIERRE[[#This Row],[PCR COMPTABLE €]:[MONTANT
RESPONSABLE RELATION CLIENT €]])-PORTEFEUILLE_MARIE_PIERRE[[#This Row],[MONTANT TOTAL LETTRE DE MISION €]]</f>
        <v>0</v>
      </c>
      <c r="AI55" s="191"/>
      <c r="AJ55" s="188"/>
      <c r="AK55" s="188"/>
      <c r="AL55" s="188"/>
      <c r="AM55" s="191"/>
      <c r="AN55" s="194"/>
      <c r="AO55" s="194"/>
      <c r="AP55" s="194"/>
      <c r="AQ55" s="194"/>
      <c r="AR5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5" s="188" t="str">
        <f>IF(PORTEFEUILLE_MARIE_PIERRE[[#This Row],[BONI AAC]]&lt;&gt;0,1,"")</f>
        <v/>
      </c>
      <c r="AU55" s="188" t="str">
        <f>IF(PORTEFEUILLE_MARIE_PIERRE[[#This Row],[MALI AAC]]&lt;&gt;0,1,"")</f>
        <v/>
      </c>
      <c r="AV55" s="225">
        <f>IF(AP55&lt;&gt;"",IF((AP55*Paramètres!$H$4)-PORTEFEUILLE_MARIE_PIERRE[[#This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€]]-(DELPHINE!AP54*Paramètres!$H$4),0),0)</f>
        <v>0</v>
      </c>
      <c r="AW55" s="225">
        <f>IF(AP55&lt;&gt;"",IF(((AP55*Paramètres!$H$4)-PORTEFEUILLE_MARIE_PIERRE[[#This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5" s="190" t="str">
        <f>IF(PORTEFEUILLE_MARIE_PIERRE[[#This Row],[BONI COMPTABLE]]&lt;&gt;0,1,"")</f>
        <v/>
      </c>
      <c r="AY55" s="190" t="str">
        <f>IF(PORTEFEUILLE_MARIE_PIERRE[[#This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SUM(PORTEFEUILLE_MARIE_PIERRE[[#This Row],[PCR COMPTABLE €]:[MONTANT
RESPONSABLE RELATION CLIENT €]])-PORTEFEUILLE_MARIE_PIERRE[[#This Row],[MONTANT TOTAL LETTRE DE MISION €]]</f>
        <v>0</v>
      </c>
      <c r="AI56" s="191"/>
      <c r="AJ56" s="188"/>
      <c r="AK56" s="188"/>
      <c r="AL56" s="188"/>
      <c r="AM56" s="191"/>
      <c r="AN56" s="194"/>
      <c r="AO56" s="194"/>
      <c r="AP56" s="194"/>
      <c r="AQ56" s="194"/>
      <c r="AR5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6" s="188" t="str">
        <f>IF(PORTEFEUILLE_MARIE_PIERRE[[#This Row],[BONI AAC]]&lt;&gt;0,1,"")</f>
        <v/>
      </c>
      <c r="AU56" s="188" t="str">
        <f>IF(PORTEFEUILLE_MARIE_PIERRE[[#This Row],[MALI AAC]]&lt;&gt;0,1,"")</f>
        <v/>
      </c>
      <c r="AV56" s="225">
        <f>IF(AP56&lt;&gt;"",IF((AP56*Paramètres!$H$4)-PORTEFEUILLE_MARIE_PIERRE[[#This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€]]-(DELPHINE!AP55*Paramètres!$H$4),0),0)</f>
        <v>0</v>
      </c>
      <c r="AW56" s="225">
        <f>IF(AP56&lt;&gt;"",IF(((AP56*Paramètres!$H$4)-PORTEFEUILLE_MARIE_PIERRE[[#This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6" s="190" t="str">
        <f>IF(PORTEFEUILLE_MARIE_PIERRE[[#This Row],[BONI COMPTABLE]]&lt;&gt;0,1,"")</f>
        <v/>
      </c>
      <c r="AY56" s="190" t="str">
        <f>IF(PORTEFEUILLE_MARIE_PIERRE[[#This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SUM(PORTEFEUILLE_MARIE_PIERRE[[#This Row],[PCR COMPTABLE €]:[MONTANT
RESPONSABLE RELATION CLIENT €]])-PORTEFEUILLE_MARIE_PIERRE[[#This Row],[MONTANT TOTAL LETTRE DE MISION €]]</f>
        <v>0</v>
      </c>
      <c r="AI57" s="191"/>
      <c r="AJ57" s="188"/>
      <c r="AK57" s="188"/>
      <c r="AL57" s="188"/>
      <c r="AM57" s="191"/>
      <c r="AN57" s="194"/>
      <c r="AO57" s="194"/>
      <c r="AP57" s="194"/>
      <c r="AQ57" s="194"/>
      <c r="AR5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7" s="188" t="str">
        <f>IF(PORTEFEUILLE_MARIE_PIERRE[[#This Row],[BONI AAC]]&lt;&gt;0,1,"")</f>
        <v/>
      </c>
      <c r="AU57" s="188" t="str">
        <f>IF(PORTEFEUILLE_MARIE_PIERRE[[#This Row],[MALI AAC]]&lt;&gt;0,1,"")</f>
        <v/>
      </c>
      <c r="AV57" s="225">
        <f>IF(AP57&lt;&gt;"",IF((AP57*Paramètres!$H$4)-PORTEFEUILLE_MARIE_PIERRE[[#This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€]]-(DELPHINE!AP56*Paramètres!$H$4),0),0)</f>
        <v>0</v>
      </c>
      <c r="AW57" s="225">
        <f>IF(AP57&lt;&gt;"",IF(((AP57*Paramètres!$H$4)-PORTEFEUILLE_MARIE_PIERRE[[#This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7" s="190" t="str">
        <f>IF(PORTEFEUILLE_MARIE_PIERRE[[#This Row],[BONI COMPTABLE]]&lt;&gt;0,1,"")</f>
        <v/>
      </c>
      <c r="AY57" s="190" t="str">
        <f>IF(PORTEFEUILLE_MARIE_PIERRE[[#This Row],[MALI COMPTABLE]]&lt;&gt;0,1,"")</f>
        <v/>
      </c>
      <c r="AZ57" s="194"/>
      <c r="BA57" s="188"/>
      <c r="BB57" s="188"/>
      <c r="BC57" s="188"/>
      <c r="BD57" s="194"/>
      <c r="BE57" s="194"/>
      <c r="BF57" s="194"/>
      <c r="BG57" s="192"/>
      <c r="BH57" s="194"/>
      <c r="BI57" s="194"/>
      <c r="BJ57" s="195"/>
      <c r="BK57" s="194"/>
    </row>
    <row r="58" spans="1:63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SUM(PORTEFEUILLE_MARIE_PIERRE[[#This Row],[PCR COMPTABLE €]:[MONTANT
RESPONSABLE RELATION CLIENT €]])-PORTEFEUILLE_MARIE_PIERRE[[#This Row],[MONTANT TOTAL LETTRE DE MISION €]]</f>
        <v>0</v>
      </c>
      <c r="AI58" s="191"/>
      <c r="AJ58" s="188"/>
      <c r="AK58" s="188"/>
      <c r="AL58" s="188"/>
      <c r="AM58" s="191"/>
      <c r="AN58" s="194"/>
      <c r="AO58" s="194"/>
      <c r="AP58" s="194"/>
      <c r="AQ58" s="194"/>
      <c r="AR5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8" s="188" t="str">
        <f>IF(PORTEFEUILLE_MARIE_PIERRE[[#This Row],[BONI AAC]]&lt;&gt;0,1,"")</f>
        <v/>
      </c>
      <c r="AU58" s="188" t="str">
        <f>IF(PORTEFEUILLE_MARIE_PIERRE[[#This Row],[MALI AAC]]&lt;&gt;0,1,"")</f>
        <v/>
      </c>
      <c r="AV58" s="225">
        <f>IF(AP58&lt;&gt;"",IF((AP58*Paramètres!$H$4)-PORTEFEUILLE_MARIE_PIERRE[[#This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€]]-(DELPHINE!AP57*Paramètres!$H$4),0),0)</f>
        <v>0</v>
      </c>
      <c r="AW58" s="225">
        <f>IF(AP58&lt;&gt;"",IF(((AP58*Paramètres!$H$4)-PORTEFEUILLE_MARIE_PIERRE[[#This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8" s="190" t="str">
        <f>IF(PORTEFEUILLE_MARIE_PIERRE[[#This Row],[BONI COMPTABLE]]&lt;&gt;0,1,"")</f>
        <v/>
      </c>
      <c r="AY58" s="190" t="str">
        <f>IF(PORTEFEUILLE_MARIE_PIERRE[[#This Row],[MALI COMPTABLE]]&lt;&gt;0,1,"")</f>
        <v/>
      </c>
      <c r="AZ58" s="194"/>
      <c r="BA58" s="188"/>
      <c r="BB58" s="188"/>
      <c r="BC58" s="188"/>
      <c r="BD58" s="194"/>
      <c r="BE58" s="194"/>
      <c r="BF58" s="194"/>
      <c r="BG58" s="192"/>
      <c r="BH58" s="194"/>
      <c r="BI58" s="194"/>
      <c r="BJ58" s="195"/>
      <c r="BK58" s="194"/>
    </row>
    <row r="59" spans="1:63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SUM(PORTEFEUILLE_MARIE_PIERRE[[#This Row],[PCR COMPTABLE €]:[MONTANT
RESPONSABLE RELATION CLIENT €]])-PORTEFEUILLE_MARIE_PIERRE[[#This Row],[MONTANT TOTAL LETTRE DE MISION €]]</f>
        <v>0</v>
      </c>
      <c r="AI59" s="191"/>
      <c r="AJ59" s="188"/>
      <c r="AK59" s="188"/>
      <c r="AL59" s="188"/>
      <c r="AM59" s="191"/>
      <c r="AN59" s="194"/>
      <c r="AO59" s="194"/>
      <c r="AP59" s="194"/>
      <c r="AQ59" s="194"/>
      <c r="AR5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5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59" s="188" t="str">
        <f>IF(PORTEFEUILLE_MARIE_PIERRE[[#This Row],[BONI AAC]]&lt;&gt;0,1,"")</f>
        <v/>
      </c>
      <c r="AU59" s="188" t="str">
        <f>IF(PORTEFEUILLE_MARIE_PIERRE[[#This Row],[MALI AAC]]&lt;&gt;0,1,"")</f>
        <v/>
      </c>
      <c r="AV59" s="225">
        <f>IF(AP59&lt;&gt;"",IF((AP59*Paramètres!$H$4)-PORTEFEUILLE_MARIE_PIERRE[[#This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€]]-(DELPHINE!AP58*Paramètres!$H$4),0),0)</f>
        <v>0</v>
      </c>
      <c r="AW59" s="225">
        <f>IF(AP59&lt;&gt;"",IF(((AP59*Paramètres!$H$4)-PORTEFEUILLE_MARIE_PIERRE[[#This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59" s="190" t="str">
        <f>IF(PORTEFEUILLE_MARIE_PIERRE[[#This Row],[BONI COMPTABLE]]&lt;&gt;0,1,"")</f>
        <v/>
      </c>
      <c r="AY59" s="190" t="str">
        <f>IF(PORTEFEUILLE_MARIE_PIERRE[[#This Row],[MALI COMPTABLE]]&lt;&gt;0,1,"")</f>
        <v/>
      </c>
      <c r="AZ59" s="194"/>
      <c r="BA59" s="188"/>
      <c r="BB59" s="188"/>
      <c r="BC59" s="188"/>
      <c r="BD59" s="194"/>
      <c r="BE59" s="194"/>
      <c r="BF59" s="194"/>
      <c r="BG59" s="192"/>
      <c r="BH59" s="194"/>
      <c r="BI59" s="194"/>
      <c r="BJ59" s="195"/>
      <c r="BK59" s="194"/>
    </row>
    <row r="60" spans="1:63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SUM(PORTEFEUILLE_MARIE_PIERRE[[#This Row],[PCR COMPTABLE €]:[MONTANT
RESPONSABLE RELATION CLIENT €]])-PORTEFEUILLE_MARIE_PIERRE[[#This Row],[MONTANT TOTAL LETTRE DE MISION €]]</f>
        <v>0</v>
      </c>
      <c r="AI60" s="191"/>
      <c r="AJ60" s="188"/>
      <c r="AK60" s="201"/>
      <c r="AL60" s="201"/>
      <c r="AM60" s="246"/>
      <c r="AN60" s="205"/>
      <c r="AO60" s="205"/>
      <c r="AP60" s="205"/>
      <c r="AQ60" s="205"/>
      <c r="AR6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S6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T60" s="188" t="str">
        <f>IF(PORTEFEUILLE_MARIE_PIERRE[[#This Row],[BONI AAC]]&lt;&gt;0,1,"")</f>
        <v/>
      </c>
      <c r="AU60" s="188" t="str">
        <f>IF(PORTEFEUILLE_MARIE_PIERRE[[#This Row],[MALI AAC]]&lt;&gt;0,1,"")</f>
        <v/>
      </c>
      <c r="AV60" s="225">
        <f>IF(AP60&lt;&gt;"",IF((AP60*Paramètres!$H$4)-PORTEFEUILLE_MARIE_PIERRE[[#This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€]]-(DELPHINE!AP59*Paramètres!$H$4),0),0)</f>
        <v>0</v>
      </c>
      <c r="AW60" s="225">
        <f>IF(AP60&lt;&gt;"",IF(((AP60*Paramètres!$H$4)-PORTEFEUILLE_MARIE_PIERRE[[#This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€]])&gt;0,(AP60*Paramètres!$H$4)-PORTEFEUILLE_MARIE_PIERRE[[#This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X60" s="190" t="str">
        <f>IF(PORTEFEUILLE_MARIE_PIERRE[[#This Row],[BONI COMPTABLE]]&lt;&gt;0,1,"")</f>
        <v/>
      </c>
      <c r="AY60" s="190" t="str">
        <f>IF(PORTEFEUILLE_MARIE_PIERRE[[#This Row],[MALI COMPTABLE]]&lt;&gt;0,1,"")</f>
        <v/>
      </c>
      <c r="AZ60" s="205"/>
      <c r="BA60" s="188"/>
      <c r="BB60" s="188"/>
      <c r="BC60" s="188"/>
      <c r="BD60" s="205"/>
      <c r="BE60" s="205"/>
      <c r="BF60" s="205"/>
      <c r="BG60" s="192"/>
      <c r="BH60" s="205"/>
      <c r="BI60" s="205"/>
      <c r="BJ60" s="206"/>
      <c r="BK60" s="205"/>
    </row>
    <row r="63" spans="1:63" x14ac:dyDescent="0.25">
      <c r="B63" s="89" t="s">
        <v>120</v>
      </c>
    </row>
    <row r="65" spans="2:52" x14ac:dyDescent="0.25">
      <c r="B65" s="279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80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280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81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275" t="s">
        <v>123</v>
      </c>
      <c r="C69" s="275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2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80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280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81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275" t="s">
        <v>123</v>
      </c>
      <c r="C75" s="275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2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80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B79" s="280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281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B81" s="275" t="s">
        <v>123</v>
      </c>
      <c r="C81" s="275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6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277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7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277" t="s">
        <v>123</v>
      </c>
      <c r="C88" s="277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8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277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COUNTIFS($I$3:$I$60,"&lt;&gt;",$BB$3:$BB$60,"X",$E$3:$E$60,DATE(Paramètres!A4,Paramètres!D15,Paramètres!C15),$F$3:$F$60,"EARL")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277" t="s">
        <v>123</v>
      </c>
      <c r="C94" s="277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B98" s="277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277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B100" s="277" t="s">
        <v>123</v>
      </c>
      <c r="C100" s="277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79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80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280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81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275" t="s">
        <v>123</v>
      </c>
      <c r="C108" s="275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2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80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280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81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275" t="s">
        <v>123</v>
      </c>
      <c r="C114" s="275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2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80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B118" s="280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B119" s="281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B120" s="275" t="s">
        <v>123</v>
      </c>
      <c r="C120" s="275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  <row r="181" spans="21:52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  <c r="AZ181" s="164"/>
    </row>
    <row r="182" spans="21:52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</row>
    <row r="183" spans="21:52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  <c r="AY183" s="164"/>
      <c r="AZ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291" priority="6">
      <formula>AND(P3&lt;&gt;"",P3&lt;&gt;"OUI")</formula>
    </cfRule>
  </conditionalFormatting>
  <conditionalFormatting sqref="AN3:AO60 S3:AH60">
    <cfRule type="expression" dxfId="290" priority="5" stopIfTrue="1">
      <formula>$AH3&lt;&gt;0</formula>
    </cfRule>
  </conditionalFormatting>
  <conditionalFormatting sqref="A6:E60 C3:E5 A3:A5">
    <cfRule type="expression" dxfId="289" priority="7" stopIfTrue="1">
      <formula>AND($I3&lt;&gt;"",AND($J3="",AND($BA3="",$BB3="")))</formula>
    </cfRule>
    <cfRule type="expression" dxfId="288" priority="8" stopIfTrue="1">
      <formula>AND($J3&lt;&gt;"",AND($BA3="",$BB3=""))</formula>
    </cfRule>
    <cfRule type="expression" dxfId="287" priority="9" stopIfTrue="1">
      <formula>AND($BA3&lt;&gt;"",$BB3="")</formula>
    </cfRule>
    <cfRule type="expression" dxfId="286" priority="10" stopIfTrue="1">
      <formula>$BB3="X"</formula>
    </cfRule>
  </conditionalFormatting>
  <conditionalFormatting sqref="B3:B5">
    <cfRule type="expression" dxfId="285" priority="1" stopIfTrue="1">
      <formula>AND($I3&lt;&gt;"",AND($J3="",AND($BA3="",$BB3="")))</formula>
    </cfRule>
    <cfRule type="expression" dxfId="284" priority="2" stopIfTrue="1">
      <formula>AND($J3&lt;&gt;"",AND($BA3="",$BB3=""))</formula>
    </cfRule>
    <cfRule type="expression" dxfId="283" priority="3" stopIfTrue="1">
      <formula>AND($BA3&lt;&gt;"",$BB3="")</formula>
    </cfRule>
    <cfRule type="expression" dxfId="282" priority="4" stopIfTrue="1">
      <formula>$BB3="X"</formula>
    </cfRule>
  </conditionalFormatting>
  <dataValidations count="12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I3:BK60">
      <formula1>"OUI,NON,N/C"</formula1>
    </dataValidation>
    <dataValidation type="list" allowBlank="1" showInputMessage="1" showErrorMessage="1" sqref="AN3:AN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BA3:BC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O3:AO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Y3:JY60 TU3:TU60 ADQ3:ADQ60 ANM3:ANM60 AXI3:AXI60 BHE3:BHE60 BRA3:BRA60 CAW3:CAW60 CKS3:CKS60 CUO3:CUO60 DEK3:DEK60 DOG3:DOG60 DYC3:DYC60 EHY3:EHY60 ERU3:ERU60 FBQ3:FBQ60 FLM3:FLM60 FVI3:FVI60 GFE3:GFE60 GPA3:GPA60 GYW3:GYW60 HIS3:HIS60 HSO3:HSO60 ICK3:ICK60 IMG3:IMG60 IWC3:IWC60 JFY3:JFY60 JPU3:JPU60 JZQ3:JZQ60 KJM3:KJM60 KTI3:KTI60 LDE3:LDE60 LNA3:LNA60 LWW3:LWW60 MGS3:MGS60 MQO3:MQO60 NAK3:NAK60 NKG3:NKG60 NUC3:NUC60 ODY3:ODY60 ONU3:ONU60 OXQ3:OXQ60 PHM3:PHM60 PRI3:PRI60 QBE3:QBE60 QLA3:QLA60 QUW3:QUW60 RES3:RES60 ROO3:ROO60 RYK3:RYK60 SIG3:SIG60 SSC3:SSC60 TBY3:TBY60 TLU3:TLU60 TVQ3:TVQ60 UFM3:UFM60 UPI3:UPI60 UZE3:UZE60 VJA3:VJA60 VSW3:VSW60 WCS3:WCS60 WMO3:WMO60 WWK3:WWK60 G65539:G65596 JX65539:JX65596 TT65539:TT65596 ADP65539:ADP65596 ANL65539:ANL65596 AXH65539:AXH65596 BHD65539:BHD65596 BQZ65539:BQZ65596 CAV65539:CAV65596 CKR65539:CKR65596 CUN65539:CUN65596 DEJ65539:DEJ65596 DOF65539:DOF65596 DYB65539:DYB65596 EHX65539:EHX65596 ERT65539:ERT65596 FBP65539:FBP65596 FLL65539:FLL65596 FVH65539:FVH65596 GFD65539:GFD65596 GOZ65539:GOZ65596 GYV65539:GYV65596 HIR65539:HIR65596 HSN65539:HSN65596 ICJ65539:ICJ65596 IMF65539:IMF65596 IWB65539:IWB65596 JFX65539:JFX65596 JPT65539:JPT65596 JZP65539:JZP65596 KJL65539:KJL65596 KTH65539:KTH65596 LDD65539:LDD65596 LMZ65539:LMZ65596 LWV65539:LWV65596 MGR65539:MGR65596 MQN65539:MQN65596 NAJ65539:NAJ65596 NKF65539:NKF65596 NUB65539:NUB65596 ODX65539:ODX65596 ONT65539:ONT65596 OXP65539:OXP65596 PHL65539:PHL65596 PRH65539:PRH65596 QBD65539:QBD65596 QKZ65539:QKZ65596 QUV65539:QUV65596 RER65539:RER65596 RON65539:RON65596 RYJ65539:RYJ65596 SIF65539:SIF65596 SSB65539:SSB65596 TBX65539:TBX65596 TLT65539:TLT65596 TVP65539:TVP65596 UFL65539:UFL65596 UPH65539:UPH65596 UZD65539:UZD65596 VIZ65539:VIZ65596 VSV65539:VSV65596 WCR65539:WCR65596 WMN65539:WMN65596 WWJ65539:WWJ65596 G131075:G131132 JX131075:JX131132 TT131075:TT131132 ADP131075:ADP131132 ANL131075:ANL131132 AXH131075:AXH131132 BHD131075:BHD131132 BQZ131075:BQZ131132 CAV131075:CAV131132 CKR131075:CKR131132 CUN131075:CUN131132 DEJ131075:DEJ131132 DOF131075:DOF131132 DYB131075:DYB131132 EHX131075:EHX131132 ERT131075:ERT131132 FBP131075:FBP131132 FLL131075:FLL131132 FVH131075:FVH131132 GFD131075:GFD131132 GOZ131075:GOZ131132 GYV131075:GYV131132 HIR131075:HIR131132 HSN131075:HSN131132 ICJ131075:ICJ131132 IMF131075:IMF131132 IWB131075:IWB131132 JFX131075:JFX131132 JPT131075:JPT131132 JZP131075:JZP131132 KJL131075:KJL131132 KTH131075:KTH131132 LDD131075:LDD131132 LMZ131075:LMZ131132 LWV131075:LWV131132 MGR131075:MGR131132 MQN131075:MQN131132 NAJ131075:NAJ131132 NKF131075:NKF131132 NUB131075:NUB131132 ODX131075:ODX131132 ONT131075:ONT131132 OXP131075:OXP131132 PHL131075:PHL131132 PRH131075:PRH131132 QBD131075:QBD131132 QKZ131075:QKZ131132 QUV131075:QUV131132 RER131075:RER131132 RON131075:RON131132 RYJ131075:RYJ131132 SIF131075:SIF131132 SSB131075:SSB131132 TBX131075:TBX131132 TLT131075:TLT131132 TVP131075:TVP131132 UFL131075:UFL131132 UPH131075:UPH131132 UZD131075:UZD131132 VIZ131075:VIZ131132 VSV131075:VSV131132 WCR131075:WCR131132 WMN131075:WMN131132 WWJ131075:WWJ131132 G196611:G196668 JX196611:JX196668 TT196611:TT196668 ADP196611:ADP196668 ANL196611:ANL196668 AXH196611:AXH196668 BHD196611:BHD196668 BQZ196611:BQZ196668 CAV196611:CAV196668 CKR196611:CKR196668 CUN196611:CUN196668 DEJ196611:DEJ196668 DOF196611:DOF196668 DYB196611:DYB196668 EHX196611:EHX196668 ERT196611:ERT196668 FBP196611:FBP196668 FLL196611:FLL196668 FVH196611:FVH196668 GFD196611:GFD196668 GOZ196611:GOZ196668 GYV196611:GYV196668 HIR196611:HIR196668 HSN196611:HSN196668 ICJ196611:ICJ196668 IMF196611:IMF196668 IWB196611:IWB196668 JFX196611:JFX196668 JPT196611:JPT196668 JZP196611:JZP196668 KJL196611:KJL196668 KTH196611:KTH196668 LDD196611:LDD196668 LMZ196611:LMZ196668 LWV196611:LWV196668 MGR196611:MGR196668 MQN196611:MQN196668 NAJ196611:NAJ196668 NKF196611:NKF196668 NUB196611:NUB196668 ODX196611:ODX196668 ONT196611:ONT196668 OXP196611:OXP196668 PHL196611:PHL196668 PRH196611:PRH196668 QBD196611:QBD196668 QKZ196611:QKZ196668 QUV196611:QUV196668 RER196611:RER196668 RON196611:RON196668 RYJ196611:RYJ196668 SIF196611:SIF196668 SSB196611:SSB196668 TBX196611:TBX196668 TLT196611:TLT196668 TVP196611:TVP196668 UFL196611:UFL196668 UPH196611:UPH196668 UZD196611:UZD196668 VIZ196611:VIZ196668 VSV196611:VSV196668 WCR196611:WCR196668 WMN196611:WMN196668 WWJ196611:WWJ196668 G262147:G262204 JX262147:JX262204 TT262147:TT262204 ADP262147:ADP262204 ANL262147:ANL262204 AXH262147:AXH262204 BHD262147:BHD262204 BQZ262147:BQZ262204 CAV262147:CAV262204 CKR262147:CKR262204 CUN262147:CUN262204 DEJ262147:DEJ262204 DOF262147:DOF262204 DYB262147:DYB262204 EHX262147:EHX262204 ERT262147:ERT262204 FBP262147:FBP262204 FLL262147:FLL262204 FVH262147:FVH262204 GFD262147:GFD262204 GOZ262147:GOZ262204 GYV262147:GYV262204 HIR262147:HIR262204 HSN262147:HSN262204 ICJ262147:ICJ262204 IMF262147:IMF262204 IWB262147:IWB262204 JFX262147:JFX262204 JPT262147:JPT262204 JZP262147:JZP262204 KJL262147:KJL262204 KTH262147:KTH262204 LDD262147:LDD262204 LMZ262147:LMZ262204 LWV262147:LWV262204 MGR262147:MGR262204 MQN262147:MQN262204 NAJ262147:NAJ262204 NKF262147:NKF262204 NUB262147:NUB262204 ODX262147:ODX262204 ONT262147:ONT262204 OXP262147:OXP262204 PHL262147:PHL262204 PRH262147:PRH262204 QBD262147:QBD262204 QKZ262147:QKZ262204 QUV262147:QUV262204 RER262147:RER262204 RON262147:RON262204 RYJ262147:RYJ262204 SIF262147:SIF262204 SSB262147:SSB262204 TBX262147:TBX262204 TLT262147:TLT262204 TVP262147:TVP262204 UFL262147:UFL262204 UPH262147:UPH262204 UZD262147:UZD262204 VIZ262147:VIZ262204 VSV262147:VSV262204 WCR262147:WCR262204 WMN262147:WMN262204 WWJ262147:WWJ262204 G327683:G327740 JX327683:JX327740 TT327683:TT327740 ADP327683:ADP327740 ANL327683:ANL327740 AXH327683:AXH327740 BHD327683:BHD327740 BQZ327683:BQZ327740 CAV327683:CAV327740 CKR327683:CKR327740 CUN327683:CUN327740 DEJ327683:DEJ327740 DOF327683:DOF327740 DYB327683:DYB327740 EHX327683:EHX327740 ERT327683:ERT327740 FBP327683:FBP327740 FLL327683:FLL327740 FVH327683:FVH327740 GFD327683:GFD327740 GOZ327683:GOZ327740 GYV327683:GYV327740 HIR327683:HIR327740 HSN327683:HSN327740 ICJ327683:ICJ327740 IMF327683:IMF327740 IWB327683:IWB327740 JFX327683:JFX327740 JPT327683:JPT327740 JZP327683:JZP327740 KJL327683:KJL327740 KTH327683:KTH327740 LDD327683:LDD327740 LMZ327683:LMZ327740 LWV327683:LWV327740 MGR327683:MGR327740 MQN327683:MQN327740 NAJ327683:NAJ327740 NKF327683:NKF327740 NUB327683:NUB327740 ODX327683:ODX327740 ONT327683:ONT327740 OXP327683:OXP327740 PHL327683:PHL327740 PRH327683:PRH327740 QBD327683:QBD327740 QKZ327683:QKZ327740 QUV327683:QUV327740 RER327683:RER327740 RON327683:RON327740 RYJ327683:RYJ327740 SIF327683:SIF327740 SSB327683:SSB327740 TBX327683:TBX327740 TLT327683:TLT327740 TVP327683:TVP327740 UFL327683:UFL327740 UPH327683:UPH327740 UZD327683:UZD327740 VIZ327683:VIZ327740 VSV327683:VSV327740 WCR327683:WCR327740 WMN327683:WMN327740 WWJ327683:WWJ327740 G393219:G393276 JX393219:JX393276 TT393219:TT393276 ADP393219:ADP393276 ANL393219:ANL393276 AXH393219:AXH393276 BHD393219:BHD393276 BQZ393219:BQZ393276 CAV393219:CAV393276 CKR393219:CKR393276 CUN393219:CUN393276 DEJ393219:DEJ393276 DOF393219:DOF393276 DYB393219:DYB393276 EHX393219:EHX393276 ERT393219:ERT393276 FBP393219:FBP393276 FLL393219:FLL393276 FVH393219:FVH393276 GFD393219:GFD393276 GOZ393219:GOZ393276 GYV393219:GYV393276 HIR393219:HIR393276 HSN393219:HSN393276 ICJ393219:ICJ393276 IMF393219:IMF393276 IWB393219:IWB393276 JFX393219:JFX393276 JPT393219:JPT393276 JZP393219:JZP393276 KJL393219:KJL393276 KTH393219:KTH393276 LDD393219:LDD393276 LMZ393219:LMZ393276 LWV393219:LWV393276 MGR393219:MGR393276 MQN393219:MQN393276 NAJ393219:NAJ393276 NKF393219:NKF393276 NUB393219:NUB393276 ODX393219:ODX393276 ONT393219:ONT393276 OXP393219:OXP393276 PHL393219:PHL393276 PRH393219:PRH393276 QBD393219:QBD393276 QKZ393219:QKZ393276 QUV393219:QUV393276 RER393219:RER393276 RON393219:RON393276 RYJ393219:RYJ393276 SIF393219:SIF393276 SSB393219:SSB393276 TBX393219:TBX393276 TLT393219:TLT393276 TVP393219:TVP393276 UFL393219:UFL393276 UPH393219:UPH393276 UZD393219:UZD393276 VIZ393219:VIZ393276 VSV393219:VSV393276 WCR393219:WCR393276 WMN393219:WMN393276 WWJ393219:WWJ393276 G458755:G458812 JX458755:JX458812 TT458755:TT458812 ADP458755:ADP458812 ANL458755:ANL458812 AXH458755:AXH458812 BHD458755:BHD458812 BQZ458755:BQZ458812 CAV458755:CAV458812 CKR458755:CKR458812 CUN458755:CUN458812 DEJ458755:DEJ458812 DOF458755:DOF458812 DYB458755:DYB458812 EHX458755:EHX458812 ERT458755:ERT458812 FBP458755:FBP458812 FLL458755:FLL458812 FVH458755:FVH458812 GFD458755:GFD458812 GOZ458755:GOZ458812 GYV458755:GYV458812 HIR458755:HIR458812 HSN458755:HSN458812 ICJ458755:ICJ458812 IMF458755:IMF458812 IWB458755:IWB458812 JFX458755:JFX458812 JPT458755:JPT458812 JZP458755:JZP458812 KJL458755:KJL458812 KTH458755:KTH458812 LDD458755:LDD458812 LMZ458755:LMZ458812 LWV458755:LWV458812 MGR458755:MGR458812 MQN458755:MQN458812 NAJ458755:NAJ458812 NKF458755:NKF458812 NUB458755:NUB458812 ODX458755:ODX458812 ONT458755:ONT458812 OXP458755:OXP458812 PHL458755:PHL458812 PRH458755:PRH458812 QBD458755:QBD458812 QKZ458755:QKZ458812 QUV458755:QUV458812 RER458755:RER458812 RON458755:RON458812 RYJ458755:RYJ458812 SIF458755:SIF458812 SSB458755:SSB458812 TBX458755:TBX458812 TLT458755:TLT458812 TVP458755:TVP458812 UFL458755:UFL458812 UPH458755:UPH458812 UZD458755:UZD458812 VIZ458755:VIZ458812 VSV458755:VSV458812 WCR458755:WCR458812 WMN458755:WMN458812 WWJ458755:WWJ458812 G524291:G524348 JX524291:JX524348 TT524291:TT524348 ADP524291:ADP524348 ANL524291:ANL524348 AXH524291:AXH524348 BHD524291:BHD524348 BQZ524291:BQZ524348 CAV524291:CAV524348 CKR524291:CKR524348 CUN524291:CUN524348 DEJ524291:DEJ524348 DOF524291:DOF524348 DYB524291:DYB524348 EHX524291:EHX524348 ERT524291:ERT524348 FBP524291:FBP524348 FLL524291:FLL524348 FVH524291:FVH524348 GFD524291:GFD524348 GOZ524291:GOZ524348 GYV524291:GYV524348 HIR524291:HIR524348 HSN524291:HSN524348 ICJ524291:ICJ524348 IMF524291:IMF524348 IWB524291:IWB524348 JFX524291:JFX524348 JPT524291:JPT524348 JZP524291:JZP524348 KJL524291:KJL524348 KTH524291:KTH524348 LDD524291:LDD524348 LMZ524291:LMZ524348 LWV524291:LWV524348 MGR524291:MGR524348 MQN524291:MQN524348 NAJ524291:NAJ524348 NKF524291:NKF524348 NUB524291:NUB524348 ODX524291:ODX524348 ONT524291:ONT524348 OXP524291:OXP524348 PHL524291:PHL524348 PRH524291:PRH524348 QBD524291:QBD524348 QKZ524291:QKZ524348 QUV524291:QUV524348 RER524291:RER524348 RON524291:RON524348 RYJ524291:RYJ524348 SIF524291:SIF524348 SSB524291:SSB524348 TBX524291:TBX524348 TLT524291:TLT524348 TVP524291:TVP524348 UFL524291:UFL524348 UPH524291:UPH524348 UZD524291:UZD524348 VIZ524291:VIZ524348 VSV524291:VSV524348 WCR524291:WCR524348 WMN524291:WMN524348 WWJ524291:WWJ524348 G589827:G589884 JX589827:JX589884 TT589827:TT589884 ADP589827:ADP589884 ANL589827:ANL589884 AXH589827:AXH589884 BHD589827:BHD589884 BQZ589827:BQZ589884 CAV589827:CAV589884 CKR589827:CKR589884 CUN589827:CUN589884 DEJ589827:DEJ589884 DOF589827:DOF589884 DYB589827:DYB589884 EHX589827:EHX589884 ERT589827:ERT589884 FBP589827:FBP589884 FLL589827:FLL589884 FVH589827:FVH589884 GFD589827:GFD589884 GOZ589827:GOZ589884 GYV589827:GYV589884 HIR589827:HIR589884 HSN589827:HSN589884 ICJ589827:ICJ589884 IMF589827:IMF589884 IWB589827:IWB589884 JFX589827:JFX589884 JPT589827:JPT589884 JZP589827:JZP589884 KJL589827:KJL589884 KTH589827:KTH589884 LDD589827:LDD589884 LMZ589827:LMZ589884 LWV589827:LWV589884 MGR589827:MGR589884 MQN589827:MQN589884 NAJ589827:NAJ589884 NKF589827:NKF589884 NUB589827:NUB589884 ODX589827:ODX589884 ONT589827:ONT589884 OXP589827:OXP589884 PHL589827:PHL589884 PRH589827:PRH589884 QBD589827:QBD589884 QKZ589827:QKZ589884 QUV589827:QUV589884 RER589827:RER589884 RON589827:RON589884 RYJ589827:RYJ589884 SIF589827:SIF589884 SSB589827:SSB589884 TBX589827:TBX589884 TLT589827:TLT589884 TVP589827:TVP589884 UFL589827:UFL589884 UPH589827:UPH589884 UZD589827:UZD589884 VIZ589827:VIZ589884 VSV589827:VSV589884 WCR589827:WCR589884 WMN589827:WMN589884 WWJ589827:WWJ589884 G655363:G655420 JX655363:JX655420 TT655363:TT655420 ADP655363:ADP655420 ANL655363:ANL655420 AXH655363:AXH655420 BHD655363:BHD655420 BQZ655363:BQZ655420 CAV655363:CAV655420 CKR655363:CKR655420 CUN655363:CUN655420 DEJ655363:DEJ655420 DOF655363:DOF655420 DYB655363:DYB655420 EHX655363:EHX655420 ERT655363:ERT655420 FBP655363:FBP655420 FLL655363:FLL655420 FVH655363:FVH655420 GFD655363:GFD655420 GOZ655363:GOZ655420 GYV655363:GYV655420 HIR655363:HIR655420 HSN655363:HSN655420 ICJ655363:ICJ655420 IMF655363:IMF655420 IWB655363:IWB655420 JFX655363:JFX655420 JPT655363:JPT655420 JZP655363:JZP655420 KJL655363:KJL655420 KTH655363:KTH655420 LDD655363:LDD655420 LMZ655363:LMZ655420 LWV655363:LWV655420 MGR655363:MGR655420 MQN655363:MQN655420 NAJ655363:NAJ655420 NKF655363:NKF655420 NUB655363:NUB655420 ODX655363:ODX655420 ONT655363:ONT655420 OXP655363:OXP655420 PHL655363:PHL655420 PRH655363:PRH655420 QBD655363:QBD655420 QKZ655363:QKZ655420 QUV655363:QUV655420 RER655363:RER655420 RON655363:RON655420 RYJ655363:RYJ655420 SIF655363:SIF655420 SSB655363:SSB655420 TBX655363:TBX655420 TLT655363:TLT655420 TVP655363:TVP655420 UFL655363:UFL655420 UPH655363:UPH655420 UZD655363:UZD655420 VIZ655363:VIZ655420 VSV655363:VSV655420 WCR655363:WCR655420 WMN655363:WMN655420 WWJ655363:WWJ655420 G720899:G720956 JX720899:JX720956 TT720899:TT720956 ADP720899:ADP720956 ANL720899:ANL720956 AXH720899:AXH720956 BHD720899:BHD720956 BQZ720899:BQZ720956 CAV720899:CAV720956 CKR720899:CKR720956 CUN720899:CUN720956 DEJ720899:DEJ720956 DOF720899:DOF720956 DYB720899:DYB720956 EHX720899:EHX720956 ERT720899:ERT720956 FBP720899:FBP720956 FLL720899:FLL720956 FVH720899:FVH720956 GFD720899:GFD720956 GOZ720899:GOZ720956 GYV720899:GYV720956 HIR720899:HIR720956 HSN720899:HSN720956 ICJ720899:ICJ720956 IMF720899:IMF720956 IWB720899:IWB720956 JFX720899:JFX720956 JPT720899:JPT720956 JZP720899:JZP720956 KJL720899:KJL720956 KTH720899:KTH720956 LDD720899:LDD720956 LMZ720899:LMZ720956 LWV720899:LWV720956 MGR720899:MGR720956 MQN720899:MQN720956 NAJ720899:NAJ720956 NKF720899:NKF720956 NUB720899:NUB720956 ODX720899:ODX720956 ONT720899:ONT720956 OXP720899:OXP720956 PHL720899:PHL720956 PRH720899:PRH720956 QBD720899:QBD720956 QKZ720899:QKZ720956 QUV720899:QUV720956 RER720899:RER720956 RON720899:RON720956 RYJ720899:RYJ720956 SIF720899:SIF720956 SSB720899:SSB720956 TBX720899:TBX720956 TLT720899:TLT720956 TVP720899:TVP720956 UFL720899:UFL720956 UPH720899:UPH720956 UZD720899:UZD720956 VIZ720899:VIZ720956 VSV720899:VSV720956 WCR720899:WCR720956 WMN720899:WMN720956 WWJ720899:WWJ720956 G786435:G786492 JX786435:JX786492 TT786435:TT786492 ADP786435:ADP786492 ANL786435:ANL786492 AXH786435:AXH786492 BHD786435:BHD786492 BQZ786435:BQZ786492 CAV786435:CAV786492 CKR786435:CKR786492 CUN786435:CUN786492 DEJ786435:DEJ786492 DOF786435:DOF786492 DYB786435:DYB786492 EHX786435:EHX786492 ERT786435:ERT786492 FBP786435:FBP786492 FLL786435:FLL786492 FVH786435:FVH786492 GFD786435:GFD786492 GOZ786435:GOZ786492 GYV786435:GYV786492 HIR786435:HIR786492 HSN786435:HSN786492 ICJ786435:ICJ786492 IMF786435:IMF786492 IWB786435:IWB786492 JFX786435:JFX786492 JPT786435:JPT786492 JZP786435:JZP786492 KJL786435:KJL786492 KTH786435:KTH786492 LDD786435:LDD786492 LMZ786435:LMZ786492 LWV786435:LWV786492 MGR786435:MGR786492 MQN786435:MQN786492 NAJ786435:NAJ786492 NKF786435:NKF786492 NUB786435:NUB786492 ODX786435:ODX786492 ONT786435:ONT786492 OXP786435:OXP786492 PHL786435:PHL786492 PRH786435:PRH786492 QBD786435:QBD786492 QKZ786435:QKZ786492 QUV786435:QUV786492 RER786435:RER786492 RON786435:RON786492 RYJ786435:RYJ786492 SIF786435:SIF786492 SSB786435:SSB786492 TBX786435:TBX786492 TLT786435:TLT786492 TVP786435:TVP786492 UFL786435:UFL786492 UPH786435:UPH786492 UZD786435:UZD786492 VIZ786435:VIZ786492 VSV786435:VSV786492 WCR786435:WCR786492 WMN786435:WMN786492 WWJ786435:WWJ786492 G851971:G852028 JX851971:JX852028 TT851971:TT852028 ADP851971:ADP852028 ANL851971:ANL852028 AXH851971:AXH852028 BHD851971:BHD852028 BQZ851971:BQZ852028 CAV851971:CAV852028 CKR851971:CKR852028 CUN851971:CUN852028 DEJ851971:DEJ852028 DOF851971:DOF852028 DYB851971:DYB852028 EHX851971:EHX852028 ERT851971:ERT852028 FBP851971:FBP852028 FLL851971:FLL852028 FVH851971:FVH852028 GFD851971:GFD852028 GOZ851971:GOZ852028 GYV851971:GYV852028 HIR851971:HIR852028 HSN851971:HSN852028 ICJ851971:ICJ852028 IMF851971:IMF852028 IWB851971:IWB852028 JFX851971:JFX852028 JPT851971:JPT852028 JZP851971:JZP852028 KJL851971:KJL852028 KTH851971:KTH852028 LDD851971:LDD852028 LMZ851971:LMZ852028 LWV851971:LWV852028 MGR851971:MGR852028 MQN851971:MQN852028 NAJ851971:NAJ852028 NKF851971:NKF852028 NUB851971:NUB852028 ODX851971:ODX852028 ONT851971:ONT852028 OXP851971:OXP852028 PHL851971:PHL852028 PRH851971:PRH852028 QBD851971:QBD852028 QKZ851971:QKZ852028 QUV851971:QUV852028 RER851971:RER852028 RON851971:RON852028 RYJ851971:RYJ852028 SIF851971:SIF852028 SSB851971:SSB852028 TBX851971:TBX852028 TLT851971:TLT852028 TVP851971:TVP852028 UFL851971:UFL852028 UPH851971:UPH852028 UZD851971:UZD852028 VIZ851971:VIZ852028 VSV851971:VSV852028 WCR851971:WCR852028 WMN851971:WMN852028 WWJ851971:WWJ852028 G917507:G917564 JX917507:JX917564 TT917507:TT917564 ADP917507:ADP917564 ANL917507:ANL917564 AXH917507:AXH917564 BHD917507:BHD917564 BQZ917507:BQZ917564 CAV917507:CAV917564 CKR917507:CKR917564 CUN917507:CUN917564 DEJ917507:DEJ917564 DOF917507:DOF917564 DYB917507:DYB917564 EHX917507:EHX917564 ERT917507:ERT917564 FBP917507:FBP917564 FLL917507:FLL917564 FVH917507:FVH917564 GFD917507:GFD917564 GOZ917507:GOZ917564 GYV917507:GYV917564 HIR917507:HIR917564 HSN917507:HSN917564 ICJ917507:ICJ917564 IMF917507:IMF917564 IWB917507:IWB917564 JFX917507:JFX917564 JPT917507:JPT917564 JZP917507:JZP917564 KJL917507:KJL917564 KTH917507:KTH917564 LDD917507:LDD917564 LMZ917507:LMZ917564 LWV917507:LWV917564 MGR917507:MGR917564 MQN917507:MQN917564 NAJ917507:NAJ917564 NKF917507:NKF917564 NUB917507:NUB917564 ODX917507:ODX917564 ONT917507:ONT917564 OXP917507:OXP917564 PHL917507:PHL917564 PRH917507:PRH917564 QBD917507:QBD917564 QKZ917507:QKZ917564 QUV917507:QUV917564 RER917507:RER917564 RON917507:RON917564 RYJ917507:RYJ917564 SIF917507:SIF917564 SSB917507:SSB917564 TBX917507:TBX917564 TLT917507:TLT917564 TVP917507:TVP917564 UFL917507:UFL917564 UPH917507:UPH917564 UZD917507:UZD917564 VIZ917507:VIZ917564 VSV917507:VSV917564 WCR917507:WCR917564 WMN917507:WMN917564 WWJ917507:WWJ917564 G983043:G983100 JX983043:JX983100 TT983043:TT983100 ADP983043:ADP983100 ANL983043:ANL983100 AXH983043:AXH983100 BHD983043:BHD983100 BQZ983043:BQZ983100 CAV983043:CAV983100 CKR983043:CKR983100 CUN983043:CUN983100 DEJ983043:DEJ983100 DOF983043:DOF983100 DYB983043:DYB983100 EHX983043:EHX983100 ERT983043:ERT983100 FBP983043:FBP983100 FLL983043:FLL983100 FVH983043:FVH983100 GFD983043:GFD983100 GOZ983043:GOZ983100 GYV983043:GYV983100 HIR983043:HIR983100 HSN983043:HSN983100 ICJ983043:ICJ983100 IMF983043:IMF983100 IWB983043:IWB983100 JFX983043:JFX983100 JPT983043:JPT983100 JZP983043:JZP983100 KJL983043:KJL983100 KTH983043:KTH983100 LDD983043:LDD983100 LMZ983043:LMZ983100 LWV983043:LWV983100 MGR983043:MGR983100 MQN983043:MQN983100 NAJ983043:NAJ983100 NKF983043:NKF983100 NUB983043:NUB983100 ODX983043:ODX983100 ONT983043:ONT983100 OXP983043:OXP983100 PHL983043:PHL983100 PRH983043:PRH983100 QBD983043:QBD983100 QKZ983043:QKZ983100 QUV983043:QUV983100 RER983043:RER983100 RON983043:RON983100 RYJ983043:RYJ983100 SIF983043:SIF983100 SSB983043:SSB983100 TBX983043:TBX983100 TLT983043:TLT983100 TVP983043:TVP983100 UFL983043:UFL983100 UPH983043:UPH983100 UZD983043:UZD983100 VIZ983043:VIZ983100 VSV983043:VSV983100 WCR983043:WCR983100 WMN983043:WMN983100 WWJ983043:WWJ983100 G3:G60">
      <formula1>"IS,IR,"</formula1>
    </dataValidation>
    <dataValidation type="list" allowBlank="1" showInputMessage="1" showErrorMessage="1" sqref="D3:D60 JV3:JV60 TR3:TR60 ADN3:ADN60 ANJ3:ANJ60 AXF3:AXF60 BHB3:BHB60 BQX3:BQX60 CAT3:CAT60 CKP3:CKP60 CUL3:CUL60 DEH3:DEH60 DOD3:DOD60 DXZ3:DXZ60 EHV3:EHV60 ERR3:ERR60 FBN3:FBN60 FLJ3:FLJ60 FVF3:FVF60 GFB3:GFB60 GOX3:GOX60 GYT3:GYT60 HIP3:HIP60 HSL3:HSL60 ICH3:ICH60 IMD3:IMD60 IVZ3:IVZ60 JFV3:JFV60 JPR3:JPR60 JZN3:JZN60 KJJ3:KJJ60 KTF3:KTF60 LDB3:LDB60 LMX3:LMX60 LWT3:LWT60 MGP3:MGP60 MQL3:MQL60 NAH3:NAH60 NKD3:NKD60 NTZ3:NTZ60 ODV3:ODV60 ONR3:ONR60 OXN3:OXN60 PHJ3:PHJ60 PRF3:PRF60 QBB3:QBB60 QKX3:QKX60 QUT3:QUT60 REP3:REP60 ROL3:ROL60 RYH3:RYH60 SID3:SID60 SRZ3:SRZ60 TBV3:TBV60 TLR3:TLR60 TVN3:TVN60 UFJ3:UFJ60 UPF3:UPF60 UZB3:UZB60 VIX3:VIX60 VST3:VST60 WCP3:WCP60 WML3:WML60 WWH3:WWH60 D65539:D65596 JU65539:JU65596 TQ65539:TQ65596 ADM65539:ADM65596 ANI65539:ANI65596 AXE65539:AXE65596 BHA65539:BHA65596 BQW65539:BQW65596 CAS65539:CAS65596 CKO65539:CKO65596 CUK65539:CUK65596 DEG65539:DEG65596 DOC65539:DOC65596 DXY65539:DXY65596 EHU65539:EHU65596 ERQ65539:ERQ65596 FBM65539:FBM65596 FLI65539:FLI65596 FVE65539:FVE65596 GFA65539:GFA65596 GOW65539:GOW65596 GYS65539:GYS65596 HIO65539:HIO65596 HSK65539:HSK65596 ICG65539:ICG65596 IMC65539:IMC65596 IVY65539:IVY65596 JFU65539:JFU65596 JPQ65539:JPQ65596 JZM65539:JZM65596 KJI65539:KJI65596 KTE65539:KTE65596 LDA65539:LDA65596 LMW65539:LMW65596 LWS65539:LWS65596 MGO65539:MGO65596 MQK65539:MQK65596 NAG65539:NAG65596 NKC65539:NKC65596 NTY65539:NTY65596 ODU65539:ODU65596 ONQ65539:ONQ65596 OXM65539:OXM65596 PHI65539:PHI65596 PRE65539:PRE65596 QBA65539:QBA65596 QKW65539:QKW65596 QUS65539:QUS65596 REO65539:REO65596 ROK65539:ROK65596 RYG65539:RYG65596 SIC65539:SIC65596 SRY65539:SRY65596 TBU65539:TBU65596 TLQ65539:TLQ65596 TVM65539:TVM65596 UFI65539:UFI65596 UPE65539:UPE65596 UZA65539:UZA65596 VIW65539:VIW65596 VSS65539:VSS65596 WCO65539:WCO65596 WMK65539:WMK65596 WWG65539:WWG65596 D131075:D131132 JU131075:JU131132 TQ131075:TQ131132 ADM131075:ADM131132 ANI131075:ANI131132 AXE131075:AXE131132 BHA131075:BHA131132 BQW131075:BQW131132 CAS131075:CAS131132 CKO131075:CKO131132 CUK131075:CUK131132 DEG131075:DEG131132 DOC131075:DOC131132 DXY131075:DXY131132 EHU131075:EHU131132 ERQ131075:ERQ131132 FBM131075:FBM131132 FLI131075:FLI131132 FVE131075:FVE131132 GFA131075:GFA131132 GOW131075:GOW131132 GYS131075:GYS131132 HIO131075:HIO131132 HSK131075:HSK131132 ICG131075:ICG131132 IMC131075:IMC131132 IVY131075:IVY131132 JFU131075:JFU131132 JPQ131075:JPQ131132 JZM131075:JZM131132 KJI131075:KJI131132 KTE131075:KTE131132 LDA131075:LDA131132 LMW131075:LMW131132 LWS131075:LWS131132 MGO131075:MGO131132 MQK131075:MQK131132 NAG131075:NAG131132 NKC131075:NKC131132 NTY131075:NTY131132 ODU131075:ODU131132 ONQ131075:ONQ131132 OXM131075:OXM131132 PHI131075:PHI131132 PRE131075:PRE131132 QBA131075:QBA131132 QKW131075:QKW131132 QUS131075:QUS131132 REO131075:REO131132 ROK131075:ROK131132 RYG131075:RYG131132 SIC131075:SIC131132 SRY131075:SRY131132 TBU131075:TBU131132 TLQ131075:TLQ131132 TVM131075:TVM131132 UFI131075:UFI131132 UPE131075:UPE131132 UZA131075:UZA131132 VIW131075:VIW131132 VSS131075:VSS131132 WCO131075:WCO131132 WMK131075:WMK131132 WWG131075:WWG131132 D196611:D196668 JU196611:JU196668 TQ196611:TQ196668 ADM196611:ADM196668 ANI196611:ANI196668 AXE196611:AXE196668 BHA196611:BHA196668 BQW196611:BQW196668 CAS196611:CAS196668 CKO196611:CKO196668 CUK196611:CUK196668 DEG196611:DEG196668 DOC196611:DOC196668 DXY196611:DXY196668 EHU196611:EHU196668 ERQ196611:ERQ196668 FBM196611:FBM196668 FLI196611:FLI196668 FVE196611:FVE196668 GFA196611:GFA196668 GOW196611:GOW196668 GYS196611:GYS196668 HIO196611:HIO196668 HSK196611:HSK196668 ICG196611:ICG196668 IMC196611:IMC196668 IVY196611:IVY196668 JFU196611:JFU196668 JPQ196611:JPQ196668 JZM196611:JZM196668 KJI196611:KJI196668 KTE196611:KTE196668 LDA196611:LDA196668 LMW196611:LMW196668 LWS196611:LWS196668 MGO196611:MGO196668 MQK196611:MQK196668 NAG196611:NAG196668 NKC196611:NKC196668 NTY196611:NTY196668 ODU196611:ODU196668 ONQ196611:ONQ196668 OXM196611:OXM196668 PHI196611:PHI196668 PRE196611:PRE196668 QBA196611:QBA196668 QKW196611:QKW196668 QUS196611:QUS196668 REO196611:REO196668 ROK196611:ROK196668 RYG196611:RYG196668 SIC196611:SIC196668 SRY196611:SRY196668 TBU196611:TBU196668 TLQ196611:TLQ196668 TVM196611:TVM196668 UFI196611:UFI196668 UPE196611:UPE196668 UZA196611:UZA196668 VIW196611:VIW196668 VSS196611:VSS196668 WCO196611:WCO196668 WMK196611:WMK196668 WWG196611:WWG196668 D262147:D262204 JU262147:JU262204 TQ262147:TQ262204 ADM262147:ADM262204 ANI262147:ANI262204 AXE262147:AXE262204 BHA262147:BHA262204 BQW262147:BQW262204 CAS262147:CAS262204 CKO262147:CKO262204 CUK262147:CUK262204 DEG262147:DEG262204 DOC262147:DOC262204 DXY262147:DXY262204 EHU262147:EHU262204 ERQ262147:ERQ262204 FBM262147:FBM262204 FLI262147:FLI262204 FVE262147:FVE262204 GFA262147:GFA262204 GOW262147:GOW262204 GYS262147:GYS262204 HIO262147:HIO262204 HSK262147:HSK262204 ICG262147:ICG262204 IMC262147:IMC262204 IVY262147:IVY262204 JFU262147:JFU262204 JPQ262147:JPQ262204 JZM262147:JZM262204 KJI262147:KJI262204 KTE262147:KTE262204 LDA262147:LDA262204 LMW262147:LMW262204 LWS262147:LWS262204 MGO262147:MGO262204 MQK262147:MQK262204 NAG262147:NAG262204 NKC262147:NKC262204 NTY262147:NTY262204 ODU262147:ODU262204 ONQ262147:ONQ262204 OXM262147:OXM262204 PHI262147:PHI262204 PRE262147:PRE262204 QBA262147:QBA262204 QKW262147:QKW262204 QUS262147:QUS262204 REO262147:REO262204 ROK262147:ROK262204 RYG262147:RYG262204 SIC262147:SIC262204 SRY262147:SRY262204 TBU262147:TBU262204 TLQ262147:TLQ262204 TVM262147:TVM262204 UFI262147:UFI262204 UPE262147:UPE262204 UZA262147:UZA262204 VIW262147:VIW262204 VSS262147:VSS262204 WCO262147:WCO262204 WMK262147:WMK262204 WWG262147:WWG262204 D327683:D327740 JU327683:JU327740 TQ327683:TQ327740 ADM327683:ADM327740 ANI327683:ANI327740 AXE327683:AXE327740 BHA327683:BHA327740 BQW327683:BQW327740 CAS327683:CAS327740 CKO327683:CKO327740 CUK327683:CUK327740 DEG327683:DEG327740 DOC327683:DOC327740 DXY327683:DXY327740 EHU327683:EHU327740 ERQ327683:ERQ327740 FBM327683:FBM327740 FLI327683:FLI327740 FVE327683:FVE327740 GFA327683:GFA327740 GOW327683:GOW327740 GYS327683:GYS327740 HIO327683:HIO327740 HSK327683:HSK327740 ICG327683:ICG327740 IMC327683:IMC327740 IVY327683:IVY327740 JFU327683:JFU327740 JPQ327683:JPQ327740 JZM327683:JZM327740 KJI327683:KJI327740 KTE327683:KTE327740 LDA327683:LDA327740 LMW327683:LMW327740 LWS327683:LWS327740 MGO327683:MGO327740 MQK327683:MQK327740 NAG327683:NAG327740 NKC327683:NKC327740 NTY327683:NTY327740 ODU327683:ODU327740 ONQ327683:ONQ327740 OXM327683:OXM327740 PHI327683:PHI327740 PRE327683:PRE327740 QBA327683:QBA327740 QKW327683:QKW327740 QUS327683:QUS327740 REO327683:REO327740 ROK327683:ROK327740 RYG327683:RYG327740 SIC327683:SIC327740 SRY327683:SRY327740 TBU327683:TBU327740 TLQ327683:TLQ327740 TVM327683:TVM327740 UFI327683:UFI327740 UPE327683:UPE327740 UZA327683:UZA327740 VIW327683:VIW327740 VSS327683:VSS327740 WCO327683:WCO327740 WMK327683:WMK327740 WWG327683:WWG327740 D393219:D393276 JU393219:JU393276 TQ393219:TQ393276 ADM393219:ADM393276 ANI393219:ANI393276 AXE393219:AXE393276 BHA393219:BHA393276 BQW393219:BQW393276 CAS393219:CAS393276 CKO393219:CKO393276 CUK393219:CUK393276 DEG393219:DEG393276 DOC393219:DOC393276 DXY393219:DXY393276 EHU393219:EHU393276 ERQ393219:ERQ393276 FBM393219:FBM393276 FLI393219:FLI393276 FVE393219:FVE393276 GFA393219:GFA393276 GOW393219:GOW393276 GYS393219:GYS393276 HIO393219:HIO393276 HSK393219:HSK393276 ICG393219:ICG393276 IMC393219:IMC393276 IVY393219:IVY393276 JFU393219:JFU393276 JPQ393219:JPQ393276 JZM393219:JZM393276 KJI393219:KJI393276 KTE393219:KTE393276 LDA393219:LDA393276 LMW393219:LMW393276 LWS393219:LWS393276 MGO393219:MGO393276 MQK393219:MQK393276 NAG393219:NAG393276 NKC393219:NKC393276 NTY393219:NTY393276 ODU393219:ODU393276 ONQ393219:ONQ393276 OXM393219:OXM393276 PHI393219:PHI393276 PRE393219:PRE393276 QBA393219:QBA393276 QKW393219:QKW393276 QUS393219:QUS393276 REO393219:REO393276 ROK393219:ROK393276 RYG393219:RYG393276 SIC393219:SIC393276 SRY393219:SRY393276 TBU393219:TBU393276 TLQ393219:TLQ393276 TVM393219:TVM393276 UFI393219:UFI393276 UPE393219:UPE393276 UZA393219:UZA393276 VIW393219:VIW393276 VSS393219:VSS393276 WCO393219:WCO393276 WMK393219:WMK393276 WWG393219:WWG393276 D458755:D458812 JU458755:JU458812 TQ458755:TQ458812 ADM458755:ADM458812 ANI458755:ANI458812 AXE458755:AXE458812 BHA458755:BHA458812 BQW458755:BQW458812 CAS458755:CAS458812 CKO458755:CKO458812 CUK458755:CUK458812 DEG458755:DEG458812 DOC458755:DOC458812 DXY458755:DXY458812 EHU458755:EHU458812 ERQ458755:ERQ458812 FBM458755:FBM458812 FLI458755:FLI458812 FVE458755:FVE458812 GFA458755:GFA458812 GOW458755:GOW458812 GYS458755:GYS458812 HIO458755:HIO458812 HSK458755:HSK458812 ICG458755:ICG458812 IMC458755:IMC458812 IVY458755:IVY458812 JFU458755:JFU458812 JPQ458755:JPQ458812 JZM458755:JZM458812 KJI458755:KJI458812 KTE458755:KTE458812 LDA458755:LDA458812 LMW458755:LMW458812 LWS458755:LWS458812 MGO458755:MGO458812 MQK458755:MQK458812 NAG458755:NAG458812 NKC458755:NKC458812 NTY458755:NTY458812 ODU458755:ODU458812 ONQ458755:ONQ458812 OXM458755:OXM458812 PHI458755:PHI458812 PRE458755:PRE458812 QBA458755:QBA458812 QKW458755:QKW458812 QUS458755:QUS458812 REO458755:REO458812 ROK458755:ROK458812 RYG458755:RYG458812 SIC458755:SIC458812 SRY458755:SRY458812 TBU458755:TBU458812 TLQ458755:TLQ458812 TVM458755:TVM458812 UFI458755:UFI458812 UPE458755:UPE458812 UZA458755:UZA458812 VIW458755:VIW458812 VSS458755:VSS458812 WCO458755:WCO458812 WMK458755:WMK458812 WWG458755:WWG458812 D524291:D524348 JU524291:JU524348 TQ524291:TQ524348 ADM524291:ADM524348 ANI524291:ANI524348 AXE524291:AXE524348 BHA524291:BHA524348 BQW524291:BQW524348 CAS524291:CAS524348 CKO524291:CKO524348 CUK524291:CUK524348 DEG524291:DEG524348 DOC524291:DOC524348 DXY524291:DXY524348 EHU524291:EHU524348 ERQ524291:ERQ524348 FBM524291:FBM524348 FLI524291:FLI524348 FVE524291:FVE524348 GFA524291:GFA524348 GOW524291:GOW524348 GYS524291:GYS524348 HIO524291:HIO524348 HSK524291:HSK524348 ICG524291:ICG524348 IMC524291:IMC524348 IVY524291:IVY524348 JFU524291:JFU524348 JPQ524291:JPQ524348 JZM524291:JZM524348 KJI524291:KJI524348 KTE524291:KTE524348 LDA524291:LDA524348 LMW524291:LMW524348 LWS524291:LWS524348 MGO524291:MGO524348 MQK524291:MQK524348 NAG524291:NAG524348 NKC524291:NKC524348 NTY524291:NTY524348 ODU524291:ODU524348 ONQ524291:ONQ524348 OXM524291:OXM524348 PHI524291:PHI524348 PRE524291:PRE524348 QBA524291:QBA524348 QKW524291:QKW524348 QUS524291:QUS524348 REO524291:REO524348 ROK524291:ROK524348 RYG524291:RYG524348 SIC524291:SIC524348 SRY524291:SRY524348 TBU524291:TBU524348 TLQ524291:TLQ524348 TVM524291:TVM524348 UFI524291:UFI524348 UPE524291:UPE524348 UZA524291:UZA524348 VIW524291:VIW524348 VSS524291:VSS524348 WCO524291:WCO524348 WMK524291:WMK524348 WWG524291:WWG524348 D589827:D589884 JU589827:JU589884 TQ589827:TQ589884 ADM589827:ADM589884 ANI589827:ANI589884 AXE589827:AXE589884 BHA589827:BHA589884 BQW589827:BQW589884 CAS589827:CAS589884 CKO589827:CKO589884 CUK589827:CUK589884 DEG589827:DEG589884 DOC589827:DOC589884 DXY589827:DXY589884 EHU589827:EHU589884 ERQ589827:ERQ589884 FBM589827:FBM589884 FLI589827:FLI589884 FVE589827:FVE589884 GFA589827:GFA589884 GOW589827:GOW589884 GYS589827:GYS589884 HIO589827:HIO589884 HSK589827:HSK589884 ICG589827:ICG589884 IMC589827:IMC589884 IVY589827:IVY589884 JFU589827:JFU589884 JPQ589827:JPQ589884 JZM589827:JZM589884 KJI589827:KJI589884 KTE589827:KTE589884 LDA589827:LDA589884 LMW589827:LMW589884 LWS589827:LWS589884 MGO589827:MGO589884 MQK589827:MQK589884 NAG589827:NAG589884 NKC589827:NKC589884 NTY589827:NTY589884 ODU589827:ODU589884 ONQ589827:ONQ589884 OXM589827:OXM589884 PHI589827:PHI589884 PRE589827:PRE589884 QBA589827:QBA589884 QKW589827:QKW589884 QUS589827:QUS589884 REO589827:REO589884 ROK589827:ROK589884 RYG589827:RYG589884 SIC589827:SIC589884 SRY589827:SRY589884 TBU589827:TBU589884 TLQ589827:TLQ589884 TVM589827:TVM589884 UFI589827:UFI589884 UPE589827:UPE589884 UZA589827:UZA589884 VIW589827:VIW589884 VSS589827:VSS589884 WCO589827:WCO589884 WMK589827:WMK589884 WWG589827:WWG589884 D655363:D655420 JU655363:JU655420 TQ655363:TQ655420 ADM655363:ADM655420 ANI655363:ANI655420 AXE655363:AXE655420 BHA655363:BHA655420 BQW655363:BQW655420 CAS655363:CAS655420 CKO655363:CKO655420 CUK655363:CUK655420 DEG655363:DEG655420 DOC655363:DOC655420 DXY655363:DXY655420 EHU655363:EHU655420 ERQ655363:ERQ655420 FBM655363:FBM655420 FLI655363:FLI655420 FVE655363:FVE655420 GFA655363:GFA655420 GOW655363:GOW655420 GYS655363:GYS655420 HIO655363:HIO655420 HSK655363:HSK655420 ICG655363:ICG655420 IMC655363:IMC655420 IVY655363:IVY655420 JFU655363:JFU655420 JPQ655363:JPQ655420 JZM655363:JZM655420 KJI655363:KJI655420 KTE655363:KTE655420 LDA655363:LDA655420 LMW655363:LMW655420 LWS655363:LWS655420 MGO655363:MGO655420 MQK655363:MQK655420 NAG655363:NAG655420 NKC655363:NKC655420 NTY655363:NTY655420 ODU655363:ODU655420 ONQ655363:ONQ655420 OXM655363:OXM655420 PHI655363:PHI655420 PRE655363:PRE655420 QBA655363:QBA655420 QKW655363:QKW655420 QUS655363:QUS655420 REO655363:REO655420 ROK655363:ROK655420 RYG655363:RYG655420 SIC655363:SIC655420 SRY655363:SRY655420 TBU655363:TBU655420 TLQ655363:TLQ655420 TVM655363:TVM655420 UFI655363:UFI655420 UPE655363:UPE655420 UZA655363:UZA655420 VIW655363:VIW655420 VSS655363:VSS655420 WCO655363:WCO655420 WMK655363:WMK655420 WWG655363:WWG655420 D720899:D720956 JU720899:JU720956 TQ720899:TQ720956 ADM720899:ADM720956 ANI720899:ANI720956 AXE720899:AXE720956 BHA720899:BHA720956 BQW720899:BQW720956 CAS720899:CAS720956 CKO720899:CKO720956 CUK720899:CUK720956 DEG720899:DEG720956 DOC720899:DOC720956 DXY720899:DXY720956 EHU720899:EHU720956 ERQ720899:ERQ720956 FBM720899:FBM720956 FLI720899:FLI720956 FVE720899:FVE720956 GFA720899:GFA720956 GOW720899:GOW720956 GYS720899:GYS720956 HIO720899:HIO720956 HSK720899:HSK720956 ICG720899:ICG720956 IMC720899:IMC720956 IVY720899:IVY720956 JFU720899:JFU720956 JPQ720899:JPQ720956 JZM720899:JZM720956 KJI720899:KJI720956 KTE720899:KTE720956 LDA720899:LDA720956 LMW720899:LMW720956 LWS720899:LWS720956 MGO720899:MGO720956 MQK720899:MQK720956 NAG720899:NAG720956 NKC720899:NKC720956 NTY720899:NTY720956 ODU720899:ODU720956 ONQ720899:ONQ720956 OXM720899:OXM720956 PHI720899:PHI720956 PRE720899:PRE720956 QBA720899:QBA720956 QKW720899:QKW720956 QUS720899:QUS720956 REO720899:REO720956 ROK720899:ROK720956 RYG720899:RYG720956 SIC720899:SIC720956 SRY720899:SRY720956 TBU720899:TBU720956 TLQ720899:TLQ720956 TVM720899:TVM720956 UFI720899:UFI720956 UPE720899:UPE720956 UZA720899:UZA720956 VIW720899:VIW720956 VSS720899:VSS720956 WCO720899:WCO720956 WMK720899:WMK720956 WWG720899:WWG720956 D786435:D786492 JU786435:JU786492 TQ786435:TQ786492 ADM786435:ADM786492 ANI786435:ANI786492 AXE786435:AXE786492 BHA786435:BHA786492 BQW786435:BQW786492 CAS786435:CAS786492 CKO786435:CKO786492 CUK786435:CUK786492 DEG786435:DEG786492 DOC786435:DOC786492 DXY786435:DXY786492 EHU786435:EHU786492 ERQ786435:ERQ786492 FBM786435:FBM786492 FLI786435:FLI786492 FVE786435:FVE786492 GFA786435:GFA786492 GOW786435:GOW786492 GYS786435:GYS786492 HIO786435:HIO786492 HSK786435:HSK786492 ICG786435:ICG786492 IMC786435:IMC786492 IVY786435:IVY786492 JFU786435:JFU786492 JPQ786435:JPQ786492 JZM786435:JZM786492 KJI786435:KJI786492 KTE786435:KTE786492 LDA786435:LDA786492 LMW786435:LMW786492 LWS786435:LWS786492 MGO786435:MGO786492 MQK786435:MQK786492 NAG786435:NAG786492 NKC786435:NKC786492 NTY786435:NTY786492 ODU786435:ODU786492 ONQ786435:ONQ786492 OXM786435:OXM786492 PHI786435:PHI786492 PRE786435:PRE786492 QBA786435:QBA786492 QKW786435:QKW786492 QUS786435:QUS786492 REO786435:REO786492 ROK786435:ROK786492 RYG786435:RYG786492 SIC786435:SIC786492 SRY786435:SRY786492 TBU786435:TBU786492 TLQ786435:TLQ786492 TVM786435:TVM786492 UFI786435:UFI786492 UPE786435:UPE786492 UZA786435:UZA786492 VIW786435:VIW786492 VSS786435:VSS786492 WCO786435:WCO786492 WMK786435:WMK786492 WWG786435:WWG786492 D851971:D852028 JU851971:JU852028 TQ851971:TQ852028 ADM851971:ADM852028 ANI851971:ANI852028 AXE851971:AXE852028 BHA851971:BHA852028 BQW851971:BQW852028 CAS851971:CAS852028 CKO851971:CKO852028 CUK851971:CUK852028 DEG851971:DEG852028 DOC851971:DOC852028 DXY851971:DXY852028 EHU851971:EHU852028 ERQ851971:ERQ852028 FBM851971:FBM852028 FLI851971:FLI852028 FVE851971:FVE852028 GFA851971:GFA852028 GOW851971:GOW852028 GYS851971:GYS852028 HIO851971:HIO852028 HSK851971:HSK852028 ICG851971:ICG852028 IMC851971:IMC852028 IVY851971:IVY852028 JFU851971:JFU852028 JPQ851971:JPQ852028 JZM851971:JZM852028 KJI851971:KJI852028 KTE851971:KTE852028 LDA851971:LDA852028 LMW851971:LMW852028 LWS851971:LWS852028 MGO851971:MGO852028 MQK851971:MQK852028 NAG851971:NAG852028 NKC851971:NKC852028 NTY851971:NTY852028 ODU851971:ODU852028 ONQ851971:ONQ852028 OXM851971:OXM852028 PHI851971:PHI852028 PRE851971:PRE852028 QBA851971:QBA852028 QKW851971:QKW852028 QUS851971:QUS852028 REO851971:REO852028 ROK851971:ROK852028 RYG851971:RYG852028 SIC851971:SIC852028 SRY851971:SRY852028 TBU851971:TBU852028 TLQ851971:TLQ852028 TVM851971:TVM852028 UFI851971:UFI852028 UPE851971:UPE852028 UZA851971:UZA852028 VIW851971:VIW852028 VSS851971:VSS852028 WCO851971:WCO852028 WMK851971:WMK852028 WWG851971:WWG852028 D917507:D917564 JU917507:JU917564 TQ917507:TQ917564 ADM917507:ADM917564 ANI917507:ANI917564 AXE917507:AXE917564 BHA917507:BHA917564 BQW917507:BQW917564 CAS917507:CAS917564 CKO917507:CKO917564 CUK917507:CUK917564 DEG917507:DEG917564 DOC917507:DOC917564 DXY917507:DXY917564 EHU917507:EHU917564 ERQ917507:ERQ917564 FBM917507:FBM917564 FLI917507:FLI917564 FVE917507:FVE917564 GFA917507:GFA917564 GOW917507:GOW917564 GYS917507:GYS917564 HIO917507:HIO917564 HSK917507:HSK917564 ICG917507:ICG917564 IMC917507:IMC917564 IVY917507:IVY917564 JFU917507:JFU917564 JPQ917507:JPQ917564 JZM917507:JZM917564 KJI917507:KJI917564 KTE917507:KTE917564 LDA917507:LDA917564 LMW917507:LMW917564 LWS917507:LWS917564 MGO917507:MGO917564 MQK917507:MQK917564 NAG917507:NAG917564 NKC917507:NKC917564 NTY917507:NTY917564 ODU917507:ODU917564 ONQ917507:ONQ917564 OXM917507:OXM917564 PHI917507:PHI917564 PRE917507:PRE917564 QBA917507:QBA917564 QKW917507:QKW917564 QUS917507:QUS917564 REO917507:REO917564 ROK917507:ROK917564 RYG917507:RYG917564 SIC917507:SIC917564 SRY917507:SRY917564 TBU917507:TBU917564 TLQ917507:TLQ917564 TVM917507:TVM917564 UFI917507:UFI917564 UPE917507:UPE917564 UZA917507:UZA917564 VIW917507:VIW917564 VSS917507:VSS917564 WCO917507:WCO917564 WMK917507:WMK917564 WWG917507:WWG917564 D983043:D983100 JU983043:JU983100 TQ983043:TQ983100 ADM983043:ADM983100 ANI983043:ANI983100 AXE983043:AXE983100 BHA983043:BHA983100 BQW983043:BQW983100 CAS983043:CAS983100 CKO983043:CKO983100 CUK983043:CUK983100 DEG983043:DEG983100 DOC983043:DOC983100 DXY983043:DXY983100 EHU983043:EHU983100 ERQ983043:ERQ983100 FBM983043:FBM983100 FLI983043:FLI983100 FVE983043:FVE983100 GFA983043:GFA983100 GOW983043:GOW983100 GYS983043:GYS983100 HIO983043:HIO983100 HSK983043:HSK983100 ICG983043:ICG983100 IMC983043:IMC983100 IVY983043:IVY983100 JFU983043:JFU983100 JPQ983043:JPQ983100 JZM983043:JZM983100 KJI983043:KJI983100 KTE983043:KTE983100 LDA983043:LDA983100 LMW983043:LMW983100 LWS983043:LWS983100 MGO983043:MGO983100 MQK983043:MQK983100 NAG983043:NAG983100 NKC983043:NKC983100 NTY983043:NTY983100 ODU983043:ODU983100 ONQ983043:ONQ983100 OXM983043:OXM983100 PHI983043:PHI983100 PRE983043:PRE983100 QBA983043:QBA983100 QKW983043:QKW983100 QUS983043:QUS983100 REO983043:REO983100 ROK983043:ROK983100 RYG983043:RYG983100 SIC983043:SIC983100 SRY983043:SRY983100 TBU983043:TBU983100 TLQ983043:TLQ983100 TVM983043:TVM983100 UFI983043:UFI983100 UPE983043:UPE983100 UZA983043:UZA983100 VIW983043:VIW983100 VSS983043:VSS983100 WCO983043:WCO983100 WMK983043:WMK983100 WWG983043:WWG983100">
      <formula1>"ACS,AGRI,BNC,"</formula1>
    </dataValidation>
    <dataValidation type="list" allowBlank="1" showInputMessage="1" showErrorMessage="1" sqref="AL3:AL60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BH3:BH60</xm:sqref>
        </x14:dataValidation>
        <x14:dataValidation type="list" allowBlank="1" showInputMessage="1" showErrorMessage="1">
          <x14:formula1>
            <xm:f>Paramètres!$N$4:$N$13</xm:f>
          </x14:formula1>
          <xm:sqref>BG3:BG60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N183"/>
  <sheetViews>
    <sheetView zoomScale="85" zoomScaleNormal="85" workbookViewId="0">
      <pane xSplit="5" ySplit="2" topLeftCell="F3" activePane="bottomRight" state="frozen"/>
      <selection activeCell="F22" sqref="F22"/>
      <selection pane="topRight" activeCell="F22" sqref="F22"/>
      <selection pane="bottomLeft" activeCell="F22" sqref="F22"/>
      <selection pane="bottomRight" activeCell="A4" sqref="A4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9" width="18" style="89" customWidth="1"/>
    <col min="40" max="45" width="19" style="89" customWidth="1"/>
    <col min="46" max="46" width="11.42578125" style="241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4" width="11.42578125" style="89" customWidth="1"/>
    <col min="115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1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147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69" t="s">
        <v>142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SUM(PORTEFEUILLE_GUILLAUME[[#This Row],[PCR COMPTABLE €]:[MONTANT
RESPONSABLE RELATION CLIENT €]])-PORTEFEUILLE_GUILLAUME[[#This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/>
      <c r="AM3" s="191"/>
      <c r="AN3" s="188" t="s">
        <v>199</v>
      </c>
      <c r="AO3" s="188" t="s">
        <v>200</v>
      </c>
      <c r="AP3" s="188">
        <v>36</v>
      </c>
      <c r="AQ3" s="188">
        <v>16</v>
      </c>
      <c r="AR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400</v>
      </c>
      <c r="AT3" s="188" t="str">
        <f>IF(PORTEFEUILLE_GUILLAUME[[#This Row],[BONI AAC]]&lt;&gt;0,1,"")</f>
        <v/>
      </c>
      <c r="AU3" s="188">
        <f>IF(PORTEFEUILLE_GUILLAUME[[#This Row],[MALI AAC]]&lt;&gt;0,1,"")</f>
        <v>1</v>
      </c>
      <c r="AV3" s="225">
        <f>IF(AP3&lt;&gt;"",IF((AP3*Paramètres!$H$4)-PORTEFEUILLE_GUILLAUME[[#This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€]]-(DELPHINE!AP3*Paramètres!$H$4),0),0)</f>
        <v>0</v>
      </c>
      <c r="AW3" s="225">
        <f>IF(AP3&lt;&gt;"",IF(((AP3*Paramètres!$H$4)-PORTEFEUILLE_GUILLAUME[[#This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" s="190" t="str">
        <f>IF(PORTEFEUILLE_GUILLAUME[[#This Row],[BONI COMPTABLE]]&lt;&gt;0,1,"")</f>
        <v/>
      </c>
      <c r="AY3" s="190" t="str">
        <f>IF(PORTEFEUILLE_GUILLAUME[[#This Row],[MALI COMPTABLE]]&lt;&gt;0,1,"")</f>
        <v/>
      </c>
      <c r="AZ3" s="188">
        <v>2</v>
      </c>
      <c r="BA3" s="188" t="s">
        <v>209</v>
      </c>
      <c r="BB3" s="188" t="s">
        <v>209</v>
      </c>
      <c r="BC3" s="188"/>
      <c r="BD3" s="188"/>
      <c r="BE3" s="188"/>
      <c r="BF3" s="188"/>
      <c r="BG3" s="192" t="s">
        <v>214</v>
      </c>
      <c r="BH3" s="192" t="s">
        <v>191</v>
      </c>
      <c r="BI3" s="192" t="s">
        <v>200</v>
      </c>
      <c r="BJ3" s="193"/>
      <c r="BK3" s="192"/>
    </row>
    <row r="4" spans="1:78" x14ac:dyDescent="0.25">
      <c r="A4" s="169" t="s">
        <v>142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SUM(PORTEFEUILLE_GUILLAUME[[#This Row],[PCR COMPTABLE €]:[MONTANT
RESPONSABLE RELATION CLIENT €]])-PORTEFEUILLE_GUILLAUME[[#This Row],[MONTANT TOTAL LETTRE DE MISION €]]</f>
        <v>0</v>
      </c>
      <c r="AI4" s="191" t="s">
        <v>153</v>
      </c>
      <c r="AJ4" s="188" t="s">
        <v>154</v>
      </c>
      <c r="AK4" s="188"/>
      <c r="AL4" s="188"/>
      <c r="AM4" s="191"/>
      <c r="AN4" s="188" t="s">
        <v>199</v>
      </c>
      <c r="AO4" s="188"/>
      <c r="AP4" s="188">
        <v>30</v>
      </c>
      <c r="AQ4" s="188">
        <v>20</v>
      </c>
      <c r="AR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1000</v>
      </c>
      <c r="AT4" s="188" t="str">
        <f>IF(PORTEFEUILLE_GUILLAUME[[#This Row],[BONI AAC]]&lt;&gt;0,1,"")</f>
        <v/>
      </c>
      <c r="AU4" s="188">
        <f>IF(PORTEFEUILLE_GUILLAUME[[#This Row],[MALI AAC]]&lt;&gt;0,1,"")</f>
        <v>1</v>
      </c>
      <c r="AV4" s="225">
        <f>IF(AP4&lt;&gt;"",IF((AP4*Paramètres!$H$4)-PORTEFEUILLE_GUILLAUME[[#This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€]]-(DELPHINE!AP4*Paramètres!$H$4),0),0)</f>
        <v>0</v>
      </c>
      <c r="AW4" s="225">
        <f>IF(AP4&lt;&gt;"",IF(((AP4*Paramètres!$H$4)-PORTEFEUILLE_GUILLAUME[[#This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3000</v>
      </c>
      <c r="AX4" s="190" t="str">
        <f>IF(PORTEFEUILLE_GUILLAUME[[#This Row],[BONI COMPTABLE]]&lt;&gt;0,1,"")</f>
        <v/>
      </c>
      <c r="AY4" s="190">
        <f>IF(PORTEFEUILLE_GUILLAUME[[#This Row],[MALI COMPTABLE]]&lt;&gt;0,1,"")</f>
        <v>1</v>
      </c>
      <c r="AZ4" s="188">
        <v>4</v>
      </c>
      <c r="BA4" s="188" t="s">
        <v>209</v>
      </c>
      <c r="BB4" s="188" t="s">
        <v>209</v>
      </c>
      <c r="BC4" s="188"/>
      <c r="BD4" s="188"/>
      <c r="BE4" s="188"/>
      <c r="BF4" s="188"/>
      <c r="BG4" s="192" t="s">
        <v>214</v>
      </c>
      <c r="BH4" s="194" t="s">
        <v>138</v>
      </c>
      <c r="BI4" s="194" t="s">
        <v>215</v>
      </c>
      <c r="BJ4" s="195"/>
      <c r="BK4" s="194"/>
    </row>
    <row r="5" spans="1:78" x14ac:dyDescent="0.25">
      <c r="A5" s="169" t="s">
        <v>142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SUM(PORTEFEUILLE_GUILLAUME[[#This Row],[PCR COMPTABLE €]:[MONTANT
RESPONSABLE RELATION CLIENT €]])-PORTEFEUILLE_GUILLAUME[[#This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91"/>
      <c r="AN5" s="188"/>
      <c r="AO5" s="188"/>
      <c r="AP5" s="188">
        <v>60</v>
      </c>
      <c r="AQ5" s="188">
        <v>60</v>
      </c>
      <c r="AR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2200</v>
      </c>
      <c r="AT5" s="188" t="str">
        <f>IF(PORTEFEUILLE_GUILLAUME[[#This Row],[BONI AAC]]&lt;&gt;0,1,"")</f>
        <v/>
      </c>
      <c r="AU5" s="188">
        <f>IF(PORTEFEUILLE_GUILLAUME[[#This Row],[MALI AAC]]&lt;&gt;0,1,"")</f>
        <v>1</v>
      </c>
      <c r="AV5" s="225">
        <f>IF(AP5&lt;&gt;"",IF((AP5*Paramètres!$H$4)-PORTEFEUILLE_GUILLAUME[[#This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€]]-(DELPHINE!AP5*Paramètres!$H$4),0),0)</f>
        <v>0</v>
      </c>
      <c r="AW5" s="225">
        <f>IF(AP5&lt;&gt;"",IF(((AP5*Paramètres!$H$4)-PORTEFEUILLE_GUILLAUME[[#This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4150</v>
      </c>
      <c r="AX5" s="190" t="str">
        <f>IF(PORTEFEUILLE_GUILLAUME[[#This Row],[BONI COMPTABLE]]&lt;&gt;0,1,"")</f>
        <v/>
      </c>
      <c r="AY5" s="190">
        <f>IF(PORTEFEUILLE_GUILLAUME[[#This Row],[MALI COMPTABLE]]&lt;&gt;0,1,"")</f>
        <v>1</v>
      </c>
      <c r="AZ5" s="188"/>
      <c r="BA5" s="188"/>
      <c r="BB5" s="188"/>
      <c r="BC5" s="188"/>
      <c r="BD5" s="188"/>
      <c r="BE5" s="188"/>
      <c r="BF5" s="188"/>
      <c r="BG5" s="192" t="s">
        <v>214</v>
      </c>
      <c r="BH5" s="194" t="s">
        <v>140</v>
      </c>
      <c r="BI5" s="194" t="s">
        <v>205</v>
      </c>
      <c r="BJ5" s="195" t="s">
        <v>200</v>
      </c>
      <c r="BK5" s="194"/>
    </row>
    <row r="6" spans="1:78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SUM(PORTEFEUILLE_GUILLAUME[[#This Row],[PCR COMPTABLE €]:[MONTANT
RESPONSABLE RELATION CLIENT €]])-PORTEFEUILLE_GUILLAUME[[#This Row],[MONTANT TOTAL LETTRE DE MISION €]]</f>
        <v>0</v>
      </c>
      <c r="AI6" s="191"/>
      <c r="AJ6" s="188"/>
      <c r="AK6" s="188"/>
      <c r="AL6" s="188"/>
      <c r="AM6" s="191"/>
      <c r="AN6" s="188"/>
      <c r="AO6" s="188"/>
      <c r="AP6" s="188"/>
      <c r="AQ6" s="188"/>
      <c r="AR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6" s="188" t="str">
        <f>IF(PORTEFEUILLE_GUILLAUME[[#This Row],[BONI AAC]]&lt;&gt;0,1,"")</f>
        <v/>
      </c>
      <c r="AU6" s="188" t="str">
        <f>IF(PORTEFEUILLE_GUILLAUME[[#This Row],[MALI AAC]]&lt;&gt;0,1,"")</f>
        <v/>
      </c>
      <c r="AV6" s="225">
        <f>IF(AP6&lt;&gt;"",IF((AP6*Paramètres!$H$4)-PORTEFEUILLE_GUILLAUME[[#This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€]]-(DELPHINE!#REF!*Paramètres!$H$4),0),0)</f>
        <v>0</v>
      </c>
      <c r="AW6" s="225">
        <f>IF(AP6&lt;&gt;"",IF(((AP6*Paramètres!$H$4)-PORTEFEUILLE_GUILLAUME[[#This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6" s="190" t="str">
        <f>IF(PORTEFEUILLE_GUILLAUME[[#This Row],[BONI COMPTABLE]]&lt;&gt;0,1,"")</f>
        <v/>
      </c>
      <c r="AY6" s="190" t="str">
        <f>IF(PORTEFEUILLE_GUILLAUME[[#This Row],[MALI COMPTABLE]]&lt;&gt;0,1,"")</f>
        <v/>
      </c>
      <c r="AZ6" s="188"/>
      <c r="BA6" s="188"/>
      <c r="BB6" s="188"/>
      <c r="BC6" s="188"/>
      <c r="BD6" s="188"/>
      <c r="BE6" s="188"/>
      <c r="BF6" s="188"/>
      <c r="BG6" s="192"/>
      <c r="BH6" s="194"/>
      <c r="BI6" s="194"/>
      <c r="BJ6" s="195"/>
      <c r="BK6" s="194"/>
    </row>
    <row r="7" spans="1:78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SUM(PORTEFEUILLE_GUILLAUME[[#This Row],[PCR COMPTABLE €]:[MONTANT
RESPONSABLE RELATION CLIENT €]])-PORTEFEUILLE_GUILLAUME[[#This Row],[MONTANT TOTAL LETTRE DE MISION €]]</f>
        <v>0</v>
      </c>
      <c r="AI7" s="191"/>
      <c r="AJ7" s="188"/>
      <c r="AK7" s="188"/>
      <c r="AL7" s="188"/>
      <c r="AM7" s="191"/>
      <c r="AN7" s="188"/>
      <c r="AO7" s="188"/>
      <c r="AP7" s="188"/>
      <c r="AQ7" s="188"/>
      <c r="AR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7" s="188" t="str">
        <f>IF(PORTEFEUILLE_GUILLAUME[[#This Row],[BONI AAC]]&lt;&gt;0,1,"")</f>
        <v/>
      </c>
      <c r="AU7" s="188" t="str">
        <f>IF(PORTEFEUILLE_GUILLAUME[[#This Row],[MALI AAC]]&lt;&gt;0,1,"")</f>
        <v/>
      </c>
      <c r="AV7" s="225">
        <f>IF(AP7&lt;&gt;"",IF((AP7*Paramètres!$H$4)-PORTEFEUILLE_GUILLAUME[[#This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€]]-(DELPHINE!AP6*Paramètres!$H$4),0),0)</f>
        <v>0</v>
      </c>
      <c r="AW7" s="225">
        <f>IF(AP7&lt;&gt;"",IF(((AP7*Paramètres!$H$4)-PORTEFEUILLE_GUILLAUME[[#This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7" s="190" t="str">
        <f>IF(PORTEFEUILLE_GUILLAUME[[#This Row],[BONI COMPTABLE]]&lt;&gt;0,1,"")</f>
        <v/>
      </c>
      <c r="AY7" s="190" t="str">
        <f>IF(PORTEFEUILLE_GUILLAUME[[#This Row],[MALI COMPTABLE]]&lt;&gt;0,1,"")</f>
        <v/>
      </c>
      <c r="AZ7" s="188"/>
      <c r="BA7" s="188"/>
      <c r="BB7" s="188"/>
      <c r="BC7" s="188"/>
      <c r="BD7" s="196"/>
      <c r="BE7" s="196"/>
      <c r="BF7" s="196"/>
      <c r="BG7" s="192"/>
      <c r="BH7" s="194"/>
      <c r="BI7" s="194"/>
      <c r="BJ7" s="195"/>
      <c r="BK7" s="194"/>
    </row>
    <row r="8" spans="1:78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SUM(PORTEFEUILLE_GUILLAUME[[#This Row],[PCR COMPTABLE €]:[MONTANT
RESPONSABLE RELATION CLIENT €]])-PORTEFEUILLE_GUILLAUME[[#This Row],[MONTANT TOTAL LETTRE DE MISION €]]</f>
        <v>0</v>
      </c>
      <c r="AI8" s="191"/>
      <c r="AJ8" s="188"/>
      <c r="AK8" s="188"/>
      <c r="AL8" s="188"/>
      <c r="AM8" s="191"/>
      <c r="AN8" s="188"/>
      <c r="AO8" s="188"/>
      <c r="AP8" s="188"/>
      <c r="AQ8" s="188"/>
      <c r="AR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8" s="188" t="str">
        <f>IF(PORTEFEUILLE_GUILLAUME[[#This Row],[BONI AAC]]&lt;&gt;0,1,"")</f>
        <v/>
      </c>
      <c r="AU8" s="188" t="str">
        <f>IF(PORTEFEUILLE_GUILLAUME[[#This Row],[MALI AAC]]&lt;&gt;0,1,"")</f>
        <v/>
      </c>
      <c r="AV8" s="225">
        <f>IF(AP8&lt;&gt;"",IF((AP8*Paramètres!$H$4)-PORTEFEUILLE_GUILLAUME[[#This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€]]-(DELPHINE!AP7*Paramètres!$H$4),0),0)</f>
        <v>0</v>
      </c>
      <c r="AW8" s="225">
        <f>IF(AP8&lt;&gt;"",IF(((AP8*Paramètres!$H$4)-PORTEFEUILLE_GUILLAUME[[#This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8" s="190" t="str">
        <f>IF(PORTEFEUILLE_GUILLAUME[[#This Row],[BONI COMPTABLE]]&lt;&gt;0,1,"")</f>
        <v/>
      </c>
      <c r="AY8" s="190" t="str">
        <f>IF(PORTEFEUILLE_GUILLAUME[[#This Row],[MALI COMPTABLE]]&lt;&gt;0,1,"")</f>
        <v/>
      </c>
      <c r="AZ8" s="188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SUM(PORTEFEUILLE_GUILLAUME[[#This Row],[PCR COMPTABLE €]:[MONTANT
RESPONSABLE RELATION CLIENT €]])-PORTEFEUILLE_GUILLAUME[[#This Row],[MONTANT TOTAL LETTRE DE MISION €]]</f>
        <v>0</v>
      </c>
      <c r="AI9" s="191"/>
      <c r="AJ9" s="188"/>
      <c r="AK9" s="188"/>
      <c r="AL9" s="188"/>
      <c r="AM9" s="191"/>
      <c r="AN9" s="196"/>
      <c r="AO9" s="196"/>
      <c r="AP9" s="196"/>
      <c r="AQ9" s="196"/>
      <c r="AR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9" s="188" t="str">
        <f>IF(PORTEFEUILLE_GUILLAUME[[#This Row],[BONI AAC]]&lt;&gt;0,1,"")</f>
        <v/>
      </c>
      <c r="AU9" s="188" t="str">
        <f>IF(PORTEFEUILLE_GUILLAUME[[#This Row],[MALI AAC]]&lt;&gt;0,1,"")</f>
        <v/>
      </c>
      <c r="AV9" s="225">
        <f>IF(AP9&lt;&gt;"",IF((AP9*Paramètres!$H$4)-PORTEFEUILLE_GUILLAUME[[#This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€]]-(DELPHINE!AP8*Paramètres!$H$4),0),0)</f>
        <v>0</v>
      </c>
      <c r="AW9" s="225">
        <f>IF(AP9&lt;&gt;"",IF(((AP9*Paramètres!$H$4)-PORTEFEUILLE_GUILLAUME[[#This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9" s="190" t="str">
        <f>IF(PORTEFEUILLE_GUILLAUME[[#This Row],[BONI COMPTABLE]]&lt;&gt;0,1,"")</f>
        <v/>
      </c>
      <c r="AY9" s="190" t="str">
        <f>IF(PORTEFEUILLE_GUILLAUME[[#This Row],[MALI COMPTABLE]]&lt;&gt;0,1,"")</f>
        <v/>
      </c>
      <c r="AZ9" s="196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SUM(PORTEFEUILLE_GUILLAUME[[#This Row],[PCR COMPTABLE €]:[MONTANT
RESPONSABLE RELATION CLIENT €]])-PORTEFEUILLE_GUILLAUME[[#This Row],[MONTANT TOTAL LETTRE DE MISION €]]</f>
        <v>0</v>
      </c>
      <c r="AI10" s="191"/>
      <c r="AJ10" s="188"/>
      <c r="AK10" s="188"/>
      <c r="AL10" s="188"/>
      <c r="AM10" s="191"/>
      <c r="AN10" s="188"/>
      <c r="AO10" s="188"/>
      <c r="AP10" s="188"/>
      <c r="AQ10" s="188"/>
      <c r="AR1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0" s="188" t="str">
        <f>IF(PORTEFEUILLE_GUILLAUME[[#This Row],[BONI AAC]]&lt;&gt;0,1,"")</f>
        <v/>
      </c>
      <c r="AU10" s="188" t="str">
        <f>IF(PORTEFEUILLE_GUILLAUME[[#This Row],[MALI AAC]]&lt;&gt;0,1,"")</f>
        <v/>
      </c>
      <c r="AV10" s="225">
        <f>IF(AP10&lt;&gt;"",IF((AP10*Paramètres!$H$4)-PORTEFEUILLE_GUILLAUME[[#This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€]]-(DELPHINE!AP9*Paramètres!$H$4),0),0)</f>
        <v>0</v>
      </c>
      <c r="AW10" s="225">
        <f>IF(AP10&lt;&gt;"",IF(((AP10*Paramètres!$H$4)-PORTEFEUILLE_GUILLAUME[[#This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0" s="190" t="str">
        <f>IF(PORTEFEUILLE_GUILLAUME[[#This Row],[BONI COMPTABLE]]&lt;&gt;0,1,"")</f>
        <v/>
      </c>
      <c r="AY10" s="190" t="str">
        <f>IF(PORTEFEUILLE_GUILLAUME[[#This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SUM(PORTEFEUILLE_GUILLAUME[[#This Row],[PCR COMPTABLE €]:[MONTANT
RESPONSABLE RELATION CLIENT €]])-PORTEFEUILLE_GUILLAUME[[#This Row],[MONTANT TOTAL LETTRE DE MISION €]]</f>
        <v>0</v>
      </c>
      <c r="AI11" s="191"/>
      <c r="AJ11" s="188"/>
      <c r="AK11" s="188"/>
      <c r="AL11" s="188"/>
      <c r="AM11" s="191"/>
      <c r="AN11" s="188"/>
      <c r="AO11" s="188"/>
      <c r="AP11" s="188"/>
      <c r="AQ11" s="188"/>
      <c r="AR1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1" s="188" t="str">
        <f>IF(PORTEFEUILLE_GUILLAUME[[#This Row],[BONI AAC]]&lt;&gt;0,1,"")</f>
        <v/>
      </c>
      <c r="AU11" s="188" t="str">
        <f>IF(PORTEFEUILLE_GUILLAUME[[#This Row],[MALI AAC]]&lt;&gt;0,1,"")</f>
        <v/>
      </c>
      <c r="AV11" s="225">
        <f>IF(AP11&lt;&gt;"",IF((AP11*Paramètres!$H$4)-PORTEFEUILLE_GUILLAUME[[#This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€]]-(DELPHINE!AP10*Paramètres!$H$4),0),0)</f>
        <v>0</v>
      </c>
      <c r="AW11" s="225">
        <f>IF(AP11&lt;&gt;"",IF(((AP11*Paramètres!$H$4)-PORTEFEUILLE_GUILLAUME[[#This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1" s="190" t="str">
        <f>IF(PORTEFEUILLE_GUILLAUME[[#This Row],[BONI COMPTABLE]]&lt;&gt;0,1,"")</f>
        <v/>
      </c>
      <c r="AY11" s="190" t="str">
        <f>IF(PORTEFEUILLE_GUILLAUME[[#This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SUM(PORTEFEUILLE_GUILLAUME[[#This Row],[PCR COMPTABLE €]:[MONTANT
RESPONSABLE RELATION CLIENT €]])-PORTEFEUILLE_GUILLAUME[[#This Row],[MONTANT TOTAL LETTRE DE MISION €]]</f>
        <v>0</v>
      </c>
      <c r="AI12" s="191"/>
      <c r="AJ12" s="188"/>
      <c r="AK12" s="188"/>
      <c r="AL12" s="188"/>
      <c r="AM12" s="191"/>
      <c r="AN12" s="188"/>
      <c r="AO12" s="188"/>
      <c r="AP12" s="188"/>
      <c r="AQ12" s="188"/>
      <c r="AR1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2" s="188" t="str">
        <f>IF(PORTEFEUILLE_GUILLAUME[[#This Row],[BONI AAC]]&lt;&gt;0,1,"")</f>
        <v/>
      </c>
      <c r="AU12" s="188" t="str">
        <f>IF(PORTEFEUILLE_GUILLAUME[[#This Row],[MALI AAC]]&lt;&gt;0,1,"")</f>
        <v/>
      </c>
      <c r="AV12" s="225">
        <f>IF(AP12&lt;&gt;"",IF((AP12*Paramètres!$H$4)-PORTEFEUILLE_GUILLAUME[[#This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€]]-(DELPHINE!AP11*Paramètres!$H$4),0),0)</f>
        <v>0</v>
      </c>
      <c r="AW12" s="225">
        <f>IF(AP12&lt;&gt;"",IF(((AP12*Paramètres!$H$4)-PORTEFEUILLE_GUILLAUME[[#This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2" s="190" t="str">
        <f>IF(PORTEFEUILLE_GUILLAUME[[#This Row],[BONI COMPTABLE]]&lt;&gt;0,1,"")</f>
        <v/>
      </c>
      <c r="AY12" s="190" t="str">
        <f>IF(PORTEFEUILLE_GUILLAUME[[#This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SUM(PORTEFEUILLE_GUILLAUME[[#This Row],[PCR COMPTABLE €]:[MONTANT
RESPONSABLE RELATION CLIENT €]])-PORTEFEUILLE_GUILLAUME[[#This Row],[MONTANT TOTAL LETTRE DE MISION €]]</f>
        <v>0</v>
      </c>
      <c r="AI13" s="191"/>
      <c r="AJ13" s="188"/>
      <c r="AK13" s="188"/>
      <c r="AL13" s="188"/>
      <c r="AM13" s="191"/>
      <c r="AN13" s="188"/>
      <c r="AO13" s="188"/>
      <c r="AP13" s="188"/>
      <c r="AQ13" s="188"/>
      <c r="AR1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3" s="188" t="str">
        <f>IF(PORTEFEUILLE_GUILLAUME[[#This Row],[BONI AAC]]&lt;&gt;0,1,"")</f>
        <v/>
      </c>
      <c r="AU13" s="188" t="str">
        <f>IF(PORTEFEUILLE_GUILLAUME[[#This Row],[MALI AAC]]&lt;&gt;0,1,"")</f>
        <v/>
      </c>
      <c r="AV13" s="225">
        <f>IF(AP13&lt;&gt;"",IF((AP13*Paramètres!$H$4)-PORTEFEUILLE_GUILLAUME[[#This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€]]-(DELPHINE!AP12*Paramètres!$H$4),0),0)</f>
        <v>0</v>
      </c>
      <c r="AW13" s="225">
        <f>IF(AP13&lt;&gt;"",IF(((AP13*Paramètres!$H$4)-PORTEFEUILLE_GUILLAUME[[#This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3" s="190" t="str">
        <f>IF(PORTEFEUILLE_GUILLAUME[[#This Row],[BONI COMPTABLE]]&lt;&gt;0,1,"")</f>
        <v/>
      </c>
      <c r="AY13" s="190" t="str">
        <f>IF(PORTEFEUILLE_GUILLAUME[[#This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SUM(PORTEFEUILLE_GUILLAUME[[#This Row],[PCR COMPTABLE €]:[MONTANT
RESPONSABLE RELATION CLIENT €]])-PORTEFEUILLE_GUILLAUME[[#This Row],[MONTANT TOTAL LETTRE DE MISION €]]</f>
        <v>0</v>
      </c>
      <c r="AI14" s="191"/>
      <c r="AJ14" s="188"/>
      <c r="AK14" s="188"/>
      <c r="AL14" s="188"/>
      <c r="AM14" s="191"/>
      <c r="AN14" s="188"/>
      <c r="AO14" s="188"/>
      <c r="AP14" s="188"/>
      <c r="AQ14" s="188"/>
      <c r="AR1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4" s="188" t="str">
        <f>IF(PORTEFEUILLE_GUILLAUME[[#This Row],[BONI AAC]]&lt;&gt;0,1,"")</f>
        <v/>
      </c>
      <c r="AU14" s="188" t="str">
        <f>IF(PORTEFEUILLE_GUILLAUME[[#This Row],[MALI AAC]]&lt;&gt;0,1,"")</f>
        <v/>
      </c>
      <c r="AV14" s="225">
        <f>IF(AP14&lt;&gt;"",IF((AP14*Paramètres!$H$4)-PORTEFEUILLE_GUILLAUME[[#This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€]]-(DELPHINE!AP13*Paramètres!$H$4),0),0)</f>
        <v>0</v>
      </c>
      <c r="AW14" s="225">
        <f>IF(AP14&lt;&gt;"",IF(((AP14*Paramètres!$H$4)-PORTEFEUILLE_GUILLAUME[[#This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4" s="190" t="str">
        <f>IF(PORTEFEUILLE_GUILLAUME[[#This Row],[BONI COMPTABLE]]&lt;&gt;0,1,"")</f>
        <v/>
      </c>
      <c r="AY14" s="190" t="str">
        <f>IF(PORTEFEUILLE_GUILLAUME[[#This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SUM(PORTEFEUILLE_GUILLAUME[[#This Row],[PCR COMPTABLE €]:[MONTANT
RESPONSABLE RELATION CLIENT €]])-PORTEFEUILLE_GUILLAUME[[#This Row],[MONTANT TOTAL LETTRE DE MISION €]]</f>
        <v>0</v>
      </c>
      <c r="AI15" s="191"/>
      <c r="AJ15" s="188"/>
      <c r="AK15" s="188"/>
      <c r="AL15" s="188"/>
      <c r="AM15" s="191"/>
      <c r="AN15" s="188"/>
      <c r="AO15" s="188"/>
      <c r="AP15" s="188"/>
      <c r="AQ15" s="188"/>
      <c r="AR1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5" s="188" t="str">
        <f>IF(PORTEFEUILLE_GUILLAUME[[#This Row],[BONI AAC]]&lt;&gt;0,1,"")</f>
        <v/>
      </c>
      <c r="AU15" s="188" t="str">
        <f>IF(PORTEFEUILLE_GUILLAUME[[#This Row],[MALI AAC]]&lt;&gt;0,1,"")</f>
        <v/>
      </c>
      <c r="AV15" s="225">
        <f>IF(AP15&lt;&gt;"",IF((AP15*Paramètres!$H$4)-PORTEFEUILLE_GUILLAUME[[#This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€]]-(DELPHINE!AP14*Paramètres!$H$4),0),0)</f>
        <v>0</v>
      </c>
      <c r="AW15" s="225">
        <f>IF(AP15&lt;&gt;"",IF(((AP15*Paramètres!$H$4)-PORTEFEUILLE_GUILLAUME[[#This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5" s="190" t="str">
        <f>IF(PORTEFEUILLE_GUILLAUME[[#This Row],[BONI COMPTABLE]]&lt;&gt;0,1,"")</f>
        <v/>
      </c>
      <c r="AY15" s="190" t="str">
        <f>IF(PORTEFEUILLE_GUILLAUME[[#This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SUM(PORTEFEUILLE_GUILLAUME[[#This Row],[PCR COMPTABLE €]:[MONTANT
RESPONSABLE RELATION CLIENT €]])-PORTEFEUILLE_GUILLAUME[[#This Row],[MONTANT TOTAL LETTRE DE MISION €]]</f>
        <v>0</v>
      </c>
      <c r="AI16" s="191"/>
      <c r="AJ16" s="188"/>
      <c r="AK16" s="188"/>
      <c r="AL16" s="188"/>
      <c r="AM16" s="191"/>
      <c r="AN16" s="188"/>
      <c r="AO16" s="188"/>
      <c r="AP16" s="188"/>
      <c r="AQ16" s="188"/>
      <c r="AR1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6" s="188" t="str">
        <f>IF(PORTEFEUILLE_GUILLAUME[[#This Row],[BONI AAC]]&lt;&gt;0,1,"")</f>
        <v/>
      </c>
      <c r="AU16" s="188" t="str">
        <f>IF(PORTEFEUILLE_GUILLAUME[[#This Row],[MALI AAC]]&lt;&gt;0,1,"")</f>
        <v/>
      </c>
      <c r="AV16" s="225">
        <f>IF(AP16&lt;&gt;"",IF((AP16*Paramètres!$H$4)-PORTEFEUILLE_GUILLAUME[[#This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€]]-(DELPHINE!AP15*Paramètres!$H$4),0),0)</f>
        <v>0</v>
      </c>
      <c r="AW16" s="225">
        <f>IF(AP16&lt;&gt;"",IF(((AP16*Paramètres!$H$4)-PORTEFEUILLE_GUILLAUME[[#This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6" s="190" t="str">
        <f>IF(PORTEFEUILLE_GUILLAUME[[#This Row],[BONI COMPTABLE]]&lt;&gt;0,1,"")</f>
        <v/>
      </c>
      <c r="AY16" s="190" t="str">
        <f>IF(PORTEFEUILLE_GUILLAUME[[#This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SUM(PORTEFEUILLE_GUILLAUME[[#This Row],[PCR COMPTABLE €]:[MONTANT
RESPONSABLE RELATION CLIENT €]])-PORTEFEUILLE_GUILLAUME[[#This Row],[MONTANT TOTAL LETTRE DE MISION €]]</f>
        <v>0</v>
      </c>
      <c r="AI17" s="191"/>
      <c r="AJ17" s="188"/>
      <c r="AK17" s="188"/>
      <c r="AL17" s="188"/>
      <c r="AM17" s="191"/>
      <c r="AN17" s="188"/>
      <c r="AO17" s="188"/>
      <c r="AP17" s="188"/>
      <c r="AQ17" s="188"/>
      <c r="AR1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7" s="188" t="str">
        <f>IF(PORTEFEUILLE_GUILLAUME[[#This Row],[BONI AAC]]&lt;&gt;0,1,"")</f>
        <v/>
      </c>
      <c r="AU17" s="188" t="str">
        <f>IF(PORTEFEUILLE_GUILLAUME[[#This Row],[MALI AAC]]&lt;&gt;0,1,"")</f>
        <v/>
      </c>
      <c r="AV17" s="225">
        <f>IF(AP17&lt;&gt;"",IF((AP17*Paramètres!$H$4)-PORTEFEUILLE_GUILLAUME[[#This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€]]-(DELPHINE!AP16*Paramètres!$H$4),0),0)</f>
        <v>0</v>
      </c>
      <c r="AW17" s="225">
        <f>IF(AP17&lt;&gt;"",IF(((AP17*Paramètres!$H$4)-PORTEFEUILLE_GUILLAUME[[#This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7" s="190" t="str">
        <f>IF(PORTEFEUILLE_GUILLAUME[[#This Row],[BONI COMPTABLE]]&lt;&gt;0,1,"")</f>
        <v/>
      </c>
      <c r="AY17" s="190" t="str">
        <f>IF(PORTEFEUILLE_GUILLAUME[[#This Row],[MALI COMPTABLE]]&lt;&gt;0,1,"")</f>
        <v/>
      </c>
      <c r="AZ17" s="188"/>
      <c r="BA17" s="188"/>
      <c r="BB17" s="188"/>
      <c r="BC17" s="188"/>
      <c r="BD17" s="188"/>
      <c r="BE17" s="188"/>
      <c r="BF17" s="188"/>
      <c r="BG17" s="192"/>
      <c r="BH17" s="194"/>
      <c r="BI17" s="194"/>
      <c r="BJ17" s="195"/>
      <c r="BK17" s="194"/>
    </row>
    <row r="18" spans="1:63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SUM(PORTEFEUILLE_GUILLAUME[[#This Row],[PCR COMPTABLE €]:[MONTANT
RESPONSABLE RELATION CLIENT €]])-PORTEFEUILLE_GUILLAUME[[#This Row],[MONTANT TOTAL LETTRE DE MISION €]]</f>
        <v>0</v>
      </c>
      <c r="AI18" s="191"/>
      <c r="AJ18" s="188"/>
      <c r="AK18" s="188"/>
      <c r="AL18" s="188"/>
      <c r="AM18" s="191"/>
      <c r="AN18" s="188"/>
      <c r="AO18" s="188"/>
      <c r="AP18" s="188"/>
      <c r="AQ18" s="188"/>
      <c r="AR1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8" s="188" t="str">
        <f>IF(PORTEFEUILLE_GUILLAUME[[#This Row],[BONI AAC]]&lt;&gt;0,1,"")</f>
        <v/>
      </c>
      <c r="AU18" s="188" t="str">
        <f>IF(PORTEFEUILLE_GUILLAUME[[#This Row],[MALI AAC]]&lt;&gt;0,1,"")</f>
        <v/>
      </c>
      <c r="AV18" s="225">
        <f>IF(AP18&lt;&gt;"",IF((AP18*Paramètres!$H$4)-PORTEFEUILLE_GUILLAUME[[#This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€]]-(DELPHINE!AP17*Paramètres!$H$4),0),0)</f>
        <v>0</v>
      </c>
      <c r="AW18" s="225">
        <f>IF(AP18&lt;&gt;"",IF(((AP18*Paramètres!$H$4)-PORTEFEUILLE_GUILLAUME[[#This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8" s="190" t="str">
        <f>IF(PORTEFEUILLE_GUILLAUME[[#This Row],[BONI COMPTABLE]]&lt;&gt;0,1,"")</f>
        <v/>
      </c>
      <c r="AY18" s="190" t="str">
        <f>IF(PORTEFEUILLE_GUILLAUME[[#This Row],[MALI COMPTABLE]]&lt;&gt;0,1,"")</f>
        <v/>
      </c>
      <c r="AZ18" s="188"/>
      <c r="BA18" s="188"/>
      <c r="BB18" s="188"/>
      <c r="BC18" s="188"/>
      <c r="BD18" s="188"/>
      <c r="BE18" s="188"/>
      <c r="BF18" s="188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SUM(PORTEFEUILLE_GUILLAUME[[#This Row],[PCR COMPTABLE €]:[MONTANT
RESPONSABLE RELATION CLIENT €]])-PORTEFEUILLE_GUILLAUME[[#This Row],[MONTANT TOTAL LETTRE DE MISION €]]</f>
        <v>0</v>
      </c>
      <c r="AI19" s="191"/>
      <c r="AJ19" s="188"/>
      <c r="AK19" s="188"/>
      <c r="AL19" s="188"/>
      <c r="AM19" s="191"/>
      <c r="AN19" s="188"/>
      <c r="AO19" s="188"/>
      <c r="AP19" s="188"/>
      <c r="AQ19" s="188"/>
      <c r="AR1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1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19" s="188" t="str">
        <f>IF(PORTEFEUILLE_GUILLAUME[[#This Row],[BONI AAC]]&lt;&gt;0,1,"")</f>
        <v/>
      </c>
      <c r="AU19" s="188" t="str">
        <f>IF(PORTEFEUILLE_GUILLAUME[[#This Row],[MALI AAC]]&lt;&gt;0,1,"")</f>
        <v/>
      </c>
      <c r="AV19" s="225">
        <f>IF(AP19&lt;&gt;"",IF((AP19*Paramètres!$H$4)-PORTEFEUILLE_GUILLAUME[[#This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€]]-(DELPHINE!AP18*Paramètres!$H$4),0),0)</f>
        <v>0</v>
      </c>
      <c r="AW19" s="225">
        <f>IF(AP19&lt;&gt;"",IF(((AP19*Paramètres!$H$4)-PORTEFEUILLE_GUILLAUME[[#This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19" s="190" t="str">
        <f>IF(PORTEFEUILLE_GUILLAUME[[#This Row],[BONI COMPTABLE]]&lt;&gt;0,1,"")</f>
        <v/>
      </c>
      <c r="AY19" s="190" t="str">
        <f>IF(PORTEFEUILLE_GUILLAUME[[#This Row],[MALI COMPTABLE]]&lt;&gt;0,1,"")</f>
        <v/>
      </c>
      <c r="AZ19" s="188"/>
      <c r="BA19" s="188"/>
      <c r="BB19" s="188"/>
      <c r="BC19" s="188"/>
      <c r="BD19" s="188"/>
      <c r="BE19" s="188"/>
      <c r="BF19" s="188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SUM(PORTEFEUILLE_GUILLAUME[[#This Row],[PCR COMPTABLE €]:[MONTANT
RESPONSABLE RELATION CLIENT €]])-PORTEFEUILLE_GUILLAUME[[#This Row],[MONTANT TOTAL LETTRE DE MISION €]]</f>
        <v>0</v>
      </c>
      <c r="AI20" s="191"/>
      <c r="AJ20" s="188"/>
      <c r="AK20" s="188"/>
      <c r="AL20" s="188"/>
      <c r="AM20" s="191"/>
      <c r="AN20" s="196"/>
      <c r="AO20" s="196"/>
      <c r="AP20" s="196"/>
      <c r="AQ20" s="196"/>
      <c r="AR2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0" s="188" t="str">
        <f>IF(PORTEFEUILLE_GUILLAUME[[#This Row],[BONI AAC]]&lt;&gt;0,1,"")</f>
        <v/>
      </c>
      <c r="AU20" s="188" t="str">
        <f>IF(PORTEFEUILLE_GUILLAUME[[#This Row],[MALI AAC]]&lt;&gt;0,1,"")</f>
        <v/>
      </c>
      <c r="AV20" s="225">
        <f>IF(AP20&lt;&gt;"",IF((AP20*Paramètres!$H$4)-PORTEFEUILLE_GUILLAUME[[#This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€]]-(DELPHINE!AP19*Paramètres!$H$4),0),0)</f>
        <v>0</v>
      </c>
      <c r="AW20" s="225">
        <f>IF(AP20&lt;&gt;"",IF(((AP20*Paramètres!$H$4)-PORTEFEUILLE_GUILLAUME[[#This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0" s="190" t="str">
        <f>IF(PORTEFEUILLE_GUILLAUME[[#This Row],[BONI COMPTABLE]]&lt;&gt;0,1,"")</f>
        <v/>
      </c>
      <c r="AY20" s="190" t="str">
        <f>IF(PORTEFEUILLE_GUILLAUME[[#This Row],[MALI COMPTABLE]]&lt;&gt;0,1,"")</f>
        <v/>
      </c>
      <c r="AZ20" s="196"/>
      <c r="BA20" s="188"/>
      <c r="BB20" s="188"/>
      <c r="BC20" s="188"/>
      <c r="BD20" s="196"/>
      <c r="BE20" s="196"/>
      <c r="BF20" s="196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SUM(PORTEFEUILLE_GUILLAUME[[#This Row],[PCR COMPTABLE €]:[MONTANT
RESPONSABLE RELATION CLIENT €]])-PORTEFEUILLE_GUILLAUME[[#This Row],[MONTANT TOTAL LETTRE DE MISION €]]</f>
        <v>0</v>
      </c>
      <c r="AI21" s="191"/>
      <c r="AJ21" s="188"/>
      <c r="AK21" s="188"/>
      <c r="AL21" s="188"/>
      <c r="AM21" s="191"/>
      <c r="AN21" s="188"/>
      <c r="AO21" s="188"/>
      <c r="AP21" s="188"/>
      <c r="AQ21" s="188"/>
      <c r="AR2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1" s="188" t="str">
        <f>IF(PORTEFEUILLE_GUILLAUME[[#This Row],[BONI AAC]]&lt;&gt;0,1,"")</f>
        <v/>
      </c>
      <c r="AU21" s="188" t="str">
        <f>IF(PORTEFEUILLE_GUILLAUME[[#This Row],[MALI AAC]]&lt;&gt;0,1,"")</f>
        <v/>
      </c>
      <c r="AV21" s="225">
        <f>IF(AP21&lt;&gt;"",IF((AP21*Paramètres!$H$4)-PORTEFEUILLE_GUILLAUME[[#This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€]]-(DELPHINE!AP20*Paramètres!$H$4),0),0)</f>
        <v>0</v>
      </c>
      <c r="AW21" s="225">
        <f>IF(AP21&lt;&gt;"",IF(((AP21*Paramètres!$H$4)-PORTEFEUILLE_GUILLAUME[[#This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1" s="190" t="str">
        <f>IF(PORTEFEUILLE_GUILLAUME[[#This Row],[BONI COMPTABLE]]&lt;&gt;0,1,"")</f>
        <v/>
      </c>
      <c r="AY21" s="190" t="str">
        <f>IF(PORTEFEUILLE_GUILLAUME[[#This Row],[MALI COMPTABLE]]&lt;&gt;0,1,"")</f>
        <v/>
      </c>
      <c r="AZ21" s="188"/>
      <c r="BA21" s="188"/>
      <c r="BB21" s="188"/>
      <c r="BC21" s="188"/>
      <c r="BD21" s="196"/>
      <c r="BE21" s="196"/>
      <c r="BF21" s="196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SUM(PORTEFEUILLE_GUILLAUME[[#This Row],[PCR COMPTABLE €]:[MONTANT
RESPONSABLE RELATION CLIENT €]])-PORTEFEUILLE_GUILLAUME[[#This Row],[MONTANT TOTAL LETTRE DE MISION €]]</f>
        <v>0</v>
      </c>
      <c r="AI22" s="191"/>
      <c r="AJ22" s="188"/>
      <c r="AK22" s="188"/>
      <c r="AL22" s="188"/>
      <c r="AM22" s="191"/>
      <c r="AN22" s="197"/>
      <c r="AO22" s="197"/>
      <c r="AP22" s="197"/>
      <c r="AQ22" s="197"/>
      <c r="AR2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2" s="188" t="str">
        <f>IF(PORTEFEUILLE_GUILLAUME[[#This Row],[BONI AAC]]&lt;&gt;0,1,"")</f>
        <v/>
      </c>
      <c r="AU22" s="188" t="str">
        <f>IF(PORTEFEUILLE_GUILLAUME[[#This Row],[MALI AAC]]&lt;&gt;0,1,"")</f>
        <v/>
      </c>
      <c r="AV22" s="225">
        <f>IF(AP22&lt;&gt;"",IF((AP22*Paramètres!$H$4)-PORTEFEUILLE_GUILLAUME[[#This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€]]-(DELPHINE!AP21*Paramètres!$H$4),0),0)</f>
        <v>0</v>
      </c>
      <c r="AW22" s="225">
        <f>IF(AP22&lt;&gt;"",IF(((AP22*Paramètres!$H$4)-PORTEFEUILLE_GUILLAUME[[#This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2" s="190" t="str">
        <f>IF(PORTEFEUILLE_GUILLAUME[[#This Row],[BONI COMPTABLE]]&lt;&gt;0,1,"")</f>
        <v/>
      </c>
      <c r="AY22" s="190" t="str">
        <f>IF(PORTEFEUILLE_GUILLAUME[[#This Row],[MALI COMPTABLE]]&lt;&gt;0,1,"")</f>
        <v/>
      </c>
      <c r="AZ22" s="188"/>
      <c r="BA22" s="188"/>
      <c r="BB22" s="188"/>
      <c r="BC22" s="188"/>
      <c r="BD22" s="196"/>
      <c r="BE22" s="196"/>
      <c r="BF22" s="196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SUM(PORTEFEUILLE_GUILLAUME[[#This Row],[PCR COMPTABLE €]:[MONTANT
RESPONSABLE RELATION CLIENT €]])-PORTEFEUILLE_GUILLAUME[[#This Row],[MONTANT TOTAL LETTRE DE MISION €]]</f>
        <v>0</v>
      </c>
      <c r="AI23" s="191"/>
      <c r="AJ23" s="188"/>
      <c r="AK23" s="188"/>
      <c r="AL23" s="188"/>
      <c r="AM23" s="191"/>
      <c r="AN23" s="188"/>
      <c r="AO23" s="188"/>
      <c r="AP23" s="188"/>
      <c r="AQ23" s="188"/>
      <c r="AR2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3" s="188" t="str">
        <f>IF(PORTEFEUILLE_GUILLAUME[[#This Row],[BONI AAC]]&lt;&gt;0,1,"")</f>
        <v/>
      </c>
      <c r="AU23" s="188" t="str">
        <f>IF(PORTEFEUILLE_GUILLAUME[[#This Row],[MALI AAC]]&lt;&gt;0,1,"")</f>
        <v/>
      </c>
      <c r="AV23" s="225">
        <f>IF(AP23&lt;&gt;"",IF((AP23*Paramètres!$H$4)-PORTEFEUILLE_GUILLAUME[[#This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€]]-(DELPHINE!AP22*Paramètres!$H$4),0),0)</f>
        <v>0</v>
      </c>
      <c r="AW23" s="225">
        <f>IF(AP23&lt;&gt;"",IF(((AP23*Paramètres!$H$4)-PORTEFEUILLE_GUILLAUME[[#This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3" s="190" t="str">
        <f>IF(PORTEFEUILLE_GUILLAUME[[#This Row],[BONI COMPTABLE]]&lt;&gt;0,1,"")</f>
        <v/>
      </c>
      <c r="AY23" s="190" t="str">
        <f>IF(PORTEFEUILLE_GUILLAUME[[#This Row],[MALI COMPTABLE]]&lt;&gt;0,1,"")</f>
        <v/>
      </c>
      <c r="AZ23" s="188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SUM(PORTEFEUILLE_GUILLAUME[[#This Row],[PCR COMPTABLE €]:[MONTANT
RESPONSABLE RELATION CLIENT €]])-PORTEFEUILLE_GUILLAUME[[#This Row],[MONTANT TOTAL LETTRE DE MISION €]]</f>
        <v>0</v>
      </c>
      <c r="AI24" s="191"/>
      <c r="AJ24" s="188"/>
      <c r="AK24" s="188"/>
      <c r="AL24" s="188"/>
      <c r="AM24" s="191"/>
      <c r="AN24" s="196"/>
      <c r="AO24" s="196"/>
      <c r="AP24" s="196"/>
      <c r="AQ24" s="196"/>
      <c r="AR2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4" s="188" t="str">
        <f>IF(PORTEFEUILLE_GUILLAUME[[#This Row],[BONI AAC]]&lt;&gt;0,1,"")</f>
        <v/>
      </c>
      <c r="AU24" s="188" t="str">
        <f>IF(PORTEFEUILLE_GUILLAUME[[#This Row],[MALI AAC]]&lt;&gt;0,1,"")</f>
        <v/>
      </c>
      <c r="AV24" s="225">
        <f>IF(AP24&lt;&gt;"",IF((AP24*Paramètres!$H$4)-PORTEFEUILLE_GUILLAUME[[#This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€]]-(DELPHINE!AP23*Paramètres!$H$4),0),0)</f>
        <v>0</v>
      </c>
      <c r="AW24" s="225">
        <f>IF(AP24&lt;&gt;"",IF(((AP24*Paramètres!$H$4)-PORTEFEUILLE_GUILLAUME[[#This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4" s="190" t="str">
        <f>IF(PORTEFEUILLE_GUILLAUME[[#This Row],[BONI COMPTABLE]]&lt;&gt;0,1,"")</f>
        <v/>
      </c>
      <c r="AY24" s="190" t="str">
        <f>IF(PORTEFEUILLE_GUILLAUME[[#This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SUM(PORTEFEUILLE_GUILLAUME[[#This Row],[PCR COMPTABLE €]:[MONTANT
RESPONSABLE RELATION CLIENT €]])-PORTEFEUILLE_GUILLAUME[[#This Row],[MONTANT TOTAL LETTRE DE MISION €]]</f>
        <v>0</v>
      </c>
      <c r="AI25" s="191"/>
      <c r="AJ25" s="188"/>
      <c r="AK25" s="188"/>
      <c r="AL25" s="188"/>
      <c r="AM25" s="191"/>
      <c r="AN25" s="196"/>
      <c r="AO25" s="196"/>
      <c r="AP25" s="196"/>
      <c r="AQ25" s="196"/>
      <c r="AR2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5" s="188" t="str">
        <f>IF(PORTEFEUILLE_GUILLAUME[[#This Row],[BONI AAC]]&lt;&gt;0,1,"")</f>
        <v/>
      </c>
      <c r="AU25" s="188" t="str">
        <f>IF(PORTEFEUILLE_GUILLAUME[[#This Row],[MALI AAC]]&lt;&gt;0,1,"")</f>
        <v/>
      </c>
      <c r="AV25" s="225">
        <f>IF(AP25&lt;&gt;"",IF((AP25*Paramètres!$H$4)-PORTEFEUILLE_GUILLAUME[[#This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€]]-(DELPHINE!AP24*Paramètres!$H$4),0),0)</f>
        <v>0</v>
      </c>
      <c r="AW25" s="225">
        <f>IF(AP25&lt;&gt;"",IF(((AP25*Paramètres!$H$4)-PORTEFEUILLE_GUILLAUME[[#This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5" s="190" t="str">
        <f>IF(PORTEFEUILLE_GUILLAUME[[#This Row],[BONI COMPTABLE]]&lt;&gt;0,1,"")</f>
        <v/>
      </c>
      <c r="AY25" s="190" t="str">
        <f>IF(PORTEFEUILLE_GUILLAUME[[#This Row],[MALI COMPTABLE]]&lt;&gt;0,1,"")</f>
        <v/>
      </c>
      <c r="AZ25" s="196"/>
      <c r="BA25" s="188"/>
      <c r="BB25" s="188"/>
      <c r="BC25" s="188"/>
      <c r="BD25" s="188"/>
      <c r="BE25" s="188"/>
      <c r="BF25" s="188"/>
      <c r="BG25" s="192"/>
      <c r="BH25" s="194"/>
      <c r="BI25" s="194"/>
      <c r="BJ25" s="195"/>
      <c r="BK25" s="194"/>
    </row>
    <row r="26" spans="1:63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SUM(PORTEFEUILLE_GUILLAUME[[#This Row],[PCR COMPTABLE €]:[MONTANT
RESPONSABLE RELATION CLIENT €]])-PORTEFEUILLE_GUILLAUME[[#This Row],[MONTANT TOTAL LETTRE DE MISION €]]</f>
        <v>0</v>
      </c>
      <c r="AI26" s="191"/>
      <c r="AJ26" s="188"/>
      <c r="AK26" s="188"/>
      <c r="AL26" s="188"/>
      <c r="AM26" s="191"/>
      <c r="AN26" s="196"/>
      <c r="AO26" s="196"/>
      <c r="AP26" s="196"/>
      <c r="AQ26" s="196"/>
      <c r="AR2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6" s="188" t="str">
        <f>IF(PORTEFEUILLE_GUILLAUME[[#This Row],[BONI AAC]]&lt;&gt;0,1,"")</f>
        <v/>
      </c>
      <c r="AU26" s="188" t="str">
        <f>IF(PORTEFEUILLE_GUILLAUME[[#This Row],[MALI AAC]]&lt;&gt;0,1,"")</f>
        <v/>
      </c>
      <c r="AV26" s="225">
        <f>IF(AP26&lt;&gt;"",IF((AP26*Paramètres!$H$4)-PORTEFEUILLE_GUILLAUME[[#This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€]]-(DELPHINE!AP25*Paramètres!$H$4),0),0)</f>
        <v>0</v>
      </c>
      <c r="AW26" s="225">
        <f>IF(AP26&lt;&gt;"",IF(((AP26*Paramètres!$H$4)-PORTEFEUILLE_GUILLAUME[[#This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6" s="190" t="str">
        <f>IF(PORTEFEUILLE_GUILLAUME[[#This Row],[BONI COMPTABLE]]&lt;&gt;0,1,"")</f>
        <v/>
      </c>
      <c r="AY26" s="190" t="str">
        <f>IF(PORTEFEUILLE_GUILLAUME[[#This Row],[MALI COMPTABLE]]&lt;&gt;0,1,"")</f>
        <v/>
      </c>
      <c r="AZ26" s="196"/>
      <c r="BA26" s="188"/>
      <c r="BB26" s="188"/>
      <c r="BC26" s="188"/>
      <c r="BD26" s="188"/>
      <c r="BE26" s="188"/>
      <c r="BF26" s="188"/>
      <c r="BG26" s="192"/>
      <c r="BH26" s="194"/>
      <c r="BI26" s="194"/>
      <c r="BJ26" s="195"/>
      <c r="BK26" s="194"/>
    </row>
    <row r="27" spans="1:63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SUM(PORTEFEUILLE_GUILLAUME[[#This Row],[PCR COMPTABLE €]:[MONTANT
RESPONSABLE RELATION CLIENT €]])-PORTEFEUILLE_GUILLAUME[[#This Row],[MONTANT TOTAL LETTRE DE MISION €]]</f>
        <v>0</v>
      </c>
      <c r="AI27" s="191"/>
      <c r="AJ27" s="188"/>
      <c r="AK27" s="188"/>
      <c r="AL27" s="188"/>
      <c r="AM27" s="191"/>
      <c r="AN27" s="196"/>
      <c r="AO27" s="196"/>
      <c r="AP27" s="196"/>
      <c r="AQ27" s="196"/>
      <c r="AR2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7" s="188" t="str">
        <f>IF(PORTEFEUILLE_GUILLAUME[[#This Row],[BONI AAC]]&lt;&gt;0,1,"")</f>
        <v/>
      </c>
      <c r="AU27" s="188" t="str">
        <f>IF(PORTEFEUILLE_GUILLAUME[[#This Row],[MALI AAC]]&lt;&gt;0,1,"")</f>
        <v/>
      </c>
      <c r="AV27" s="225">
        <f>IF(AP27&lt;&gt;"",IF((AP27*Paramètres!$H$4)-PORTEFEUILLE_GUILLAUME[[#This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€]]-(DELPHINE!AP26*Paramètres!$H$4),0),0)</f>
        <v>0</v>
      </c>
      <c r="AW27" s="225">
        <f>IF(AP27&lt;&gt;"",IF(((AP27*Paramètres!$H$4)-PORTEFEUILLE_GUILLAUME[[#This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7" s="190" t="str">
        <f>IF(PORTEFEUILLE_GUILLAUME[[#This Row],[BONI COMPTABLE]]&lt;&gt;0,1,"")</f>
        <v/>
      </c>
      <c r="AY27" s="190" t="str">
        <f>IF(PORTEFEUILLE_GUILLAUME[[#This Row],[MALI COMPTABLE]]&lt;&gt;0,1,"")</f>
        <v/>
      </c>
      <c r="AZ27" s="196"/>
      <c r="BA27" s="188"/>
      <c r="BB27" s="188"/>
      <c r="BC27" s="188"/>
      <c r="BD27" s="188"/>
      <c r="BE27" s="188"/>
      <c r="BF27" s="188"/>
      <c r="BG27" s="192"/>
      <c r="BH27" s="194"/>
      <c r="BI27" s="194"/>
      <c r="BJ27" s="195"/>
      <c r="BK27" s="194"/>
    </row>
    <row r="28" spans="1:63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SUM(PORTEFEUILLE_GUILLAUME[[#This Row],[PCR COMPTABLE €]:[MONTANT
RESPONSABLE RELATION CLIENT €]])-PORTEFEUILLE_GUILLAUME[[#This Row],[MONTANT TOTAL LETTRE DE MISION €]]</f>
        <v>0</v>
      </c>
      <c r="AI28" s="191"/>
      <c r="AJ28" s="188"/>
      <c r="AK28" s="188"/>
      <c r="AL28" s="188"/>
      <c r="AM28" s="191"/>
      <c r="AN28" s="188"/>
      <c r="AO28" s="188"/>
      <c r="AP28" s="188"/>
      <c r="AQ28" s="188"/>
      <c r="AR2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8" s="188" t="str">
        <f>IF(PORTEFEUILLE_GUILLAUME[[#This Row],[BONI AAC]]&lt;&gt;0,1,"")</f>
        <v/>
      </c>
      <c r="AU28" s="188" t="str">
        <f>IF(PORTEFEUILLE_GUILLAUME[[#This Row],[MALI AAC]]&lt;&gt;0,1,"")</f>
        <v/>
      </c>
      <c r="AV28" s="225">
        <f>IF(AP28&lt;&gt;"",IF((AP28*Paramètres!$H$4)-PORTEFEUILLE_GUILLAUME[[#This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€]]-(DELPHINE!AP27*Paramètres!$H$4),0),0)</f>
        <v>0</v>
      </c>
      <c r="AW28" s="225">
        <f>IF(AP28&lt;&gt;"",IF(((AP28*Paramètres!$H$4)-PORTEFEUILLE_GUILLAUME[[#This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8" s="190" t="str">
        <f>IF(PORTEFEUILLE_GUILLAUME[[#This Row],[BONI COMPTABLE]]&lt;&gt;0,1,"")</f>
        <v/>
      </c>
      <c r="AY28" s="190" t="str">
        <f>IF(PORTEFEUILLE_GUILLAUME[[#This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6"/>
      <c r="BI28" s="196"/>
      <c r="BJ28" s="198"/>
      <c r="BK28" s="196"/>
    </row>
    <row r="29" spans="1:63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SUM(PORTEFEUILLE_GUILLAUME[[#This Row],[PCR COMPTABLE €]:[MONTANT
RESPONSABLE RELATION CLIENT €]])-PORTEFEUILLE_GUILLAUME[[#This Row],[MONTANT TOTAL LETTRE DE MISION €]]</f>
        <v>0</v>
      </c>
      <c r="AI29" s="191"/>
      <c r="AJ29" s="188"/>
      <c r="AK29" s="188"/>
      <c r="AL29" s="188"/>
      <c r="AM29" s="191"/>
      <c r="AN29" s="188"/>
      <c r="AO29" s="188"/>
      <c r="AP29" s="188"/>
      <c r="AQ29" s="188"/>
      <c r="AR2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2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29" s="188" t="str">
        <f>IF(PORTEFEUILLE_GUILLAUME[[#This Row],[BONI AAC]]&lt;&gt;0,1,"")</f>
        <v/>
      </c>
      <c r="AU29" s="188" t="str">
        <f>IF(PORTEFEUILLE_GUILLAUME[[#This Row],[MALI AAC]]&lt;&gt;0,1,"")</f>
        <v/>
      </c>
      <c r="AV29" s="225">
        <f>IF(AP29&lt;&gt;"",IF((AP29*Paramètres!$H$4)-PORTEFEUILLE_GUILLAUME[[#This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€]]-(DELPHINE!AP28*Paramètres!$H$4),0),0)</f>
        <v>0</v>
      </c>
      <c r="AW29" s="225">
        <f>IF(AP29&lt;&gt;"",IF(((AP29*Paramètres!$H$4)-PORTEFEUILLE_GUILLAUME[[#This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29" s="190" t="str">
        <f>IF(PORTEFEUILLE_GUILLAUME[[#This Row],[BONI COMPTABLE]]&lt;&gt;0,1,"")</f>
        <v/>
      </c>
      <c r="AY29" s="190" t="str">
        <f>IF(PORTEFEUILLE_GUILLAUME[[#This Row],[MALI COMPTABLE]]&lt;&gt;0,1,"")</f>
        <v/>
      </c>
      <c r="AZ29" s="188"/>
      <c r="BA29" s="188"/>
      <c r="BB29" s="188"/>
      <c r="BC29" s="188"/>
      <c r="BD29" s="196"/>
      <c r="BE29" s="196"/>
      <c r="BF29" s="196"/>
      <c r="BG29" s="192"/>
      <c r="BH29" s="194"/>
      <c r="BI29" s="194"/>
      <c r="BJ29" s="195"/>
      <c r="BK29" s="194"/>
    </row>
    <row r="30" spans="1:63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SUM(PORTEFEUILLE_GUILLAUME[[#This Row],[PCR COMPTABLE €]:[MONTANT
RESPONSABLE RELATION CLIENT €]])-PORTEFEUILLE_GUILLAUME[[#This Row],[MONTANT TOTAL LETTRE DE MISION €]]</f>
        <v>0</v>
      </c>
      <c r="AI30" s="191"/>
      <c r="AJ30" s="188"/>
      <c r="AK30" s="188"/>
      <c r="AL30" s="188"/>
      <c r="AM30" s="191"/>
      <c r="AN30" s="188"/>
      <c r="AO30" s="188"/>
      <c r="AP30" s="188"/>
      <c r="AQ30" s="188"/>
      <c r="AR3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0" s="188" t="str">
        <f>IF(PORTEFEUILLE_GUILLAUME[[#This Row],[BONI AAC]]&lt;&gt;0,1,"")</f>
        <v/>
      </c>
      <c r="AU30" s="188" t="str">
        <f>IF(PORTEFEUILLE_GUILLAUME[[#This Row],[MALI AAC]]&lt;&gt;0,1,"")</f>
        <v/>
      </c>
      <c r="AV30" s="225">
        <f>IF(AP30&lt;&gt;"",IF((AP30*Paramètres!$H$4)-PORTEFEUILLE_GUILLAUME[[#This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€]]-(DELPHINE!AP29*Paramètres!$H$4),0),0)</f>
        <v>0</v>
      </c>
      <c r="AW30" s="225">
        <f>IF(AP30&lt;&gt;"",IF(((AP30*Paramètres!$H$4)-PORTEFEUILLE_GUILLAUME[[#This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0" s="190" t="str">
        <f>IF(PORTEFEUILLE_GUILLAUME[[#This Row],[BONI COMPTABLE]]&lt;&gt;0,1,"")</f>
        <v/>
      </c>
      <c r="AY30" s="190" t="str">
        <f>IF(PORTEFEUILLE_GUILLAUME[[#This Row],[MALI COMPTABLE]]&lt;&gt;0,1,"")</f>
        <v/>
      </c>
      <c r="AZ30" s="188"/>
      <c r="BA30" s="188"/>
      <c r="BB30" s="188"/>
      <c r="BC30" s="188"/>
      <c r="BD30" s="188"/>
      <c r="BE30" s="188"/>
      <c r="BF30" s="188"/>
      <c r="BG30" s="192"/>
      <c r="BH30" s="194"/>
      <c r="BI30" s="194"/>
      <c r="BJ30" s="195"/>
      <c r="BK30" s="194"/>
    </row>
    <row r="31" spans="1:63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SUM(PORTEFEUILLE_GUILLAUME[[#This Row],[PCR COMPTABLE €]:[MONTANT
RESPONSABLE RELATION CLIENT €]])-PORTEFEUILLE_GUILLAUME[[#This Row],[MONTANT TOTAL LETTRE DE MISION €]]</f>
        <v>0</v>
      </c>
      <c r="AI31" s="191"/>
      <c r="AJ31" s="188"/>
      <c r="AK31" s="188"/>
      <c r="AL31" s="188"/>
      <c r="AM31" s="191"/>
      <c r="AN31" s="188"/>
      <c r="AO31" s="188"/>
      <c r="AP31" s="188"/>
      <c r="AQ31" s="188"/>
      <c r="AR3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1" s="188" t="str">
        <f>IF(PORTEFEUILLE_GUILLAUME[[#This Row],[BONI AAC]]&lt;&gt;0,1,"")</f>
        <v/>
      </c>
      <c r="AU31" s="188" t="str">
        <f>IF(PORTEFEUILLE_GUILLAUME[[#This Row],[MALI AAC]]&lt;&gt;0,1,"")</f>
        <v/>
      </c>
      <c r="AV31" s="225">
        <f>IF(AP31&lt;&gt;"",IF((AP31*Paramètres!$H$4)-PORTEFEUILLE_GUILLAUME[[#This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€]]-(DELPHINE!AP30*Paramètres!$H$4),0),0)</f>
        <v>0</v>
      </c>
      <c r="AW31" s="225">
        <f>IF(AP31&lt;&gt;"",IF(((AP31*Paramètres!$H$4)-PORTEFEUILLE_GUILLAUME[[#This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1" s="190" t="str">
        <f>IF(PORTEFEUILLE_GUILLAUME[[#This Row],[BONI COMPTABLE]]&lt;&gt;0,1,"")</f>
        <v/>
      </c>
      <c r="AY31" s="190" t="str">
        <f>IF(PORTEFEUILLE_GUILLAUME[[#This Row],[MALI COMPTABLE]]&lt;&gt;0,1,"")</f>
        <v/>
      </c>
      <c r="AZ31" s="188"/>
      <c r="BA31" s="188"/>
      <c r="BB31" s="188"/>
      <c r="BC31" s="188"/>
      <c r="BD31" s="196"/>
      <c r="BE31" s="196"/>
      <c r="BF31" s="196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SUM(PORTEFEUILLE_GUILLAUME[[#This Row],[PCR COMPTABLE €]:[MONTANT
RESPONSABLE RELATION CLIENT €]])-PORTEFEUILLE_GUILLAUME[[#This Row],[MONTANT TOTAL LETTRE DE MISION €]]</f>
        <v>0</v>
      </c>
      <c r="AI32" s="191"/>
      <c r="AJ32" s="188"/>
      <c r="AK32" s="188"/>
      <c r="AL32" s="188"/>
      <c r="AM32" s="191"/>
      <c r="AN32" s="188"/>
      <c r="AO32" s="188"/>
      <c r="AP32" s="188"/>
      <c r="AQ32" s="188"/>
      <c r="AR3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2" s="188" t="str">
        <f>IF(PORTEFEUILLE_GUILLAUME[[#This Row],[BONI AAC]]&lt;&gt;0,1,"")</f>
        <v/>
      </c>
      <c r="AU32" s="188" t="str">
        <f>IF(PORTEFEUILLE_GUILLAUME[[#This Row],[MALI AAC]]&lt;&gt;0,1,"")</f>
        <v/>
      </c>
      <c r="AV32" s="225">
        <f>IF(AP32&lt;&gt;"",IF((AP32*Paramètres!$H$4)-PORTEFEUILLE_GUILLAUME[[#This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€]]-(DELPHINE!AP31*Paramètres!$H$4),0),0)</f>
        <v>0</v>
      </c>
      <c r="AW32" s="225">
        <f>IF(AP32&lt;&gt;"",IF(((AP32*Paramètres!$H$4)-PORTEFEUILLE_GUILLAUME[[#This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2" s="190" t="str">
        <f>IF(PORTEFEUILLE_GUILLAUME[[#This Row],[BONI COMPTABLE]]&lt;&gt;0,1,"")</f>
        <v/>
      </c>
      <c r="AY32" s="190" t="str">
        <f>IF(PORTEFEUILLE_GUILLAUME[[#This Row],[MALI COMPTABLE]]&lt;&gt;0,1,"")</f>
        <v/>
      </c>
      <c r="AZ32" s="188"/>
      <c r="BA32" s="188"/>
      <c r="BB32" s="188"/>
      <c r="BC32" s="188"/>
      <c r="BD32" s="188"/>
      <c r="BE32" s="188"/>
      <c r="BF32" s="188"/>
      <c r="BG32" s="192"/>
      <c r="BH32" s="194"/>
      <c r="BI32" s="194"/>
      <c r="BJ32" s="195"/>
      <c r="BK32" s="194"/>
    </row>
    <row r="33" spans="1:63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SUM(PORTEFEUILLE_GUILLAUME[[#This Row],[PCR COMPTABLE €]:[MONTANT
RESPONSABLE RELATION CLIENT €]])-PORTEFEUILLE_GUILLAUME[[#This Row],[MONTANT TOTAL LETTRE DE MISION €]]</f>
        <v>0</v>
      </c>
      <c r="AI33" s="191"/>
      <c r="AJ33" s="188"/>
      <c r="AK33" s="188"/>
      <c r="AL33" s="188"/>
      <c r="AM33" s="191"/>
      <c r="AN33" s="196"/>
      <c r="AO33" s="196"/>
      <c r="AP33" s="196"/>
      <c r="AQ33" s="196"/>
      <c r="AR3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3" s="188" t="str">
        <f>IF(PORTEFEUILLE_GUILLAUME[[#This Row],[BONI AAC]]&lt;&gt;0,1,"")</f>
        <v/>
      </c>
      <c r="AU33" s="188" t="str">
        <f>IF(PORTEFEUILLE_GUILLAUME[[#This Row],[MALI AAC]]&lt;&gt;0,1,"")</f>
        <v/>
      </c>
      <c r="AV33" s="225">
        <f>IF(AP33&lt;&gt;"",IF((AP33*Paramètres!$H$4)-PORTEFEUILLE_GUILLAUME[[#This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€]]-(DELPHINE!AP32*Paramètres!$H$4),0),0)</f>
        <v>0</v>
      </c>
      <c r="AW33" s="225">
        <f>IF(AP33&lt;&gt;"",IF(((AP33*Paramètres!$H$4)-PORTEFEUILLE_GUILLAUME[[#This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3" s="190" t="str">
        <f>IF(PORTEFEUILLE_GUILLAUME[[#This Row],[BONI COMPTABLE]]&lt;&gt;0,1,"")</f>
        <v/>
      </c>
      <c r="AY33" s="190" t="str">
        <f>IF(PORTEFEUILLE_GUILLAUME[[#This Row],[MALI COMPTABLE]]&lt;&gt;0,1,"")</f>
        <v/>
      </c>
      <c r="AZ33" s="196"/>
      <c r="BA33" s="188"/>
      <c r="BB33" s="188"/>
      <c r="BC33" s="188"/>
      <c r="BD33" s="196"/>
      <c r="BE33" s="196"/>
      <c r="BF33" s="196"/>
      <c r="BG33" s="192"/>
      <c r="BH33" s="194"/>
      <c r="BI33" s="194"/>
      <c r="BJ33" s="195"/>
      <c r="BK33" s="194"/>
    </row>
    <row r="34" spans="1:63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SUM(PORTEFEUILLE_GUILLAUME[[#This Row],[PCR COMPTABLE €]:[MONTANT
RESPONSABLE RELATION CLIENT €]])-PORTEFEUILLE_GUILLAUME[[#This Row],[MONTANT TOTAL LETTRE DE MISION €]]</f>
        <v>0</v>
      </c>
      <c r="AI34" s="191"/>
      <c r="AJ34" s="188"/>
      <c r="AK34" s="188"/>
      <c r="AL34" s="188"/>
      <c r="AM34" s="191"/>
      <c r="AN34" s="196"/>
      <c r="AO34" s="196"/>
      <c r="AP34" s="196"/>
      <c r="AQ34" s="196"/>
      <c r="AR3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4" s="188" t="str">
        <f>IF(PORTEFEUILLE_GUILLAUME[[#This Row],[BONI AAC]]&lt;&gt;0,1,"")</f>
        <v/>
      </c>
      <c r="AU34" s="188" t="str">
        <f>IF(PORTEFEUILLE_GUILLAUME[[#This Row],[MALI AAC]]&lt;&gt;0,1,"")</f>
        <v/>
      </c>
      <c r="AV34" s="225">
        <f>IF(AP34&lt;&gt;"",IF((AP34*Paramètres!$H$4)-PORTEFEUILLE_GUILLAUME[[#This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€]]-(DELPHINE!AP33*Paramètres!$H$4),0),0)</f>
        <v>0</v>
      </c>
      <c r="AW34" s="225">
        <f>IF(AP34&lt;&gt;"",IF(((AP34*Paramètres!$H$4)-PORTEFEUILLE_GUILLAUME[[#This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4" s="190" t="str">
        <f>IF(PORTEFEUILLE_GUILLAUME[[#This Row],[BONI COMPTABLE]]&lt;&gt;0,1,"")</f>
        <v/>
      </c>
      <c r="AY34" s="190" t="str">
        <f>IF(PORTEFEUILLE_GUILLAUME[[#This Row],[MALI COMPTABLE]]&lt;&gt;0,1,"")</f>
        <v/>
      </c>
      <c r="AZ34" s="196"/>
      <c r="BA34" s="188"/>
      <c r="BB34" s="188"/>
      <c r="BC34" s="188"/>
      <c r="BD34" s="188"/>
      <c r="BE34" s="188"/>
      <c r="BF34" s="188"/>
      <c r="BG34" s="192"/>
      <c r="BH34" s="194"/>
      <c r="BI34" s="194"/>
      <c r="BJ34" s="195"/>
      <c r="BK34" s="194"/>
    </row>
    <row r="35" spans="1:63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SUM(PORTEFEUILLE_GUILLAUME[[#This Row],[PCR COMPTABLE €]:[MONTANT
RESPONSABLE RELATION CLIENT €]])-PORTEFEUILLE_GUILLAUME[[#This Row],[MONTANT TOTAL LETTRE DE MISION €]]</f>
        <v>0</v>
      </c>
      <c r="AI35" s="191"/>
      <c r="AJ35" s="188"/>
      <c r="AK35" s="188"/>
      <c r="AL35" s="188"/>
      <c r="AM35" s="191"/>
      <c r="AN35" s="188"/>
      <c r="AO35" s="188"/>
      <c r="AP35" s="188"/>
      <c r="AQ35" s="188"/>
      <c r="AR3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5" s="188" t="str">
        <f>IF(PORTEFEUILLE_GUILLAUME[[#This Row],[BONI AAC]]&lt;&gt;0,1,"")</f>
        <v/>
      </c>
      <c r="AU35" s="188" t="str">
        <f>IF(PORTEFEUILLE_GUILLAUME[[#This Row],[MALI AAC]]&lt;&gt;0,1,"")</f>
        <v/>
      </c>
      <c r="AV35" s="225">
        <f>IF(AP35&lt;&gt;"",IF((AP35*Paramètres!$H$4)-PORTEFEUILLE_GUILLAUME[[#This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€]]-(DELPHINE!AP34*Paramètres!$H$4),0),0)</f>
        <v>0</v>
      </c>
      <c r="AW35" s="225">
        <f>IF(AP35&lt;&gt;"",IF(((AP35*Paramètres!$H$4)-PORTEFEUILLE_GUILLAUME[[#This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5" s="190" t="str">
        <f>IF(PORTEFEUILLE_GUILLAUME[[#This Row],[BONI COMPTABLE]]&lt;&gt;0,1,"")</f>
        <v/>
      </c>
      <c r="AY35" s="190" t="str">
        <f>IF(PORTEFEUILLE_GUILLAUME[[#This Row],[MALI COMPTABLE]]&lt;&gt;0,1,"")</f>
        <v/>
      </c>
      <c r="AZ35" s="188"/>
      <c r="BA35" s="188"/>
      <c r="BB35" s="188"/>
      <c r="BC35" s="188"/>
      <c r="BD35" s="188"/>
      <c r="BE35" s="188"/>
      <c r="BF35" s="188"/>
      <c r="BG35" s="192"/>
      <c r="BH35" s="194"/>
      <c r="BI35" s="194"/>
      <c r="BJ35" s="195"/>
      <c r="BK35" s="194"/>
    </row>
    <row r="36" spans="1:63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SUM(PORTEFEUILLE_GUILLAUME[[#This Row],[PCR COMPTABLE €]:[MONTANT
RESPONSABLE RELATION CLIENT €]])-PORTEFEUILLE_GUILLAUME[[#This Row],[MONTANT TOTAL LETTRE DE MISION €]]</f>
        <v>0</v>
      </c>
      <c r="AI36" s="191"/>
      <c r="AJ36" s="188"/>
      <c r="AK36" s="188"/>
      <c r="AL36" s="188"/>
      <c r="AM36" s="191"/>
      <c r="AN36" s="188"/>
      <c r="AO36" s="188"/>
      <c r="AP36" s="188"/>
      <c r="AQ36" s="188"/>
      <c r="AR3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6" s="188" t="str">
        <f>IF(PORTEFEUILLE_GUILLAUME[[#This Row],[BONI AAC]]&lt;&gt;0,1,"")</f>
        <v/>
      </c>
      <c r="AU36" s="188" t="str">
        <f>IF(PORTEFEUILLE_GUILLAUME[[#This Row],[MALI AAC]]&lt;&gt;0,1,"")</f>
        <v/>
      </c>
      <c r="AV36" s="225">
        <f>IF(AP36&lt;&gt;"",IF((AP36*Paramètres!$H$4)-PORTEFEUILLE_GUILLAUME[[#This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€]]-(DELPHINE!AP35*Paramètres!$H$4),0),0)</f>
        <v>0</v>
      </c>
      <c r="AW36" s="225">
        <f>IF(AP36&lt;&gt;"",IF(((AP36*Paramètres!$H$4)-PORTEFEUILLE_GUILLAUME[[#This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6" s="190" t="str">
        <f>IF(PORTEFEUILLE_GUILLAUME[[#This Row],[BONI COMPTABLE]]&lt;&gt;0,1,"")</f>
        <v/>
      </c>
      <c r="AY36" s="190" t="str">
        <f>IF(PORTEFEUILLE_GUILLAUME[[#This Row],[MALI COMPTABLE]]&lt;&gt;0,1,"")</f>
        <v/>
      </c>
      <c r="AZ36" s="188"/>
      <c r="BA36" s="188"/>
      <c r="BB36" s="188"/>
      <c r="BC36" s="188"/>
      <c r="BD36" s="196"/>
      <c r="BE36" s="196"/>
      <c r="BF36" s="196"/>
      <c r="BG36" s="192"/>
      <c r="BH36" s="194"/>
      <c r="BI36" s="194"/>
      <c r="BJ36" s="195"/>
      <c r="BK36" s="194"/>
    </row>
    <row r="37" spans="1:63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SUM(PORTEFEUILLE_GUILLAUME[[#This Row],[PCR COMPTABLE €]:[MONTANT
RESPONSABLE RELATION CLIENT €]])-PORTEFEUILLE_GUILLAUME[[#This Row],[MONTANT TOTAL LETTRE DE MISION €]]</f>
        <v>0</v>
      </c>
      <c r="AI37" s="191"/>
      <c r="AJ37" s="188"/>
      <c r="AK37" s="188"/>
      <c r="AL37" s="188"/>
      <c r="AM37" s="191"/>
      <c r="AN37" s="188"/>
      <c r="AO37" s="188"/>
      <c r="AP37" s="188"/>
      <c r="AQ37" s="188"/>
      <c r="AR3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7" s="188" t="str">
        <f>IF(PORTEFEUILLE_GUILLAUME[[#This Row],[BONI AAC]]&lt;&gt;0,1,"")</f>
        <v/>
      </c>
      <c r="AU37" s="188" t="str">
        <f>IF(PORTEFEUILLE_GUILLAUME[[#This Row],[MALI AAC]]&lt;&gt;0,1,"")</f>
        <v/>
      </c>
      <c r="AV37" s="225">
        <f>IF(AP37&lt;&gt;"",IF((AP37*Paramètres!$H$4)-PORTEFEUILLE_GUILLAUME[[#This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€]]-(DELPHINE!AP36*Paramètres!$H$4),0),0)</f>
        <v>0</v>
      </c>
      <c r="AW37" s="225">
        <f>IF(AP37&lt;&gt;"",IF(((AP37*Paramètres!$H$4)-PORTEFEUILLE_GUILLAUME[[#This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7" s="190" t="str">
        <f>IF(PORTEFEUILLE_GUILLAUME[[#This Row],[BONI COMPTABLE]]&lt;&gt;0,1,"")</f>
        <v/>
      </c>
      <c r="AY37" s="190" t="str">
        <f>IF(PORTEFEUILLE_GUILLAUME[[#This Row],[MALI COMPTABLE]]&lt;&gt;0,1,"")</f>
        <v/>
      </c>
      <c r="AZ37" s="188"/>
      <c r="BA37" s="188"/>
      <c r="BB37" s="188"/>
      <c r="BC37" s="188"/>
      <c r="BD37" s="196"/>
      <c r="BE37" s="196"/>
      <c r="BF37" s="196"/>
      <c r="BG37" s="192"/>
      <c r="BH37" s="194"/>
      <c r="BI37" s="194"/>
      <c r="BJ37" s="195"/>
      <c r="BK37" s="194"/>
    </row>
    <row r="38" spans="1:63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SUM(PORTEFEUILLE_GUILLAUME[[#This Row],[PCR COMPTABLE €]:[MONTANT
RESPONSABLE RELATION CLIENT €]])-PORTEFEUILLE_GUILLAUME[[#This Row],[MONTANT TOTAL LETTRE DE MISION €]]</f>
        <v>0</v>
      </c>
      <c r="AI38" s="191"/>
      <c r="AJ38" s="188"/>
      <c r="AK38" s="188"/>
      <c r="AL38" s="188"/>
      <c r="AM38" s="191"/>
      <c r="AN38" s="188"/>
      <c r="AO38" s="188"/>
      <c r="AP38" s="188"/>
      <c r="AQ38" s="188"/>
      <c r="AR3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8" s="188" t="str">
        <f>IF(PORTEFEUILLE_GUILLAUME[[#This Row],[BONI AAC]]&lt;&gt;0,1,"")</f>
        <v/>
      </c>
      <c r="AU38" s="188" t="str">
        <f>IF(PORTEFEUILLE_GUILLAUME[[#This Row],[MALI AAC]]&lt;&gt;0,1,"")</f>
        <v/>
      </c>
      <c r="AV38" s="225">
        <f>IF(AP38&lt;&gt;"",IF((AP38*Paramètres!$H$4)-PORTEFEUILLE_GUILLAUME[[#This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€]]-(DELPHINE!AP37*Paramètres!$H$4),0),0)</f>
        <v>0</v>
      </c>
      <c r="AW38" s="225">
        <f>IF(AP38&lt;&gt;"",IF(((AP38*Paramètres!$H$4)-PORTEFEUILLE_GUILLAUME[[#This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8" s="190" t="str">
        <f>IF(PORTEFEUILLE_GUILLAUME[[#This Row],[BONI COMPTABLE]]&lt;&gt;0,1,"")</f>
        <v/>
      </c>
      <c r="AY38" s="190" t="str">
        <f>IF(PORTEFEUILLE_GUILLAUME[[#This Row],[MALI COMPTABLE]]&lt;&gt;0,1,"")</f>
        <v/>
      </c>
      <c r="AZ38" s="188"/>
      <c r="BA38" s="188"/>
      <c r="BB38" s="188"/>
      <c r="BC38" s="188"/>
      <c r="BD38" s="196"/>
      <c r="BE38" s="196"/>
      <c r="BF38" s="196"/>
      <c r="BG38" s="192"/>
      <c r="BH38" s="194"/>
      <c r="BI38" s="194"/>
      <c r="BJ38" s="195"/>
      <c r="BK38" s="194"/>
    </row>
    <row r="39" spans="1:63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SUM(PORTEFEUILLE_GUILLAUME[[#This Row],[PCR COMPTABLE €]:[MONTANT
RESPONSABLE RELATION CLIENT €]])-PORTEFEUILLE_GUILLAUME[[#This Row],[MONTANT TOTAL LETTRE DE MISION €]]</f>
        <v>0</v>
      </c>
      <c r="AI39" s="191"/>
      <c r="AJ39" s="188"/>
      <c r="AK39" s="188"/>
      <c r="AL39" s="188"/>
      <c r="AM39" s="191"/>
      <c r="AN39" s="188"/>
      <c r="AO39" s="188"/>
      <c r="AP39" s="188"/>
      <c r="AQ39" s="188"/>
      <c r="AR3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3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39" s="188" t="str">
        <f>IF(PORTEFEUILLE_GUILLAUME[[#This Row],[BONI AAC]]&lt;&gt;0,1,"")</f>
        <v/>
      </c>
      <c r="AU39" s="188" t="str">
        <f>IF(PORTEFEUILLE_GUILLAUME[[#This Row],[MALI AAC]]&lt;&gt;0,1,"")</f>
        <v/>
      </c>
      <c r="AV39" s="225">
        <f>IF(AP39&lt;&gt;"",IF((AP39*Paramètres!$H$4)-PORTEFEUILLE_GUILLAUME[[#This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€]]-(DELPHINE!AP38*Paramètres!$H$4),0),0)</f>
        <v>0</v>
      </c>
      <c r="AW39" s="225">
        <f>IF(AP39&lt;&gt;"",IF(((AP39*Paramètres!$H$4)-PORTEFEUILLE_GUILLAUME[[#This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39" s="190" t="str">
        <f>IF(PORTEFEUILLE_GUILLAUME[[#This Row],[BONI COMPTABLE]]&lt;&gt;0,1,"")</f>
        <v/>
      </c>
      <c r="AY39" s="190" t="str">
        <f>IF(PORTEFEUILLE_GUILLAUME[[#This Row],[MALI COMPTABLE]]&lt;&gt;0,1,"")</f>
        <v/>
      </c>
      <c r="AZ39" s="188"/>
      <c r="BA39" s="188"/>
      <c r="BB39" s="188"/>
      <c r="BC39" s="188"/>
      <c r="BD39" s="188"/>
      <c r="BE39" s="188"/>
      <c r="BF39" s="188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SUM(PORTEFEUILLE_GUILLAUME[[#This Row],[PCR COMPTABLE €]:[MONTANT
RESPONSABLE RELATION CLIENT €]])-PORTEFEUILLE_GUILLAUME[[#This Row],[MONTANT TOTAL LETTRE DE MISION €]]</f>
        <v>0</v>
      </c>
      <c r="AI40" s="191"/>
      <c r="AJ40" s="188"/>
      <c r="AK40" s="188"/>
      <c r="AL40" s="188"/>
      <c r="AM40" s="191"/>
      <c r="AN40" s="188"/>
      <c r="AO40" s="188"/>
      <c r="AP40" s="188"/>
      <c r="AQ40" s="188"/>
      <c r="AR4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0" s="188" t="str">
        <f>IF(PORTEFEUILLE_GUILLAUME[[#This Row],[BONI AAC]]&lt;&gt;0,1,"")</f>
        <v/>
      </c>
      <c r="AU40" s="188" t="str">
        <f>IF(PORTEFEUILLE_GUILLAUME[[#This Row],[MALI AAC]]&lt;&gt;0,1,"")</f>
        <v/>
      </c>
      <c r="AV40" s="225">
        <f>IF(AP40&lt;&gt;"",IF((AP40*Paramètres!$H$4)-PORTEFEUILLE_GUILLAUME[[#This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€]]-(DELPHINE!AP39*Paramètres!$H$4),0),0)</f>
        <v>0</v>
      </c>
      <c r="AW40" s="225">
        <f>IF(AP40&lt;&gt;"",IF(((AP40*Paramètres!$H$4)-PORTEFEUILLE_GUILLAUME[[#This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0" s="190" t="str">
        <f>IF(PORTEFEUILLE_GUILLAUME[[#This Row],[BONI COMPTABLE]]&lt;&gt;0,1,"")</f>
        <v/>
      </c>
      <c r="AY40" s="190" t="str">
        <f>IF(PORTEFEUILLE_GUILLAUME[[#This Row],[MALI COMPTABLE]]&lt;&gt;0,1,"")</f>
        <v/>
      </c>
      <c r="AZ40" s="188"/>
      <c r="BA40" s="188"/>
      <c r="BB40" s="188"/>
      <c r="BC40" s="188"/>
      <c r="BD40" s="188"/>
      <c r="BE40" s="188"/>
      <c r="BF40" s="188"/>
      <c r="BG40" s="192"/>
      <c r="BH40" s="194"/>
      <c r="BI40" s="194"/>
      <c r="BJ40" s="195"/>
      <c r="BK40" s="194"/>
    </row>
    <row r="41" spans="1:63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SUM(PORTEFEUILLE_GUILLAUME[[#This Row],[PCR COMPTABLE €]:[MONTANT
RESPONSABLE RELATION CLIENT €]])-PORTEFEUILLE_GUILLAUME[[#This Row],[MONTANT TOTAL LETTRE DE MISION €]]</f>
        <v>0</v>
      </c>
      <c r="AI41" s="191"/>
      <c r="AJ41" s="188"/>
      <c r="AK41" s="188"/>
      <c r="AL41" s="188"/>
      <c r="AM41" s="191"/>
      <c r="AN41" s="196"/>
      <c r="AO41" s="196"/>
      <c r="AP41" s="196"/>
      <c r="AQ41" s="196"/>
      <c r="AR4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1" s="188" t="str">
        <f>IF(PORTEFEUILLE_GUILLAUME[[#This Row],[BONI AAC]]&lt;&gt;0,1,"")</f>
        <v/>
      </c>
      <c r="AU41" s="188" t="str">
        <f>IF(PORTEFEUILLE_GUILLAUME[[#This Row],[MALI AAC]]&lt;&gt;0,1,"")</f>
        <v/>
      </c>
      <c r="AV41" s="225">
        <f>IF(AP41&lt;&gt;"",IF((AP41*Paramètres!$H$4)-PORTEFEUILLE_GUILLAUME[[#This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€]]-(DELPHINE!AP40*Paramètres!$H$4),0),0)</f>
        <v>0</v>
      </c>
      <c r="AW41" s="225">
        <f>IF(AP41&lt;&gt;"",IF(((AP41*Paramètres!$H$4)-PORTEFEUILLE_GUILLAUME[[#This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1" s="190" t="str">
        <f>IF(PORTEFEUILLE_GUILLAUME[[#This Row],[BONI COMPTABLE]]&lt;&gt;0,1,"")</f>
        <v/>
      </c>
      <c r="AY41" s="190" t="str">
        <f>IF(PORTEFEUILLE_GUILLAUME[[#This Row],[MALI COMPTABLE]]&lt;&gt;0,1,"")</f>
        <v/>
      </c>
      <c r="AZ41" s="196"/>
      <c r="BA41" s="188"/>
      <c r="BB41" s="188"/>
      <c r="BC41" s="188"/>
      <c r="BD41" s="188"/>
      <c r="BE41" s="188"/>
      <c r="BF41" s="188"/>
      <c r="BG41" s="192"/>
      <c r="BH41" s="194"/>
      <c r="BI41" s="194"/>
      <c r="BJ41" s="195"/>
      <c r="BK41" s="194"/>
    </row>
    <row r="42" spans="1:63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SUM(PORTEFEUILLE_GUILLAUME[[#This Row],[PCR COMPTABLE €]:[MONTANT
RESPONSABLE RELATION CLIENT €]])-PORTEFEUILLE_GUILLAUME[[#This Row],[MONTANT TOTAL LETTRE DE MISION €]]</f>
        <v>0</v>
      </c>
      <c r="AI42" s="191"/>
      <c r="AJ42" s="188"/>
      <c r="AK42" s="188"/>
      <c r="AL42" s="188"/>
      <c r="AM42" s="191"/>
      <c r="AN42" s="196"/>
      <c r="AO42" s="196"/>
      <c r="AP42" s="196"/>
      <c r="AQ42" s="196"/>
      <c r="AR4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2" s="188" t="str">
        <f>IF(PORTEFEUILLE_GUILLAUME[[#This Row],[BONI AAC]]&lt;&gt;0,1,"")</f>
        <v/>
      </c>
      <c r="AU42" s="188" t="str">
        <f>IF(PORTEFEUILLE_GUILLAUME[[#This Row],[MALI AAC]]&lt;&gt;0,1,"")</f>
        <v/>
      </c>
      <c r="AV42" s="225">
        <f>IF(AP42&lt;&gt;"",IF((AP42*Paramètres!$H$4)-PORTEFEUILLE_GUILLAUME[[#This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€]]-(DELPHINE!AP41*Paramètres!$H$4),0),0)</f>
        <v>0</v>
      </c>
      <c r="AW42" s="225">
        <f>IF(AP42&lt;&gt;"",IF(((AP42*Paramètres!$H$4)-PORTEFEUILLE_GUILLAUME[[#This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2" s="190" t="str">
        <f>IF(PORTEFEUILLE_GUILLAUME[[#This Row],[BONI COMPTABLE]]&lt;&gt;0,1,"")</f>
        <v/>
      </c>
      <c r="AY42" s="190" t="str">
        <f>IF(PORTEFEUILLE_GUILLAUME[[#This Row],[MALI COMPTABLE]]&lt;&gt;0,1,"")</f>
        <v/>
      </c>
      <c r="AZ42" s="196"/>
      <c r="BA42" s="188"/>
      <c r="BB42" s="188"/>
      <c r="BC42" s="188"/>
      <c r="BD42" s="196"/>
      <c r="BE42" s="196"/>
      <c r="BF42" s="196"/>
      <c r="BG42" s="192"/>
      <c r="BH42" s="194"/>
      <c r="BI42" s="194"/>
      <c r="BJ42" s="195"/>
      <c r="BK42" s="194"/>
    </row>
    <row r="43" spans="1:63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SUM(PORTEFEUILLE_GUILLAUME[[#This Row],[PCR COMPTABLE €]:[MONTANT
RESPONSABLE RELATION CLIENT €]])-PORTEFEUILLE_GUILLAUME[[#This Row],[MONTANT TOTAL LETTRE DE MISION €]]</f>
        <v>0</v>
      </c>
      <c r="AI43" s="191"/>
      <c r="AJ43" s="188"/>
      <c r="AK43" s="188"/>
      <c r="AL43" s="188"/>
      <c r="AM43" s="191"/>
      <c r="AN43" s="188"/>
      <c r="AO43" s="188"/>
      <c r="AP43" s="188"/>
      <c r="AQ43" s="188"/>
      <c r="AR4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3" s="188" t="str">
        <f>IF(PORTEFEUILLE_GUILLAUME[[#This Row],[BONI AAC]]&lt;&gt;0,1,"")</f>
        <v/>
      </c>
      <c r="AU43" s="188" t="str">
        <f>IF(PORTEFEUILLE_GUILLAUME[[#This Row],[MALI AAC]]&lt;&gt;0,1,"")</f>
        <v/>
      </c>
      <c r="AV43" s="225">
        <f>IF(AP43&lt;&gt;"",IF((AP43*Paramètres!$H$4)-PORTEFEUILLE_GUILLAUME[[#This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€]]-(DELPHINE!AP42*Paramètres!$H$4),0),0)</f>
        <v>0</v>
      </c>
      <c r="AW43" s="225">
        <f>IF(AP43&lt;&gt;"",IF(((AP43*Paramètres!$H$4)-PORTEFEUILLE_GUILLAUME[[#This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3" s="190" t="str">
        <f>IF(PORTEFEUILLE_GUILLAUME[[#This Row],[BONI COMPTABLE]]&lt;&gt;0,1,"")</f>
        <v/>
      </c>
      <c r="AY43" s="190" t="str">
        <f>IF(PORTEFEUILLE_GUILLAUME[[#This Row],[MALI COMPTABLE]]&lt;&gt;0,1,"")</f>
        <v/>
      </c>
      <c r="AZ43" s="188"/>
      <c r="BA43" s="188"/>
      <c r="BB43" s="188"/>
      <c r="BC43" s="188"/>
      <c r="BD43" s="196"/>
      <c r="BE43" s="196"/>
      <c r="BF43" s="196"/>
      <c r="BG43" s="192"/>
      <c r="BH43" s="194"/>
      <c r="BI43" s="194"/>
      <c r="BJ43" s="195"/>
      <c r="BK43" s="194"/>
    </row>
    <row r="44" spans="1:63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SUM(PORTEFEUILLE_GUILLAUME[[#This Row],[PCR COMPTABLE €]:[MONTANT
RESPONSABLE RELATION CLIENT €]])-PORTEFEUILLE_GUILLAUME[[#This Row],[MONTANT TOTAL LETTRE DE MISION €]]</f>
        <v>0</v>
      </c>
      <c r="AI44" s="191"/>
      <c r="AJ44" s="188"/>
      <c r="AK44" s="188"/>
      <c r="AL44" s="188"/>
      <c r="AM44" s="191"/>
      <c r="AN44" s="188"/>
      <c r="AO44" s="188"/>
      <c r="AP44" s="188"/>
      <c r="AQ44" s="188"/>
      <c r="AR4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4" s="188" t="str">
        <f>IF(PORTEFEUILLE_GUILLAUME[[#This Row],[BONI AAC]]&lt;&gt;0,1,"")</f>
        <v/>
      </c>
      <c r="AU44" s="188" t="str">
        <f>IF(PORTEFEUILLE_GUILLAUME[[#This Row],[MALI AAC]]&lt;&gt;0,1,"")</f>
        <v/>
      </c>
      <c r="AV44" s="225">
        <f>IF(AP44&lt;&gt;"",IF((AP44*Paramètres!$H$4)-PORTEFEUILLE_GUILLAUME[[#This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€]]-(DELPHINE!AP43*Paramètres!$H$4),0),0)</f>
        <v>0</v>
      </c>
      <c r="AW44" s="225">
        <f>IF(AP44&lt;&gt;"",IF(((AP44*Paramètres!$H$4)-PORTEFEUILLE_GUILLAUME[[#This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4" s="190" t="str">
        <f>IF(PORTEFEUILLE_GUILLAUME[[#This Row],[BONI COMPTABLE]]&lt;&gt;0,1,"")</f>
        <v/>
      </c>
      <c r="AY44" s="190" t="str">
        <f>IF(PORTEFEUILLE_GUILLAUME[[#This Row],[MALI COMPTABLE]]&lt;&gt;0,1,"")</f>
        <v/>
      </c>
      <c r="AZ44" s="188"/>
      <c r="BA44" s="188"/>
      <c r="BB44" s="188"/>
      <c r="BC44" s="188"/>
      <c r="BD44" s="196"/>
      <c r="BE44" s="196"/>
      <c r="BF44" s="196"/>
      <c r="BG44" s="192"/>
      <c r="BH44" s="194"/>
      <c r="BI44" s="194"/>
      <c r="BJ44" s="195"/>
      <c r="BK44" s="194"/>
    </row>
    <row r="45" spans="1:63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SUM(PORTEFEUILLE_GUILLAUME[[#This Row],[PCR COMPTABLE €]:[MONTANT
RESPONSABLE RELATION CLIENT €]])-PORTEFEUILLE_GUILLAUME[[#This Row],[MONTANT TOTAL LETTRE DE MISION €]]</f>
        <v>0</v>
      </c>
      <c r="AI45" s="191"/>
      <c r="AJ45" s="188"/>
      <c r="AK45" s="188"/>
      <c r="AL45" s="188"/>
      <c r="AM45" s="191"/>
      <c r="AN45" s="188"/>
      <c r="AO45" s="188"/>
      <c r="AP45" s="188"/>
      <c r="AQ45" s="188"/>
      <c r="AR4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5" s="188" t="str">
        <f>IF(PORTEFEUILLE_GUILLAUME[[#This Row],[BONI AAC]]&lt;&gt;0,1,"")</f>
        <v/>
      </c>
      <c r="AU45" s="188" t="str">
        <f>IF(PORTEFEUILLE_GUILLAUME[[#This Row],[MALI AAC]]&lt;&gt;0,1,"")</f>
        <v/>
      </c>
      <c r="AV45" s="225">
        <f>IF(AP45&lt;&gt;"",IF((AP45*Paramètres!$H$4)-PORTEFEUILLE_GUILLAUME[[#This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€]]-(DELPHINE!AP44*Paramètres!$H$4),0),0)</f>
        <v>0</v>
      </c>
      <c r="AW45" s="225">
        <f>IF(AP45&lt;&gt;"",IF(((AP45*Paramètres!$H$4)-PORTEFEUILLE_GUILLAUME[[#This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5" s="190" t="str">
        <f>IF(PORTEFEUILLE_GUILLAUME[[#This Row],[BONI COMPTABLE]]&lt;&gt;0,1,"")</f>
        <v/>
      </c>
      <c r="AY45" s="190" t="str">
        <f>IF(PORTEFEUILLE_GUILLAUME[[#This Row],[MALI COMPTABLE]]&lt;&gt;0,1,"")</f>
        <v/>
      </c>
      <c r="AZ45" s="188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SUM(PORTEFEUILLE_GUILLAUME[[#This Row],[PCR COMPTABLE €]:[MONTANT
RESPONSABLE RELATION CLIENT €]])-PORTEFEUILLE_GUILLAUME[[#This Row],[MONTANT TOTAL LETTRE DE MISION €]]</f>
        <v>0</v>
      </c>
      <c r="AI46" s="191"/>
      <c r="AJ46" s="188"/>
      <c r="AK46" s="188"/>
      <c r="AL46" s="188"/>
      <c r="AM46" s="191"/>
      <c r="AN46" s="196"/>
      <c r="AO46" s="196"/>
      <c r="AP46" s="196"/>
      <c r="AQ46" s="196"/>
      <c r="AR4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6" s="188" t="str">
        <f>IF(PORTEFEUILLE_GUILLAUME[[#This Row],[BONI AAC]]&lt;&gt;0,1,"")</f>
        <v/>
      </c>
      <c r="AU46" s="188" t="str">
        <f>IF(PORTEFEUILLE_GUILLAUME[[#This Row],[MALI AAC]]&lt;&gt;0,1,"")</f>
        <v/>
      </c>
      <c r="AV46" s="225">
        <f>IF(AP46&lt;&gt;"",IF((AP46*Paramètres!$H$4)-PORTEFEUILLE_GUILLAUME[[#This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€]]-(DELPHINE!AP45*Paramètres!$H$4),0),0)</f>
        <v>0</v>
      </c>
      <c r="AW46" s="225">
        <f>IF(AP46&lt;&gt;"",IF(((AP46*Paramètres!$H$4)-PORTEFEUILLE_GUILLAUME[[#This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6" s="190" t="str">
        <f>IF(PORTEFEUILLE_GUILLAUME[[#This Row],[BONI COMPTABLE]]&lt;&gt;0,1,"")</f>
        <v/>
      </c>
      <c r="AY46" s="190" t="str">
        <f>IF(PORTEFEUILLE_GUILLAUME[[#This Row],[MALI COMPTABLE]]&lt;&gt;0,1,"")</f>
        <v/>
      </c>
      <c r="AZ46" s="196"/>
      <c r="BA46" s="188"/>
      <c r="BB46" s="188"/>
      <c r="BC46" s="188"/>
      <c r="BD46" s="188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SUM(PORTEFEUILLE_GUILLAUME[[#This Row],[PCR COMPTABLE €]:[MONTANT
RESPONSABLE RELATION CLIENT €]])-PORTEFEUILLE_GUILLAUME[[#This Row],[MONTANT TOTAL LETTRE DE MISION €]]</f>
        <v>0</v>
      </c>
      <c r="AI47" s="191"/>
      <c r="AJ47" s="188"/>
      <c r="AK47" s="188"/>
      <c r="AL47" s="188"/>
      <c r="AM47" s="191"/>
      <c r="AN47" s="188"/>
      <c r="AO47" s="188"/>
      <c r="AP47" s="188"/>
      <c r="AQ47" s="188"/>
      <c r="AR4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7" s="188" t="str">
        <f>IF(PORTEFEUILLE_GUILLAUME[[#This Row],[BONI AAC]]&lt;&gt;0,1,"")</f>
        <v/>
      </c>
      <c r="AU47" s="188" t="str">
        <f>IF(PORTEFEUILLE_GUILLAUME[[#This Row],[MALI AAC]]&lt;&gt;0,1,"")</f>
        <v/>
      </c>
      <c r="AV47" s="225">
        <f>IF(AP47&lt;&gt;"",IF((AP47*Paramètres!$H$4)-PORTEFEUILLE_GUILLAUME[[#This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€]]-(DELPHINE!AP46*Paramètres!$H$4),0),0)</f>
        <v>0</v>
      </c>
      <c r="AW47" s="225">
        <f>IF(AP47&lt;&gt;"",IF(((AP47*Paramètres!$H$4)-PORTEFEUILLE_GUILLAUME[[#This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7" s="190" t="str">
        <f>IF(PORTEFEUILLE_GUILLAUME[[#This Row],[BONI COMPTABLE]]&lt;&gt;0,1,"")</f>
        <v/>
      </c>
      <c r="AY47" s="190" t="str">
        <f>IF(PORTEFEUILLE_GUILLAUME[[#This Row],[MALI COMPTABLE]]&lt;&gt;0,1,"")</f>
        <v/>
      </c>
      <c r="AZ47" s="188"/>
      <c r="BA47" s="188"/>
      <c r="BB47" s="188"/>
      <c r="BC47" s="188"/>
      <c r="BD47" s="188"/>
      <c r="BE47" s="188"/>
      <c r="BF47" s="188"/>
      <c r="BG47" s="192"/>
      <c r="BH47" s="194"/>
      <c r="BI47" s="194"/>
      <c r="BJ47" s="195"/>
      <c r="BK47" s="194"/>
    </row>
    <row r="48" spans="1:63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SUM(PORTEFEUILLE_GUILLAUME[[#This Row],[PCR COMPTABLE €]:[MONTANT
RESPONSABLE RELATION CLIENT €]])-PORTEFEUILLE_GUILLAUME[[#This Row],[MONTANT TOTAL LETTRE DE MISION €]]</f>
        <v>0</v>
      </c>
      <c r="AI48" s="191"/>
      <c r="AJ48" s="188"/>
      <c r="AK48" s="188"/>
      <c r="AL48" s="188"/>
      <c r="AM48" s="191"/>
      <c r="AN48" s="196"/>
      <c r="AO48" s="196"/>
      <c r="AP48" s="196"/>
      <c r="AQ48" s="196"/>
      <c r="AR4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8" s="188" t="str">
        <f>IF(PORTEFEUILLE_GUILLAUME[[#This Row],[BONI AAC]]&lt;&gt;0,1,"")</f>
        <v/>
      </c>
      <c r="AU48" s="188" t="str">
        <f>IF(PORTEFEUILLE_GUILLAUME[[#This Row],[MALI AAC]]&lt;&gt;0,1,"")</f>
        <v/>
      </c>
      <c r="AV48" s="225">
        <f>IF(AP48&lt;&gt;"",IF((AP48*Paramètres!$H$4)-PORTEFEUILLE_GUILLAUME[[#This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€]]-(DELPHINE!AP47*Paramètres!$H$4),0),0)</f>
        <v>0</v>
      </c>
      <c r="AW48" s="225">
        <f>IF(AP48&lt;&gt;"",IF(((AP48*Paramètres!$H$4)-PORTEFEUILLE_GUILLAUME[[#This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8" s="190" t="str">
        <f>IF(PORTEFEUILLE_GUILLAUME[[#This Row],[BONI COMPTABLE]]&lt;&gt;0,1,"")</f>
        <v/>
      </c>
      <c r="AY48" s="190" t="str">
        <f>IF(PORTEFEUILLE_GUILLAUME[[#This Row],[MALI COMPTABLE]]&lt;&gt;0,1,"")</f>
        <v/>
      </c>
      <c r="AZ48" s="196"/>
      <c r="BA48" s="188"/>
      <c r="BB48" s="188"/>
      <c r="BC48" s="188"/>
      <c r="BD48" s="188"/>
      <c r="BE48" s="188"/>
      <c r="BF48" s="188"/>
      <c r="BG48" s="192"/>
      <c r="BH48" s="194"/>
      <c r="BI48" s="194"/>
      <c r="BJ48" s="195"/>
      <c r="BK48" s="194"/>
    </row>
    <row r="49" spans="1:63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SUM(PORTEFEUILLE_GUILLAUME[[#This Row],[PCR COMPTABLE €]:[MONTANT
RESPONSABLE RELATION CLIENT €]])-PORTEFEUILLE_GUILLAUME[[#This Row],[MONTANT TOTAL LETTRE DE MISION €]]</f>
        <v>0</v>
      </c>
      <c r="AI49" s="191"/>
      <c r="AJ49" s="188"/>
      <c r="AK49" s="188"/>
      <c r="AL49" s="188"/>
      <c r="AM49" s="191"/>
      <c r="AN49" s="188"/>
      <c r="AO49" s="188"/>
      <c r="AP49" s="188"/>
      <c r="AQ49" s="188"/>
      <c r="AR4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4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49" s="188" t="str">
        <f>IF(PORTEFEUILLE_GUILLAUME[[#This Row],[BONI AAC]]&lt;&gt;0,1,"")</f>
        <v/>
      </c>
      <c r="AU49" s="188" t="str">
        <f>IF(PORTEFEUILLE_GUILLAUME[[#This Row],[MALI AAC]]&lt;&gt;0,1,"")</f>
        <v/>
      </c>
      <c r="AV49" s="225">
        <f>IF(AP49&lt;&gt;"",IF((AP49*Paramètres!$H$4)-PORTEFEUILLE_GUILLAUME[[#This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€]]-(DELPHINE!AP48*Paramètres!$H$4),0),0)</f>
        <v>0</v>
      </c>
      <c r="AW49" s="225">
        <f>IF(AP49&lt;&gt;"",IF(((AP49*Paramètres!$H$4)-PORTEFEUILLE_GUILLAUME[[#This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49" s="190" t="str">
        <f>IF(PORTEFEUILLE_GUILLAUME[[#This Row],[BONI COMPTABLE]]&lt;&gt;0,1,"")</f>
        <v/>
      </c>
      <c r="AY49" s="190" t="str">
        <f>IF(PORTEFEUILLE_GUILLAUME[[#This Row],[MALI COMPTABLE]]&lt;&gt;0,1,"")</f>
        <v/>
      </c>
      <c r="AZ49" s="188"/>
      <c r="BA49" s="188"/>
      <c r="BB49" s="188"/>
      <c r="BC49" s="188"/>
      <c r="BD49" s="196"/>
      <c r="BE49" s="188"/>
      <c r="BF49" s="188"/>
      <c r="BG49" s="192"/>
      <c r="BH49" s="194"/>
      <c r="BI49" s="194"/>
      <c r="BJ49" s="195"/>
      <c r="BK49" s="194"/>
    </row>
    <row r="50" spans="1:63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SUM(PORTEFEUILLE_GUILLAUME[[#This Row],[PCR COMPTABLE €]:[MONTANT
RESPONSABLE RELATION CLIENT €]])-PORTEFEUILLE_GUILLAUME[[#This Row],[MONTANT TOTAL LETTRE DE MISION €]]</f>
        <v>0</v>
      </c>
      <c r="AI50" s="191"/>
      <c r="AJ50" s="188"/>
      <c r="AK50" s="188"/>
      <c r="AL50" s="188"/>
      <c r="AM50" s="191"/>
      <c r="AN50" s="196"/>
      <c r="AO50" s="196"/>
      <c r="AP50" s="196"/>
      <c r="AQ50" s="196"/>
      <c r="AR5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0" s="188" t="str">
        <f>IF(PORTEFEUILLE_GUILLAUME[[#This Row],[BONI AAC]]&lt;&gt;0,1,"")</f>
        <v/>
      </c>
      <c r="AU50" s="188" t="str">
        <f>IF(PORTEFEUILLE_GUILLAUME[[#This Row],[MALI AAC]]&lt;&gt;0,1,"")</f>
        <v/>
      </c>
      <c r="AV50" s="225">
        <f>IF(AP50&lt;&gt;"",IF((AP50*Paramètres!$H$4)-PORTEFEUILLE_GUILLAUME[[#This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€]]-(DELPHINE!AP49*Paramètres!$H$4),0),0)</f>
        <v>0</v>
      </c>
      <c r="AW50" s="225">
        <f>IF(AP50&lt;&gt;"",IF(((AP50*Paramètres!$H$4)-PORTEFEUILLE_GUILLAUME[[#This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0" s="190" t="str">
        <f>IF(PORTEFEUILLE_GUILLAUME[[#This Row],[BONI COMPTABLE]]&lt;&gt;0,1,"")</f>
        <v/>
      </c>
      <c r="AY50" s="190" t="str">
        <f>IF(PORTEFEUILLE_GUILLAUME[[#This Row],[MALI COMPTABLE]]&lt;&gt;0,1,"")</f>
        <v/>
      </c>
      <c r="AZ50" s="196"/>
      <c r="BA50" s="188"/>
      <c r="BB50" s="188"/>
      <c r="BC50" s="188"/>
      <c r="BD50" s="196"/>
      <c r="BE50" s="196"/>
      <c r="BF50" s="196"/>
      <c r="BG50" s="192"/>
      <c r="BH50" s="194"/>
      <c r="BI50" s="194"/>
      <c r="BJ50" s="195"/>
      <c r="BK50" s="194"/>
    </row>
    <row r="51" spans="1:63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SUM(PORTEFEUILLE_GUILLAUME[[#This Row],[PCR COMPTABLE €]:[MONTANT
RESPONSABLE RELATION CLIENT €]])-PORTEFEUILLE_GUILLAUME[[#This Row],[MONTANT TOTAL LETTRE DE MISION €]]</f>
        <v>0</v>
      </c>
      <c r="AI51" s="191"/>
      <c r="AJ51" s="188"/>
      <c r="AK51" s="188"/>
      <c r="AL51" s="188"/>
      <c r="AM51" s="191"/>
      <c r="AN51" s="196"/>
      <c r="AO51" s="196"/>
      <c r="AP51" s="196"/>
      <c r="AQ51" s="196"/>
      <c r="AR5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1" s="188" t="str">
        <f>IF(PORTEFEUILLE_GUILLAUME[[#This Row],[BONI AAC]]&lt;&gt;0,1,"")</f>
        <v/>
      </c>
      <c r="AU51" s="188" t="str">
        <f>IF(PORTEFEUILLE_GUILLAUME[[#This Row],[MALI AAC]]&lt;&gt;0,1,"")</f>
        <v/>
      </c>
      <c r="AV51" s="225">
        <f>IF(AP51&lt;&gt;"",IF((AP51*Paramètres!$H$4)-PORTEFEUILLE_GUILLAUME[[#This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€]]-(DELPHINE!AP50*Paramètres!$H$4),0),0)</f>
        <v>0</v>
      </c>
      <c r="AW51" s="225">
        <f>IF(AP51&lt;&gt;"",IF(((AP51*Paramètres!$H$4)-PORTEFEUILLE_GUILLAUME[[#This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1" s="190" t="str">
        <f>IF(PORTEFEUILLE_GUILLAUME[[#This Row],[BONI COMPTABLE]]&lt;&gt;0,1,"")</f>
        <v/>
      </c>
      <c r="AY51" s="190" t="str">
        <f>IF(PORTEFEUILLE_GUILLAUME[[#This Row],[MALI COMPTABLE]]&lt;&gt;0,1,"")</f>
        <v/>
      </c>
      <c r="AZ51" s="196"/>
      <c r="BA51" s="188"/>
      <c r="BB51" s="188"/>
      <c r="BC51" s="188"/>
      <c r="BD51" s="196"/>
      <c r="BE51" s="196"/>
      <c r="BF51" s="196"/>
      <c r="BG51" s="192"/>
      <c r="BH51" s="194"/>
      <c r="BI51" s="194"/>
      <c r="BJ51" s="195"/>
      <c r="BK51" s="194"/>
    </row>
    <row r="52" spans="1:63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SUM(PORTEFEUILLE_GUILLAUME[[#This Row],[PCR COMPTABLE €]:[MONTANT
RESPONSABLE RELATION CLIENT €]])-PORTEFEUILLE_GUILLAUME[[#This Row],[MONTANT TOTAL LETTRE DE MISION €]]</f>
        <v>0</v>
      </c>
      <c r="AI52" s="191"/>
      <c r="AJ52" s="188"/>
      <c r="AK52" s="188"/>
      <c r="AL52" s="188"/>
      <c r="AM52" s="191"/>
      <c r="AN52" s="196"/>
      <c r="AO52" s="196"/>
      <c r="AP52" s="196"/>
      <c r="AQ52" s="196"/>
      <c r="AR5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2" s="188" t="str">
        <f>IF(PORTEFEUILLE_GUILLAUME[[#This Row],[BONI AAC]]&lt;&gt;0,1,"")</f>
        <v/>
      </c>
      <c r="AU52" s="188" t="str">
        <f>IF(PORTEFEUILLE_GUILLAUME[[#This Row],[MALI AAC]]&lt;&gt;0,1,"")</f>
        <v/>
      </c>
      <c r="AV52" s="225">
        <f>IF(AP52&lt;&gt;"",IF((AP52*Paramètres!$H$4)-PORTEFEUILLE_GUILLAUME[[#This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€]]-(DELPHINE!AP51*Paramètres!$H$4),0),0)</f>
        <v>0</v>
      </c>
      <c r="AW52" s="225">
        <f>IF(AP52&lt;&gt;"",IF(((AP52*Paramètres!$H$4)-PORTEFEUILLE_GUILLAUME[[#This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2" s="190" t="str">
        <f>IF(PORTEFEUILLE_GUILLAUME[[#This Row],[BONI COMPTABLE]]&lt;&gt;0,1,"")</f>
        <v/>
      </c>
      <c r="AY52" s="190" t="str">
        <f>IF(PORTEFEUILLE_GUILLAUME[[#This Row],[MALI COMPTABLE]]&lt;&gt;0,1,"")</f>
        <v/>
      </c>
      <c r="AZ52" s="196"/>
      <c r="BA52" s="188"/>
      <c r="BB52" s="188"/>
      <c r="BC52" s="188"/>
      <c r="BD52" s="196"/>
      <c r="BE52" s="196"/>
      <c r="BF52" s="196"/>
      <c r="BG52" s="192"/>
      <c r="BH52" s="194"/>
      <c r="BI52" s="194"/>
      <c r="BJ52" s="195"/>
      <c r="BK52" s="194"/>
    </row>
    <row r="53" spans="1:63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SUM(PORTEFEUILLE_GUILLAUME[[#This Row],[PCR COMPTABLE €]:[MONTANT
RESPONSABLE RELATION CLIENT €]])-PORTEFEUILLE_GUILLAUME[[#This Row],[MONTANT TOTAL LETTRE DE MISION €]]</f>
        <v>0</v>
      </c>
      <c r="AI53" s="191"/>
      <c r="AJ53" s="188"/>
      <c r="AK53" s="201"/>
      <c r="AL53" s="201"/>
      <c r="AM53" s="246"/>
      <c r="AN53" s="202"/>
      <c r="AO53" s="202"/>
      <c r="AP53" s="202"/>
      <c r="AQ53" s="202"/>
      <c r="AR5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3" s="188" t="str">
        <f>IF(PORTEFEUILLE_GUILLAUME[[#This Row],[BONI AAC]]&lt;&gt;0,1,"")</f>
        <v/>
      </c>
      <c r="AU53" s="188" t="str">
        <f>IF(PORTEFEUILLE_GUILLAUME[[#This Row],[MALI AAC]]&lt;&gt;0,1,"")</f>
        <v/>
      </c>
      <c r="AV53" s="225">
        <f>IF(AP53&lt;&gt;"",IF((AP53*Paramètres!$H$4)-PORTEFEUILLE_GUILLAUME[[#This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€]]-(DELPHINE!AP52*Paramètres!$H$4),0),0)</f>
        <v>0</v>
      </c>
      <c r="AW53" s="225">
        <f>IF(AP53&lt;&gt;"",IF(((AP53*Paramètres!$H$4)-PORTEFEUILLE_GUILLAUME[[#This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3" s="190" t="str">
        <f>IF(PORTEFEUILLE_GUILLAUME[[#This Row],[BONI COMPTABLE]]&lt;&gt;0,1,"")</f>
        <v/>
      </c>
      <c r="AY53" s="190" t="str">
        <f>IF(PORTEFEUILLE_GUILLAUME[[#This Row],[MALI COMPTABLE]]&lt;&gt;0,1,"")</f>
        <v/>
      </c>
      <c r="AZ53" s="202"/>
      <c r="BA53" s="188"/>
      <c r="BB53" s="188"/>
      <c r="BC53" s="188"/>
      <c r="BD53" s="202"/>
      <c r="BE53" s="202"/>
      <c r="BF53" s="202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SUM(PORTEFEUILLE_GUILLAUME[[#This Row],[PCR COMPTABLE €]:[MONTANT
RESPONSABLE RELATION CLIENT €]])-PORTEFEUILLE_GUILLAUME[[#This Row],[MONTANT TOTAL LETTRE DE MISION €]]</f>
        <v>0</v>
      </c>
      <c r="AI54" s="191"/>
      <c r="AJ54" s="188"/>
      <c r="AK54" s="188"/>
      <c r="AL54" s="188"/>
      <c r="AM54" s="191"/>
      <c r="AN54" s="194"/>
      <c r="AO54" s="194"/>
      <c r="AP54" s="194"/>
      <c r="AQ54" s="194"/>
      <c r="AR5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4" s="188" t="str">
        <f>IF(PORTEFEUILLE_GUILLAUME[[#This Row],[BONI AAC]]&lt;&gt;0,1,"")</f>
        <v/>
      </c>
      <c r="AU54" s="188" t="str">
        <f>IF(PORTEFEUILLE_GUILLAUME[[#This Row],[MALI AAC]]&lt;&gt;0,1,"")</f>
        <v/>
      </c>
      <c r="AV54" s="225">
        <f>IF(AP54&lt;&gt;"",IF((AP54*Paramètres!$H$4)-PORTEFEUILLE_GUILLAUME[[#This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€]]-(DELPHINE!AP53*Paramètres!$H$4),0),0)</f>
        <v>0</v>
      </c>
      <c r="AW54" s="225">
        <f>IF(AP54&lt;&gt;"",IF(((AP54*Paramètres!$H$4)-PORTEFEUILLE_GUILLAUME[[#This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4" s="190" t="str">
        <f>IF(PORTEFEUILLE_GUILLAUME[[#This Row],[BONI COMPTABLE]]&lt;&gt;0,1,"")</f>
        <v/>
      </c>
      <c r="AY54" s="190" t="str">
        <f>IF(PORTEFEUILLE_GUILLAUME[[#This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SUM(PORTEFEUILLE_GUILLAUME[[#This Row],[PCR COMPTABLE €]:[MONTANT
RESPONSABLE RELATION CLIENT €]])-PORTEFEUILLE_GUILLAUME[[#This Row],[MONTANT TOTAL LETTRE DE MISION €]]</f>
        <v>0</v>
      </c>
      <c r="AI55" s="191"/>
      <c r="AJ55" s="188"/>
      <c r="AK55" s="188"/>
      <c r="AL55" s="188"/>
      <c r="AM55" s="191"/>
      <c r="AN55" s="194"/>
      <c r="AO55" s="194"/>
      <c r="AP55" s="194"/>
      <c r="AQ55" s="194"/>
      <c r="AR5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5" s="188" t="str">
        <f>IF(PORTEFEUILLE_GUILLAUME[[#This Row],[BONI AAC]]&lt;&gt;0,1,"")</f>
        <v/>
      </c>
      <c r="AU55" s="188" t="str">
        <f>IF(PORTEFEUILLE_GUILLAUME[[#This Row],[MALI AAC]]&lt;&gt;0,1,"")</f>
        <v/>
      </c>
      <c r="AV55" s="225">
        <f>IF(AP55&lt;&gt;"",IF((AP55*Paramètres!$H$4)-PORTEFEUILLE_GUILLAUME[[#This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€]]-(DELPHINE!AP54*Paramètres!$H$4),0),0)</f>
        <v>0</v>
      </c>
      <c r="AW55" s="225">
        <f>IF(AP55&lt;&gt;"",IF(((AP55*Paramètres!$H$4)-PORTEFEUILLE_GUILLAUME[[#This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5" s="190" t="str">
        <f>IF(PORTEFEUILLE_GUILLAUME[[#This Row],[BONI COMPTABLE]]&lt;&gt;0,1,"")</f>
        <v/>
      </c>
      <c r="AY55" s="190" t="str">
        <f>IF(PORTEFEUILLE_GUILLAUME[[#This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SUM(PORTEFEUILLE_GUILLAUME[[#This Row],[PCR COMPTABLE €]:[MONTANT
RESPONSABLE RELATION CLIENT €]])-PORTEFEUILLE_GUILLAUME[[#This Row],[MONTANT TOTAL LETTRE DE MISION €]]</f>
        <v>0</v>
      </c>
      <c r="AI56" s="191"/>
      <c r="AJ56" s="188"/>
      <c r="AK56" s="188"/>
      <c r="AL56" s="188"/>
      <c r="AM56" s="191"/>
      <c r="AN56" s="194"/>
      <c r="AO56" s="194"/>
      <c r="AP56" s="194"/>
      <c r="AQ56" s="194"/>
      <c r="AR5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6" s="188" t="str">
        <f>IF(PORTEFEUILLE_GUILLAUME[[#This Row],[BONI AAC]]&lt;&gt;0,1,"")</f>
        <v/>
      </c>
      <c r="AU56" s="188" t="str">
        <f>IF(PORTEFEUILLE_GUILLAUME[[#This Row],[MALI AAC]]&lt;&gt;0,1,"")</f>
        <v/>
      </c>
      <c r="AV56" s="225">
        <f>IF(AP56&lt;&gt;"",IF((AP56*Paramètres!$H$4)-PORTEFEUILLE_GUILLAUME[[#This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€]]-(DELPHINE!AP55*Paramètres!$H$4),0),0)</f>
        <v>0</v>
      </c>
      <c r="AW56" s="225">
        <f>IF(AP56&lt;&gt;"",IF(((AP56*Paramètres!$H$4)-PORTEFEUILLE_GUILLAUME[[#This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6" s="190" t="str">
        <f>IF(PORTEFEUILLE_GUILLAUME[[#This Row],[BONI COMPTABLE]]&lt;&gt;0,1,"")</f>
        <v/>
      </c>
      <c r="AY56" s="190" t="str">
        <f>IF(PORTEFEUILLE_GUILLAUME[[#This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SUM(PORTEFEUILLE_GUILLAUME[[#This Row],[PCR COMPTABLE €]:[MONTANT
RESPONSABLE RELATION CLIENT €]])-PORTEFEUILLE_GUILLAUME[[#This Row],[MONTANT TOTAL LETTRE DE MISION €]]</f>
        <v>0</v>
      </c>
      <c r="AI57" s="191"/>
      <c r="AJ57" s="188"/>
      <c r="AK57" s="188"/>
      <c r="AL57" s="188"/>
      <c r="AM57" s="191"/>
      <c r="AN57" s="194"/>
      <c r="AO57" s="194"/>
      <c r="AP57" s="194"/>
      <c r="AQ57" s="194"/>
      <c r="AR5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7" s="188" t="str">
        <f>IF(PORTEFEUILLE_GUILLAUME[[#This Row],[BONI AAC]]&lt;&gt;0,1,"")</f>
        <v/>
      </c>
      <c r="AU57" s="188" t="str">
        <f>IF(PORTEFEUILLE_GUILLAUME[[#This Row],[MALI AAC]]&lt;&gt;0,1,"")</f>
        <v/>
      </c>
      <c r="AV57" s="225">
        <f>IF(AP57&lt;&gt;"",IF((AP57*Paramètres!$H$4)-PORTEFEUILLE_GUILLAUME[[#This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€]]-(DELPHINE!AP56*Paramètres!$H$4),0),0)</f>
        <v>0</v>
      </c>
      <c r="AW57" s="225">
        <f>IF(AP57&lt;&gt;"",IF(((AP57*Paramètres!$H$4)-PORTEFEUILLE_GUILLAUME[[#This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7" s="190" t="str">
        <f>IF(PORTEFEUILLE_GUILLAUME[[#This Row],[BONI COMPTABLE]]&lt;&gt;0,1,"")</f>
        <v/>
      </c>
      <c r="AY57" s="190" t="str">
        <f>IF(PORTEFEUILLE_GUILLAUME[[#This Row],[MALI COMPTABLE]]&lt;&gt;0,1,"")</f>
        <v/>
      </c>
      <c r="AZ57" s="194"/>
      <c r="BA57" s="188"/>
      <c r="BB57" s="188"/>
      <c r="BC57" s="188"/>
      <c r="BD57" s="194"/>
      <c r="BE57" s="194"/>
      <c r="BF57" s="194"/>
      <c r="BG57" s="192"/>
      <c r="BH57" s="194"/>
      <c r="BI57" s="194"/>
      <c r="BJ57" s="195"/>
      <c r="BK57" s="194"/>
    </row>
    <row r="58" spans="1:63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SUM(PORTEFEUILLE_GUILLAUME[[#This Row],[PCR COMPTABLE €]:[MONTANT
RESPONSABLE RELATION CLIENT €]])-PORTEFEUILLE_GUILLAUME[[#This Row],[MONTANT TOTAL LETTRE DE MISION €]]</f>
        <v>0</v>
      </c>
      <c r="AI58" s="191"/>
      <c r="AJ58" s="188"/>
      <c r="AK58" s="188"/>
      <c r="AL58" s="188"/>
      <c r="AM58" s="191"/>
      <c r="AN58" s="194"/>
      <c r="AO58" s="194"/>
      <c r="AP58" s="194"/>
      <c r="AQ58" s="194"/>
      <c r="AR5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8" s="188" t="str">
        <f>IF(PORTEFEUILLE_GUILLAUME[[#This Row],[BONI AAC]]&lt;&gt;0,1,"")</f>
        <v/>
      </c>
      <c r="AU58" s="188" t="str">
        <f>IF(PORTEFEUILLE_GUILLAUME[[#This Row],[MALI AAC]]&lt;&gt;0,1,"")</f>
        <v/>
      </c>
      <c r="AV58" s="225">
        <f>IF(AP58&lt;&gt;"",IF((AP58*Paramètres!$H$4)-PORTEFEUILLE_GUILLAUME[[#This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€]]-(DELPHINE!AP57*Paramètres!$H$4),0),0)</f>
        <v>0</v>
      </c>
      <c r="AW58" s="225">
        <f>IF(AP58&lt;&gt;"",IF(((AP58*Paramètres!$H$4)-PORTEFEUILLE_GUILLAUME[[#This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8" s="190" t="str">
        <f>IF(PORTEFEUILLE_GUILLAUME[[#This Row],[BONI COMPTABLE]]&lt;&gt;0,1,"")</f>
        <v/>
      </c>
      <c r="AY58" s="190" t="str">
        <f>IF(PORTEFEUILLE_GUILLAUME[[#This Row],[MALI COMPTABLE]]&lt;&gt;0,1,"")</f>
        <v/>
      </c>
      <c r="AZ58" s="194"/>
      <c r="BA58" s="188"/>
      <c r="BB58" s="188"/>
      <c r="BC58" s="188"/>
      <c r="BD58" s="194"/>
      <c r="BE58" s="194"/>
      <c r="BF58" s="194"/>
      <c r="BG58" s="192"/>
      <c r="BH58" s="194"/>
      <c r="BI58" s="194"/>
      <c r="BJ58" s="195"/>
      <c r="BK58" s="194"/>
    </row>
    <row r="59" spans="1:63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SUM(PORTEFEUILLE_GUILLAUME[[#This Row],[PCR COMPTABLE €]:[MONTANT
RESPONSABLE RELATION CLIENT €]])-PORTEFEUILLE_GUILLAUME[[#This Row],[MONTANT TOTAL LETTRE DE MISION €]]</f>
        <v>0</v>
      </c>
      <c r="AI59" s="191"/>
      <c r="AJ59" s="188"/>
      <c r="AK59" s="188"/>
      <c r="AL59" s="188"/>
      <c r="AM59" s="191"/>
      <c r="AN59" s="194"/>
      <c r="AO59" s="194"/>
      <c r="AP59" s="194"/>
      <c r="AQ59" s="194"/>
      <c r="AR5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5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59" s="188" t="str">
        <f>IF(PORTEFEUILLE_GUILLAUME[[#This Row],[BONI AAC]]&lt;&gt;0,1,"")</f>
        <v/>
      </c>
      <c r="AU59" s="188" t="str">
        <f>IF(PORTEFEUILLE_GUILLAUME[[#This Row],[MALI AAC]]&lt;&gt;0,1,"")</f>
        <v/>
      </c>
      <c r="AV59" s="225">
        <f>IF(AP59&lt;&gt;"",IF((AP59*Paramètres!$H$4)-PORTEFEUILLE_GUILLAUME[[#This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€]]-(DELPHINE!AP58*Paramètres!$H$4),0),0)</f>
        <v>0</v>
      </c>
      <c r="AW59" s="225">
        <f>IF(AP59&lt;&gt;"",IF(((AP59*Paramètres!$H$4)-PORTEFEUILLE_GUILLAUME[[#This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59" s="190" t="str">
        <f>IF(PORTEFEUILLE_GUILLAUME[[#This Row],[BONI COMPTABLE]]&lt;&gt;0,1,"")</f>
        <v/>
      </c>
      <c r="AY59" s="190" t="str">
        <f>IF(PORTEFEUILLE_GUILLAUME[[#This Row],[MALI COMPTABLE]]&lt;&gt;0,1,"")</f>
        <v/>
      </c>
      <c r="AZ59" s="194"/>
      <c r="BA59" s="188"/>
      <c r="BB59" s="188"/>
      <c r="BC59" s="188"/>
      <c r="BD59" s="194"/>
      <c r="BE59" s="194"/>
      <c r="BF59" s="194"/>
      <c r="BG59" s="192"/>
      <c r="BH59" s="194"/>
      <c r="BI59" s="194"/>
      <c r="BJ59" s="195"/>
      <c r="BK59" s="194"/>
    </row>
    <row r="60" spans="1:63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SUM(PORTEFEUILLE_GUILLAUME[[#This Row],[PCR COMPTABLE €]:[MONTANT
RESPONSABLE RELATION CLIENT €]])-PORTEFEUILLE_GUILLAUME[[#This Row],[MONTANT TOTAL LETTRE DE MISION €]]</f>
        <v>0</v>
      </c>
      <c r="AI60" s="191"/>
      <c r="AJ60" s="188"/>
      <c r="AK60" s="201"/>
      <c r="AL60" s="201"/>
      <c r="AM60" s="246"/>
      <c r="AN60" s="205"/>
      <c r="AO60" s="205"/>
      <c r="AP60" s="205"/>
      <c r="AQ60" s="205"/>
      <c r="AR6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S6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T60" s="188" t="str">
        <f>IF(PORTEFEUILLE_GUILLAUME[[#This Row],[BONI AAC]]&lt;&gt;0,1,"")</f>
        <v/>
      </c>
      <c r="AU60" s="188" t="str">
        <f>IF(PORTEFEUILLE_GUILLAUME[[#This Row],[MALI AAC]]&lt;&gt;0,1,"")</f>
        <v/>
      </c>
      <c r="AV60" s="225">
        <f>IF(AP60&lt;&gt;"",IF((AP60*Paramètres!$H$4)-PORTEFEUILLE_GUILLAUME[[#This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€]]-(DELPHINE!AP59*Paramètres!$H$4),0),0)</f>
        <v>0</v>
      </c>
      <c r="AW60" s="225">
        <f>IF(AP60&lt;&gt;"",IF(((AP60*Paramètres!$H$4)-PORTEFEUILLE_GUILLAUME[[#This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€]])&gt;0,(AP60*Paramètres!$H$4)-PORTEFEUILLE_GUILLAUME[[#This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X60" s="190" t="str">
        <f>IF(PORTEFEUILLE_GUILLAUME[[#This Row],[BONI COMPTABLE]]&lt;&gt;0,1,"")</f>
        <v/>
      </c>
      <c r="AY60" s="190" t="str">
        <f>IF(PORTEFEUILLE_GUILLAUME[[#This Row],[MALI COMPTABLE]]&lt;&gt;0,1,"")</f>
        <v/>
      </c>
      <c r="AZ60" s="205"/>
      <c r="BA60" s="188"/>
      <c r="BB60" s="188"/>
      <c r="BC60" s="188"/>
      <c r="BD60" s="205"/>
      <c r="BE60" s="205"/>
      <c r="BF60" s="205"/>
      <c r="BG60" s="192"/>
      <c r="BH60" s="205"/>
      <c r="BI60" s="205"/>
      <c r="BJ60" s="206"/>
      <c r="BK60" s="205"/>
    </row>
    <row r="63" spans="1:63" x14ac:dyDescent="0.25">
      <c r="B63" s="89" t="s">
        <v>120</v>
      </c>
    </row>
    <row r="65" spans="2:52" x14ac:dyDescent="0.25">
      <c r="B65" s="279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80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280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81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275" t="s">
        <v>123</v>
      </c>
      <c r="C69" s="275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2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80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280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81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275" t="s">
        <v>123</v>
      </c>
      <c r="C75" s="275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2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80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B79" s="280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281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B81" s="275" t="s">
        <v>123</v>
      </c>
      <c r="C81" s="275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6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277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7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277" t="s">
        <v>123</v>
      </c>
      <c r="C88" s="277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8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277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COUNTIFS($I$3:$I$60,"&lt;&gt;",$BB$3:$BB$60,"X",$E$3:$E$60,DATE(Paramètres!A4,Paramètres!D15,Paramètres!C15),$F$3:$F$60,"EARL")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277" t="s">
        <v>123</v>
      </c>
      <c r="C94" s="277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B98" s="277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277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B100" s="277" t="s">
        <v>123</v>
      </c>
      <c r="C100" s="277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79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80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280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81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275" t="s">
        <v>123</v>
      </c>
      <c r="C108" s="275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2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80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280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81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275" t="s">
        <v>123</v>
      </c>
      <c r="C114" s="275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2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80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B118" s="280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B119" s="281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B120" s="275" t="s">
        <v>123</v>
      </c>
      <c r="C120" s="275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  <row r="181" spans="21:52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  <c r="AZ181" s="164"/>
    </row>
    <row r="182" spans="21:52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</row>
    <row r="183" spans="21:52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  <c r="AY183" s="164"/>
      <c r="AZ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215" priority="2">
      <formula>AND(P3&lt;&gt;"",P3&lt;&gt;"OUI")</formula>
    </cfRule>
  </conditionalFormatting>
  <conditionalFormatting sqref="AN3:AO60 S3:AH60">
    <cfRule type="expression" dxfId="214" priority="1" stopIfTrue="1">
      <formula>$AH3&lt;&gt;0</formula>
    </cfRule>
  </conditionalFormatting>
  <conditionalFormatting sqref="A3:E60">
    <cfRule type="expression" dxfId="213" priority="3" stopIfTrue="1">
      <formula>AND($I3&lt;&gt;"",AND($J3="",AND($BA3="",$BB3="")))</formula>
    </cfRule>
    <cfRule type="expression" dxfId="212" priority="4" stopIfTrue="1">
      <formula>AND($J3&lt;&gt;"",AND($BA3="",$BB3=""))</formula>
    </cfRule>
    <cfRule type="expression" dxfId="211" priority="5" stopIfTrue="1">
      <formula>AND($BA3&lt;&gt;"",$BB3="")</formula>
    </cfRule>
    <cfRule type="expression" dxfId="210" priority="6" stopIfTrue="1">
      <formula>$BB3="X"</formula>
    </cfRule>
  </conditionalFormatting>
  <dataValidations count="12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I3:BK60">
      <formula1>"OUI,NON,N/C"</formula1>
    </dataValidation>
    <dataValidation type="list" allowBlank="1" showInputMessage="1" showErrorMessage="1" sqref="AN3:AN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BA3:BC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O3:AO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Y3:JY60 TU3:TU60 ADQ3:ADQ60 ANM3:ANM60 AXI3:AXI60 BHE3:BHE60 BRA3:BRA60 CAW3:CAW60 CKS3:CKS60 CUO3:CUO60 DEK3:DEK60 DOG3:DOG60 DYC3:DYC60 EHY3:EHY60 ERU3:ERU60 FBQ3:FBQ60 FLM3:FLM60 FVI3:FVI60 GFE3:GFE60 GPA3:GPA60 GYW3:GYW60 HIS3:HIS60 HSO3:HSO60 ICK3:ICK60 IMG3:IMG60 IWC3:IWC60 JFY3:JFY60 JPU3:JPU60 JZQ3:JZQ60 KJM3:KJM60 KTI3:KTI60 LDE3:LDE60 LNA3:LNA60 LWW3:LWW60 MGS3:MGS60 MQO3:MQO60 NAK3:NAK60 NKG3:NKG60 NUC3:NUC60 ODY3:ODY60 ONU3:ONU60 OXQ3:OXQ60 PHM3:PHM60 PRI3:PRI60 QBE3:QBE60 QLA3:QLA60 QUW3:QUW60 RES3:RES60 ROO3:ROO60 RYK3:RYK60 SIG3:SIG60 SSC3:SSC60 TBY3:TBY60 TLU3:TLU60 TVQ3:TVQ60 UFM3:UFM60 UPI3:UPI60 UZE3:UZE60 VJA3:VJA60 VSW3:VSW60 WCS3:WCS60 WMO3:WMO60 WWK3:WWK60 G65539:G65596 JX65539:JX65596 TT65539:TT65596 ADP65539:ADP65596 ANL65539:ANL65596 AXH65539:AXH65596 BHD65539:BHD65596 BQZ65539:BQZ65596 CAV65539:CAV65596 CKR65539:CKR65596 CUN65539:CUN65596 DEJ65539:DEJ65596 DOF65539:DOF65596 DYB65539:DYB65596 EHX65539:EHX65596 ERT65539:ERT65596 FBP65539:FBP65596 FLL65539:FLL65596 FVH65539:FVH65596 GFD65539:GFD65596 GOZ65539:GOZ65596 GYV65539:GYV65596 HIR65539:HIR65596 HSN65539:HSN65596 ICJ65539:ICJ65596 IMF65539:IMF65596 IWB65539:IWB65596 JFX65539:JFX65596 JPT65539:JPT65596 JZP65539:JZP65596 KJL65539:KJL65596 KTH65539:KTH65596 LDD65539:LDD65596 LMZ65539:LMZ65596 LWV65539:LWV65596 MGR65539:MGR65596 MQN65539:MQN65596 NAJ65539:NAJ65596 NKF65539:NKF65596 NUB65539:NUB65596 ODX65539:ODX65596 ONT65539:ONT65596 OXP65539:OXP65596 PHL65539:PHL65596 PRH65539:PRH65596 QBD65539:QBD65596 QKZ65539:QKZ65596 QUV65539:QUV65596 RER65539:RER65596 RON65539:RON65596 RYJ65539:RYJ65596 SIF65539:SIF65596 SSB65539:SSB65596 TBX65539:TBX65596 TLT65539:TLT65596 TVP65539:TVP65596 UFL65539:UFL65596 UPH65539:UPH65596 UZD65539:UZD65596 VIZ65539:VIZ65596 VSV65539:VSV65596 WCR65539:WCR65596 WMN65539:WMN65596 WWJ65539:WWJ65596 G131075:G131132 JX131075:JX131132 TT131075:TT131132 ADP131075:ADP131132 ANL131075:ANL131132 AXH131075:AXH131132 BHD131075:BHD131132 BQZ131075:BQZ131132 CAV131075:CAV131132 CKR131075:CKR131132 CUN131075:CUN131132 DEJ131075:DEJ131132 DOF131075:DOF131132 DYB131075:DYB131132 EHX131075:EHX131132 ERT131075:ERT131132 FBP131075:FBP131132 FLL131075:FLL131132 FVH131075:FVH131132 GFD131075:GFD131132 GOZ131075:GOZ131132 GYV131075:GYV131132 HIR131075:HIR131132 HSN131075:HSN131132 ICJ131075:ICJ131132 IMF131075:IMF131132 IWB131075:IWB131132 JFX131075:JFX131132 JPT131075:JPT131132 JZP131075:JZP131132 KJL131075:KJL131132 KTH131075:KTH131132 LDD131075:LDD131132 LMZ131075:LMZ131132 LWV131075:LWV131132 MGR131075:MGR131132 MQN131075:MQN131132 NAJ131075:NAJ131132 NKF131075:NKF131132 NUB131075:NUB131132 ODX131075:ODX131132 ONT131075:ONT131132 OXP131075:OXP131132 PHL131075:PHL131132 PRH131075:PRH131132 QBD131075:QBD131132 QKZ131075:QKZ131132 QUV131075:QUV131132 RER131075:RER131132 RON131075:RON131132 RYJ131075:RYJ131132 SIF131075:SIF131132 SSB131075:SSB131132 TBX131075:TBX131132 TLT131075:TLT131132 TVP131075:TVP131132 UFL131075:UFL131132 UPH131075:UPH131132 UZD131075:UZD131132 VIZ131075:VIZ131132 VSV131075:VSV131132 WCR131075:WCR131132 WMN131075:WMN131132 WWJ131075:WWJ131132 G196611:G196668 JX196611:JX196668 TT196611:TT196668 ADP196611:ADP196668 ANL196611:ANL196668 AXH196611:AXH196668 BHD196611:BHD196668 BQZ196611:BQZ196668 CAV196611:CAV196668 CKR196611:CKR196668 CUN196611:CUN196668 DEJ196611:DEJ196668 DOF196611:DOF196668 DYB196611:DYB196668 EHX196611:EHX196668 ERT196611:ERT196668 FBP196611:FBP196668 FLL196611:FLL196668 FVH196611:FVH196668 GFD196611:GFD196668 GOZ196611:GOZ196668 GYV196611:GYV196668 HIR196611:HIR196668 HSN196611:HSN196668 ICJ196611:ICJ196668 IMF196611:IMF196668 IWB196611:IWB196668 JFX196611:JFX196668 JPT196611:JPT196668 JZP196611:JZP196668 KJL196611:KJL196668 KTH196611:KTH196668 LDD196611:LDD196668 LMZ196611:LMZ196668 LWV196611:LWV196668 MGR196611:MGR196668 MQN196611:MQN196668 NAJ196611:NAJ196668 NKF196611:NKF196668 NUB196611:NUB196668 ODX196611:ODX196668 ONT196611:ONT196668 OXP196611:OXP196668 PHL196611:PHL196668 PRH196611:PRH196668 QBD196611:QBD196668 QKZ196611:QKZ196668 QUV196611:QUV196668 RER196611:RER196668 RON196611:RON196668 RYJ196611:RYJ196668 SIF196611:SIF196668 SSB196611:SSB196668 TBX196611:TBX196668 TLT196611:TLT196668 TVP196611:TVP196668 UFL196611:UFL196668 UPH196611:UPH196668 UZD196611:UZD196668 VIZ196611:VIZ196668 VSV196611:VSV196668 WCR196611:WCR196668 WMN196611:WMN196668 WWJ196611:WWJ196668 G262147:G262204 JX262147:JX262204 TT262147:TT262204 ADP262147:ADP262204 ANL262147:ANL262204 AXH262147:AXH262204 BHD262147:BHD262204 BQZ262147:BQZ262204 CAV262147:CAV262204 CKR262147:CKR262204 CUN262147:CUN262204 DEJ262147:DEJ262204 DOF262147:DOF262204 DYB262147:DYB262204 EHX262147:EHX262204 ERT262147:ERT262204 FBP262147:FBP262204 FLL262147:FLL262204 FVH262147:FVH262204 GFD262147:GFD262204 GOZ262147:GOZ262204 GYV262147:GYV262204 HIR262147:HIR262204 HSN262147:HSN262204 ICJ262147:ICJ262204 IMF262147:IMF262204 IWB262147:IWB262204 JFX262147:JFX262204 JPT262147:JPT262204 JZP262147:JZP262204 KJL262147:KJL262204 KTH262147:KTH262204 LDD262147:LDD262204 LMZ262147:LMZ262204 LWV262147:LWV262204 MGR262147:MGR262204 MQN262147:MQN262204 NAJ262147:NAJ262204 NKF262147:NKF262204 NUB262147:NUB262204 ODX262147:ODX262204 ONT262147:ONT262204 OXP262147:OXP262204 PHL262147:PHL262204 PRH262147:PRH262204 QBD262147:QBD262204 QKZ262147:QKZ262204 QUV262147:QUV262204 RER262147:RER262204 RON262147:RON262204 RYJ262147:RYJ262204 SIF262147:SIF262204 SSB262147:SSB262204 TBX262147:TBX262204 TLT262147:TLT262204 TVP262147:TVP262204 UFL262147:UFL262204 UPH262147:UPH262204 UZD262147:UZD262204 VIZ262147:VIZ262204 VSV262147:VSV262204 WCR262147:WCR262204 WMN262147:WMN262204 WWJ262147:WWJ262204 G327683:G327740 JX327683:JX327740 TT327683:TT327740 ADP327683:ADP327740 ANL327683:ANL327740 AXH327683:AXH327740 BHD327683:BHD327740 BQZ327683:BQZ327740 CAV327683:CAV327740 CKR327683:CKR327740 CUN327683:CUN327740 DEJ327683:DEJ327740 DOF327683:DOF327740 DYB327683:DYB327740 EHX327683:EHX327740 ERT327683:ERT327740 FBP327683:FBP327740 FLL327683:FLL327740 FVH327683:FVH327740 GFD327683:GFD327740 GOZ327683:GOZ327740 GYV327683:GYV327740 HIR327683:HIR327740 HSN327683:HSN327740 ICJ327683:ICJ327740 IMF327683:IMF327740 IWB327683:IWB327740 JFX327683:JFX327740 JPT327683:JPT327740 JZP327683:JZP327740 KJL327683:KJL327740 KTH327683:KTH327740 LDD327683:LDD327740 LMZ327683:LMZ327740 LWV327683:LWV327740 MGR327683:MGR327740 MQN327683:MQN327740 NAJ327683:NAJ327740 NKF327683:NKF327740 NUB327683:NUB327740 ODX327683:ODX327740 ONT327683:ONT327740 OXP327683:OXP327740 PHL327683:PHL327740 PRH327683:PRH327740 QBD327683:QBD327740 QKZ327683:QKZ327740 QUV327683:QUV327740 RER327683:RER327740 RON327683:RON327740 RYJ327683:RYJ327740 SIF327683:SIF327740 SSB327683:SSB327740 TBX327683:TBX327740 TLT327683:TLT327740 TVP327683:TVP327740 UFL327683:UFL327740 UPH327683:UPH327740 UZD327683:UZD327740 VIZ327683:VIZ327740 VSV327683:VSV327740 WCR327683:WCR327740 WMN327683:WMN327740 WWJ327683:WWJ327740 G393219:G393276 JX393219:JX393276 TT393219:TT393276 ADP393219:ADP393276 ANL393219:ANL393276 AXH393219:AXH393276 BHD393219:BHD393276 BQZ393219:BQZ393276 CAV393219:CAV393276 CKR393219:CKR393276 CUN393219:CUN393276 DEJ393219:DEJ393276 DOF393219:DOF393276 DYB393219:DYB393276 EHX393219:EHX393276 ERT393219:ERT393276 FBP393219:FBP393276 FLL393219:FLL393276 FVH393219:FVH393276 GFD393219:GFD393276 GOZ393219:GOZ393276 GYV393219:GYV393276 HIR393219:HIR393276 HSN393219:HSN393276 ICJ393219:ICJ393276 IMF393219:IMF393276 IWB393219:IWB393276 JFX393219:JFX393276 JPT393219:JPT393276 JZP393219:JZP393276 KJL393219:KJL393276 KTH393219:KTH393276 LDD393219:LDD393276 LMZ393219:LMZ393276 LWV393219:LWV393276 MGR393219:MGR393276 MQN393219:MQN393276 NAJ393219:NAJ393276 NKF393219:NKF393276 NUB393219:NUB393276 ODX393219:ODX393276 ONT393219:ONT393276 OXP393219:OXP393276 PHL393219:PHL393276 PRH393219:PRH393276 QBD393219:QBD393276 QKZ393219:QKZ393276 QUV393219:QUV393276 RER393219:RER393276 RON393219:RON393276 RYJ393219:RYJ393276 SIF393219:SIF393276 SSB393219:SSB393276 TBX393219:TBX393276 TLT393219:TLT393276 TVP393219:TVP393276 UFL393219:UFL393276 UPH393219:UPH393276 UZD393219:UZD393276 VIZ393219:VIZ393276 VSV393219:VSV393276 WCR393219:WCR393276 WMN393219:WMN393276 WWJ393219:WWJ393276 G458755:G458812 JX458755:JX458812 TT458755:TT458812 ADP458755:ADP458812 ANL458755:ANL458812 AXH458755:AXH458812 BHD458755:BHD458812 BQZ458755:BQZ458812 CAV458755:CAV458812 CKR458755:CKR458812 CUN458755:CUN458812 DEJ458755:DEJ458812 DOF458755:DOF458812 DYB458755:DYB458812 EHX458755:EHX458812 ERT458755:ERT458812 FBP458755:FBP458812 FLL458755:FLL458812 FVH458755:FVH458812 GFD458755:GFD458812 GOZ458755:GOZ458812 GYV458755:GYV458812 HIR458755:HIR458812 HSN458755:HSN458812 ICJ458755:ICJ458812 IMF458755:IMF458812 IWB458755:IWB458812 JFX458755:JFX458812 JPT458755:JPT458812 JZP458755:JZP458812 KJL458755:KJL458812 KTH458755:KTH458812 LDD458755:LDD458812 LMZ458755:LMZ458812 LWV458755:LWV458812 MGR458755:MGR458812 MQN458755:MQN458812 NAJ458755:NAJ458812 NKF458755:NKF458812 NUB458755:NUB458812 ODX458755:ODX458812 ONT458755:ONT458812 OXP458755:OXP458812 PHL458755:PHL458812 PRH458755:PRH458812 QBD458755:QBD458812 QKZ458755:QKZ458812 QUV458755:QUV458812 RER458755:RER458812 RON458755:RON458812 RYJ458755:RYJ458812 SIF458755:SIF458812 SSB458755:SSB458812 TBX458755:TBX458812 TLT458755:TLT458812 TVP458755:TVP458812 UFL458755:UFL458812 UPH458755:UPH458812 UZD458755:UZD458812 VIZ458755:VIZ458812 VSV458755:VSV458812 WCR458755:WCR458812 WMN458755:WMN458812 WWJ458755:WWJ458812 G524291:G524348 JX524291:JX524348 TT524291:TT524348 ADP524291:ADP524348 ANL524291:ANL524348 AXH524291:AXH524348 BHD524291:BHD524348 BQZ524291:BQZ524348 CAV524291:CAV524348 CKR524291:CKR524348 CUN524291:CUN524348 DEJ524291:DEJ524348 DOF524291:DOF524348 DYB524291:DYB524348 EHX524291:EHX524348 ERT524291:ERT524348 FBP524291:FBP524348 FLL524291:FLL524348 FVH524291:FVH524348 GFD524291:GFD524348 GOZ524291:GOZ524348 GYV524291:GYV524348 HIR524291:HIR524348 HSN524291:HSN524348 ICJ524291:ICJ524348 IMF524291:IMF524348 IWB524291:IWB524348 JFX524291:JFX524348 JPT524291:JPT524348 JZP524291:JZP524348 KJL524291:KJL524348 KTH524291:KTH524348 LDD524291:LDD524348 LMZ524291:LMZ524348 LWV524291:LWV524348 MGR524291:MGR524348 MQN524291:MQN524348 NAJ524291:NAJ524348 NKF524291:NKF524348 NUB524291:NUB524348 ODX524291:ODX524348 ONT524291:ONT524348 OXP524291:OXP524348 PHL524291:PHL524348 PRH524291:PRH524348 QBD524291:QBD524348 QKZ524291:QKZ524348 QUV524291:QUV524348 RER524291:RER524348 RON524291:RON524348 RYJ524291:RYJ524348 SIF524291:SIF524348 SSB524291:SSB524348 TBX524291:TBX524348 TLT524291:TLT524348 TVP524291:TVP524348 UFL524291:UFL524348 UPH524291:UPH524348 UZD524291:UZD524348 VIZ524291:VIZ524348 VSV524291:VSV524348 WCR524291:WCR524348 WMN524291:WMN524348 WWJ524291:WWJ524348 G589827:G589884 JX589827:JX589884 TT589827:TT589884 ADP589827:ADP589884 ANL589827:ANL589884 AXH589827:AXH589884 BHD589827:BHD589884 BQZ589827:BQZ589884 CAV589827:CAV589884 CKR589827:CKR589884 CUN589827:CUN589884 DEJ589827:DEJ589884 DOF589827:DOF589884 DYB589827:DYB589884 EHX589827:EHX589884 ERT589827:ERT589884 FBP589827:FBP589884 FLL589827:FLL589884 FVH589827:FVH589884 GFD589827:GFD589884 GOZ589827:GOZ589884 GYV589827:GYV589884 HIR589827:HIR589884 HSN589827:HSN589884 ICJ589827:ICJ589884 IMF589827:IMF589884 IWB589827:IWB589884 JFX589827:JFX589884 JPT589827:JPT589884 JZP589827:JZP589884 KJL589827:KJL589884 KTH589827:KTH589884 LDD589827:LDD589884 LMZ589827:LMZ589884 LWV589827:LWV589884 MGR589827:MGR589884 MQN589827:MQN589884 NAJ589827:NAJ589884 NKF589827:NKF589884 NUB589827:NUB589884 ODX589827:ODX589884 ONT589827:ONT589884 OXP589827:OXP589884 PHL589827:PHL589884 PRH589827:PRH589884 QBD589827:QBD589884 QKZ589827:QKZ589884 QUV589827:QUV589884 RER589827:RER589884 RON589827:RON589884 RYJ589827:RYJ589884 SIF589827:SIF589884 SSB589827:SSB589884 TBX589827:TBX589884 TLT589827:TLT589884 TVP589827:TVP589884 UFL589827:UFL589884 UPH589827:UPH589884 UZD589827:UZD589884 VIZ589827:VIZ589884 VSV589827:VSV589884 WCR589827:WCR589884 WMN589827:WMN589884 WWJ589827:WWJ589884 G655363:G655420 JX655363:JX655420 TT655363:TT655420 ADP655363:ADP655420 ANL655363:ANL655420 AXH655363:AXH655420 BHD655363:BHD655420 BQZ655363:BQZ655420 CAV655363:CAV655420 CKR655363:CKR655420 CUN655363:CUN655420 DEJ655363:DEJ655420 DOF655363:DOF655420 DYB655363:DYB655420 EHX655363:EHX655420 ERT655363:ERT655420 FBP655363:FBP655420 FLL655363:FLL655420 FVH655363:FVH655420 GFD655363:GFD655420 GOZ655363:GOZ655420 GYV655363:GYV655420 HIR655363:HIR655420 HSN655363:HSN655420 ICJ655363:ICJ655420 IMF655363:IMF655420 IWB655363:IWB655420 JFX655363:JFX655420 JPT655363:JPT655420 JZP655363:JZP655420 KJL655363:KJL655420 KTH655363:KTH655420 LDD655363:LDD655420 LMZ655363:LMZ655420 LWV655363:LWV655420 MGR655363:MGR655420 MQN655363:MQN655420 NAJ655363:NAJ655420 NKF655363:NKF655420 NUB655363:NUB655420 ODX655363:ODX655420 ONT655363:ONT655420 OXP655363:OXP655420 PHL655363:PHL655420 PRH655363:PRH655420 QBD655363:QBD655420 QKZ655363:QKZ655420 QUV655363:QUV655420 RER655363:RER655420 RON655363:RON655420 RYJ655363:RYJ655420 SIF655363:SIF655420 SSB655363:SSB655420 TBX655363:TBX655420 TLT655363:TLT655420 TVP655363:TVP655420 UFL655363:UFL655420 UPH655363:UPH655420 UZD655363:UZD655420 VIZ655363:VIZ655420 VSV655363:VSV655420 WCR655363:WCR655420 WMN655363:WMN655420 WWJ655363:WWJ655420 G720899:G720956 JX720899:JX720956 TT720899:TT720956 ADP720899:ADP720956 ANL720899:ANL720956 AXH720899:AXH720956 BHD720899:BHD720956 BQZ720899:BQZ720956 CAV720899:CAV720956 CKR720899:CKR720956 CUN720899:CUN720956 DEJ720899:DEJ720956 DOF720899:DOF720956 DYB720899:DYB720956 EHX720899:EHX720956 ERT720899:ERT720956 FBP720899:FBP720956 FLL720899:FLL720956 FVH720899:FVH720956 GFD720899:GFD720956 GOZ720899:GOZ720956 GYV720899:GYV720956 HIR720899:HIR720956 HSN720899:HSN720956 ICJ720899:ICJ720956 IMF720899:IMF720956 IWB720899:IWB720956 JFX720899:JFX720956 JPT720899:JPT720956 JZP720899:JZP720956 KJL720899:KJL720956 KTH720899:KTH720956 LDD720899:LDD720956 LMZ720899:LMZ720956 LWV720899:LWV720956 MGR720899:MGR720956 MQN720899:MQN720956 NAJ720899:NAJ720956 NKF720899:NKF720956 NUB720899:NUB720956 ODX720899:ODX720956 ONT720899:ONT720956 OXP720899:OXP720956 PHL720899:PHL720956 PRH720899:PRH720956 QBD720899:QBD720956 QKZ720899:QKZ720956 QUV720899:QUV720956 RER720899:RER720956 RON720899:RON720956 RYJ720899:RYJ720956 SIF720899:SIF720956 SSB720899:SSB720956 TBX720899:TBX720956 TLT720899:TLT720956 TVP720899:TVP720956 UFL720899:UFL720956 UPH720899:UPH720956 UZD720899:UZD720956 VIZ720899:VIZ720956 VSV720899:VSV720956 WCR720899:WCR720956 WMN720899:WMN720956 WWJ720899:WWJ720956 G786435:G786492 JX786435:JX786492 TT786435:TT786492 ADP786435:ADP786492 ANL786435:ANL786492 AXH786435:AXH786492 BHD786435:BHD786492 BQZ786435:BQZ786492 CAV786435:CAV786492 CKR786435:CKR786492 CUN786435:CUN786492 DEJ786435:DEJ786492 DOF786435:DOF786492 DYB786435:DYB786492 EHX786435:EHX786492 ERT786435:ERT786492 FBP786435:FBP786492 FLL786435:FLL786492 FVH786435:FVH786492 GFD786435:GFD786492 GOZ786435:GOZ786492 GYV786435:GYV786492 HIR786435:HIR786492 HSN786435:HSN786492 ICJ786435:ICJ786492 IMF786435:IMF786492 IWB786435:IWB786492 JFX786435:JFX786492 JPT786435:JPT786492 JZP786435:JZP786492 KJL786435:KJL786492 KTH786435:KTH786492 LDD786435:LDD786492 LMZ786435:LMZ786492 LWV786435:LWV786492 MGR786435:MGR786492 MQN786435:MQN786492 NAJ786435:NAJ786492 NKF786435:NKF786492 NUB786435:NUB786492 ODX786435:ODX786492 ONT786435:ONT786492 OXP786435:OXP786492 PHL786435:PHL786492 PRH786435:PRH786492 QBD786435:QBD786492 QKZ786435:QKZ786492 QUV786435:QUV786492 RER786435:RER786492 RON786435:RON786492 RYJ786435:RYJ786492 SIF786435:SIF786492 SSB786435:SSB786492 TBX786435:TBX786492 TLT786435:TLT786492 TVP786435:TVP786492 UFL786435:UFL786492 UPH786435:UPH786492 UZD786435:UZD786492 VIZ786435:VIZ786492 VSV786435:VSV786492 WCR786435:WCR786492 WMN786435:WMN786492 WWJ786435:WWJ786492 G851971:G852028 JX851971:JX852028 TT851971:TT852028 ADP851971:ADP852028 ANL851971:ANL852028 AXH851971:AXH852028 BHD851971:BHD852028 BQZ851971:BQZ852028 CAV851971:CAV852028 CKR851971:CKR852028 CUN851971:CUN852028 DEJ851971:DEJ852028 DOF851971:DOF852028 DYB851971:DYB852028 EHX851971:EHX852028 ERT851971:ERT852028 FBP851971:FBP852028 FLL851971:FLL852028 FVH851971:FVH852028 GFD851971:GFD852028 GOZ851971:GOZ852028 GYV851971:GYV852028 HIR851971:HIR852028 HSN851971:HSN852028 ICJ851971:ICJ852028 IMF851971:IMF852028 IWB851971:IWB852028 JFX851971:JFX852028 JPT851971:JPT852028 JZP851971:JZP852028 KJL851971:KJL852028 KTH851971:KTH852028 LDD851971:LDD852028 LMZ851971:LMZ852028 LWV851971:LWV852028 MGR851971:MGR852028 MQN851971:MQN852028 NAJ851971:NAJ852028 NKF851971:NKF852028 NUB851971:NUB852028 ODX851971:ODX852028 ONT851971:ONT852028 OXP851971:OXP852028 PHL851971:PHL852028 PRH851971:PRH852028 QBD851971:QBD852028 QKZ851971:QKZ852028 QUV851971:QUV852028 RER851971:RER852028 RON851971:RON852028 RYJ851971:RYJ852028 SIF851971:SIF852028 SSB851971:SSB852028 TBX851971:TBX852028 TLT851971:TLT852028 TVP851971:TVP852028 UFL851971:UFL852028 UPH851971:UPH852028 UZD851971:UZD852028 VIZ851971:VIZ852028 VSV851971:VSV852028 WCR851971:WCR852028 WMN851971:WMN852028 WWJ851971:WWJ852028 G917507:G917564 JX917507:JX917564 TT917507:TT917564 ADP917507:ADP917564 ANL917507:ANL917564 AXH917507:AXH917564 BHD917507:BHD917564 BQZ917507:BQZ917564 CAV917507:CAV917564 CKR917507:CKR917564 CUN917507:CUN917564 DEJ917507:DEJ917564 DOF917507:DOF917564 DYB917507:DYB917564 EHX917507:EHX917564 ERT917507:ERT917564 FBP917507:FBP917564 FLL917507:FLL917564 FVH917507:FVH917564 GFD917507:GFD917564 GOZ917507:GOZ917564 GYV917507:GYV917564 HIR917507:HIR917564 HSN917507:HSN917564 ICJ917507:ICJ917564 IMF917507:IMF917564 IWB917507:IWB917564 JFX917507:JFX917564 JPT917507:JPT917564 JZP917507:JZP917564 KJL917507:KJL917564 KTH917507:KTH917564 LDD917507:LDD917564 LMZ917507:LMZ917564 LWV917507:LWV917564 MGR917507:MGR917564 MQN917507:MQN917564 NAJ917507:NAJ917564 NKF917507:NKF917564 NUB917507:NUB917564 ODX917507:ODX917564 ONT917507:ONT917564 OXP917507:OXP917564 PHL917507:PHL917564 PRH917507:PRH917564 QBD917507:QBD917564 QKZ917507:QKZ917564 QUV917507:QUV917564 RER917507:RER917564 RON917507:RON917564 RYJ917507:RYJ917564 SIF917507:SIF917564 SSB917507:SSB917564 TBX917507:TBX917564 TLT917507:TLT917564 TVP917507:TVP917564 UFL917507:UFL917564 UPH917507:UPH917564 UZD917507:UZD917564 VIZ917507:VIZ917564 VSV917507:VSV917564 WCR917507:WCR917564 WMN917507:WMN917564 WWJ917507:WWJ917564 G983043:G983100 JX983043:JX983100 TT983043:TT983100 ADP983043:ADP983100 ANL983043:ANL983100 AXH983043:AXH983100 BHD983043:BHD983100 BQZ983043:BQZ983100 CAV983043:CAV983100 CKR983043:CKR983100 CUN983043:CUN983100 DEJ983043:DEJ983100 DOF983043:DOF983100 DYB983043:DYB983100 EHX983043:EHX983100 ERT983043:ERT983100 FBP983043:FBP983100 FLL983043:FLL983100 FVH983043:FVH983100 GFD983043:GFD983100 GOZ983043:GOZ983100 GYV983043:GYV983100 HIR983043:HIR983100 HSN983043:HSN983100 ICJ983043:ICJ983100 IMF983043:IMF983100 IWB983043:IWB983100 JFX983043:JFX983100 JPT983043:JPT983100 JZP983043:JZP983100 KJL983043:KJL983100 KTH983043:KTH983100 LDD983043:LDD983100 LMZ983043:LMZ983100 LWV983043:LWV983100 MGR983043:MGR983100 MQN983043:MQN983100 NAJ983043:NAJ983100 NKF983043:NKF983100 NUB983043:NUB983100 ODX983043:ODX983100 ONT983043:ONT983100 OXP983043:OXP983100 PHL983043:PHL983100 PRH983043:PRH983100 QBD983043:QBD983100 QKZ983043:QKZ983100 QUV983043:QUV983100 RER983043:RER983100 RON983043:RON983100 RYJ983043:RYJ983100 SIF983043:SIF983100 SSB983043:SSB983100 TBX983043:TBX983100 TLT983043:TLT983100 TVP983043:TVP983100 UFL983043:UFL983100 UPH983043:UPH983100 UZD983043:UZD983100 VIZ983043:VIZ983100 VSV983043:VSV983100 WCR983043:WCR983100 WMN983043:WMN983100 WWJ983043:WWJ983100 G3:G60">
      <formula1>"IS,IR,"</formula1>
    </dataValidation>
    <dataValidation type="list" allowBlank="1" showInputMessage="1" showErrorMessage="1" sqref="D3:D60 JV3:JV60 TR3:TR60 ADN3:ADN60 ANJ3:ANJ60 AXF3:AXF60 BHB3:BHB60 BQX3:BQX60 CAT3:CAT60 CKP3:CKP60 CUL3:CUL60 DEH3:DEH60 DOD3:DOD60 DXZ3:DXZ60 EHV3:EHV60 ERR3:ERR60 FBN3:FBN60 FLJ3:FLJ60 FVF3:FVF60 GFB3:GFB60 GOX3:GOX60 GYT3:GYT60 HIP3:HIP60 HSL3:HSL60 ICH3:ICH60 IMD3:IMD60 IVZ3:IVZ60 JFV3:JFV60 JPR3:JPR60 JZN3:JZN60 KJJ3:KJJ60 KTF3:KTF60 LDB3:LDB60 LMX3:LMX60 LWT3:LWT60 MGP3:MGP60 MQL3:MQL60 NAH3:NAH60 NKD3:NKD60 NTZ3:NTZ60 ODV3:ODV60 ONR3:ONR60 OXN3:OXN60 PHJ3:PHJ60 PRF3:PRF60 QBB3:QBB60 QKX3:QKX60 QUT3:QUT60 REP3:REP60 ROL3:ROL60 RYH3:RYH60 SID3:SID60 SRZ3:SRZ60 TBV3:TBV60 TLR3:TLR60 TVN3:TVN60 UFJ3:UFJ60 UPF3:UPF60 UZB3:UZB60 VIX3:VIX60 VST3:VST60 WCP3:WCP60 WML3:WML60 WWH3:WWH60 D65539:D65596 JU65539:JU65596 TQ65539:TQ65596 ADM65539:ADM65596 ANI65539:ANI65596 AXE65539:AXE65596 BHA65539:BHA65596 BQW65539:BQW65596 CAS65539:CAS65596 CKO65539:CKO65596 CUK65539:CUK65596 DEG65539:DEG65596 DOC65539:DOC65596 DXY65539:DXY65596 EHU65539:EHU65596 ERQ65539:ERQ65596 FBM65539:FBM65596 FLI65539:FLI65596 FVE65539:FVE65596 GFA65539:GFA65596 GOW65539:GOW65596 GYS65539:GYS65596 HIO65539:HIO65596 HSK65539:HSK65596 ICG65539:ICG65596 IMC65539:IMC65596 IVY65539:IVY65596 JFU65539:JFU65596 JPQ65539:JPQ65596 JZM65539:JZM65596 KJI65539:KJI65596 KTE65539:KTE65596 LDA65539:LDA65596 LMW65539:LMW65596 LWS65539:LWS65596 MGO65539:MGO65596 MQK65539:MQK65596 NAG65539:NAG65596 NKC65539:NKC65596 NTY65539:NTY65596 ODU65539:ODU65596 ONQ65539:ONQ65596 OXM65539:OXM65596 PHI65539:PHI65596 PRE65539:PRE65596 QBA65539:QBA65596 QKW65539:QKW65596 QUS65539:QUS65596 REO65539:REO65596 ROK65539:ROK65596 RYG65539:RYG65596 SIC65539:SIC65596 SRY65539:SRY65596 TBU65539:TBU65596 TLQ65539:TLQ65596 TVM65539:TVM65596 UFI65539:UFI65596 UPE65539:UPE65596 UZA65539:UZA65596 VIW65539:VIW65596 VSS65539:VSS65596 WCO65539:WCO65596 WMK65539:WMK65596 WWG65539:WWG65596 D131075:D131132 JU131075:JU131132 TQ131075:TQ131132 ADM131075:ADM131132 ANI131075:ANI131132 AXE131075:AXE131132 BHA131075:BHA131132 BQW131075:BQW131132 CAS131075:CAS131132 CKO131075:CKO131132 CUK131075:CUK131132 DEG131075:DEG131132 DOC131075:DOC131132 DXY131075:DXY131132 EHU131075:EHU131132 ERQ131075:ERQ131132 FBM131075:FBM131132 FLI131075:FLI131132 FVE131075:FVE131132 GFA131075:GFA131132 GOW131075:GOW131132 GYS131075:GYS131132 HIO131075:HIO131132 HSK131075:HSK131132 ICG131075:ICG131132 IMC131075:IMC131132 IVY131075:IVY131132 JFU131075:JFU131132 JPQ131075:JPQ131132 JZM131075:JZM131132 KJI131075:KJI131132 KTE131075:KTE131132 LDA131075:LDA131132 LMW131075:LMW131132 LWS131075:LWS131132 MGO131075:MGO131132 MQK131075:MQK131132 NAG131075:NAG131132 NKC131075:NKC131132 NTY131075:NTY131132 ODU131075:ODU131132 ONQ131075:ONQ131132 OXM131075:OXM131132 PHI131075:PHI131132 PRE131075:PRE131132 QBA131075:QBA131132 QKW131075:QKW131132 QUS131075:QUS131132 REO131075:REO131132 ROK131075:ROK131132 RYG131075:RYG131132 SIC131075:SIC131132 SRY131075:SRY131132 TBU131075:TBU131132 TLQ131075:TLQ131132 TVM131075:TVM131132 UFI131075:UFI131132 UPE131075:UPE131132 UZA131075:UZA131132 VIW131075:VIW131132 VSS131075:VSS131132 WCO131075:WCO131132 WMK131075:WMK131132 WWG131075:WWG131132 D196611:D196668 JU196611:JU196668 TQ196611:TQ196668 ADM196611:ADM196668 ANI196611:ANI196668 AXE196611:AXE196668 BHA196611:BHA196668 BQW196611:BQW196668 CAS196611:CAS196668 CKO196611:CKO196668 CUK196611:CUK196668 DEG196611:DEG196668 DOC196611:DOC196668 DXY196611:DXY196668 EHU196611:EHU196668 ERQ196611:ERQ196668 FBM196611:FBM196668 FLI196611:FLI196668 FVE196611:FVE196668 GFA196611:GFA196668 GOW196611:GOW196668 GYS196611:GYS196668 HIO196611:HIO196668 HSK196611:HSK196668 ICG196611:ICG196668 IMC196611:IMC196668 IVY196611:IVY196668 JFU196611:JFU196668 JPQ196611:JPQ196668 JZM196611:JZM196668 KJI196611:KJI196668 KTE196611:KTE196668 LDA196611:LDA196668 LMW196611:LMW196668 LWS196611:LWS196668 MGO196611:MGO196668 MQK196611:MQK196668 NAG196611:NAG196668 NKC196611:NKC196668 NTY196611:NTY196668 ODU196611:ODU196668 ONQ196611:ONQ196668 OXM196611:OXM196668 PHI196611:PHI196668 PRE196611:PRE196668 QBA196611:QBA196668 QKW196611:QKW196668 QUS196611:QUS196668 REO196611:REO196668 ROK196611:ROK196668 RYG196611:RYG196668 SIC196611:SIC196668 SRY196611:SRY196668 TBU196611:TBU196668 TLQ196611:TLQ196668 TVM196611:TVM196668 UFI196611:UFI196668 UPE196611:UPE196668 UZA196611:UZA196668 VIW196611:VIW196668 VSS196611:VSS196668 WCO196611:WCO196668 WMK196611:WMK196668 WWG196611:WWG196668 D262147:D262204 JU262147:JU262204 TQ262147:TQ262204 ADM262147:ADM262204 ANI262147:ANI262204 AXE262147:AXE262204 BHA262147:BHA262204 BQW262147:BQW262204 CAS262147:CAS262204 CKO262147:CKO262204 CUK262147:CUK262204 DEG262147:DEG262204 DOC262147:DOC262204 DXY262147:DXY262204 EHU262147:EHU262204 ERQ262147:ERQ262204 FBM262147:FBM262204 FLI262147:FLI262204 FVE262147:FVE262204 GFA262147:GFA262204 GOW262147:GOW262204 GYS262147:GYS262204 HIO262147:HIO262204 HSK262147:HSK262204 ICG262147:ICG262204 IMC262147:IMC262204 IVY262147:IVY262204 JFU262147:JFU262204 JPQ262147:JPQ262204 JZM262147:JZM262204 KJI262147:KJI262204 KTE262147:KTE262204 LDA262147:LDA262204 LMW262147:LMW262204 LWS262147:LWS262204 MGO262147:MGO262204 MQK262147:MQK262204 NAG262147:NAG262204 NKC262147:NKC262204 NTY262147:NTY262204 ODU262147:ODU262204 ONQ262147:ONQ262204 OXM262147:OXM262204 PHI262147:PHI262204 PRE262147:PRE262204 QBA262147:QBA262204 QKW262147:QKW262204 QUS262147:QUS262204 REO262147:REO262204 ROK262147:ROK262204 RYG262147:RYG262204 SIC262147:SIC262204 SRY262147:SRY262204 TBU262147:TBU262204 TLQ262147:TLQ262204 TVM262147:TVM262204 UFI262147:UFI262204 UPE262147:UPE262204 UZA262147:UZA262204 VIW262147:VIW262204 VSS262147:VSS262204 WCO262147:WCO262204 WMK262147:WMK262204 WWG262147:WWG262204 D327683:D327740 JU327683:JU327740 TQ327683:TQ327740 ADM327683:ADM327740 ANI327683:ANI327740 AXE327683:AXE327740 BHA327683:BHA327740 BQW327683:BQW327740 CAS327683:CAS327740 CKO327683:CKO327740 CUK327683:CUK327740 DEG327683:DEG327740 DOC327683:DOC327740 DXY327683:DXY327740 EHU327683:EHU327740 ERQ327683:ERQ327740 FBM327683:FBM327740 FLI327683:FLI327740 FVE327683:FVE327740 GFA327683:GFA327740 GOW327683:GOW327740 GYS327683:GYS327740 HIO327683:HIO327740 HSK327683:HSK327740 ICG327683:ICG327740 IMC327683:IMC327740 IVY327683:IVY327740 JFU327683:JFU327740 JPQ327683:JPQ327740 JZM327683:JZM327740 KJI327683:KJI327740 KTE327683:KTE327740 LDA327683:LDA327740 LMW327683:LMW327740 LWS327683:LWS327740 MGO327683:MGO327740 MQK327683:MQK327740 NAG327683:NAG327740 NKC327683:NKC327740 NTY327683:NTY327740 ODU327683:ODU327740 ONQ327683:ONQ327740 OXM327683:OXM327740 PHI327683:PHI327740 PRE327683:PRE327740 QBA327683:QBA327740 QKW327683:QKW327740 QUS327683:QUS327740 REO327683:REO327740 ROK327683:ROK327740 RYG327683:RYG327740 SIC327683:SIC327740 SRY327683:SRY327740 TBU327683:TBU327740 TLQ327683:TLQ327740 TVM327683:TVM327740 UFI327683:UFI327740 UPE327683:UPE327740 UZA327683:UZA327740 VIW327683:VIW327740 VSS327683:VSS327740 WCO327683:WCO327740 WMK327683:WMK327740 WWG327683:WWG327740 D393219:D393276 JU393219:JU393276 TQ393219:TQ393276 ADM393219:ADM393276 ANI393219:ANI393276 AXE393219:AXE393276 BHA393219:BHA393276 BQW393219:BQW393276 CAS393219:CAS393276 CKO393219:CKO393276 CUK393219:CUK393276 DEG393219:DEG393276 DOC393219:DOC393276 DXY393219:DXY393276 EHU393219:EHU393276 ERQ393219:ERQ393276 FBM393219:FBM393276 FLI393219:FLI393276 FVE393219:FVE393276 GFA393219:GFA393276 GOW393219:GOW393276 GYS393219:GYS393276 HIO393219:HIO393276 HSK393219:HSK393276 ICG393219:ICG393276 IMC393219:IMC393276 IVY393219:IVY393276 JFU393219:JFU393276 JPQ393219:JPQ393276 JZM393219:JZM393276 KJI393219:KJI393276 KTE393219:KTE393276 LDA393219:LDA393276 LMW393219:LMW393276 LWS393219:LWS393276 MGO393219:MGO393276 MQK393219:MQK393276 NAG393219:NAG393276 NKC393219:NKC393276 NTY393219:NTY393276 ODU393219:ODU393276 ONQ393219:ONQ393276 OXM393219:OXM393276 PHI393219:PHI393276 PRE393219:PRE393276 QBA393219:QBA393276 QKW393219:QKW393276 QUS393219:QUS393276 REO393219:REO393276 ROK393219:ROK393276 RYG393219:RYG393276 SIC393219:SIC393276 SRY393219:SRY393276 TBU393219:TBU393276 TLQ393219:TLQ393276 TVM393219:TVM393276 UFI393219:UFI393276 UPE393219:UPE393276 UZA393219:UZA393276 VIW393219:VIW393276 VSS393219:VSS393276 WCO393219:WCO393276 WMK393219:WMK393276 WWG393219:WWG393276 D458755:D458812 JU458755:JU458812 TQ458755:TQ458812 ADM458755:ADM458812 ANI458755:ANI458812 AXE458755:AXE458812 BHA458755:BHA458812 BQW458755:BQW458812 CAS458755:CAS458812 CKO458755:CKO458812 CUK458755:CUK458812 DEG458755:DEG458812 DOC458755:DOC458812 DXY458755:DXY458812 EHU458755:EHU458812 ERQ458755:ERQ458812 FBM458755:FBM458812 FLI458755:FLI458812 FVE458755:FVE458812 GFA458755:GFA458812 GOW458755:GOW458812 GYS458755:GYS458812 HIO458755:HIO458812 HSK458755:HSK458812 ICG458755:ICG458812 IMC458755:IMC458812 IVY458755:IVY458812 JFU458755:JFU458812 JPQ458755:JPQ458812 JZM458755:JZM458812 KJI458755:KJI458812 KTE458755:KTE458812 LDA458755:LDA458812 LMW458755:LMW458812 LWS458755:LWS458812 MGO458755:MGO458812 MQK458755:MQK458812 NAG458755:NAG458812 NKC458755:NKC458812 NTY458755:NTY458812 ODU458755:ODU458812 ONQ458755:ONQ458812 OXM458755:OXM458812 PHI458755:PHI458812 PRE458755:PRE458812 QBA458755:QBA458812 QKW458755:QKW458812 QUS458755:QUS458812 REO458755:REO458812 ROK458755:ROK458812 RYG458755:RYG458812 SIC458755:SIC458812 SRY458755:SRY458812 TBU458755:TBU458812 TLQ458755:TLQ458812 TVM458755:TVM458812 UFI458755:UFI458812 UPE458755:UPE458812 UZA458755:UZA458812 VIW458755:VIW458812 VSS458755:VSS458812 WCO458755:WCO458812 WMK458755:WMK458812 WWG458755:WWG458812 D524291:D524348 JU524291:JU524348 TQ524291:TQ524348 ADM524291:ADM524348 ANI524291:ANI524348 AXE524291:AXE524348 BHA524291:BHA524348 BQW524291:BQW524348 CAS524291:CAS524348 CKO524291:CKO524348 CUK524291:CUK524348 DEG524291:DEG524348 DOC524291:DOC524348 DXY524291:DXY524348 EHU524291:EHU524348 ERQ524291:ERQ524348 FBM524291:FBM524348 FLI524291:FLI524348 FVE524291:FVE524348 GFA524291:GFA524348 GOW524291:GOW524348 GYS524291:GYS524348 HIO524291:HIO524348 HSK524291:HSK524348 ICG524291:ICG524348 IMC524291:IMC524348 IVY524291:IVY524348 JFU524291:JFU524348 JPQ524291:JPQ524348 JZM524291:JZM524348 KJI524291:KJI524348 KTE524291:KTE524348 LDA524291:LDA524348 LMW524291:LMW524348 LWS524291:LWS524348 MGO524291:MGO524348 MQK524291:MQK524348 NAG524291:NAG524348 NKC524291:NKC524348 NTY524291:NTY524348 ODU524291:ODU524348 ONQ524291:ONQ524348 OXM524291:OXM524348 PHI524291:PHI524348 PRE524291:PRE524348 QBA524291:QBA524348 QKW524291:QKW524348 QUS524291:QUS524348 REO524291:REO524348 ROK524291:ROK524348 RYG524291:RYG524348 SIC524291:SIC524348 SRY524291:SRY524348 TBU524291:TBU524348 TLQ524291:TLQ524348 TVM524291:TVM524348 UFI524291:UFI524348 UPE524291:UPE524348 UZA524291:UZA524348 VIW524291:VIW524348 VSS524291:VSS524348 WCO524291:WCO524348 WMK524291:WMK524348 WWG524291:WWG524348 D589827:D589884 JU589827:JU589884 TQ589827:TQ589884 ADM589827:ADM589884 ANI589827:ANI589884 AXE589827:AXE589884 BHA589827:BHA589884 BQW589827:BQW589884 CAS589827:CAS589884 CKO589827:CKO589884 CUK589827:CUK589884 DEG589827:DEG589884 DOC589827:DOC589884 DXY589827:DXY589884 EHU589827:EHU589884 ERQ589827:ERQ589884 FBM589827:FBM589884 FLI589827:FLI589884 FVE589827:FVE589884 GFA589827:GFA589884 GOW589827:GOW589884 GYS589827:GYS589884 HIO589827:HIO589884 HSK589827:HSK589884 ICG589827:ICG589884 IMC589827:IMC589884 IVY589827:IVY589884 JFU589827:JFU589884 JPQ589827:JPQ589884 JZM589827:JZM589884 KJI589827:KJI589884 KTE589827:KTE589884 LDA589827:LDA589884 LMW589827:LMW589884 LWS589827:LWS589884 MGO589827:MGO589884 MQK589827:MQK589884 NAG589827:NAG589884 NKC589827:NKC589884 NTY589827:NTY589884 ODU589827:ODU589884 ONQ589827:ONQ589884 OXM589827:OXM589884 PHI589827:PHI589884 PRE589827:PRE589884 QBA589827:QBA589884 QKW589827:QKW589884 QUS589827:QUS589884 REO589827:REO589884 ROK589827:ROK589884 RYG589827:RYG589884 SIC589827:SIC589884 SRY589827:SRY589884 TBU589827:TBU589884 TLQ589827:TLQ589884 TVM589827:TVM589884 UFI589827:UFI589884 UPE589827:UPE589884 UZA589827:UZA589884 VIW589827:VIW589884 VSS589827:VSS589884 WCO589827:WCO589884 WMK589827:WMK589884 WWG589827:WWG589884 D655363:D655420 JU655363:JU655420 TQ655363:TQ655420 ADM655363:ADM655420 ANI655363:ANI655420 AXE655363:AXE655420 BHA655363:BHA655420 BQW655363:BQW655420 CAS655363:CAS655420 CKO655363:CKO655420 CUK655363:CUK655420 DEG655363:DEG655420 DOC655363:DOC655420 DXY655363:DXY655420 EHU655363:EHU655420 ERQ655363:ERQ655420 FBM655363:FBM655420 FLI655363:FLI655420 FVE655363:FVE655420 GFA655363:GFA655420 GOW655363:GOW655420 GYS655363:GYS655420 HIO655363:HIO655420 HSK655363:HSK655420 ICG655363:ICG655420 IMC655363:IMC655420 IVY655363:IVY655420 JFU655363:JFU655420 JPQ655363:JPQ655420 JZM655363:JZM655420 KJI655363:KJI655420 KTE655363:KTE655420 LDA655363:LDA655420 LMW655363:LMW655420 LWS655363:LWS655420 MGO655363:MGO655420 MQK655363:MQK655420 NAG655363:NAG655420 NKC655363:NKC655420 NTY655363:NTY655420 ODU655363:ODU655420 ONQ655363:ONQ655420 OXM655363:OXM655420 PHI655363:PHI655420 PRE655363:PRE655420 QBA655363:QBA655420 QKW655363:QKW655420 QUS655363:QUS655420 REO655363:REO655420 ROK655363:ROK655420 RYG655363:RYG655420 SIC655363:SIC655420 SRY655363:SRY655420 TBU655363:TBU655420 TLQ655363:TLQ655420 TVM655363:TVM655420 UFI655363:UFI655420 UPE655363:UPE655420 UZA655363:UZA655420 VIW655363:VIW655420 VSS655363:VSS655420 WCO655363:WCO655420 WMK655363:WMK655420 WWG655363:WWG655420 D720899:D720956 JU720899:JU720956 TQ720899:TQ720956 ADM720899:ADM720956 ANI720899:ANI720956 AXE720899:AXE720956 BHA720899:BHA720956 BQW720899:BQW720956 CAS720899:CAS720956 CKO720899:CKO720956 CUK720899:CUK720956 DEG720899:DEG720956 DOC720899:DOC720956 DXY720899:DXY720956 EHU720899:EHU720956 ERQ720899:ERQ720956 FBM720899:FBM720956 FLI720899:FLI720956 FVE720899:FVE720956 GFA720899:GFA720956 GOW720899:GOW720956 GYS720899:GYS720956 HIO720899:HIO720956 HSK720899:HSK720956 ICG720899:ICG720956 IMC720899:IMC720956 IVY720899:IVY720956 JFU720899:JFU720956 JPQ720899:JPQ720956 JZM720899:JZM720956 KJI720899:KJI720956 KTE720899:KTE720956 LDA720899:LDA720956 LMW720899:LMW720956 LWS720899:LWS720956 MGO720899:MGO720956 MQK720899:MQK720956 NAG720899:NAG720956 NKC720899:NKC720956 NTY720899:NTY720956 ODU720899:ODU720956 ONQ720899:ONQ720956 OXM720899:OXM720956 PHI720899:PHI720956 PRE720899:PRE720956 QBA720899:QBA720956 QKW720899:QKW720956 QUS720899:QUS720956 REO720899:REO720956 ROK720899:ROK720956 RYG720899:RYG720956 SIC720899:SIC720956 SRY720899:SRY720956 TBU720899:TBU720956 TLQ720899:TLQ720956 TVM720899:TVM720956 UFI720899:UFI720956 UPE720899:UPE720956 UZA720899:UZA720956 VIW720899:VIW720956 VSS720899:VSS720956 WCO720899:WCO720956 WMK720899:WMK720956 WWG720899:WWG720956 D786435:D786492 JU786435:JU786492 TQ786435:TQ786492 ADM786435:ADM786492 ANI786435:ANI786492 AXE786435:AXE786492 BHA786435:BHA786492 BQW786435:BQW786492 CAS786435:CAS786492 CKO786435:CKO786492 CUK786435:CUK786492 DEG786435:DEG786492 DOC786435:DOC786492 DXY786435:DXY786492 EHU786435:EHU786492 ERQ786435:ERQ786492 FBM786435:FBM786492 FLI786435:FLI786492 FVE786435:FVE786492 GFA786435:GFA786492 GOW786435:GOW786492 GYS786435:GYS786492 HIO786435:HIO786492 HSK786435:HSK786492 ICG786435:ICG786492 IMC786435:IMC786492 IVY786435:IVY786492 JFU786435:JFU786492 JPQ786435:JPQ786492 JZM786435:JZM786492 KJI786435:KJI786492 KTE786435:KTE786492 LDA786435:LDA786492 LMW786435:LMW786492 LWS786435:LWS786492 MGO786435:MGO786492 MQK786435:MQK786492 NAG786435:NAG786492 NKC786435:NKC786492 NTY786435:NTY786492 ODU786435:ODU786492 ONQ786435:ONQ786492 OXM786435:OXM786492 PHI786435:PHI786492 PRE786435:PRE786492 QBA786435:QBA786492 QKW786435:QKW786492 QUS786435:QUS786492 REO786435:REO786492 ROK786435:ROK786492 RYG786435:RYG786492 SIC786435:SIC786492 SRY786435:SRY786492 TBU786435:TBU786492 TLQ786435:TLQ786492 TVM786435:TVM786492 UFI786435:UFI786492 UPE786435:UPE786492 UZA786435:UZA786492 VIW786435:VIW786492 VSS786435:VSS786492 WCO786435:WCO786492 WMK786435:WMK786492 WWG786435:WWG786492 D851971:D852028 JU851971:JU852028 TQ851971:TQ852028 ADM851971:ADM852028 ANI851971:ANI852028 AXE851971:AXE852028 BHA851971:BHA852028 BQW851971:BQW852028 CAS851971:CAS852028 CKO851971:CKO852028 CUK851971:CUK852028 DEG851971:DEG852028 DOC851971:DOC852028 DXY851971:DXY852028 EHU851971:EHU852028 ERQ851971:ERQ852028 FBM851971:FBM852028 FLI851971:FLI852028 FVE851971:FVE852028 GFA851971:GFA852028 GOW851971:GOW852028 GYS851971:GYS852028 HIO851971:HIO852028 HSK851971:HSK852028 ICG851971:ICG852028 IMC851971:IMC852028 IVY851971:IVY852028 JFU851971:JFU852028 JPQ851971:JPQ852028 JZM851971:JZM852028 KJI851971:KJI852028 KTE851971:KTE852028 LDA851971:LDA852028 LMW851971:LMW852028 LWS851971:LWS852028 MGO851971:MGO852028 MQK851971:MQK852028 NAG851971:NAG852028 NKC851971:NKC852028 NTY851971:NTY852028 ODU851971:ODU852028 ONQ851971:ONQ852028 OXM851971:OXM852028 PHI851971:PHI852028 PRE851971:PRE852028 QBA851971:QBA852028 QKW851971:QKW852028 QUS851971:QUS852028 REO851971:REO852028 ROK851971:ROK852028 RYG851971:RYG852028 SIC851971:SIC852028 SRY851971:SRY852028 TBU851971:TBU852028 TLQ851971:TLQ852028 TVM851971:TVM852028 UFI851971:UFI852028 UPE851971:UPE852028 UZA851971:UZA852028 VIW851971:VIW852028 VSS851971:VSS852028 WCO851971:WCO852028 WMK851971:WMK852028 WWG851971:WWG852028 D917507:D917564 JU917507:JU917564 TQ917507:TQ917564 ADM917507:ADM917564 ANI917507:ANI917564 AXE917507:AXE917564 BHA917507:BHA917564 BQW917507:BQW917564 CAS917507:CAS917564 CKO917507:CKO917564 CUK917507:CUK917564 DEG917507:DEG917564 DOC917507:DOC917564 DXY917507:DXY917564 EHU917507:EHU917564 ERQ917507:ERQ917564 FBM917507:FBM917564 FLI917507:FLI917564 FVE917507:FVE917564 GFA917507:GFA917564 GOW917507:GOW917564 GYS917507:GYS917564 HIO917507:HIO917564 HSK917507:HSK917564 ICG917507:ICG917564 IMC917507:IMC917564 IVY917507:IVY917564 JFU917507:JFU917564 JPQ917507:JPQ917564 JZM917507:JZM917564 KJI917507:KJI917564 KTE917507:KTE917564 LDA917507:LDA917564 LMW917507:LMW917564 LWS917507:LWS917564 MGO917507:MGO917564 MQK917507:MQK917564 NAG917507:NAG917564 NKC917507:NKC917564 NTY917507:NTY917564 ODU917507:ODU917564 ONQ917507:ONQ917564 OXM917507:OXM917564 PHI917507:PHI917564 PRE917507:PRE917564 QBA917507:QBA917564 QKW917507:QKW917564 QUS917507:QUS917564 REO917507:REO917564 ROK917507:ROK917564 RYG917507:RYG917564 SIC917507:SIC917564 SRY917507:SRY917564 TBU917507:TBU917564 TLQ917507:TLQ917564 TVM917507:TVM917564 UFI917507:UFI917564 UPE917507:UPE917564 UZA917507:UZA917564 VIW917507:VIW917564 VSS917507:VSS917564 WCO917507:WCO917564 WMK917507:WMK917564 WWG917507:WWG917564 D983043:D983100 JU983043:JU983100 TQ983043:TQ983100 ADM983043:ADM983100 ANI983043:ANI983100 AXE983043:AXE983100 BHA983043:BHA983100 BQW983043:BQW983100 CAS983043:CAS983100 CKO983043:CKO983100 CUK983043:CUK983100 DEG983043:DEG983100 DOC983043:DOC983100 DXY983043:DXY983100 EHU983043:EHU983100 ERQ983043:ERQ983100 FBM983043:FBM983100 FLI983043:FLI983100 FVE983043:FVE983100 GFA983043:GFA983100 GOW983043:GOW983100 GYS983043:GYS983100 HIO983043:HIO983100 HSK983043:HSK983100 ICG983043:ICG983100 IMC983043:IMC983100 IVY983043:IVY983100 JFU983043:JFU983100 JPQ983043:JPQ983100 JZM983043:JZM983100 KJI983043:KJI983100 KTE983043:KTE983100 LDA983043:LDA983100 LMW983043:LMW983100 LWS983043:LWS983100 MGO983043:MGO983100 MQK983043:MQK983100 NAG983043:NAG983100 NKC983043:NKC983100 NTY983043:NTY983100 ODU983043:ODU983100 ONQ983043:ONQ983100 OXM983043:OXM983100 PHI983043:PHI983100 PRE983043:PRE983100 QBA983043:QBA983100 QKW983043:QKW983100 QUS983043:QUS983100 REO983043:REO983100 ROK983043:ROK983100 RYG983043:RYG983100 SIC983043:SIC983100 SRY983043:SRY983100 TBU983043:TBU983100 TLQ983043:TLQ983100 TVM983043:TVM983100 UFI983043:UFI983100 UPE983043:UPE983100 UZA983043:UZA983100 VIW983043:VIW983100 VSS983043:VSS983100 WCO983043:WCO983100 WMK983043:WMK983100 WWG983043:WWG983100">
      <formula1>"ACS,AGRI,BNC,"</formula1>
    </dataValidation>
    <dataValidation type="list" allowBlank="1" showInputMessage="1" showErrorMessage="1" sqref="AL3:AL60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BH3:BH60</xm:sqref>
        </x14:dataValidation>
        <x14:dataValidation type="list" allowBlank="1" showInputMessage="1" showErrorMessage="1">
          <x14:formula1>
            <xm:f>Paramètres!$N$4:$N$13</xm:f>
          </x14:formula1>
          <xm:sqref>BG3:BG60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N183"/>
  <sheetViews>
    <sheetView zoomScale="85" zoomScaleNormal="85" workbookViewId="0">
      <pane xSplit="5" ySplit="2" topLeftCell="F4" activePane="bottomRight" state="frozen"/>
      <selection activeCell="F22" sqref="F22"/>
      <selection pane="topRight" activeCell="F22" sqref="F22"/>
      <selection pane="bottomLeft" activeCell="F22" sqref="F22"/>
      <selection pane="bottomRight" activeCell="B19" sqref="B19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9" width="18" style="89" customWidth="1"/>
    <col min="40" max="45" width="19" style="89" customWidth="1"/>
    <col min="46" max="46" width="11.42578125" style="241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4" width="11.42578125" style="89" customWidth="1"/>
    <col min="115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1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147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69" t="s">
        <v>140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SUM(PORTEFEUILLE_SEBASTIEN[[#This Row],[PCR COMPTABLE €]:[MONTANT
RESPONSABLE RELATION CLIENT €]])-PORTEFEUILLE_SEBASTIEN[[#This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/>
      <c r="AM3" s="191"/>
      <c r="AN3" s="188" t="s">
        <v>199</v>
      </c>
      <c r="AO3" s="188" t="s">
        <v>200</v>
      </c>
      <c r="AP3" s="188">
        <v>36</v>
      </c>
      <c r="AQ3" s="188">
        <v>16</v>
      </c>
      <c r="AR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400</v>
      </c>
      <c r="AT3" s="188" t="str">
        <f>IF(PORTEFEUILLE_SEBASTIEN[[#This Row],[BONI AAC]]&lt;&gt;0,1,"")</f>
        <v/>
      </c>
      <c r="AU3" s="188">
        <f>IF(PORTEFEUILLE_SEBASTIEN[[#This Row],[MALI AAC]]&lt;&gt;0,1,"")</f>
        <v>1</v>
      </c>
      <c r="AV3" s="225">
        <f>IF(AP3&lt;&gt;"",IF((AP3*Paramètres!$H$4)-PORTEFEUILLE_SEBASTIEN[[#This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€]]-(DELPHINE!AP3*Paramètres!$H$4),0),0)</f>
        <v>0</v>
      </c>
      <c r="AW3" s="225">
        <f>IF(AP3&lt;&gt;"",IF(((AP3*Paramètres!$H$4)-PORTEFEUILLE_SEBASTIEN[[#This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" s="190" t="str">
        <f>IF(PORTEFEUILLE_SEBASTIEN[[#This Row],[BONI COMPTABLE]]&lt;&gt;0,1,"")</f>
        <v/>
      </c>
      <c r="AY3" s="190" t="str">
        <f>IF(PORTEFEUILLE_SEBASTIEN[[#This Row],[MALI COMPTABLE]]&lt;&gt;0,1,"")</f>
        <v/>
      </c>
      <c r="AZ3" s="188">
        <v>2</v>
      </c>
      <c r="BA3" s="188" t="s">
        <v>209</v>
      </c>
      <c r="BB3" s="188" t="s">
        <v>209</v>
      </c>
      <c r="BC3" s="188"/>
      <c r="BD3" s="188"/>
      <c r="BE3" s="188"/>
      <c r="BF3" s="188"/>
      <c r="BG3" s="192" t="s">
        <v>214</v>
      </c>
      <c r="BH3" s="192" t="s">
        <v>191</v>
      </c>
      <c r="BI3" s="192" t="s">
        <v>200</v>
      </c>
      <c r="BJ3" s="193"/>
      <c r="BK3" s="192"/>
    </row>
    <row r="4" spans="1:78" x14ac:dyDescent="0.25">
      <c r="A4" s="169" t="s">
        <v>140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SUM(PORTEFEUILLE_SEBASTIEN[[#This Row],[PCR COMPTABLE €]:[MONTANT
RESPONSABLE RELATION CLIENT €]])-PORTEFEUILLE_SEBASTIEN[[#This Row],[MONTANT TOTAL LETTRE DE MISION €]]</f>
        <v>0</v>
      </c>
      <c r="AI4" s="191" t="s">
        <v>153</v>
      </c>
      <c r="AJ4" s="188" t="s">
        <v>154</v>
      </c>
      <c r="AK4" s="188"/>
      <c r="AL4" s="188"/>
      <c r="AM4" s="191"/>
      <c r="AN4" s="188" t="s">
        <v>199</v>
      </c>
      <c r="AO4" s="188"/>
      <c r="AP4" s="188">
        <v>30</v>
      </c>
      <c r="AQ4" s="188">
        <v>20</v>
      </c>
      <c r="AR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1000</v>
      </c>
      <c r="AT4" s="188" t="str">
        <f>IF(PORTEFEUILLE_SEBASTIEN[[#This Row],[BONI AAC]]&lt;&gt;0,1,"")</f>
        <v/>
      </c>
      <c r="AU4" s="188">
        <f>IF(PORTEFEUILLE_SEBASTIEN[[#This Row],[MALI AAC]]&lt;&gt;0,1,"")</f>
        <v>1</v>
      </c>
      <c r="AV4" s="225">
        <f>IF(AP4&lt;&gt;"",IF((AP4*Paramètres!$H$4)-PORTEFEUILLE_SEBASTIEN[[#This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€]]-(DELPHINE!AP4*Paramètres!$H$4),0),0)</f>
        <v>0</v>
      </c>
      <c r="AW4" s="225">
        <f>IF(AP4&lt;&gt;"",IF(((AP4*Paramètres!$H$4)-PORTEFEUILLE_SEBASTIEN[[#This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3000</v>
      </c>
      <c r="AX4" s="190" t="str">
        <f>IF(PORTEFEUILLE_SEBASTIEN[[#This Row],[BONI COMPTABLE]]&lt;&gt;0,1,"")</f>
        <v/>
      </c>
      <c r="AY4" s="190">
        <f>IF(PORTEFEUILLE_SEBASTIEN[[#This Row],[MALI COMPTABLE]]&lt;&gt;0,1,"")</f>
        <v>1</v>
      </c>
      <c r="AZ4" s="188">
        <v>4</v>
      </c>
      <c r="BA4" s="188" t="s">
        <v>209</v>
      </c>
      <c r="BB4" s="188" t="s">
        <v>209</v>
      </c>
      <c r="BC4" s="188"/>
      <c r="BD4" s="188"/>
      <c r="BE4" s="188"/>
      <c r="BF4" s="188"/>
      <c r="BG4" s="192" t="s">
        <v>214</v>
      </c>
      <c r="BH4" s="194" t="s">
        <v>138</v>
      </c>
      <c r="BI4" s="194" t="s">
        <v>215</v>
      </c>
      <c r="BJ4" s="195"/>
      <c r="BK4" s="194"/>
    </row>
    <row r="5" spans="1:78" x14ac:dyDescent="0.25">
      <c r="A5" s="169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SUM(PORTEFEUILLE_SEBASTIEN[[#This Row],[PCR COMPTABLE €]:[MONTANT
RESPONSABLE RELATION CLIENT €]])-PORTEFEUILLE_SEBASTIEN[[#This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91"/>
      <c r="AN5" s="188"/>
      <c r="AO5" s="188"/>
      <c r="AP5" s="188">
        <v>60</v>
      </c>
      <c r="AQ5" s="188">
        <v>60</v>
      </c>
      <c r="AR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2200</v>
      </c>
      <c r="AT5" s="188" t="str">
        <f>IF(PORTEFEUILLE_SEBASTIEN[[#This Row],[BONI AAC]]&lt;&gt;0,1,"")</f>
        <v/>
      </c>
      <c r="AU5" s="188">
        <f>IF(PORTEFEUILLE_SEBASTIEN[[#This Row],[MALI AAC]]&lt;&gt;0,1,"")</f>
        <v>1</v>
      </c>
      <c r="AV5" s="225">
        <f>IF(AP5&lt;&gt;"",IF((AP5*Paramètres!$H$4)-PORTEFEUILLE_SEBASTIEN[[#This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€]]-(DELPHINE!AP5*Paramètres!$H$4),0),0)</f>
        <v>0</v>
      </c>
      <c r="AW5" s="225">
        <f>IF(AP5&lt;&gt;"",IF(((AP5*Paramètres!$H$4)-PORTEFEUILLE_SEBASTIEN[[#This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4150</v>
      </c>
      <c r="AX5" s="190" t="str">
        <f>IF(PORTEFEUILLE_SEBASTIEN[[#This Row],[BONI COMPTABLE]]&lt;&gt;0,1,"")</f>
        <v/>
      </c>
      <c r="AY5" s="190">
        <f>IF(PORTEFEUILLE_SEBASTIEN[[#This Row],[MALI COMPTABLE]]&lt;&gt;0,1,"")</f>
        <v>1</v>
      </c>
      <c r="AZ5" s="188"/>
      <c r="BA5" s="188"/>
      <c r="BB5" s="188"/>
      <c r="BC5" s="188"/>
      <c r="BD5" s="188"/>
      <c r="BE5" s="188"/>
      <c r="BF5" s="188"/>
      <c r="BG5" s="192" t="s">
        <v>214</v>
      </c>
      <c r="BH5" s="194" t="s">
        <v>140</v>
      </c>
      <c r="BI5" s="194" t="s">
        <v>205</v>
      </c>
      <c r="BJ5" s="195" t="s">
        <v>200</v>
      </c>
      <c r="BK5" s="194"/>
    </row>
    <row r="6" spans="1:78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SUM(PORTEFEUILLE_SEBASTIEN[[#This Row],[PCR COMPTABLE €]:[MONTANT
RESPONSABLE RELATION CLIENT €]])-PORTEFEUILLE_SEBASTIEN[[#This Row],[MONTANT TOTAL LETTRE DE MISION €]]</f>
        <v>0</v>
      </c>
      <c r="AI6" s="191"/>
      <c r="AJ6" s="188"/>
      <c r="AK6" s="188"/>
      <c r="AL6" s="188"/>
      <c r="AM6" s="191"/>
      <c r="AN6" s="188"/>
      <c r="AO6" s="188"/>
      <c r="AP6" s="188"/>
      <c r="AQ6" s="188"/>
      <c r="AR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6" s="188" t="str">
        <f>IF(PORTEFEUILLE_SEBASTIEN[[#This Row],[BONI AAC]]&lt;&gt;0,1,"")</f>
        <v/>
      </c>
      <c r="AU6" s="188" t="str">
        <f>IF(PORTEFEUILLE_SEBASTIEN[[#This Row],[MALI AAC]]&lt;&gt;0,1,"")</f>
        <v/>
      </c>
      <c r="AV6" s="225">
        <f>IF(AP6&lt;&gt;"",IF((AP6*Paramètres!$H$4)-PORTEFEUILLE_SEBASTIEN[[#This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€]]-(DELPHINE!#REF!*Paramètres!$H$4),0),0)</f>
        <v>0</v>
      </c>
      <c r="AW6" s="225">
        <f>IF(AP6&lt;&gt;"",IF(((AP6*Paramètres!$H$4)-PORTEFEUILLE_SEBASTIEN[[#This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6" s="190" t="str">
        <f>IF(PORTEFEUILLE_SEBASTIEN[[#This Row],[BONI COMPTABLE]]&lt;&gt;0,1,"")</f>
        <v/>
      </c>
      <c r="AY6" s="190" t="str">
        <f>IF(PORTEFEUILLE_SEBASTIEN[[#This Row],[MALI COMPTABLE]]&lt;&gt;0,1,"")</f>
        <v/>
      </c>
      <c r="AZ6" s="188"/>
      <c r="BA6" s="188"/>
      <c r="BB6" s="188"/>
      <c r="BC6" s="188"/>
      <c r="BD6" s="188"/>
      <c r="BE6" s="188"/>
      <c r="BF6" s="188"/>
      <c r="BG6" s="192"/>
      <c r="BH6" s="194"/>
      <c r="BI6" s="194"/>
      <c r="BJ6" s="195"/>
      <c r="BK6" s="194"/>
    </row>
    <row r="7" spans="1:78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SUM(PORTEFEUILLE_SEBASTIEN[[#This Row],[PCR COMPTABLE €]:[MONTANT
RESPONSABLE RELATION CLIENT €]])-PORTEFEUILLE_SEBASTIEN[[#This Row],[MONTANT TOTAL LETTRE DE MISION €]]</f>
        <v>0</v>
      </c>
      <c r="AI7" s="191"/>
      <c r="AJ7" s="188"/>
      <c r="AK7" s="188"/>
      <c r="AL7" s="188"/>
      <c r="AM7" s="191"/>
      <c r="AN7" s="188"/>
      <c r="AO7" s="188"/>
      <c r="AP7" s="188"/>
      <c r="AQ7" s="188"/>
      <c r="AR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7" s="188" t="str">
        <f>IF(PORTEFEUILLE_SEBASTIEN[[#This Row],[BONI AAC]]&lt;&gt;0,1,"")</f>
        <v/>
      </c>
      <c r="AU7" s="188" t="str">
        <f>IF(PORTEFEUILLE_SEBASTIEN[[#This Row],[MALI AAC]]&lt;&gt;0,1,"")</f>
        <v/>
      </c>
      <c r="AV7" s="225">
        <f>IF(AP7&lt;&gt;"",IF((AP7*Paramètres!$H$4)-PORTEFEUILLE_SEBASTIEN[[#This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€]]-(DELPHINE!AP6*Paramètres!$H$4),0),0)</f>
        <v>0</v>
      </c>
      <c r="AW7" s="225">
        <f>IF(AP7&lt;&gt;"",IF(((AP7*Paramètres!$H$4)-PORTEFEUILLE_SEBASTIEN[[#This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7" s="190" t="str">
        <f>IF(PORTEFEUILLE_SEBASTIEN[[#This Row],[BONI COMPTABLE]]&lt;&gt;0,1,"")</f>
        <v/>
      </c>
      <c r="AY7" s="190" t="str">
        <f>IF(PORTEFEUILLE_SEBASTIEN[[#This Row],[MALI COMPTABLE]]&lt;&gt;0,1,"")</f>
        <v/>
      </c>
      <c r="AZ7" s="188"/>
      <c r="BA7" s="188"/>
      <c r="BB7" s="188"/>
      <c r="BC7" s="188"/>
      <c r="BD7" s="196"/>
      <c r="BE7" s="196"/>
      <c r="BF7" s="196"/>
      <c r="BG7" s="192"/>
      <c r="BH7" s="194"/>
      <c r="BI7" s="194"/>
      <c r="BJ7" s="195"/>
      <c r="BK7" s="194"/>
    </row>
    <row r="8" spans="1:78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SUM(PORTEFEUILLE_SEBASTIEN[[#This Row],[PCR COMPTABLE €]:[MONTANT
RESPONSABLE RELATION CLIENT €]])-PORTEFEUILLE_SEBASTIEN[[#This Row],[MONTANT TOTAL LETTRE DE MISION €]]</f>
        <v>0</v>
      </c>
      <c r="AI8" s="191"/>
      <c r="AJ8" s="188"/>
      <c r="AK8" s="188"/>
      <c r="AL8" s="188"/>
      <c r="AM8" s="191"/>
      <c r="AN8" s="188"/>
      <c r="AO8" s="188"/>
      <c r="AP8" s="188"/>
      <c r="AQ8" s="188"/>
      <c r="AR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8" s="188" t="str">
        <f>IF(PORTEFEUILLE_SEBASTIEN[[#This Row],[BONI AAC]]&lt;&gt;0,1,"")</f>
        <v/>
      </c>
      <c r="AU8" s="188" t="str">
        <f>IF(PORTEFEUILLE_SEBASTIEN[[#This Row],[MALI AAC]]&lt;&gt;0,1,"")</f>
        <v/>
      </c>
      <c r="AV8" s="225">
        <f>IF(AP8&lt;&gt;"",IF((AP8*Paramètres!$H$4)-PORTEFEUILLE_SEBASTIEN[[#This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€]]-(DELPHINE!AP7*Paramètres!$H$4),0),0)</f>
        <v>0</v>
      </c>
      <c r="AW8" s="225">
        <f>IF(AP8&lt;&gt;"",IF(((AP8*Paramètres!$H$4)-PORTEFEUILLE_SEBASTIEN[[#This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8" s="190" t="str">
        <f>IF(PORTEFEUILLE_SEBASTIEN[[#This Row],[BONI COMPTABLE]]&lt;&gt;0,1,"")</f>
        <v/>
      </c>
      <c r="AY8" s="190" t="str">
        <f>IF(PORTEFEUILLE_SEBASTIEN[[#This Row],[MALI COMPTABLE]]&lt;&gt;0,1,"")</f>
        <v/>
      </c>
      <c r="AZ8" s="188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SUM(PORTEFEUILLE_SEBASTIEN[[#This Row],[PCR COMPTABLE €]:[MONTANT
RESPONSABLE RELATION CLIENT €]])-PORTEFEUILLE_SEBASTIEN[[#This Row],[MONTANT TOTAL LETTRE DE MISION €]]</f>
        <v>0</v>
      </c>
      <c r="AI9" s="191"/>
      <c r="AJ9" s="188"/>
      <c r="AK9" s="188"/>
      <c r="AL9" s="188"/>
      <c r="AM9" s="191"/>
      <c r="AN9" s="196"/>
      <c r="AO9" s="196"/>
      <c r="AP9" s="196"/>
      <c r="AQ9" s="196"/>
      <c r="AR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9" s="188" t="str">
        <f>IF(PORTEFEUILLE_SEBASTIEN[[#This Row],[BONI AAC]]&lt;&gt;0,1,"")</f>
        <v/>
      </c>
      <c r="AU9" s="188" t="str">
        <f>IF(PORTEFEUILLE_SEBASTIEN[[#This Row],[MALI AAC]]&lt;&gt;0,1,"")</f>
        <v/>
      </c>
      <c r="AV9" s="225">
        <f>IF(AP9&lt;&gt;"",IF((AP9*Paramètres!$H$4)-PORTEFEUILLE_SEBASTIEN[[#This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€]]-(DELPHINE!AP8*Paramètres!$H$4),0),0)</f>
        <v>0</v>
      </c>
      <c r="AW9" s="225">
        <f>IF(AP9&lt;&gt;"",IF(((AP9*Paramètres!$H$4)-PORTEFEUILLE_SEBASTIEN[[#This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9" s="190" t="str">
        <f>IF(PORTEFEUILLE_SEBASTIEN[[#This Row],[BONI COMPTABLE]]&lt;&gt;0,1,"")</f>
        <v/>
      </c>
      <c r="AY9" s="190" t="str">
        <f>IF(PORTEFEUILLE_SEBASTIEN[[#This Row],[MALI COMPTABLE]]&lt;&gt;0,1,"")</f>
        <v/>
      </c>
      <c r="AZ9" s="196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SUM(PORTEFEUILLE_SEBASTIEN[[#This Row],[PCR COMPTABLE €]:[MONTANT
RESPONSABLE RELATION CLIENT €]])-PORTEFEUILLE_SEBASTIEN[[#This Row],[MONTANT TOTAL LETTRE DE MISION €]]</f>
        <v>0</v>
      </c>
      <c r="AI10" s="191"/>
      <c r="AJ10" s="188"/>
      <c r="AK10" s="188"/>
      <c r="AL10" s="188"/>
      <c r="AM10" s="191"/>
      <c r="AN10" s="188"/>
      <c r="AO10" s="188"/>
      <c r="AP10" s="188"/>
      <c r="AQ10" s="188"/>
      <c r="AR1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0" s="188" t="str">
        <f>IF(PORTEFEUILLE_SEBASTIEN[[#This Row],[BONI AAC]]&lt;&gt;0,1,"")</f>
        <v/>
      </c>
      <c r="AU10" s="188" t="str">
        <f>IF(PORTEFEUILLE_SEBASTIEN[[#This Row],[MALI AAC]]&lt;&gt;0,1,"")</f>
        <v/>
      </c>
      <c r="AV10" s="225">
        <f>IF(AP10&lt;&gt;"",IF((AP10*Paramètres!$H$4)-PORTEFEUILLE_SEBASTIEN[[#This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€]]-(DELPHINE!AP9*Paramètres!$H$4),0),0)</f>
        <v>0</v>
      </c>
      <c r="AW10" s="225">
        <f>IF(AP10&lt;&gt;"",IF(((AP10*Paramètres!$H$4)-PORTEFEUILLE_SEBASTIEN[[#This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0" s="190" t="str">
        <f>IF(PORTEFEUILLE_SEBASTIEN[[#This Row],[BONI COMPTABLE]]&lt;&gt;0,1,"")</f>
        <v/>
      </c>
      <c r="AY10" s="190" t="str">
        <f>IF(PORTEFEUILLE_SEBASTIEN[[#This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SUM(PORTEFEUILLE_SEBASTIEN[[#This Row],[PCR COMPTABLE €]:[MONTANT
RESPONSABLE RELATION CLIENT €]])-PORTEFEUILLE_SEBASTIEN[[#This Row],[MONTANT TOTAL LETTRE DE MISION €]]</f>
        <v>0</v>
      </c>
      <c r="AI11" s="191"/>
      <c r="AJ11" s="188"/>
      <c r="AK11" s="188"/>
      <c r="AL11" s="188"/>
      <c r="AM11" s="191"/>
      <c r="AN11" s="188"/>
      <c r="AO11" s="188"/>
      <c r="AP11" s="188"/>
      <c r="AQ11" s="188"/>
      <c r="AR1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1" s="188" t="str">
        <f>IF(PORTEFEUILLE_SEBASTIEN[[#This Row],[BONI AAC]]&lt;&gt;0,1,"")</f>
        <v/>
      </c>
      <c r="AU11" s="188" t="str">
        <f>IF(PORTEFEUILLE_SEBASTIEN[[#This Row],[MALI AAC]]&lt;&gt;0,1,"")</f>
        <v/>
      </c>
      <c r="AV11" s="225">
        <f>IF(AP11&lt;&gt;"",IF((AP11*Paramètres!$H$4)-PORTEFEUILLE_SEBASTIEN[[#This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€]]-(DELPHINE!AP10*Paramètres!$H$4),0),0)</f>
        <v>0</v>
      </c>
      <c r="AW11" s="225">
        <f>IF(AP11&lt;&gt;"",IF(((AP11*Paramètres!$H$4)-PORTEFEUILLE_SEBASTIEN[[#This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1" s="190" t="str">
        <f>IF(PORTEFEUILLE_SEBASTIEN[[#This Row],[BONI COMPTABLE]]&lt;&gt;0,1,"")</f>
        <v/>
      </c>
      <c r="AY11" s="190" t="str">
        <f>IF(PORTEFEUILLE_SEBASTIEN[[#This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SUM(PORTEFEUILLE_SEBASTIEN[[#This Row],[PCR COMPTABLE €]:[MONTANT
RESPONSABLE RELATION CLIENT €]])-PORTEFEUILLE_SEBASTIEN[[#This Row],[MONTANT TOTAL LETTRE DE MISION €]]</f>
        <v>0</v>
      </c>
      <c r="AI12" s="191"/>
      <c r="AJ12" s="188"/>
      <c r="AK12" s="188"/>
      <c r="AL12" s="188"/>
      <c r="AM12" s="191"/>
      <c r="AN12" s="188"/>
      <c r="AO12" s="188"/>
      <c r="AP12" s="188"/>
      <c r="AQ12" s="188"/>
      <c r="AR1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2" s="188" t="str">
        <f>IF(PORTEFEUILLE_SEBASTIEN[[#This Row],[BONI AAC]]&lt;&gt;0,1,"")</f>
        <v/>
      </c>
      <c r="AU12" s="188" t="str">
        <f>IF(PORTEFEUILLE_SEBASTIEN[[#This Row],[MALI AAC]]&lt;&gt;0,1,"")</f>
        <v/>
      </c>
      <c r="AV12" s="225">
        <f>IF(AP12&lt;&gt;"",IF((AP12*Paramètres!$H$4)-PORTEFEUILLE_SEBASTIEN[[#This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€]]-(DELPHINE!AP11*Paramètres!$H$4),0),0)</f>
        <v>0</v>
      </c>
      <c r="AW12" s="225">
        <f>IF(AP12&lt;&gt;"",IF(((AP12*Paramètres!$H$4)-PORTEFEUILLE_SEBASTIEN[[#This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2" s="190" t="str">
        <f>IF(PORTEFEUILLE_SEBASTIEN[[#This Row],[BONI COMPTABLE]]&lt;&gt;0,1,"")</f>
        <v/>
      </c>
      <c r="AY12" s="190" t="str">
        <f>IF(PORTEFEUILLE_SEBASTIEN[[#This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SUM(PORTEFEUILLE_SEBASTIEN[[#This Row],[PCR COMPTABLE €]:[MONTANT
RESPONSABLE RELATION CLIENT €]])-PORTEFEUILLE_SEBASTIEN[[#This Row],[MONTANT TOTAL LETTRE DE MISION €]]</f>
        <v>0</v>
      </c>
      <c r="AI13" s="191"/>
      <c r="AJ13" s="188"/>
      <c r="AK13" s="188"/>
      <c r="AL13" s="188"/>
      <c r="AM13" s="191"/>
      <c r="AN13" s="188"/>
      <c r="AO13" s="188"/>
      <c r="AP13" s="188"/>
      <c r="AQ13" s="188"/>
      <c r="AR1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3" s="188" t="str">
        <f>IF(PORTEFEUILLE_SEBASTIEN[[#This Row],[BONI AAC]]&lt;&gt;0,1,"")</f>
        <v/>
      </c>
      <c r="AU13" s="188" t="str">
        <f>IF(PORTEFEUILLE_SEBASTIEN[[#This Row],[MALI AAC]]&lt;&gt;0,1,"")</f>
        <v/>
      </c>
      <c r="AV13" s="225">
        <f>IF(AP13&lt;&gt;"",IF((AP13*Paramètres!$H$4)-PORTEFEUILLE_SEBASTIEN[[#This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€]]-(DELPHINE!AP12*Paramètres!$H$4),0),0)</f>
        <v>0</v>
      </c>
      <c r="AW13" s="225">
        <f>IF(AP13&lt;&gt;"",IF(((AP13*Paramètres!$H$4)-PORTEFEUILLE_SEBASTIEN[[#This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3" s="190" t="str">
        <f>IF(PORTEFEUILLE_SEBASTIEN[[#This Row],[BONI COMPTABLE]]&lt;&gt;0,1,"")</f>
        <v/>
      </c>
      <c r="AY13" s="190" t="str">
        <f>IF(PORTEFEUILLE_SEBASTIEN[[#This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SUM(PORTEFEUILLE_SEBASTIEN[[#This Row],[PCR COMPTABLE €]:[MONTANT
RESPONSABLE RELATION CLIENT €]])-PORTEFEUILLE_SEBASTIEN[[#This Row],[MONTANT TOTAL LETTRE DE MISION €]]</f>
        <v>0</v>
      </c>
      <c r="AI14" s="191"/>
      <c r="AJ14" s="188"/>
      <c r="AK14" s="188"/>
      <c r="AL14" s="188"/>
      <c r="AM14" s="191"/>
      <c r="AN14" s="188"/>
      <c r="AO14" s="188"/>
      <c r="AP14" s="188"/>
      <c r="AQ14" s="188"/>
      <c r="AR1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4" s="188" t="str">
        <f>IF(PORTEFEUILLE_SEBASTIEN[[#This Row],[BONI AAC]]&lt;&gt;0,1,"")</f>
        <v/>
      </c>
      <c r="AU14" s="188" t="str">
        <f>IF(PORTEFEUILLE_SEBASTIEN[[#This Row],[MALI AAC]]&lt;&gt;0,1,"")</f>
        <v/>
      </c>
      <c r="AV14" s="225">
        <f>IF(AP14&lt;&gt;"",IF((AP14*Paramètres!$H$4)-PORTEFEUILLE_SEBASTIEN[[#This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€]]-(DELPHINE!AP13*Paramètres!$H$4),0),0)</f>
        <v>0</v>
      </c>
      <c r="AW14" s="225">
        <f>IF(AP14&lt;&gt;"",IF(((AP14*Paramètres!$H$4)-PORTEFEUILLE_SEBASTIEN[[#This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4" s="190" t="str">
        <f>IF(PORTEFEUILLE_SEBASTIEN[[#This Row],[BONI COMPTABLE]]&lt;&gt;0,1,"")</f>
        <v/>
      </c>
      <c r="AY14" s="190" t="str">
        <f>IF(PORTEFEUILLE_SEBASTIEN[[#This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SUM(PORTEFEUILLE_SEBASTIEN[[#This Row],[PCR COMPTABLE €]:[MONTANT
RESPONSABLE RELATION CLIENT €]])-PORTEFEUILLE_SEBASTIEN[[#This Row],[MONTANT TOTAL LETTRE DE MISION €]]</f>
        <v>0</v>
      </c>
      <c r="AI15" s="191"/>
      <c r="AJ15" s="188"/>
      <c r="AK15" s="188"/>
      <c r="AL15" s="188"/>
      <c r="AM15" s="191"/>
      <c r="AN15" s="188"/>
      <c r="AO15" s="188"/>
      <c r="AP15" s="188"/>
      <c r="AQ15" s="188"/>
      <c r="AR1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5" s="188" t="str">
        <f>IF(PORTEFEUILLE_SEBASTIEN[[#This Row],[BONI AAC]]&lt;&gt;0,1,"")</f>
        <v/>
      </c>
      <c r="AU15" s="188" t="str">
        <f>IF(PORTEFEUILLE_SEBASTIEN[[#This Row],[MALI AAC]]&lt;&gt;0,1,"")</f>
        <v/>
      </c>
      <c r="AV15" s="225">
        <f>IF(AP15&lt;&gt;"",IF((AP15*Paramètres!$H$4)-PORTEFEUILLE_SEBASTIEN[[#This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€]]-(DELPHINE!AP14*Paramètres!$H$4),0),0)</f>
        <v>0</v>
      </c>
      <c r="AW15" s="225">
        <f>IF(AP15&lt;&gt;"",IF(((AP15*Paramètres!$H$4)-PORTEFEUILLE_SEBASTIEN[[#This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5" s="190" t="str">
        <f>IF(PORTEFEUILLE_SEBASTIEN[[#This Row],[BONI COMPTABLE]]&lt;&gt;0,1,"")</f>
        <v/>
      </c>
      <c r="AY15" s="190" t="str">
        <f>IF(PORTEFEUILLE_SEBASTIEN[[#This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SUM(PORTEFEUILLE_SEBASTIEN[[#This Row],[PCR COMPTABLE €]:[MONTANT
RESPONSABLE RELATION CLIENT €]])-PORTEFEUILLE_SEBASTIEN[[#This Row],[MONTANT TOTAL LETTRE DE MISION €]]</f>
        <v>0</v>
      </c>
      <c r="AI16" s="191"/>
      <c r="AJ16" s="188"/>
      <c r="AK16" s="188"/>
      <c r="AL16" s="188"/>
      <c r="AM16" s="191"/>
      <c r="AN16" s="188"/>
      <c r="AO16" s="188"/>
      <c r="AP16" s="188"/>
      <c r="AQ16" s="188"/>
      <c r="AR1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6" s="188" t="str">
        <f>IF(PORTEFEUILLE_SEBASTIEN[[#This Row],[BONI AAC]]&lt;&gt;0,1,"")</f>
        <v/>
      </c>
      <c r="AU16" s="188" t="str">
        <f>IF(PORTEFEUILLE_SEBASTIEN[[#This Row],[MALI AAC]]&lt;&gt;0,1,"")</f>
        <v/>
      </c>
      <c r="AV16" s="225">
        <f>IF(AP16&lt;&gt;"",IF((AP16*Paramètres!$H$4)-PORTEFEUILLE_SEBASTIEN[[#This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€]]-(DELPHINE!AP15*Paramètres!$H$4),0),0)</f>
        <v>0</v>
      </c>
      <c r="AW16" s="225">
        <f>IF(AP16&lt;&gt;"",IF(((AP16*Paramètres!$H$4)-PORTEFEUILLE_SEBASTIEN[[#This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6" s="190" t="str">
        <f>IF(PORTEFEUILLE_SEBASTIEN[[#This Row],[BONI COMPTABLE]]&lt;&gt;0,1,"")</f>
        <v/>
      </c>
      <c r="AY16" s="190" t="str">
        <f>IF(PORTEFEUILLE_SEBASTIEN[[#This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SUM(PORTEFEUILLE_SEBASTIEN[[#This Row],[PCR COMPTABLE €]:[MONTANT
RESPONSABLE RELATION CLIENT €]])-PORTEFEUILLE_SEBASTIEN[[#This Row],[MONTANT TOTAL LETTRE DE MISION €]]</f>
        <v>0</v>
      </c>
      <c r="AI17" s="191"/>
      <c r="AJ17" s="188"/>
      <c r="AK17" s="188"/>
      <c r="AL17" s="188"/>
      <c r="AM17" s="191"/>
      <c r="AN17" s="188"/>
      <c r="AO17" s="188"/>
      <c r="AP17" s="188"/>
      <c r="AQ17" s="188"/>
      <c r="AR1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7" s="188" t="str">
        <f>IF(PORTEFEUILLE_SEBASTIEN[[#This Row],[BONI AAC]]&lt;&gt;0,1,"")</f>
        <v/>
      </c>
      <c r="AU17" s="188" t="str">
        <f>IF(PORTEFEUILLE_SEBASTIEN[[#This Row],[MALI AAC]]&lt;&gt;0,1,"")</f>
        <v/>
      </c>
      <c r="AV17" s="225">
        <f>IF(AP17&lt;&gt;"",IF((AP17*Paramètres!$H$4)-PORTEFEUILLE_SEBASTIEN[[#This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€]]-(DELPHINE!AP16*Paramètres!$H$4),0),0)</f>
        <v>0</v>
      </c>
      <c r="AW17" s="225">
        <f>IF(AP17&lt;&gt;"",IF(((AP17*Paramètres!$H$4)-PORTEFEUILLE_SEBASTIEN[[#This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7" s="190" t="str">
        <f>IF(PORTEFEUILLE_SEBASTIEN[[#This Row],[BONI COMPTABLE]]&lt;&gt;0,1,"")</f>
        <v/>
      </c>
      <c r="AY17" s="190" t="str">
        <f>IF(PORTEFEUILLE_SEBASTIEN[[#This Row],[MALI COMPTABLE]]&lt;&gt;0,1,"")</f>
        <v/>
      </c>
      <c r="AZ17" s="188"/>
      <c r="BA17" s="188"/>
      <c r="BB17" s="188"/>
      <c r="BC17" s="188"/>
      <c r="BD17" s="188"/>
      <c r="BE17" s="188"/>
      <c r="BF17" s="188"/>
      <c r="BG17" s="192"/>
      <c r="BH17" s="194"/>
      <c r="BI17" s="194"/>
      <c r="BJ17" s="195"/>
      <c r="BK17" s="194"/>
    </row>
    <row r="18" spans="1:63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SUM(PORTEFEUILLE_SEBASTIEN[[#This Row],[PCR COMPTABLE €]:[MONTANT
RESPONSABLE RELATION CLIENT €]])-PORTEFEUILLE_SEBASTIEN[[#This Row],[MONTANT TOTAL LETTRE DE MISION €]]</f>
        <v>0</v>
      </c>
      <c r="AI18" s="191"/>
      <c r="AJ18" s="188"/>
      <c r="AK18" s="188"/>
      <c r="AL18" s="188"/>
      <c r="AM18" s="191"/>
      <c r="AN18" s="188"/>
      <c r="AO18" s="188"/>
      <c r="AP18" s="188"/>
      <c r="AQ18" s="188"/>
      <c r="AR1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8" s="188" t="str">
        <f>IF(PORTEFEUILLE_SEBASTIEN[[#This Row],[BONI AAC]]&lt;&gt;0,1,"")</f>
        <v/>
      </c>
      <c r="AU18" s="188" t="str">
        <f>IF(PORTEFEUILLE_SEBASTIEN[[#This Row],[MALI AAC]]&lt;&gt;0,1,"")</f>
        <v/>
      </c>
      <c r="AV18" s="225">
        <f>IF(AP18&lt;&gt;"",IF((AP18*Paramètres!$H$4)-PORTEFEUILLE_SEBASTIEN[[#This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€]]-(DELPHINE!AP17*Paramètres!$H$4),0),0)</f>
        <v>0</v>
      </c>
      <c r="AW18" s="225">
        <f>IF(AP18&lt;&gt;"",IF(((AP18*Paramètres!$H$4)-PORTEFEUILLE_SEBASTIEN[[#This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8" s="190" t="str">
        <f>IF(PORTEFEUILLE_SEBASTIEN[[#This Row],[BONI COMPTABLE]]&lt;&gt;0,1,"")</f>
        <v/>
      </c>
      <c r="AY18" s="190" t="str">
        <f>IF(PORTEFEUILLE_SEBASTIEN[[#This Row],[MALI COMPTABLE]]&lt;&gt;0,1,"")</f>
        <v/>
      </c>
      <c r="AZ18" s="188"/>
      <c r="BA18" s="188"/>
      <c r="BB18" s="188"/>
      <c r="BC18" s="188"/>
      <c r="BD18" s="188"/>
      <c r="BE18" s="188"/>
      <c r="BF18" s="188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SUM(PORTEFEUILLE_SEBASTIEN[[#This Row],[PCR COMPTABLE €]:[MONTANT
RESPONSABLE RELATION CLIENT €]])-PORTEFEUILLE_SEBASTIEN[[#This Row],[MONTANT TOTAL LETTRE DE MISION €]]</f>
        <v>0</v>
      </c>
      <c r="AI19" s="191"/>
      <c r="AJ19" s="188"/>
      <c r="AK19" s="188"/>
      <c r="AL19" s="188"/>
      <c r="AM19" s="191"/>
      <c r="AN19" s="188"/>
      <c r="AO19" s="188"/>
      <c r="AP19" s="188"/>
      <c r="AQ19" s="188"/>
      <c r="AR1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1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19" s="188" t="str">
        <f>IF(PORTEFEUILLE_SEBASTIEN[[#This Row],[BONI AAC]]&lt;&gt;0,1,"")</f>
        <v/>
      </c>
      <c r="AU19" s="188" t="str">
        <f>IF(PORTEFEUILLE_SEBASTIEN[[#This Row],[MALI AAC]]&lt;&gt;0,1,"")</f>
        <v/>
      </c>
      <c r="AV19" s="225">
        <f>IF(AP19&lt;&gt;"",IF((AP19*Paramètres!$H$4)-PORTEFEUILLE_SEBASTIEN[[#This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€]]-(DELPHINE!AP18*Paramètres!$H$4),0),0)</f>
        <v>0</v>
      </c>
      <c r="AW19" s="225">
        <f>IF(AP19&lt;&gt;"",IF(((AP19*Paramètres!$H$4)-PORTEFEUILLE_SEBASTIEN[[#This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19" s="190" t="str">
        <f>IF(PORTEFEUILLE_SEBASTIEN[[#This Row],[BONI COMPTABLE]]&lt;&gt;0,1,"")</f>
        <v/>
      </c>
      <c r="AY19" s="190" t="str">
        <f>IF(PORTEFEUILLE_SEBASTIEN[[#This Row],[MALI COMPTABLE]]&lt;&gt;0,1,"")</f>
        <v/>
      </c>
      <c r="AZ19" s="188"/>
      <c r="BA19" s="188"/>
      <c r="BB19" s="188"/>
      <c r="BC19" s="188"/>
      <c r="BD19" s="188"/>
      <c r="BE19" s="188"/>
      <c r="BF19" s="188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SUM(PORTEFEUILLE_SEBASTIEN[[#This Row],[PCR COMPTABLE €]:[MONTANT
RESPONSABLE RELATION CLIENT €]])-PORTEFEUILLE_SEBASTIEN[[#This Row],[MONTANT TOTAL LETTRE DE MISION €]]</f>
        <v>0</v>
      </c>
      <c r="AI20" s="191"/>
      <c r="AJ20" s="188"/>
      <c r="AK20" s="188"/>
      <c r="AL20" s="188"/>
      <c r="AM20" s="191"/>
      <c r="AN20" s="196"/>
      <c r="AO20" s="196"/>
      <c r="AP20" s="196"/>
      <c r="AQ20" s="196"/>
      <c r="AR2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0" s="188" t="str">
        <f>IF(PORTEFEUILLE_SEBASTIEN[[#This Row],[BONI AAC]]&lt;&gt;0,1,"")</f>
        <v/>
      </c>
      <c r="AU20" s="188" t="str">
        <f>IF(PORTEFEUILLE_SEBASTIEN[[#This Row],[MALI AAC]]&lt;&gt;0,1,"")</f>
        <v/>
      </c>
      <c r="AV20" s="225">
        <f>IF(AP20&lt;&gt;"",IF((AP20*Paramètres!$H$4)-PORTEFEUILLE_SEBASTIEN[[#This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€]]-(DELPHINE!AP19*Paramètres!$H$4),0),0)</f>
        <v>0</v>
      </c>
      <c r="AW20" s="225">
        <f>IF(AP20&lt;&gt;"",IF(((AP20*Paramètres!$H$4)-PORTEFEUILLE_SEBASTIEN[[#This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0" s="190" t="str">
        <f>IF(PORTEFEUILLE_SEBASTIEN[[#This Row],[BONI COMPTABLE]]&lt;&gt;0,1,"")</f>
        <v/>
      </c>
      <c r="AY20" s="190" t="str">
        <f>IF(PORTEFEUILLE_SEBASTIEN[[#This Row],[MALI COMPTABLE]]&lt;&gt;0,1,"")</f>
        <v/>
      </c>
      <c r="AZ20" s="196"/>
      <c r="BA20" s="188"/>
      <c r="BB20" s="188"/>
      <c r="BC20" s="188"/>
      <c r="BD20" s="196"/>
      <c r="BE20" s="196"/>
      <c r="BF20" s="196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SUM(PORTEFEUILLE_SEBASTIEN[[#This Row],[PCR COMPTABLE €]:[MONTANT
RESPONSABLE RELATION CLIENT €]])-PORTEFEUILLE_SEBASTIEN[[#This Row],[MONTANT TOTAL LETTRE DE MISION €]]</f>
        <v>0</v>
      </c>
      <c r="AI21" s="191"/>
      <c r="AJ21" s="188"/>
      <c r="AK21" s="188"/>
      <c r="AL21" s="188"/>
      <c r="AM21" s="191"/>
      <c r="AN21" s="188"/>
      <c r="AO21" s="188"/>
      <c r="AP21" s="188"/>
      <c r="AQ21" s="188"/>
      <c r="AR2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1" s="188" t="str">
        <f>IF(PORTEFEUILLE_SEBASTIEN[[#This Row],[BONI AAC]]&lt;&gt;0,1,"")</f>
        <v/>
      </c>
      <c r="AU21" s="188" t="str">
        <f>IF(PORTEFEUILLE_SEBASTIEN[[#This Row],[MALI AAC]]&lt;&gt;0,1,"")</f>
        <v/>
      </c>
      <c r="AV21" s="225">
        <f>IF(AP21&lt;&gt;"",IF((AP21*Paramètres!$H$4)-PORTEFEUILLE_SEBASTIEN[[#This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€]]-(DELPHINE!AP20*Paramètres!$H$4),0),0)</f>
        <v>0</v>
      </c>
      <c r="AW21" s="225">
        <f>IF(AP21&lt;&gt;"",IF(((AP21*Paramètres!$H$4)-PORTEFEUILLE_SEBASTIEN[[#This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1" s="190" t="str">
        <f>IF(PORTEFEUILLE_SEBASTIEN[[#This Row],[BONI COMPTABLE]]&lt;&gt;0,1,"")</f>
        <v/>
      </c>
      <c r="AY21" s="190" t="str">
        <f>IF(PORTEFEUILLE_SEBASTIEN[[#This Row],[MALI COMPTABLE]]&lt;&gt;0,1,"")</f>
        <v/>
      </c>
      <c r="AZ21" s="188"/>
      <c r="BA21" s="188"/>
      <c r="BB21" s="188"/>
      <c r="BC21" s="188"/>
      <c r="BD21" s="196"/>
      <c r="BE21" s="196"/>
      <c r="BF21" s="196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SUM(PORTEFEUILLE_SEBASTIEN[[#This Row],[PCR COMPTABLE €]:[MONTANT
RESPONSABLE RELATION CLIENT €]])-PORTEFEUILLE_SEBASTIEN[[#This Row],[MONTANT TOTAL LETTRE DE MISION €]]</f>
        <v>0</v>
      </c>
      <c r="AI22" s="191"/>
      <c r="AJ22" s="188"/>
      <c r="AK22" s="188"/>
      <c r="AL22" s="188"/>
      <c r="AM22" s="191"/>
      <c r="AN22" s="197"/>
      <c r="AO22" s="197"/>
      <c r="AP22" s="197"/>
      <c r="AQ22" s="197"/>
      <c r="AR2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2" s="188" t="str">
        <f>IF(PORTEFEUILLE_SEBASTIEN[[#This Row],[BONI AAC]]&lt;&gt;0,1,"")</f>
        <v/>
      </c>
      <c r="AU22" s="188" t="str">
        <f>IF(PORTEFEUILLE_SEBASTIEN[[#This Row],[MALI AAC]]&lt;&gt;0,1,"")</f>
        <v/>
      </c>
      <c r="AV22" s="225">
        <f>IF(AP22&lt;&gt;"",IF((AP22*Paramètres!$H$4)-PORTEFEUILLE_SEBASTIEN[[#This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€]]-(DELPHINE!AP21*Paramètres!$H$4),0),0)</f>
        <v>0</v>
      </c>
      <c r="AW22" s="225">
        <f>IF(AP22&lt;&gt;"",IF(((AP22*Paramètres!$H$4)-PORTEFEUILLE_SEBASTIEN[[#This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2" s="190" t="str">
        <f>IF(PORTEFEUILLE_SEBASTIEN[[#This Row],[BONI COMPTABLE]]&lt;&gt;0,1,"")</f>
        <v/>
      </c>
      <c r="AY22" s="190" t="str">
        <f>IF(PORTEFEUILLE_SEBASTIEN[[#This Row],[MALI COMPTABLE]]&lt;&gt;0,1,"")</f>
        <v/>
      </c>
      <c r="AZ22" s="188"/>
      <c r="BA22" s="188"/>
      <c r="BB22" s="188"/>
      <c r="BC22" s="188"/>
      <c r="BD22" s="196"/>
      <c r="BE22" s="196"/>
      <c r="BF22" s="196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SUM(PORTEFEUILLE_SEBASTIEN[[#This Row],[PCR COMPTABLE €]:[MONTANT
RESPONSABLE RELATION CLIENT €]])-PORTEFEUILLE_SEBASTIEN[[#This Row],[MONTANT TOTAL LETTRE DE MISION €]]</f>
        <v>0</v>
      </c>
      <c r="AI23" s="191"/>
      <c r="AJ23" s="188"/>
      <c r="AK23" s="188"/>
      <c r="AL23" s="188"/>
      <c r="AM23" s="191"/>
      <c r="AN23" s="188"/>
      <c r="AO23" s="188"/>
      <c r="AP23" s="188"/>
      <c r="AQ23" s="188"/>
      <c r="AR2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3" s="188" t="str">
        <f>IF(PORTEFEUILLE_SEBASTIEN[[#This Row],[BONI AAC]]&lt;&gt;0,1,"")</f>
        <v/>
      </c>
      <c r="AU23" s="188" t="str">
        <f>IF(PORTEFEUILLE_SEBASTIEN[[#This Row],[MALI AAC]]&lt;&gt;0,1,"")</f>
        <v/>
      </c>
      <c r="AV23" s="225">
        <f>IF(AP23&lt;&gt;"",IF((AP23*Paramètres!$H$4)-PORTEFEUILLE_SEBASTIEN[[#This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€]]-(DELPHINE!AP22*Paramètres!$H$4),0),0)</f>
        <v>0</v>
      </c>
      <c r="AW23" s="225">
        <f>IF(AP23&lt;&gt;"",IF(((AP23*Paramètres!$H$4)-PORTEFEUILLE_SEBASTIEN[[#This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3" s="190" t="str">
        <f>IF(PORTEFEUILLE_SEBASTIEN[[#This Row],[BONI COMPTABLE]]&lt;&gt;0,1,"")</f>
        <v/>
      </c>
      <c r="AY23" s="190" t="str">
        <f>IF(PORTEFEUILLE_SEBASTIEN[[#This Row],[MALI COMPTABLE]]&lt;&gt;0,1,"")</f>
        <v/>
      </c>
      <c r="AZ23" s="188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SUM(PORTEFEUILLE_SEBASTIEN[[#This Row],[PCR COMPTABLE €]:[MONTANT
RESPONSABLE RELATION CLIENT €]])-PORTEFEUILLE_SEBASTIEN[[#This Row],[MONTANT TOTAL LETTRE DE MISION €]]</f>
        <v>0</v>
      </c>
      <c r="AI24" s="191"/>
      <c r="AJ24" s="188"/>
      <c r="AK24" s="188"/>
      <c r="AL24" s="188"/>
      <c r="AM24" s="191"/>
      <c r="AN24" s="196"/>
      <c r="AO24" s="196"/>
      <c r="AP24" s="196"/>
      <c r="AQ24" s="196"/>
      <c r="AR2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4" s="188" t="str">
        <f>IF(PORTEFEUILLE_SEBASTIEN[[#This Row],[BONI AAC]]&lt;&gt;0,1,"")</f>
        <v/>
      </c>
      <c r="AU24" s="188" t="str">
        <f>IF(PORTEFEUILLE_SEBASTIEN[[#This Row],[MALI AAC]]&lt;&gt;0,1,"")</f>
        <v/>
      </c>
      <c r="AV24" s="225">
        <f>IF(AP24&lt;&gt;"",IF((AP24*Paramètres!$H$4)-PORTEFEUILLE_SEBASTIEN[[#This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€]]-(DELPHINE!AP23*Paramètres!$H$4),0),0)</f>
        <v>0</v>
      </c>
      <c r="AW24" s="225">
        <f>IF(AP24&lt;&gt;"",IF(((AP24*Paramètres!$H$4)-PORTEFEUILLE_SEBASTIEN[[#This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4" s="190" t="str">
        <f>IF(PORTEFEUILLE_SEBASTIEN[[#This Row],[BONI COMPTABLE]]&lt;&gt;0,1,"")</f>
        <v/>
      </c>
      <c r="AY24" s="190" t="str">
        <f>IF(PORTEFEUILLE_SEBASTIEN[[#This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SUM(PORTEFEUILLE_SEBASTIEN[[#This Row],[PCR COMPTABLE €]:[MONTANT
RESPONSABLE RELATION CLIENT €]])-PORTEFEUILLE_SEBASTIEN[[#This Row],[MONTANT TOTAL LETTRE DE MISION €]]</f>
        <v>0</v>
      </c>
      <c r="AI25" s="191"/>
      <c r="AJ25" s="188"/>
      <c r="AK25" s="188"/>
      <c r="AL25" s="188"/>
      <c r="AM25" s="191"/>
      <c r="AN25" s="196"/>
      <c r="AO25" s="196"/>
      <c r="AP25" s="196"/>
      <c r="AQ25" s="196"/>
      <c r="AR2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5" s="188" t="str">
        <f>IF(PORTEFEUILLE_SEBASTIEN[[#This Row],[BONI AAC]]&lt;&gt;0,1,"")</f>
        <v/>
      </c>
      <c r="AU25" s="188" t="str">
        <f>IF(PORTEFEUILLE_SEBASTIEN[[#This Row],[MALI AAC]]&lt;&gt;0,1,"")</f>
        <v/>
      </c>
      <c r="AV25" s="225">
        <f>IF(AP25&lt;&gt;"",IF((AP25*Paramètres!$H$4)-PORTEFEUILLE_SEBASTIEN[[#This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€]]-(DELPHINE!AP24*Paramètres!$H$4),0),0)</f>
        <v>0</v>
      </c>
      <c r="AW25" s="225">
        <f>IF(AP25&lt;&gt;"",IF(((AP25*Paramètres!$H$4)-PORTEFEUILLE_SEBASTIEN[[#This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5" s="190" t="str">
        <f>IF(PORTEFEUILLE_SEBASTIEN[[#This Row],[BONI COMPTABLE]]&lt;&gt;0,1,"")</f>
        <v/>
      </c>
      <c r="AY25" s="190" t="str">
        <f>IF(PORTEFEUILLE_SEBASTIEN[[#This Row],[MALI COMPTABLE]]&lt;&gt;0,1,"")</f>
        <v/>
      </c>
      <c r="AZ25" s="196"/>
      <c r="BA25" s="188"/>
      <c r="BB25" s="188"/>
      <c r="BC25" s="188"/>
      <c r="BD25" s="188"/>
      <c r="BE25" s="188"/>
      <c r="BF25" s="188"/>
      <c r="BG25" s="192"/>
      <c r="BH25" s="194"/>
      <c r="BI25" s="194"/>
      <c r="BJ25" s="195"/>
      <c r="BK25" s="194"/>
    </row>
    <row r="26" spans="1:63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SUM(PORTEFEUILLE_SEBASTIEN[[#This Row],[PCR COMPTABLE €]:[MONTANT
RESPONSABLE RELATION CLIENT €]])-PORTEFEUILLE_SEBASTIEN[[#This Row],[MONTANT TOTAL LETTRE DE MISION €]]</f>
        <v>0</v>
      </c>
      <c r="AI26" s="191"/>
      <c r="AJ26" s="188"/>
      <c r="AK26" s="188"/>
      <c r="AL26" s="188"/>
      <c r="AM26" s="191"/>
      <c r="AN26" s="196"/>
      <c r="AO26" s="196"/>
      <c r="AP26" s="196"/>
      <c r="AQ26" s="196"/>
      <c r="AR2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6" s="188" t="str">
        <f>IF(PORTEFEUILLE_SEBASTIEN[[#This Row],[BONI AAC]]&lt;&gt;0,1,"")</f>
        <v/>
      </c>
      <c r="AU26" s="188" t="str">
        <f>IF(PORTEFEUILLE_SEBASTIEN[[#This Row],[MALI AAC]]&lt;&gt;0,1,"")</f>
        <v/>
      </c>
      <c r="AV26" s="225">
        <f>IF(AP26&lt;&gt;"",IF((AP26*Paramètres!$H$4)-PORTEFEUILLE_SEBASTIEN[[#This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€]]-(DELPHINE!AP25*Paramètres!$H$4),0),0)</f>
        <v>0</v>
      </c>
      <c r="AW26" s="225">
        <f>IF(AP26&lt;&gt;"",IF(((AP26*Paramètres!$H$4)-PORTEFEUILLE_SEBASTIEN[[#This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6" s="190" t="str">
        <f>IF(PORTEFEUILLE_SEBASTIEN[[#This Row],[BONI COMPTABLE]]&lt;&gt;0,1,"")</f>
        <v/>
      </c>
      <c r="AY26" s="190" t="str">
        <f>IF(PORTEFEUILLE_SEBASTIEN[[#This Row],[MALI COMPTABLE]]&lt;&gt;0,1,"")</f>
        <v/>
      </c>
      <c r="AZ26" s="196"/>
      <c r="BA26" s="188"/>
      <c r="BB26" s="188"/>
      <c r="BC26" s="188"/>
      <c r="BD26" s="188"/>
      <c r="BE26" s="188"/>
      <c r="BF26" s="188"/>
      <c r="BG26" s="192"/>
      <c r="BH26" s="194"/>
      <c r="BI26" s="194"/>
      <c r="BJ26" s="195"/>
      <c r="BK26" s="194"/>
    </row>
    <row r="27" spans="1:63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SUM(PORTEFEUILLE_SEBASTIEN[[#This Row],[PCR COMPTABLE €]:[MONTANT
RESPONSABLE RELATION CLIENT €]])-PORTEFEUILLE_SEBASTIEN[[#This Row],[MONTANT TOTAL LETTRE DE MISION €]]</f>
        <v>0</v>
      </c>
      <c r="AI27" s="191"/>
      <c r="AJ27" s="188"/>
      <c r="AK27" s="188"/>
      <c r="AL27" s="188"/>
      <c r="AM27" s="191"/>
      <c r="AN27" s="196"/>
      <c r="AO27" s="196"/>
      <c r="AP27" s="196"/>
      <c r="AQ27" s="196"/>
      <c r="AR2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7" s="188" t="str">
        <f>IF(PORTEFEUILLE_SEBASTIEN[[#This Row],[BONI AAC]]&lt;&gt;0,1,"")</f>
        <v/>
      </c>
      <c r="AU27" s="188" t="str">
        <f>IF(PORTEFEUILLE_SEBASTIEN[[#This Row],[MALI AAC]]&lt;&gt;0,1,"")</f>
        <v/>
      </c>
      <c r="AV27" s="225">
        <f>IF(AP27&lt;&gt;"",IF((AP27*Paramètres!$H$4)-PORTEFEUILLE_SEBASTIEN[[#This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€]]-(DELPHINE!AP26*Paramètres!$H$4),0),0)</f>
        <v>0</v>
      </c>
      <c r="AW27" s="225">
        <f>IF(AP27&lt;&gt;"",IF(((AP27*Paramètres!$H$4)-PORTEFEUILLE_SEBASTIEN[[#This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7" s="190" t="str">
        <f>IF(PORTEFEUILLE_SEBASTIEN[[#This Row],[BONI COMPTABLE]]&lt;&gt;0,1,"")</f>
        <v/>
      </c>
      <c r="AY27" s="190" t="str">
        <f>IF(PORTEFEUILLE_SEBASTIEN[[#This Row],[MALI COMPTABLE]]&lt;&gt;0,1,"")</f>
        <v/>
      </c>
      <c r="AZ27" s="196"/>
      <c r="BA27" s="188"/>
      <c r="BB27" s="188"/>
      <c r="BC27" s="188"/>
      <c r="BD27" s="188"/>
      <c r="BE27" s="188"/>
      <c r="BF27" s="188"/>
      <c r="BG27" s="192"/>
      <c r="BH27" s="194"/>
      <c r="BI27" s="194"/>
      <c r="BJ27" s="195"/>
      <c r="BK27" s="194"/>
    </row>
    <row r="28" spans="1:63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SUM(PORTEFEUILLE_SEBASTIEN[[#This Row],[PCR COMPTABLE €]:[MONTANT
RESPONSABLE RELATION CLIENT €]])-PORTEFEUILLE_SEBASTIEN[[#This Row],[MONTANT TOTAL LETTRE DE MISION €]]</f>
        <v>0</v>
      </c>
      <c r="AI28" s="191"/>
      <c r="AJ28" s="188"/>
      <c r="AK28" s="188"/>
      <c r="AL28" s="188"/>
      <c r="AM28" s="191"/>
      <c r="AN28" s="188"/>
      <c r="AO28" s="188"/>
      <c r="AP28" s="188"/>
      <c r="AQ28" s="188"/>
      <c r="AR2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8" s="188" t="str">
        <f>IF(PORTEFEUILLE_SEBASTIEN[[#This Row],[BONI AAC]]&lt;&gt;0,1,"")</f>
        <v/>
      </c>
      <c r="AU28" s="188" t="str">
        <f>IF(PORTEFEUILLE_SEBASTIEN[[#This Row],[MALI AAC]]&lt;&gt;0,1,"")</f>
        <v/>
      </c>
      <c r="AV28" s="225">
        <f>IF(AP28&lt;&gt;"",IF((AP28*Paramètres!$H$4)-PORTEFEUILLE_SEBASTIEN[[#This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€]]-(DELPHINE!AP27*Paramètres!$H$4),0),0)</f>
        <v>0</v>
      </c>
      <c r="AW28" s="225">
        <f>IF(AP28&lt;&gt;"",IF(((AP28*Paramètres!$H$4)-PORTEFEUILLE_SEBASTIEN[[#This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8" s="190" t="str">
        <f>IF(PORTEFEUILLE_SEBASTIEN[[#This Row],[BONI COMPTABLE]]&lt;&gt;0,1,"")</f>
        <v/>
      </c>
      <c r="AY28" s="190" t="str">
        <f>IF(PORTEFEUILLE_SEBASTIEN[[#This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6"/>
      <c r="BI28" s="196"/>
      <c r="BJ28" s="198"/>
      <c r="BK28" s="196"/>
    </row>
    <row r="29" spans="1:63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SUM(PORTEFEUILLE_SEBASTIEN[[#This Row],[PCR COMPTABLE €]:[MONTANT
RESPONSABLE RELATION CLIENT €]])-PORTEFEUILLE_SEBASTIEN[[#This Row],[MONTANT TOTAL LETTRE DE MISION €]]</f>
        <v>0</v>
      </c>
      <c r="AI29" s="191"/>
      <c r="AJ29" s="188"/>
      <c r="AK29" s="188"/>
      <c r="AL29" s="188"/>
      <c r="AM29" s="191"/>
      <c r="AN29" s="188"/>
      <c r="AO29" s="188"/>
      <c r="AP29" s="188"/>
      <c r="AQ29" s="188"/>
      <c r="AR2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2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29" s="188" t="str">
        <f>IF(PORTEFEUILLE_SEBASTIEN[[#This Row],[BONI AAC]]&lt;&gt;0,1,"")</f>
        <v/>
      </c>
      <c r="AU29" s="188" t="str">
        <f>IF(PORTEFEUILLE_SEBASTIEN[[#This Row],[MALI AAC]]&lt;&gt;0,1,"")</f>
        <v/>
      </c>
      <c r="AV29" s="225">
        <f>IF(AP29&lt;&gt;"",IF((AP29*Paramètres!$H$4)-PORTEFEUILLE_SEBASTIEN[[#This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€]]-(DELPHINE!AP28*Paramètres!$H$4),0),0)</f>
        <v>0</v>
      </c>
      <c r="AW29" s="225">
        <f>IF(AP29&lt;&gt;"",IF(((AP29*Paramètres!$H$4)-PORTEFEUILLE_SEBASTIEN[[#This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29" s="190" t="str">
        <f>IF(PORTEFEUILLE_SEBASTIEN[[#This Row],[BONI COMPTABLE]]&lt;&gt;0,1,"")</f>
        <v/>
      </c>
      <c r="AY29" s="190" t="str">
        <f>IF(PORTEFEUILLE_SEBASTIEN[[#This Row],[MALI COMPTABLE]]&lt;&gt;0,1,"")</f>
        <v/>
      </c>
      <c r="AZ29" s="188"/>
      <c r="BA29" s="188"/>
      <c r="BB29" s="188"/>
      <c r="BC29" s="188"/>
      <c r="BD29" s="196"/>
      <c r="BE29" s="196"/>
      <c r="BF29" s="196"/>
      <c r="BG29" s="192"/>
      <c r="BH29" s="194"/>
      <c r="BI29" s="194"/>
      <c r="BJ29" s="195"/>
      <c r="BK29" s="194"/>
    </row>
    <row r="30" spans="1:63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SUM(PORTEFEUILLE_SEBASTIEN[[#This Row],[PCR COMPTABLE €]:[MONTANT
RESPONSABLE RELATION CLIENT €]])-PORTEFEUILLE_SEBASTIEN[[#This Row],[MONTANT TOTAL LETTRE DE MISION €]]</f>
        <v>0</v>
      </c>
      <c r="AI30" s="191"/>
      <c r="AJ30" s="188"/>
      <c r="AK30" s="188"/>
      <c r="AL30" s="188"/>
      <c r="AM30" s="191"/>
      <c r="AN30" s="188"/>
      <c r="AO30" s="188"/>
      <c r="AP30" s="188"/>
      <c r="AQ30" s="188"/>
      <c r="AR3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0" s="188" t="str">
        <f>IF(PORTEFEUILLE_SEBASTIEN[[#This Row],[BONI AAC]]&lt;&gt;0,1,"")</f>
        <v/>
      </c>
      <c r="AU30" s="188" t="str">
        <f>IF(PORTEFEUILLE_SEBASTIEN[[#This Row],[MALI AAC]]&lt;&gt;0,1,"")</f>
        <v/>
      </c>
      <c r="AV30" s="225">
        <f>IF(AP30&lt;&gt;"",IF((AP30*Paramètres!$H$4)-PORTEFEUILLE_SEBASTIEN[[#This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€]]-(DELPHINE!AP29*Paramètres!$H$4),0),0)</f>
        <v>0</v>
      </c>
      <c r="AW30" s="225">
        <f>IF(AP30&lt;&gt;"",IF(((AP30*Paramètres!$H$4)-PORTEFEUILLE_SEBASTIEN[[#This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0" s="190" t="str">
        <f>IF(PORTEFEUILLE_SEBASTIEN[[#This Row],[BONI COMPTABLE]]&lt;&gt;0,1,"")</f>
        <v/>
      </c>
      <c r="AY30" s="190" t="str">
        <f>IF(PORTEFEUILLE_SEBASTIEN[[#This Row],[MALI COMPTABLE]]&lt;&gt;0,1,"")</f>
        <v/>
      </c>
      <c r="AZ30" s="188"/>
      <c r="BA30" s="188"/>
      <c r="BB30" s="188"/>
      <c r="BC30" s="188"/>
      <c r="BD30" s="188"/>
      <c r="BE30" s="188"/>
      <c r="BF30" s="188"/>
      <c r="BG30" s="192"/>
      <c r="BH30" s="194"/>
      <c r="BI30" s="194"/>
      <c r="BJ30" s="195"/>
      <c r="BK30" s="194"/>
    </row>
    <row r="31" spans="1:63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SUM(PORTEFEUILLE_SEBASTIEN[[#This Row],[PCR COMPTABLE €]:[MONTANT
RESPONSABLE RELATION CLIENT €]])-PORTEFEUILLE_SEBASTIEN[[#This Row],[MONTANT TOTAL LETTRE DE MISION €]]</f>
        <v>0</v>
      </c>
      <c r="AI31" s="191"/>
      <c r="AJ31" s="188"/>
      <c r="AK31" s="188"/>
      <c r="AL31" s="188"/>
      <c r="AM31" s="191"/>
      <c r="AN31" s="188"/>
      <c r="AO31" s="188"/>
      <c r="AP31" s="188"/>
      <c r="AQ31" s="188"/>
      <c r="AR3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1" s="188" t="str">
        <f>IF(PORTEFEUILLE_SEBASTIEN[[#This Row],[BONI AAC]]&lt;&gt;0,1,"")</f>
        <v/>
      </c>
      <c r="AU31" s="188" t="str">
        <f>IF(PORTEFEUILLE_SEBASTIEN[[#This Row],[MALI AAC]]&lt;&gt;0,1,"")</f>
        <v/>
      </c>
      <c r="AV31" s="225">
        <f>IF(AP31&lt;&gt;"",IF((AP31*Paramètres!$H$4)-PORTEFEUILLE_SEBASTIEN[[#This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€]]-(DELPHINE!AP30*Paramètres!$H$4),0),0)</f>
        <v>0</v>
      </c>
      <c r="AW31" s="225">
        <f>IF(AP31&lt;&gt;"",IF(((AP31*Paramètres!$H$4)-PORTEFEUILLE_SEBASTIEN[[#This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1" s="190" t="str">
        <f>IF(PORTEFEUILLE_SEBASTIEN[[#This Row],[BONI COMPTABLE]]&lt;&gt;0,1,"")</f>
        <v/>
      </c>
      <c r="AY31" s="190" t="str">
        <f>IF(PORTEFEUILLE_SEBASTIEN[[#This Row],[MALI COMPTABLE]]&lt;&gt;0,1,"")</f>
        <v/>
      </c>
      <c r="AZ31" s="188"/>
      <c r="BA31" s="188"/>
      <c r="BB31" s="188"/>
      <c r="BC31" s="188"/>
      <c r="BD31" s="196"/>
      <c r="BE31" s="196"/>
      <c r="BF31" s="196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SUM(PORTEFEUILLE_SEBASTIEN[[#This Row],[PCR COMPTABLE €]:[MONTANT
RESPONSABLE RELATION CLIENT €]])-PORTEFEUILLE_SEBASTIEN[[#This Row],[MONTANT TOTAL LETTRE DE MISION €]]</f>
        <v>0</v>
      </c>
      <c r="AI32" s="191"/>
      <c r="AJ32" s="188"/>
      <c r="AK32" s="188"/>
      <c r="AL32" s="188"/>
      <c r="AM32" s="191"/>
      <c r="AN32" s="188"/>
      <c r="AO32" s="188"/>
      <c r="AP32" s="188"/>
      <c r="AQ32" s="188"/>
      <c r="AR3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2" s="188" t="str">
        <f>IF(PORTEFEUILLE_SEBASTIEN[[#This Row],[BONI AAC]]&lt;&gt;0,1,"")</f>
        <v/>
      </c>
      <c r="AU32" s="188" t="str">
        <f>IF(PORTEFEUILLE_SEBASTIEN[[#This Row],[MALI AAC]]&lt;&gt;0,1,"")</f>
        <v/>
      </c>
      <c r="AV32" s="225">
        <f>IF(AP32&lt;&gt;"",IF((AP32*Paramètres!$H$4)-PORTEFEUILLE_SEBASTIEN[[#This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€]]-(DELPHINE!AP31*Paramètres!$H$4),0),0)</f>
        <v>0</v>
      </c>
      <c r="AW32" s="225">
        <f>IF(AP32&lt;&gt;"",IF(((AP32*Paramètres!$H$4)-PORTEFEUILLE_SEBASTIEN[[#This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2" s="190" t="str">
        <f>IF(PORTEFEUILLE_SEBASTIEN[[#This Row],[BONI COMPTABLE]]&lt;&gt;0,1,"")</f>
        <v/>
      </c>
      <c r="AY32" s="190" t="str">
        <f>IF(PORTEFEUILLE_SEBASTIEN[[#This Row],[MALI COMPTABLE]]&lt;&gt;0,1,"")</f>
        <v/>
      </c>
      <c r="AZ32" s="188"/>
      <c r="BA32" s="188"/>
      <c r="BB32" s="188"/>
      <c r="BC32" s="188"/>
      <c r="BD32" s="188"/>
      <c r="BE32" s="188"/>
      <c r="BF32" s="188"/>
      <c r="BG32" s="192"/>
      <c r="BH32" s="194"/>
      <c r="BI32" s="194"/>
      <c r="BJ32" s="195"/>
      <c r="BK32" s="194"/>
    </row>
    <row r="33" spans="1:63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SUM(PORTEFEUILLE_SEBASTIEN[[#This Row],[PCR COMPTABLE €]:[MONTANT
RESPONSABLE RELATION CLIENT €]])-PORTEFEUILLE_SEBASTIEN[[#This Row],[MONTANT TOTAL LETTRE DE MISION €]]</f>
        <v>0</v>
      </c>
      <c r="AI33" s="191"/>
      <c r="AJ33" s="188"/>
      <c r="AK33" s="188"/>
      <c r="AL33" s="188"/>
      <c r="AM33" s="191"/>
      <c r="AN33" s="196"/>
      <c r="AO33" s="196"/>
      <c r="AP33" s="196"/>
      <c r="AQ33" s="196"/>
      <c r="AR3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3" s="188" t="str">
        <f>IF(PORTEFEUILLE_SEBASTIEN[[#This Row],[BONI AAC]]&lt;&gt;0,1,"")</f>
        <v/>
      </c>
      <c r="AU33" s="188" t="str">
        <f>IF(PORTEFEUILLE_SEBASTIEN[[#This Row],[MALI AAC]]&lt;&gt;0,1,"")</f>
        <v/>
      </c>
      <c r="AV33" s="225">
        <f>IF(AP33&lt;&gt;"",IF((AP33*Paramètres!$H$4)-PORTEFEUILLE_SEBASTIEN[[#This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€]]-(DELPHINE!AP32*Paramètres!$H$4),0),0)</f>
        <v>0</v>
      </c>
      <c r="AW33" s="225">
        <f>IF(AP33&lt;&gt;"",IF(((AP33*Paramètres!$H$4)-PORTEFEUILLE_SEBASTIEN[[#This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3" s="190" t="str">
        <f>IF(PORTEFEUILLE_SEBASTIEN[[#This Row],[BONI COMPTABLE]]&lt;&gt;0,1,"")</f>
        <v/>
      </c>
      <c r="AY33" s="190" t="str">
        <f>IF(PORTEFEUILLE_SEBASTIEN[[#This Row],[MALI COMPTABLE]]&lt;&gt;0,1,"")</f>
        <v/>
      </c>
      <c r="AZ33" s="196"/>
      <c r="BA33" s="188"/>
      <c r="BB33" s="188"/>
      <c r="BC33" s="188"/>
      <c r="BD33" s="196"/>
      <c r="BE33" s="196"/>
      <c r="BF33" s="196"/>
      <c r="BG33" s="192"/>
      <c r="BH33" s="194"/>
      <c r="BI33" s="194"/>
      <c r="BJ33" s="195"/>
      <c r="BK33" s="194"/>
    </row>
    <row r="34" spans="1:63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SUM(PORTEFEUILLE_SEBASTIEN[[#This Row],[PCR COMPTABLE €]:[MONTANT
RESPONSABLE RELATION CLIENT €]])-PORTEFEUILLE_SEBASTIEN[[#This Row],[MONTANT TOTAL LETTRE DE MISION €]]</f>
        <v>0</v>
      </c>
      <c r="AI34" s="191"/>
      <c r="AJ34" s="188"/>
      <c r="AK34" s="188"/>
      <c r="AL34" s="188"/>
      <c r="AM34" s="191"/>
      <c r="AN34" s="196"/>
      <c r="AO34" s="196"/>
      <c r="AP34" s="196"/>
      <c r="AQ34" s="196"/>
      <c r="AR3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4" s="188" t="str">
        <f>IF(PORTEFEUILLE_SEBASTIEN[[#This Row],[BONI AAC]]&lt;&gt;0,1,"")</f>
        <v/>
      </c>
      <c r="AU34" s="188" t="str">
        <f>IF(PORTEFEUILLE_SEBASTIEN[[#This Row],[MALI AAC]]&lt;&gt;0,1,"")</f>
        <v/>
      </c>
      <c r="AV34" s="225">
        <f>IF(AP34&lt;&gt;"",IF((AP34*Paramètres!$H$4)-PORTEFEUILLE_SEBASTIEN[[#This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€]]-(DELPHINE!AP33*Paramètres!$H$4),0),0)</f>
        <v>0</v>
      </c>
      <c r="AW34" s="225">
        <f>IF(AP34&lt;&gt;"",IF(((AP34*Paramètres!$H$4)-PORTEFEUILLE_SEBASTIEN[[#This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4" s="190" t="str">
        <f>IF(PORTEFEUILLE_SEBASTIEN[[#This Row],[BONI COMPTABLE]]&lt;&gt;0,1,"")</f>
        <v/>
      </c>
      <c r="AY34" s="190" t="str">
        <f>IF(PORTEFEUILLE_SEBASTIEN[[#This Row],[MALI COMPTABLE]]&lt;&gt;0,1,"")</f>
        <v/>
      </c>
      <c r="AZ34" s="196"/>
      <c r="BA34" s="188"/>
      <c r="BB34" s="188"/>
      <c r="BC34" s="188"/>
      <c r="BD34" s="188"/>
      <c r="BE34" s="188"/>
      <c r="BF34" s="188"/>
      <c r="BG34" s="192"/>
      <c r="BH34" s="194"/>
      <c r="BI34" s="194"/>
      <c r="BJ34" s="195"/>
      <c r="BK34" s="194"/>
    </row>
    <row r="35" spans="1:63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SUM(PORTEFEUILLE_SEBASTIEN[[#This Row],[PCR COMPTABLE €]:[MONTANT
RESPONSABLE RELATION CLIENT €]])-PORTEFEUILLE_SEBASTIEN[[#This Row],[MONTANT TOTAL LETTRE DE MISION €]]</f>
        <v>0</v>
      </c>
      <c r="AI35" s="191"/>
      <c r="AJ35" s="188"/>
      <c r="AK35" s="188"/>
      <c r="AL35" s="188"/>
      <c r="AM35" s="191"/>
      <c r="AN35" s="188"/>
      <c r="AO35" s="188"/>
      <c r="AP35" s="188"/>
      <c r="AQ35" s="188"/>
      <c r="AR3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5" s="188" t="str">
        <f>IF(PORTEFEUILLE_SEBASTIEN[[#This Row],[BONI AAC]]&lt;&gt;0,1,"")</f>
        <v/>
      </c>
      <c r="AU35" s="188" t="str">
        <f>IF(PORTEFEUILLE_SEBASTIEN[[#This Row],[MALI AAC]]&lt;&gt;0,1,"")</f>
        <v/>
      </c>
      <c r="AV35" s="225">
        <f>IF(AP35&lt;&gt;"",IF((AP35*Paramètres!$H$4)-PORTEFEUILLE_SEBASTIEN[[#This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€]]-(DELPHINE!AP34*Paramètres!$H$4),0),0)</f>
        <v>0</v>
      </c>
      <c r="AW35" s="225">
        <f>IF(AP35&lt;&gt;"",IF(((AP35*Paramètres!$H$4)-PORTEFEUILLE_SEBASTIEN[[#This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5" s="190" t="str">
        <f>IF(PORTEFEUILLE_SEBASTIEN[[#This Row],[BONI COMPTABLE]]&lt;&gt;0,1,"")</f>
        <v/>
      </c>
      <c r="AY35" s="190" t="str">
        <f>IF(PORTEFEUILLE_SEBASTIEN[[#This Row],[MALI COMPTABLE]]&lt;&gt;0,1,"")</f>
        <v/>
      </c>
      <c r="AZ35" s="188"/>
      <c r="BA35" s="188"/>
      <c r="BB35" s="188"/>
      <c r="BC35" s="188"/>
      <c r="BD35" s="188"/>
      <c r="BE35" s="188"/>
      <c r="BF35" s="188"/>
      <c r="BG35" s="192"/>
      <c r="BH35" s="194"/>
      <c r="BI35" s="194"/>
      <c r="BJ35" s="195"/>
      <c r="BK35" s="194"/>
    </row>
    <row r="36" spans="1:63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SUM(PORTEFEUILLE_SEBASTIEN[[#This Row],[PCR COMPTABLE €]:[MONTANT
RESPONSABLE RELATION CLIENT €]])-PORTEFEUILLE_SEBASTIEN[[#This Row],[MONTANT TOTAL LETTRE DE MISION €]]</f>
        <v>0</v>
      </c>
      <c r="AI36" s="191"/>
      <c r="AJ36" s="188"/>
      <c r="AK36" s="188"/>
      <c r="AL36" s="188"/>
      <c r="AM36" s="191"/>
      <c r="AN36" s="188"/>
      <c r="AO36" s="188"/>
      <c r="AP36" s="188"/>
      <c r="AQ36" s="188"/>
      <c r="AR3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6" s="188" t="str">
        <f>IF(PORTEFEUILLE_SEBASTIEN[[#This Row],[BONI AAC]]&lt;&gt;0,1,"")</f>
        <v/>
      </c>
      <c r="AU36" s="188" t="str">
        <f>IF(PORTEFEUILLE_SEBASTIEN[[#This Row],[MALI AAC]]&lt;&gt;0,1,"")</f>
        <v/>
      </c>
      <c r="AV36" s="225">
        <f>IF(AP36&lt;&gt;"",IF((AP36*Paramètres!$H$4)-PORTEFEUILLE_SEBASTIEN[[#This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€]]-(DELPHINE!AP35*Paramètres!$H$4),0),0)</f>
        <v>0</v>
      </c>
      <c r="AW36" s="225">
        <f>IF(AP36&lt;&gt;"",IF(((AP36*Paramètres!$H$4)-PORTEFEUILLE_SEBASTIEN[[#This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6" s="190" t="str">
        <f>IF(PORTEFEUILLE_SEBASTIEN[[#This Row],[BONI COMPTABLE]]&lt;&gt;0,1,"")</f>
        <v/>
      </c>
      <c r="AY36" s="190" t="str">
        <f>IF(PORTEFEUILLE_SEBASTIEN[[#This Row],[MALI COMPTABLE]]&lt;&gt;0,1,"")</f>
        <v/>
      </c>
      <c r="AZ36" s="188"/>
      <c r="BA36" s="188"/>
      <c r="BB36" s="188"/>
      <c r="BC36" s="188"/>
      <c r="BD36" s="196"/>
      <c r="BE36" s="196"/>
      <c r="BF36" s="196"/>
      <c r="BG36" s="192"/>
      <c r="BH36" s="194"/>
      <c r="BI36" s="194"/>
      <c r="BJ36" s="195"/>
      <c r="BK36" s="194"/>
    </row>
    <row r="37" spans="1:63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SUM(PORTEFEUILLE_SEBASTIEN[[#This Row],[PCR COMPTABLE €]:[MONTANT
RESPONSABLE RELATION CLIENT €]])-PORTEFEUILLE_SEBASTIEN[[#This Row],[MONTANT TOTAL LETTRE DE MISION €]]</f>
        <v>0</v>
      </c>
      <c r="AI37" s="191"/>
      <c r="AJ37" s="188"/>
      <c r="AK37" s="188"/>
      <c r="AL37" s="188"/>
      <c r="AM37" s="191"/>
      <c r="AN37" s="188"/>
      <c r="AO37" s="188"/>
      <c r="AP37" s="188"/>
      <c r="AQ37" s="188"/>
      <c r="AR3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7" s="188" t="str">
        <f>IF(PORTEFEUILLE_SEBASTIEN[[#This Row],[BONI AAC]]&lt;&gt;0,1,"")</f>
        <v/>
      </c>
      <c r="AU37" s="188" t="str">
        <f>IF(PORTEFEUILLE_SEBASTIEN[[#This Row],[MALI AAC]]&lt;&gt;0,1,"")</f>
        <v/>
      </c>
      <c r="AV37" s="225">
        <f>IF(AP37&lt;&gt;"",IF((AP37*Paramètres!$H$4)-PORTEFEUILLE_SEBASTIEN[[#This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€]]-(DELPHINE!AP36*Paramètres!$H$4),0),0)</f>
        <v>0</v>
      </c>
      <c r="AW37" s="225">
        <f>IF(AP37&lt;&gt;"",IF(((AP37*Paramètres!$H$4)-PORTEFEUILLE_SEBASTIEN[[#This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7" s="190" t="str">
        <f>IF(PORTEFEUILLE_SEBASTIEN[[#This Row],[BONI COMPTABLE]]&lt;&gt;0,1,"")</f>
        <v/>
      </c>
      <c r="AY37" s="190" t="str">
        <f>IF(PORTEFEUILLE_SEBASTIEN[[#This Row],[MALI COMPTABLE]]&lt;&gt;0,1,"")</f>
        <v/>
      </c>
      <c r="AZ37" s="188"/>
      <c r="BA37" s="188"/>
      <c r="BB37" s="188"/>
      <c r="BC37" s="188"/>
      <c r="BD37" s="196"/>
      <c r="BE37" s="196"/>
      <c r="BF37" s="196"/>
      <c r="BG37" s="192"/>
      <c r="BH37" s="194"/>
      <c r="BI37" s="194"/>
      <c r="BJ37" s="195"/>
      <c r="BK37" s="194"/>
    </row>
    <row r="38" spans="1:63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SUM(PORTEFEUILLE_SEBASTIEN[[#This Row],[PCR COMPTABLE €]:[MONTANT
RESPONSABLE RELATION CLIENT €]])-PORTEFEUILLE_SEBASTIEN[[#This Row],[MONTANT TOTAL LETTRE DE MISION €]]</f>
        <v>0</v>
      </c>
      <c r="AI38" s="191"/>
      <c r="AJ38" s="188"/>
      <c r="AK38" s="188"/>
      <c r="AL38" s="188"/>
      <c r="AM38" s="191"/>
      <c r="AN38" s="188"/>
      <c r="AO38" s="188"/>
      <c r="AP38" s="188"/>
      <c r="AQ38" s="188"/>
      <c r="AR3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8" s="188" t="str">
        <f>IF(PORTEFEUILLE_SEBASTIEN[[#This Row],[BONI AAC]]&lt;&gt;0,1,"")</f>
        <v/>
      </c>
      <c r="AU38" s="188" t="str">
        <f>IF(PORTEFEUILLE_SEBASTIEN[[#This Row],[MALI AAC]]&lt;&gt;0,1,"")</f>
        <v/>
      </c>
      <c r="AV38" s="225">
        <f>IF(AP38&lt;&gt;"",IF((AP38*Paramètres!$H$4)-PORTEFEUILLE_SEBASTIEN[[#This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€]]-(DELPHINE!AP37*Paramètres!$H$4),0),0)</f>
        <v>0</v>
      </c>
      <c r="AW38" s="225">
        <f>IF(AP38&lt;&gt;"",IF(((AP38*Paramètres!$H$4)-PORTEFEUILLE_SEBASTIEN[[#This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8" s="190" t="str">
        <f>IF(PORTEFEUILLE_SEBASTIEN[[#This Row],[BONI COMPTABLE]]&lt;&gt;0,1,"")</f>
        <v/>
      </c>
      <c r="AY38" s="190" t="str">
        <f>IF(PORTEFEUILLE_SEBASTIEN[[#This Row],[MALI COMPTABLE]]&lt;&gt;0,1,"")</f>
        <v/>
      </c>
      <c r="AZ38" s="188"/>
      <c r="BA38" s="188"/>
      <c r="BB38" s="188"/>
      <c r="BC38" s="188"/>
      <c r="BD38" s="196"/>
      <c r="BE38" s="196"/>
      <c r="BF38" s="196"/>
      <c r="BG38" s="192"/>
      <c r="BH38" s="194"/>
      <c r="BI38" s="194"/>
      <c r="BJ38" s="195"/>
      <c r="BK38" s="194"/>
    </row>
    <row r="39" spans="1:63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SUM(PORTEFEUILLE_SEBASTIEN[[#This Row],[PCR COMPTABLE €]:[MONTANT
RESPONSABLE RELATION CLIENT €]])-PORTEFEUILLE_SEBASTIEN[[#This Row],[MONTANT TOTAL LETTRE DE MISION €]]</f>
        <v>0</v>
      </c>
      <c r="AI39" s="191"/>
      <c r="AJ39" s="188"/>
      <c r="AK39" s="188"/>
      <c r="AL39" s="188"/>
      <c r="AM39" s="191"/>
      <c r="AN39" s="188"/>
      <c r="AO39" s="188"/>
      <c r="AP39" s="188"/>
      <c r="AQ39" s="188"/>
      <c r="AR3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3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39" s="188" t="str">
        <f>IF(PORTEFEUILLE_SEBASTIEN[[#This Row],[BONI AAC]]&lt;&gt;0,1,"")</f>
        <v/>
      </c>
      <c r="AU39" s="188" t="str">
        <f>IF(PORTEFEUILLE_SEBASTIEN[[#This Row],[MALI AAC]]&lt;&gt;0,1,"")</f>
        <v/>
      </c>
      <c r="AV39" s="225">
        <f>IF(AP39&lt;&gt;"",IF((AP39*Paramètres!$H$4)-PORTEFEUILLE_SEBASTIEN[[#This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€]]-(DELPHINE!AP38*Paramètres!$H$4),0),0)</f>
        <v>0</v>
      </c>
      <c r="AW39" s="225">
        <f>IF(AP39&lt;&gt;"",IF(((AP39*Paramètres!$H$4)-PORTEFEUILLE_SEBASTIEN[[#This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39" s="190" t="str">
        <f>IF(PORTEFEUILLE_SEBASTIEN[[#This Row],[BONI COMPTABLE]]&lt;&gt;0,1,"")</f>
        <v/>
      </c>
      <c r="AY39" s="190" t="str">
        <f>IF(PORTEFEUILLE_SEBASTIEN[[#This Row],[MALI COMPTABLE]]&lt;&gt;0,1,"")</f>
        <v/>
      </c>
      <c r="AZ39" s="188"/>
      <c r="BA39" s="188"/>
      <c r="BB39" s="188"/>
      <c r="BC39" s="188"/>
      <c r="BD39" s="188"/>
      <c r="BE39" s="188"/>
      <c r="BF39" s="188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SUM(PORTEFEUILLE_SEBASTIEN[[#This Row],[PCR COMPTABLE €]:[MONTANT
RESPONSABLE RELATION CLIENT €]])-PORTEFEUILLE_SEBASTIEN[[#This Row],[MONTANT TOTAL LETTRE DE MISION €]]</f>
        <v>0</v>
      </c>
      <c r="AI40" s="191"/>
      <c r="AJ40" s="188"/>
      <c r="AK40" s="188"/>
      <c r="AL40" s="188"/>
      <c r="AM40" s="191"/>
      <c r="AN40" s="188"/>
      <c r="AO40" s="188"/>
      <c r="AP40" s="188"/>
      <c r="AQ40" s="188"/>
      <c r="AR4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0" s="188" t="str">
        <f>IF(PORTEFEUILLE_SEBASTIEN[[#This Row],[BONI AAC]]&lt;&gt;0,1,"")</f>
        <v/>
      </c>
      <c r="AU40" s="188" t="str">
        <f>IF(PORTEFEUILLE_SEBASTIEN[[#This Row],[MALI AAC]]&lt;&gt;0,1,"")</f>
        <v/>
      </c>
      <c r="AV40" s="225">
        <f>IF(AP40&lt;&gt;"",IF((AP40*Paramètres!$H$4)-PORTEFEUILLE_SEBASTIEN[[#This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€]]-(DELPHINE!AP39*Paramètres!$H$4),0),0)</f>
        <v>0</v>
      </c>
      <c r="AW40" s="225">
        <f>IF(AP40&lt;&gt;"",IF(((AP40*Paramètres!$H$4)-PORTEFEUILLE_SEBASTIEN[[#This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0" s="190" t="str">
        <f>IF(PORTEFEUILLE_SEBASTIEN[[#This Row],[BONI COMPTABLE]]&lt;&gt;0,1,"")</f>
        <v/>
      </c>
      <c r="AY40" s="190" t="str">
        <f>IF(PORTEFEUILLE_SEBASTIEN[[#This Row],[MALI COMPTABLE]]&lt;&gt;0,1,"")</f>
        <v/>
      </c>
      <c r="AZ40" s="188"/>
      <c r="BA40" s="188"/>
      <c r="BB40" s="188"/>
      <c r="BC40" s="188"/>
      <c r="BD40" s="188"/>
      <c r="BE40" s="188"/>
      <c r="BF40" s="188"/>
      <c r="BG40" s="192"/>
      <c r="BH40" s="194"/>
      <c r="BI40" s="194"/>
      <c r="BJ40" s="195"/>
      <c r="BK40" s="194"/>
    </row>
    <row r="41" spans="1:63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SUM(PORTEFEUILLE_SEBASTIEN[[#This Row],[PCR COMPTABLE €]:[MONTANT
RESPONSABLE RELATION CLIENT €]])-PORTEFEUILLE_SEBASTIEN[[#This Row],[MONTANT TOTAL LETTRE DE MISION €]]</f>
        <v>0</v>
      </c>
      <c r="AI41" s="191"/>
      <c r="AJ41" s="188"/>
      <c r="AK41" s="188"/>
      <c r="AL41" s="188"/>
      <c r="AM41" s="191"/>
      <c r="AN41" s="196"/>
      <c r="AO41" s="196"/>
      <c r="AP41" s="196"/>
      <c r="AQ41" s="196"/>
      <c r="AR4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1" s="188" t="str">
        <f>IF(PORTEFEUILLE_SEBASTIEN[[#This Row],[BONI AAC]]&lt;&gt;0,1,"")</f>
        <v/>
      </c>
      <c r="AU41" s="188" t="str">
        <f>IF(PORTEFEUILLE_SEBASTIEN[[#This Row],[MALI AAC]]&lt;&gt;0,1,"")</f>
        <v/>
      </c>
      <c r="AV41" s="225">
        <f>IF(AP41&lt;&gt;"",IF((AP41*Paramètres!$H$4)-PORTEFEUILLE_SEBASTIEN[[#This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€]]-(DELPHINE!AP40*Paramètres!$H$4),0),0)</f>
        <v>0</v>
      </c>
      <c r="AW41" s="225">
        <f>IF(AP41&lt;&gt;"",IF(((AP41*Paramètres!$H$4)-PORTEFEUILLE_SEBASTIEN[[#This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1" s="190" t="str">
        <f>IF(PORTEFEUILLE_SEBASTIEN[[#This Row],[BONI COMPTABLE]]&lt;&gt;0,1,"")</f>
        <v/>
      </c>
      <c r="AY41" s="190" t="str">
        <f>IF(PORTEFEUILLE_SEBASTIEN[[#This Row],[MALI COMPTABLE]]&lt;&gt;0,1,"")</f>
        <v/>
      </c>
      <c r="AZ41" s="196"/>
      <c r="BA41" s="188"/>
      <c r="BB41" s="188"/>
      <c r="BC41" s="188"/>
      <c r="BD41" s="188"/>
      <c r="BE41" s="188"/>
      <c r="BF41" s="188"/>
      <c r="BG41" s="192"/>
      <c r="BH41" s="194"/>
      <c r="BI41" s="194"/>
      <c r="BJ41" s="195"/>
      <c r="BK41" s="194"/>
    </row>
    <row r="42" spans="1:63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SUM(PORTEFEUILLE_SEBASTIEN[[#This Row],[PCR COMPTABLE €]:[MONTANT
RESPONSABLE RELATION CLIENT €]])-PORTEFEUILLE_SEBASTIEN[[#This Row],[MONTANT TOTAL LETTRE DE MISION €]]</f>
        <v>0</v>
      </c>
      <c r="AI42" s="191"/>
      <c r="AJ42" s="188"/>
      <c r="AK42" s="188"/>
      <c r="AL42" s="188"/>
      <c r="AM42" s="191"/>
      <c r="AN42" s="196"/>
      <c r="AO42" s="196"/>
      <c r="AP42" s="196"/>
      <c r="AQ42" s="196"/>
      <c r="AR4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2" s="188" t="str">
        <f>IF(PORTEFEUILLE_SEBASTIEN[[#This Row],[BONI AAC]]&lt;&gt;0,1,"")</f>
        <v/>
      </c>
      <c r="AU42" s="188" t="str">
        <f>IF(PORTEFEUILLE_SEBASTIEN[[#This Row],[MALI AAC]]&lt;&gt;0,1,"")</f>
        <v/>
      </c>
      <c r="AV42" s="225">
        <f>IF(AP42&lt;&gt;"",IF((AP42*Paramètres!$H$4)-PORTEFEUILLE_SEBASTIEN[[#This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€]]-(DELPHINE!AP41*Paramètres!$H$4),0),0)</f>
        <v>0</v>
      </c>
      <c r="AW42" s="225">
        <f>IF(AP42&lt;&gt;"",IF(((AP42*Paramètres!$H$4)-PORTEFEUILLE_SEBASTIEN[[#This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2" s="190" t="str">
        <f>IF(PORTEFEUILLE_SEBASTIEN[[#This Row],[BONI COMPTABLE]]&lt;&gt;0,1,"")</f>
        <v/>
      </c>
      <c r="AY42" s="190" t="str">
        <f>IF(PORTEFEUILLE_SEBASTIEN[[#This Row],[MALI COMPTABLE]]&lt;&gt;0,1,"")</f>
        <v/>
      </c>
      <c r="AZ42" s="196"/>
      <c r="BA42" s="188"/>
      <c r="BB42" s="188"/>
      <c r="BC42" s="188"/>
      <c r="BD42" s="196"/>
      <c r="BE42" s="196"/>
      <c r="BF42" s="196"/>
      <c r="BG42" s="192"/>
      <c r="BH42" s="194"/>
      <c r="BI42" s="194"/>
      <c r="BJ42" s="195"/>
      <c r="BK42" s="194"/>
    </row>
    <row r="43" spans="1:63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SUM(PORTEFEUILLE_SEBASTIEN[[#This Row],[PCR COMPTABLE €]:[MONTANT
RESPONSABLE RELATION CLIENT €]])-PORTEFEUILLE_SEBASTIEN[[#This Row],[MONTANT TOTAL LETTRE DE MISION €]]</f>
        <v>0</v>
      </c>
      <c r="AI43" s="191"/>
      <c r="AJ43" s="188"/>
      <c r="AK43" s="188"/>
      <c r="AL43" s="188"/>
      <c r="AM43" s="191"/>
      <c r="AN43" s="188"/>
      <c r="AO43" s="188"/>
      <c r="AP43" s="188"/>
      <c r="AQ43" s="188"/>
      <c r="AR4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3" s="188" t="str">
        <f>IF(PORTEFEUILLE_SEBASTIEN[[#This Row],[BONI AAC]]&lt;&gt;0,1,"")</f>
        <v/>
      </c>
      <c r="AU43" s="188" t="str">
        <f>IF(PORTEFEUILLE_SEBASTIEN[[#This Row],[MALI AAC]]&lt;&gt;0,1,"")</f>
        <v/>
      </c>
      <c r="AV43" s="225">
        <f>IF(AP43&lt;&gt;"",IF((AP43*Paramètres!$H$4)-PORTEFEUILLE_SEBASTIEN[[#This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€]]-(DELPHINE!AP42*Paramètres!$H$4),0),0)</f>
        <v>0</v>
      </c>
      <c r="AW43" s="225">
        <f>IF(AP43&lt;&gt;"",IF(((AP43*Paramètres!$H$4)-PORTEFEUILLE_SEBASTIEN[[#This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3" s="190" t="str">
        <f>IF(PORTEFEUILLE_SEBASTIEN[[#This Row],[BONI COMPTABLE]]&lt;&gt;0,1,"")</f>
        <v/>
      </c>
      <c r="AY43" s="190" t="str">
        <f>IF(PORTEFEUILLE_SEBASTIEN[[#This Row],[MALI COMPTABLE]]&lt;&gt;0,1,"")</f>
        <v/>
      </c>
      <c r="AZ43" s="188"/>
      <c r="BA43" s="188"/>
      <c r="BB43" s="188"/>
      <c r="BC43" s="188"/>
      <c r="BD43" s="196"/>
      <c r="BE43" s="196"/>
      <c r="BF43" s="196"/>
      <c r="BG43" s="192"/>
      <c r="BH43" s="194"/>
      <c r="BI43" s="194"/>
      <c r="BJ43" s="195"/>
      <c r="BK43" s="194"/>
    </row>
    <row r="44" spans="1:63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SUM(PORTEFEUILLE_SEBASTIEN[[#This Row],[PCR COMPTABLE €]:[MONTANT
RESPONSABLE RELATION CLIENT €]])-PORTEFEUILLE_SEBASTIEN[[#This Row],[MONTANT TOTAL LETTRE DE MISION €]]</f>
        <v>0</v>
      </c>
      <c r="AI44" s="191"/>
      <c r="AJ44" s="188"/>
      <c r="AK44" s="188"/>
      <c r="AL44" s="188"/>
      <c r="AM44" s="191"/>
      <c r="AN44" s="188"/>
      <c r="AO44" s="188"/>
      <c r="AP44" s="188"/>
      <c r="AQ44" s="188"/>
      <c r="AR4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4" s="188" t="str">
        <f>IF(PORTEFEUILLE_SEBASTIEN[[#This Row],[BONI AAC]]&lt;&gt;0,1,"")</f>
        <v/>
      </c>
      <c r="AU44" s="188" t="str">
        <f>IF(PORTEFEUILLE_SEBASTIEN[[#This Row],[MALI AAC]]&lt;&gt;0,1,"")</f>
        <v/>
      </c>
      <c r="AV44" s="225">
        <f>IF(AP44&lt;&gt;"",IF((AP44*Paramètres!$H$4)-PORTEFEUILLE_SEBASTIEN[[#This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€]]-(DELPHINE!AP43*Paramètres!$H$4),0),0)</f>
        <v>0</v>
      </c>
      <c r="AW44" s="225">
        <f>IF(AP44&lt;&gt;"",IF(((AP44*Paramètres!$H$4)-PORTEFEUILLE_SEBASTIEN[[#This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4" s="190" t="str">
        <f>IF(PORTEFEUILLE_SEBASTIEN[[#This Row],[BONI COMPTABLE]]&lt;&gt;0,1,"")</f>
        <v/>
      </c>
      <c r="AY44" s="190" t="str">
        <f>IF(PORTEFEUILLE_SEBASTIEN[[#This Row],[MALI COMPTABLE]]&lt;&gt;0,1,"")</f>
        <v/>
      </c>
      <c r="AZ44" s="188"/>
      <c r="BA44" s="188"/>
      <c r="BB44" s="188"/>
      <c r="BC44" s="188"/>
      <c r="BD44" s="196"/>
      <c r="BE44" s="196"/>
      <c r="BF44" s="196"/>
      <c r="BG44" s="192"/>
      <c r="BH44" s="194"/>
      <c r="BI44" s="194"/>
      <c r="BJ44" s="195"/>
      <c r="BK44" s="194"/>
    </row>
    <row r="45" spans="1:63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SUM(PORTEFEUILLE_SEBASTIEN[[#This Row],[PCR COMPTABLE €]:[MONTANT
RESPONSABLE RELATION CLIENT €]])-PORTEFEUILLE_SEBASTIEN[[#This Row],[MONTANT TOTAL LETTRE DE MISION €]]</f>
        <v>0</v>
      </c>
      <c r="AI45" s="191"/>
      <c r="AJ45" s="188"/>
      <c r="AK45" s="188"/>
      <c r="AL45" s="188"/>
      <c r="AM45" s="191"/>
      <c r="AN45" s="188"/>
      <c r="AO45" s="188"/>
      <c r="AP45" s="188"/>
      <c r="AQ45" s="188"/>
      <c r="AR4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5" s="188" t="str">
        <f>IF(PORTEFEUILLE_SEBASTIEN[[#This Row],[BONI AAC]]&lt;&gt;0,1,"")</f>
        <v/>
      </c>
      <c r="AU45" s="188" t="str">
        <f>IF(PORTEFEUILLE_SEBASTIEN[[#This Row],[MALI AAC]]&lt;&gt;0,1,"")</f>
        <v/>
      </c>
      <c r="AV45" s="225">
        <f>IF(AP45&lt;&gt;"",IF((AP45*Paramètres!$H$4)-PORTEFEUILLE_SEBASTIEN[[#This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€]]-(DELPHINE!AP44*Paramètres!$H$4),0),0)</f>
        <v>0</v>
      </c>
      <c r="AW45" s="225">
        <f>IF(AP45&lt;&gt;"",IF(((AP45*Paramètres!$H$4)-PORTEFEUILLE_SEBASTIEN[[#This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5" s="190" t="str">
        <f>IF(PORTEFEUILLE_SEBASTIEN[[#This Row],[BONI COMPTABLE]]&lt;&gt;0,1,"")</f>
        <v/>
      </c>
      <c r="AY45" s="190" t="str">
        <f>IF(PORTEFEUILLE_SEBASTIEN[[#This Row],[MALI COMPTABLE]]&lt;&gt;0,1,"")</f>
        <v/>
      </c>
      <c r="AZ45" s="188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SUM(PORTEFEUILLE_SEBASTIEN[[#This Row],[PCR COMPTABLE €]:[MONTANT
RESPONSABLE RELATION CLIENT €]])-PORTEFEUILLE_SEBASTIEN[[#This Row],[MONTANT TOTAL LETTRE DE MISION €]]</f>
        <v>0</v>
      </c>
      <c r="AI46" s="191"/>
      <c r="AJ46" s="188"/>
      <c r="AK46" s="188"/>
      <c r="AL46" s="188"/>
      <c r="AM46" s="191"/>
      <c r="AN46" s="196"/>
      <c r="AO46" s="196"/>
      <c r="AP46" s="196"/>
      <c r="AQ46" s="196"/>
      <c r="AR4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6" s="188" t="str">
        <f>IF(PORTEFEUILLE_SEBASTIEN[[#This Row],[BONI AAC]]&lt;&gt;0,1,"")</f>
        <v/>
      </c>
      <c r="AU46" s="188" t="str">
        <f>IF(PORTEFEUILLE_SEBASTIEN[[#This Row],[MALI AAC]]&lt;&gt;0,1,"")</f>
        <v/>
      </c>
      <c r="AV46" s="225">
        <f>IF(AP46&lt;&gt;"",IF((AP46*Paramètres!$H$4)-PORTEFEUILLE_SEBASTIEN[[#This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€]]-(DELPHINE!AP45*Paramètres!$H$4),0),0)</f>
        <v>0</v>
      </c>
      <c r="AW46" s="225">
        <f>IF(AP46&lt;&gt;"",IF(((AP46*Paramètres!$H$4)-PORTEFEUILLE_SEBASTIEN[[#This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6" s="190" t="str">
        <f>IF(PORTEFEUILLE_SEBASTIEN[[#This Row],[BONI COMPTABLE]]&lt;&gt;0,1,"")</f>
        <v/>
      </c>
      <c r="AY46" s="190" t="str">
        <f>IF(PORTEFEUILLE_SEBASTIEN[[#This Row],[MALI COMPTABLE]]&lt;&gt;0,1,"")</f>
        <v/>
      </c>
      <c r="AZ46" s="196"/>
      <c r="BA46" s="188"/>
      <c r="BB46" s="188"/>
      <c r="BC46" s="188"/>
      <c r="BD46" s="188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SUM(PORTEFEUILLE_SEBASTIEN[[#This Row],[PCR COMPTABLE €]:[MONTANT
RESPONSABLE RELATION CLIENT €]])-PORTEFEUILLE_SEBASTIEN[[#This Row],[MONTANT TOTAL LETTRE DE MISION €]]</f>
        <v>0</v>
      </c>
      <c r="AI47" s="191"/>
      <c r="AJ47" s="188"/>
      <c r="AK47" s="188"/>
      <c r="AL47" s="188"/>
      <c r="AM47" s="191"/>
      <c r="AN47" s="188"/>
      <c r="AO47" s="188"/>
      <c r="AP47" s="188"/>
      <c r="AQ47" s="188"/>
      <c r="AR4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7" s="188" t="str">
        <f>IF(PORTEFEUILLE_SEBASTIEN[[#This Row],[BONI AAC]]&lt;&gt;0,1,"")</f>
        <v/>
      </c>
      <c r="AU47" s="188" t="str">
        <f>IF(PORTEFEUILLE_SEBASTIEN[[#This Row],[MALI AAC]]&lt;&gt;0,1,"")</f>
        <v/>
      </c>
      <c r="AV47" s="225">
        <f>IF(AP47&lt;&gt;"",IF((AP47*Paramètres!$H$4)-PORTEFEUILLE_SEBASTIEN[[#This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€]]-(DELPHINE!AP46*Paramètres!$H$4),0),0)</f>
        <v>0</v>
      </c>
      <c r="AW47" s="225">
        <f>IF(AP47&lt;&gt;"",IF(((AP47*Paramètres!$H$4)-PORTEFEUILLE_SEBASTIEN[[#This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7" s="190" t="str">
        <f>IF(PORTEFEUILLE_SEBASTIEN[[#This Row],[BONI COMPTABLE]]&lt;&gt;0,1,"")</f>
        <v/>
      </c>
      <c r="AY47" s="190" t="str">
        <f>IF(PORTEFEUILLE_SEBASTIEN[[#This Row],[MALI COMPTABLE]]&lt;&gt;0,1,"")</f>
        <v/>
      </c>
      <c r="AZ47" s="188"/>
      <c r="BA47" s="188"/>
      <c r="BB47" s="188"/>
      <c r="BC47" s="188"/>
      <c r="BD47" s="188"/>
      <c r="BE47" s="188"/>
      <c r="BF47" s="188"/>
      <c r="BG47" s="192"/>
      <c r="BH47" s="194"/>
      <c r="BI47" s="194"/>
      <c r="BJ47" s="195"/>
      <c r="BK47" s="194"/>
    </row>
    <row r="48" spans="1:63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SUM(PORTEFEUILLE_SEBASTIEN[[#This Row],[PCR COMPTABLE €]:[MONTANT
RESPONSABLE RELATION CLIENT €]])-PORTEFEUILLE_SEBASTIEN[[#This Row],[MONTANT TOTAL LETTRE DE MISION €]]</f>
        <v>0</v>
      </c>
      <c r="AI48" s="191"/>
      <c r="AJ48" s="188"/>
      <c r="AK48" s="188"/>
      <c r="AL48" s="188"/>
      <c r="AM48" s="191"/>
      <c r="AN48" s="196"/>
      <c r="AO48" s="196"/>
      <c r="AP48" s="196"/>
      <c r="AQ48" s="196"/>
      <c r="AR4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8" s="188" t="str">
        <f>IF(PORTEFEUILLE_SEBASTIEN[[#This Row],[BONI AAC]]&lt;&gt;0,1,"")</f>
        <v/>
      </c>
      <c r="AU48" s="188" t="str">
        <f>IF(PORTEFEUILLE_SEBASTIEN[[#This Row],[MALI AAC]]&lt;&gt;0,1,"")</f>
        <v/>
      </c>
      <c r="AV48" s="225">
        <f>IF(AP48&lt;&gt;"",IF((AP48*Paramètres!$H$4)-PORTEFEUILLE_SEBASTIEN[[#This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€]]-(DELPHINE!AP47*Paramètres!$H$4),0),0)</f>
        <v>0</v>
      </c>
      <c r="AW48" s="225">
        <f>IF(AP48&lt;&gt;"",IF(((AP48*Paramètres!$H$4)-PORTEFEUILLE_SEBASTIEN[[#This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8" s="190" t="str">
        <f>IF(PORTEFEUILLE_SEBASTIEN[[#This Row],[BONI COMPTABLE]]&lt;&gt;0,1,"")</f>
        <v/>
      </c>
      <c r="AY48" s="190" t="str">
        <f>IF(PORTEFEUILLE_SEBASTIEN[[#This Row],[MALI COMPTABLE]]&lt;&gt;0,1,"")</f>
        <v/>
      </c>
      <c r="AZ48" s="196"/>
      <c r="BA48" s="188"/>
      <c r="BB48" s="188"/>
      <c r="BC48" s="188"/>
      <c r="BD48" s="188"/>
      <c r="BE48" s="188"/>
      <c r="BF48" s="188"/>
      <c r="BG48" s="192"/>
      <c r="BH48" s="194"/>
      <c r="BI48" s="194"/>
      <c r="BJ48" s="195"/>
      <c r="BK48" s="194"/>
    </row>
    <row r="49" spans="1:63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SUM(PORTEFEUILLE_SEBASTIEN[[#This Row],[PCR COMPTABLE €]:[MONTANT
RESPONSABLE RELATION CLIENT €]])-PORTEFEUILLE_SEBASTIEN[[#This Row],[MONTANT TOTAL LETTRE DE MISION €]]</f>
        <v>0</v>
      </c>
      <c r="AI49" s="191"/>
      <c r="AJ49" s="188"/>
      <c r="AK49" s="188"/>
      <c r="AL49" s="188"/>
      <c r="AM49" s="191"/>
      <c r="AN49" s="188"/>
      <c r="AO49" s="188"/>
      <c r="AP49" s="188"/>
      <c r="AQ49" s="188"/>
      <c r="AR4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4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49" s="188" t="str">
        <f>IF(PORTEFEUILLE_SEBASTIEN[[#This Row],[BONI AAC]]&lt;&gt;0,1,"")</f>
        <v/>
      </c>
      <c r="AU49" s="188" t="str">
        <f>IF(PORTEFEUILLE_SEBASTIEN[[#This Row],[MALI AAC]]&lt;&gt;0,1,"")</f>
        <v/>
      </c>
      <c r="AV49" s="225">
        <f>IF(AP49&lt;&gt;"",IF((AP49*Paramètres!$H$4)-PORTEFEUILLE_SEBASTIEN[[#This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€]]-(DELPHINE!AP48*Paramètres!$H$4),0),0)</f>
        <v>0</v>
      </c>
      <c r="AW49" s="225">
        <f>IF(AP49&lt;&gt;"",IF(((AP49*Paramètres!$H$4)-PORTEFEUILLE_SEBASTIEN[[#This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49" s="190" t="str">
        <f>IF(PORTEFEUILLE_SEBASTIEN[[#This Row],[BONI COMPTABLE]]&lt;&gt;0,1,"")</f>
        <v/>
      </c>
      <c r="AY49" s="190" t="str">
        <f>IF(PORTEFEUILLE_SEBASTIEN[[#This Row],[MALI COMPTABLE]]&lt;&gt;0,1,"")</f>
        <v/>
      </c>
      <c r="AZ49" s="188"/>
      <c r="BA49" s="188"/>
      <c r="BB49" s="188"/>
      <c r="BC49" s="188"/>
      <c r="BD49" s="196"/>
      <c r="BE49" s="188"/>
      <c r="BF49" s="188"/>
      <c r="BG49" s="192"/>
      <c r="BH49" s="194"/>
      <c r="BI49" s="194"/>
      <c r="BJ49" s="195"/>
      <c r="BK49" s="194"/>
    </row>
    <row r="50" spans="1:63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SUM(PORTEFEUILLE_SEBASTIEN[[#This Row],[PCR COMPTABLE €]:[MONTANT
RESPONSABLE RELATION CLIENT €]])-PORTEFEUILLE_SEBASTIEN[[#This Row],[MONTANT TOTAL LETTRE DE MISION €]]</f>
        <v>0</v>
      </c>
      <c r="AI50" s="191"/>
      <c r="AJ50" s="188"/>
      <c r="AK50" s="188"/>
      <c r="AL50" s="188"/>
      <c r="AM50" s="191"/>
      <c r="AN50" s="196"/>
      <c r="AO50" s="196"/>
      <c r="AP50" s="196"/>
      <c r="AQ50" s="196"/>
      <c r="AR5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0" s="188" t="str">
        <f>IF(PORTEFEUILLE_SEBASTIEN[[#This Row],[BONI AAC]]&lt;&gt;0,1,"")</f>
        <v/>
      </c>
      <c r="AU50" s="188" t="str">
        <f>IF(PORTEFEUILLE_SEBASTIEN[[#This Row],[MALI AAC]]&lt;&gt;0,1,"")</f>
        <v/>
      </c>
      <c r="AV50" s="225">
        <f>IF(AP50&lt;&gt;"",IF((AP50*Paramètres!$H$4)-PORTEFEUILLE_SEBASTIEN[[#This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€]]-(DELPHINE!AP49*Paramètres!$H$4),0),0)</f>
        <v>0</v>
      </c>
      <c r="AW50" s="225">
        <f>IF(AP50&lt;&gt;"",IF(((AP50*Paramètres!$H$4)-PORTEFEUILLE_SEBASTIEN[[#This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0" s="190" t="str">
        <f>IF(PORTEFEUILLE_SEBASTIEN[[#This Row],[BONI COMPTABLE]]&lt;&gt;0,1,"")</f>
        <v/>
      </c>
      <c r="AY50" s="190" t="str">
        <f>IF(PORTEFEUILLE_SEBASTIEN[[#This Row],[MALI COMPTABLE]]&lt;&gt;0,1,"")</f>
        <v/>
      </c>
      <c r="AZ50" s="196"/>
      <c r="BA50" s="188"/>
      <c r="BB50" s="188"/>
      <c r="BC50" s="188"/>
      <c r="BD50" s="196"/>
      <c r="BE50" s="196"/>
      <c r="BF50" s="196"/>
      <c r="BG50" s="192"/>
      <c r="BH50" s="194"/>
      <c r="BI50" s="194"/>
      <c r="BJ50" s="195"/>
      <c r="BK50" s="194"/>
    </row>
    <row r="51" spans="1:63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SUM(PORTEFEUILLE_SEBASTIEN[[#This Row],[PCR COMPTABLE €]:[MONTANT
RESPONSABLE RELATION CLIENT €]])-PORTEFEUILLE_SEBASTIEN[[#This Row],[MONTANT TOTAL LETTRE DE MISION €]]</f>
        <v>0</v>
      </c>
      <c r="AI51" s="191"/>
      <c r="AJ51" s="188"/>
      <c r="AK51" s="188"/>
      <c r="AL51" s="188"/>
      <c r="AM51" s="191"/>
      <c r="AN51" s="196"/>
      <c r="AO51" s="196"/>
      <c r="AP51" s="196"/>
      <c r="AQ51" s="196"/>
      <c r="AR5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1" s="188" t="str">
        <f>IF(PORTEFEUILLE_SEBASTIEN[[#This Row],[BONI AAC]]&lt;&gt;0,1,"")</f>
        <v/>
      </c>
      <c r="AU51" s="188" t="str">
        <f>IF(PORTEFEUILLE_SEBASTIEN[[#This Row],[MALI AAC]]&lt;&gt;0,1,"")</f>
        <v/>
      </c>
      <c r="AV51" s="225">
        <f>IF(AP51&lt;&gt;"",IF((AP51*Paramètres!$H$4)-PORTEFEUILLE_SEBASTIEN[[#This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€]]-(DELPHINE!AP50*Paramètres!$H$4),0),0)</f>
        <v>0</v>
      </c>
      <c r="AW51" s="225">
        <f>IF(AP51&lt;&gt;"",IF(((AP51*Paramètres!$H$4)-PORTEFEUILLE_SEBASTIEN[[#This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1" s="190" t="str">
        <f>IF(PORTEFEUILLE_SEBASTIEN[[#This Row],[BONI COMPTABLE]]&lt;&gt;0,1,"")</f>
        <v/>
      </c>
      <c r="AY51" s="190" t="str">
        <f>IF(PORTEFEUILLE_SEBASTIEN[[#This Row],[MALI COMPTABLE]]&lt;&gt;0,1,"")</f>
        <v/>
      </c>
      <c r="AZ51" s="196"/>
      <c r="BA51" s="188"/>
      <c r="BB51" s="188"/>
      <c r="BC51" s="188"/>
      <c r="BD51" s="196"/>
      <c r="BE51" s="196"/>
      <c r="BF51" s="196"/>
      <c r="BG51" s="192"/>
      <c r="BH51" s="194"/>
      <c r="BI51" s="194"/>
      <c r="BJ51" s="195"/>
      <c r="BK51" s="194"/>
    </row>
    <row r="52" spans="1:63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SUM(PORTEFEUILLE_SEBASTIEN[[#This Row],[PCR COMPTABLE €]:[MONTANT
RESPONSABLE RELATION CLIENT €]])-PORTEFEUILLE_SEBASTIEN[[#This Row],[MONTANT TOTAL LETTRE DE MISION €]]</f>
        <v>0</v>
      </c>
      <c r="AI52" s="191"/>
      <c r="AJ52" s="188"/>
      <c r="AK52" s="188"/>
      <c r="AL52" s="188"/>
      <c r="AM52" s="191"/>
      <c r="AN52" s="196"/>
      <c r="AO52" s="196"/>
      <c r="AP52" s="196"/>
      <c r="AQ52" s="196"/>
      <c r="AR5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2" s="188" t="str">
        <f>IF(PORTEFEUILLE_SEBASTIEN[[#This Row],[BONI AAC]]&lt;&gt;0,1,"")</f>
        <v/>
      </c>
      <c r="AU52" s="188" t="str">
        <f>IF(PORTEFEUILLE_SEBASTIEN[[#This Row],[MALI AAC]]&lt;&gt;0,1,"")</f>
        <v/>
      </c>
      <c r="AV52" s="225">
        <f>IF(AP52&lt;&gt;"",IF((AP52*Paramètres!$H$4)-PORTEFEUILLE_SEBASTIEN[[#This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€]]-(DELPHINE!AP51*Paramètres!$H$4),0),0)</f>
        <v>0</v>
      </c>
      <c r="AW52" s="225">
        <f>IF(AP52&lt;&gt;"",IF(((AP52*Paramètres!$H$4)-PORTEFEUILLE_SEBASTIEN[[#This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2" s="190" t="str">
        <f>IF(PORTEFEUILLE_SEBASTIEN[[#This Row],[BONI COMPTABLE]]&lt;&gt;0,1,"")</f>
        <v/>
      </c>
      <c r="AY52" s="190" t="str">
        <f>IF(PORTEFEUILLE_SEBASTIEN[[#This Row],[MALI COMPTABLE]]&lt;&gt;0,1,"")</f>
        <v/>
      </c>
      <c r="AZ52" s="196"/>
      <c r="BA52" s="188"/>
      <c r="BB52" s="188"/>
      <c r="BC52" s="188"/>
      <c r="BD52" s="196"/>
      <c r="BE52" s="196"/>
      <c r="BF52" s="196"/>
      <c r="BG52" s="192"/>
      <c r="BH52" s="194"/>
      <c r="BI52" s="194"/>
      <c r="BJ52" s="195"/>
      <c r="BK52" s="194"/>
    </row>
    <row r="53" spans="1:63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SUM(PORTEFEUILLE_SEBASTIEN[[#This Row],[PCR COMPTABLE €]:[MONTANT
RESPONSABLE RELATION CLIENT €]])-PORTEFEUILLE_SEBASTIEN[[#This Row],[MONTANT TOTAL LETTRE DE MISION €]]</f>
        <v>0</v>
      </c>
      <c r="AI53" s="191"/>
      <c r="AJ53" s="188"/>
      <c r="AK53" s="201"/>
      <c r="AL53" s="201"/>
      <c r="AM53" s="246"/>
      <c r="AN53" s="202"/>
      <c r="AO53" s="202"/>
      <c r="AP53" s="202"/>
      <c r="AQ53" s="202"/>
      <c r="AR5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3" s="188" t="str">
        <f>IF(PORTEFEUILLE_SEBASTIEN[[#This Row],[BONI AAC]]&lt;&gt;0,1,"")</f>
        <v/>
      </c>
      <c r="AU53" s="188" t="str">
        <f>IF(PORTEFEUILLE_SEBASTIEN[[#This Row],[MALI AAC]]&lt;&gt;0,1,"")</f>
        <v/>
      </c>
      <c r="AV53" s="225">
        <f>IF(AP53&lt;&gt;"",IF((AP53*Paramètres!$H$4)-PORTEFEUILLE_SEBASTIEN[[#This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€]]-(DELPHINE!AP52*Paramètres!$H$4),0),0)</f>
        <v>0</v>
      </c>
      <c r="AW53" s="225">
        <f>IF(AP53&lt;&gt;"",IF(((AP53*Paramètres!$H$4)-PORTEFEUILLE_SEBASTIEN[[#This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3" s="190" t="str">
        <f>IF(PORTEFEUILLE_SEBASTIEN[[#This Row],[BONI COMPTABLE]]&lt;&gt;0,1,"")</f>
        <v/>
      </c>
      <c r="AY53" s="190" t="str">
        <f>IF(PORTEFEUILLE_SEBASTIEN[[#This Row],[MALI COMPTABLE]]&lt;&gt;0,1,"")</f>
        <v/>
      </c>
      <c r="AZ53" s="202"/>
      <c r="BA53" s="188"/>
      <c r="BB53" s="188"/>
      <c r="BC53" s="188"/>
      <c r="BD53" s="202"/>
      <c r="BE53" s="202"/>
      <c r="BF53" s="202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SUM(PORTEFEUILLE_SEBASTIEN[[#This Row],[PCR COMPTABLE €]:[MONTANT
RESPONSABLE RELATION CLIENT €]])-PORTEFEUILLE_SEBASTIEN[[#This Row],[MONTANT TOTAL LETTRE DE MISION €]]</f>
        <v>0</v>
      </c>
      <c r="AI54" s="191"/>
      <c r="AJ54" s="188"/>
      <c r="AK54" s="188"/>
      <c r="AL54" s="188"/>
      <c r="AM54" s="191"/>
      <c r="AN54" s="194"/>
      <c r="AO54" s="194"/>
      <c r="AP54" s="194"/>
      <c r="AQ54" s="194"/>
      <c r="AR5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4" s="188" t="str">
        <f>IF(PORTEFEUILLE_SEBASTIEN[[#This Row],[BONI AAC]]&lt;&gt;0,1,"")</f>
        <v/>
      </c>
      <c r="AU54" s="188" t="str">
        <f>IF(PORTEFEUILLE_SEBASTIEN[[#This Row],[MALI AAC]]&lt;&gt;0,1,"")</f>
        <v/>
      </c>
      <c r="AV54" s="225">
        <f>IF(AP54&lt;&gt;"",IF((AP54*Paramètres!$H$4)-PORTEFEUILLE_SEBASTIEN[[#This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€]]-(DELPHINE!AP53*Paramètres!$H$4),0),0)</f>
        <v>0</v>
      </c>
      <c r="AW54" s="225">
        <f>IF(AP54&lt;&gt;"",IF(((AP54*Paramètres!$H$4)-PORTEFEUILLE_SEBASTIEN[[#This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4" s="190" t="str">
        <f>IF(PORTEFEUILLE_SEBASTIEN[[#This Row],[BONI COMPTABLE]]&lt;&gt;0,1,"")</f>
        <v/>
      </c>
      <c r="AY54" s="190" t="str">
        <f>IF(PORTEFEUILLE_SEBASTIEN[[#This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SUM(PORTEFEUILLE_SEBASTIEN[[#This Row],[PCR COMPTABLE €]:[MONTANT
RESPONSABLE RELATION CLIENT €]])-PORTEFEUILLE_SEBASTIEN[[#This Row],[MONTANT TOTAL LETTRE DE MISION €]]</f>
        <v>0</v>
      </c>
      <c r="AI55" s="191"/>
      <c r="AJ55" s="188"/>
      <c r="AK55" s="188"/>
      <c r="AL55" s="188"/>
      <c r="AM55" s="191"/>
      <c r="AN55" s="194"/>
      <c r="AO55" s="194"/>
      <c r="AP55" s="194"/>
      <c r="AQ55" s="194"/>
      <c r="AR5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5" s="188" t="str">
        <f>IF(PORTEFEUILLE_SEBASTIEN[[#This Row],[BONI AAC]]&lt;&gt;0,1,"")</f>
        <v/>
      </c>
      <c r="AU55" s="188" t="str">
        <f>IF(PORTEFEUILLE_SEBASTIEN[[#This Row],[MALI AAC]]&lt;&gt;0,1,"")</f>
        <v/>
      </c>
      <c r="AV55" s="225">
        <f>IF(AP55&lt;&gt;"",IF((AP55*Paramètres!$H$4)-PORTEFEUILLE_SEBASTIEN[[#This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€]]-(DELPHINE!AP54*Paramètres!$H$4),0),0)</f>
        <v>0</v>
      </c>
      <c r="AW55" s="225">
        <f>IF(AP55&lt;&gt;"",IF(((AP55*Paramètres!$H$4)-PORTEFEUILLE_SEBASTIEN[[#This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5" s="190" t="str">
        <f>IF(PORTEFEUILLE_SEBASTIEN[[#This Row],[BONI COMPTABLE]]&lt;&gt;0,1,"")</f>
        <v/>
      </c>
      <c r="AY55" s="190" t="str">
        <f>IF(PORTEFEUILLE_SEBASTIEN[[#This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SUM(PORTEFEUILLE_SEBASTIEN[[#This Row],[PCR COMPTABLE €]:[MONTANT
RESPONSABLE RELATION CLIENT €]])-PORTEFEUILLE_SEBASTIEN[[#This Row],[MONTANT TOTAL LETTRE DE MISION €]]</f>
        <v>0</v>
      </c>
      <c r="AI56" s="191"/>
      <c r="AJ56" s="188"/>
      <c r="AK56" s="188"/>
      <c r="AL56" s="188"/>
      <c r="AM56" s="191"/>
      <c r="AN56" s="194"/>
      <c r="AO56" s="194"/>
      <c r="AP56" s="194"/>
      <c r="AQ56" s="194"/>
      <c r="AR5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6" s="188" t="str">
        <f>IF(PORTEFEUILLE_SEBASTIEN[[#This Row],[BONI AAC]]&lt;&gt;0,1,"")</f>
        <v/>
      </c>
      <c r="AU56" s="188" t="str">
        <f>IF(PORTEFEUILLE_SEBASTIEN[[#This Row],[MALI AAC]]&lt;&gt;0,1,"")</f>
        <v/>
      </c>
      <c r="AV56" s="225">
        <f>IF(AP56&lt;&gt;"",IF((AP56*Paramètres!$H$4)-PORTEFEUILLE_SEBASTIEN[[#This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€]]-(DELPHINE!AP55*Paramètres!$H$4),0),0)</f>
        <v>0</v>
      </c>
      <c r="AW56" s="225">
        <f>IF(AP56&lt;&gt;"",IF(((AP56*Paramètres!$H$4)-PORTEFEUILLE_SEBASTIEN[[#This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6" s="190" t="str">
        <f>IF(PORTEFEUILLE_SEBASTIEN[[#This Row],[BONI COMPTABLE]]&lt;&gt;0,1,"")</f>
        <v/>
      </c>
      <c r="AY56" s="190" t="str">
        <f>IF(PORTEFEUILLE_SEBASTIEN[[#This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SUM(PORTEFEUILLE_SEBASTIEN[[#This Row],[PCR COMPTABLE €]:[MONTANT
RESPONSABLE RELATION CLIENT €]])-PORTEFEUILLE_SEBASTIEN[[#This Row],[MONTANT TOTAL LETTRE DE MISION €]]</f>
        <v>0</v>
      </c>
      <c r="AI57" s="191"/>
      <c r="AJ57" s="188"/>
      <c r="AK57" s="188"/>
      <c r="AL57" s="188"/>
      <c r="AM57" s="191"/>
      <c r="AN57" s="194"/>
      <c r="AO57" s="194"/>
      <c r="AP57" s="194"/>
      <c r="AQ57" s="194"/>
      <c r="AR5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7" s="188" t="str">
        <f>IF(PORTEFEUILLE_SEBASTIEN[[#This Row],[BONI AAC]]&lt;&gt;0,1,"")</f>
        <v/>
      </c>
      <c r="AU57" s="188" t="str">
        <f>IF(PORTEFEUILLE_SEBASTIEN[[#This Row],[MALI AAC]]&lt;&gt;0,1,"")</f>
        <v/>
      </c>
      <c r="AV57" s="225">
        <f>IF(AP57&lt;&gt;"",IF((AP57*Paramètres!$H$4)-PORTEFEUILLE_SEBASTIEN[[#This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€]]-(DELPHINE!AP56*Paramètres!$H$4),0),0)</f>
        <v>0</v>
      </c>
      <c r="AW57" s="225">
        <f>IF(AP57&lt;&gt;"",IF(((AP57*Paramètres!$H$4)-PORTEFEUILLE_SEBASTIEN[[#This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7" s="190" t="str">
        <f>IF(PORTEFEUILLE_SEBASTIEN[[#This Row],[BONI COMPTABLE]]&lt;&gt;0,1,"")</f>
        <v/>
      </c>
      <c r="AY57" s="190" t="str">
        <f>IF(PORTEFEUILLE_SEBASTIEN[[#This Row],[MALI COMPTABLE]]&lt;&gt;0,1,"")</f>
        <v/>
      </c>
      <c r="AZ57" s="194"/>
      <c r="BA57" s="188"/>
      <c r="BB57" s="188"/>
      <c r="BC57" s="188"/>
      <c r="BD57" s="194"/>
      <c r="BE57" s="194"/>
      <c r="BF57" s="194"/>
      <c r="BG57" s="192"/>
      <c r="BH57" s="194"/>
      <c r="BI57" s="194"/>
      <c r="BJ57" s="195"/>
      <c r="BK57" s="194"/>
    </row>
    <row r="58" spans="1:63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SUM(PORTEFEUILLE_SEBASTIEN[[#This Row],[PCR COMPTABLE €]:[MONTANT
RESPONSABLE RELATION CLIENT €]])-PORTEFEUILLE_SEBASTIEN[[#This Row],[MONTANT TOTAL LETTRE DE MISION €]]</f>
        <v>0</v>
      </c>
      <c r="AI58" s="191"/>
      <c r="AJ58" s="188"/>
      <c r="AK58" s="188"/>
      <c r="AL58" s="188"/>
      <c r="AM58" s="191"/>
      <c r="AN58" s="194"/>
      <c r="AO58" s="194"/>
      <c r="AP58" s="194"/>
      <c r="AQ58" s="194"/>
      <c r="AR5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8" s="188" t="str">
        <f>IF(PORTEFEUILLE_SEBASTIEN[[#This Row],[BONI AAC]]&lt;&gt;0,1,"")</f>
        <v/>
      </c>
      <c r="AU58" s="188" t="str">
        <f>IF(PORTEFEUILLE_SEBASTIEN[[#This Row],[MALI AAC]]&lt;&gt;0,1,"")</f>
        <v/>
      </c>
      <c r="AV58" s="225">
        <f>IF(AP58&lt;&gt;"",IF((AP58*Paramètres!$H$4)-PORTEFEUILLE_SEBASTIEN[[#This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€]]-(DELPHINE!AP57*Paramètres!$H$4),0),0)</f>
        <v>0</v>
      </c>
      <c r="AW58" s="225">
        <f>IF(AP58&lt;&gt;"",IF(((AP58*Paramètres!$H$4)-PORTEFEUILLE_SEBASTIEN[[#This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8" s="190" t="str">
        <f>IF(PORTEFEUILLE_SEBASTIEN[[#This Row],[BONI COMPTABLE]]&lt;&gt;0,1,"")</f>
        <v/>
      </c>
      <c r="AY58" s="190" t="str">
        <f>IF(PORTEFEUILLE_SEBASTIEN[[#This Row],[MALI COMPTABLE]]&lt;&gt;0,1,"")</f>
        <v/>
      </c>
      <c r="AZ58" s="194"/>
      <c r="BA58" s="188"/>
      <c r="BB58" s="188"/>
      <c r="BC58" s="188"/>
      <c r="BD58" s="194"/>
      <c r="BE58" s="194"/>
      <c r="BF58" s="194"/>
      <c r="BG58" s="192"/>
      <c r="BH58" s="194"/>
      <c r="BI58" s="194"/>
      <c r="BJ58" s="195"/>
      <c r="BK58" s="194"/>
    </row>
    <row r="59" spans="1:63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SUM(PORTEFEUILLE_SEBASTIEN[[#This Row],[PCR COMPTABLE €]:[MONTANT
RESPONSABLE RELATION CLIENT €]])-PORTEFEUILLE_SEBASTIEN[[#This Row],[MONTANT TOTAL LETTRE DE MISION €]]</f>
        <v>0</v>
      </c>
      <c r="AI59" s="191"/>
      <c r="AJ59" s="188"/>
      <c r="AK59" s="188"/>
      <c r="AL59" s="188"/>
      <c r="AM59" s="191"/>
      <c r="AN59" s="194"/>
      <c r="AO59" s="194"/>
      <c r="AP59" s="194"/>
      <c r="AQ59" s="194"/>
      <c r="AR5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5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59" s="188" t="str">
        <f>IF(PORTEFEUILLE_SEBASTIEN[[#This Row],[BONI AAC]]&lt;&gt;0,1,"")</f>
        <v/>
      </c>
      <c r="AU59" s="188" t="str">
        <f>IF(PORTEFEUILLE_SEBASTIEN[[#This Row],[MALI AAC]]&lt;&gt;0,1,"")</f>
        <v/>
      </c>
      <c r="AV59" s="225">
        <f>IF(AP59&lt;&gt;"",IF((AP59*Paramètres!$H$4)-PORTEFEUILLE_SEBASTIEN[[#This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€]]-(DELPHINE!AP58*Paramètres!$H$4),0),0)</f>
        <v>0</v>
      </c>
      <c r="AW59" s="225">
        <f>IF(AP59&lt;&gt;"",IF(((AP59*Paramètres!$H$4)-PORTEFEUILLE_SEBASTIEN[[#This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59" s="190" t="str">
        <f>IF(PORTEFEUILLE_SEBASTIEN[[#This Row],[BONI COMPTABLE]]&lt;&gt;0,1,"")</f>
        <v/>
      </c>
      <c r="AY59" s="190" t="str">
        <f>IF(PORTEFEUILLE_SEBASTIEN[[#This Row],[MALI COMPTABLE]]&lt;&gt;0,1,"")</f>
        <v/>
      </c>
      <c r="AZ59" s="194"/>
      <c r="BA59" s="188"/>
      <c r="BB59" s="188"/>
      <c r="BC59" s="188"/>
      <c r="BD59" s="194"/>
      <c r="BE59" s="194"/>
      <c r="BF59" s="194"/>
      <c r="BG59" s="192"/>
      <c r="BH59" s="194"/>
      <c r="BI59" s="194"/>
      <c r="BJ59" s="195"/>
      <c r="BK59" s="194"/>
    </row>
    <row r="60" spans="1:63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SUM(PORTEFEUILLE_SEBASTIEN[[#This Row],[PCR COMPTABLE €]:[MONTANT
RESPONSABLE RELATION CLIENT €]])-PORTEFEUILLE_SEBASTIEN[[#This Row],[MONTANT TOTAL LETTRE DE MISION €]]</f>
        <v>0</v>
      </c>
      <c r="AI60" s="191"/>
      <c r="AJ60" s="188"/>
      <c r="AK60" s="201"/>
      <c r="AL60" s="201"/>
      <c r="AM60" s="246"/>
      <c r="AN60" s="205"/>
      <c r="AO60" s="205"/>
      <c r="AP60" s="205"/>
      <c r="AQ60" s="205"/>
      <c r="AR6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S6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T60" s="188" t="str">
        <f>IF(PORTEFEUILLE_SEBASTIEN[[#This Row],[BONI AAC]]&lt;&gt;0,1,"")</f>
        <v/>
      </c>
      <c r="AU60" s="188" t="str">
        <f>IF(PORTEFEUILLE_SEBASTIEN[[#This Row],[MALI AAC]]&lt;&gt;0,1,"")</f>
        <v/>
      </c>
      <c r="AV60" s="225">
        <f>IF(AP60&lt;&gt;"",IF((AP60*Paramètres!$H$4)-PORTEFEUILLE_SEBASTIEN[[#This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€]]-(DELPHINE!AP59*Paramètres!$H$4),0),0)</f>
        <v>0</v>
      </c>
      <c r="AW60" s="225">
        <f>IF(AP60&lt;&gt;"",IF(((AP60*Paramètres!$H$4)-PORTEFEUILLE_SEBASTIEN[[#This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€]])&gt;0,(AP60*Paramètres!$H$4)-PORTEFEUILLE_SEBASTIEN[[#This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X60" s="190" t="str">
        <f>IF(PORTEFEUILLE_SEBASTIEN[[#This Row],[BONI COMPTABLE]]&lt;&gt;0,1,"")</f>
        <v/>
      </c>
      <c r="AY60" s="190" t="str">
        <f>IF(PORTEFEUILLE_SEBASTIEN[[#This Row],[MALI COMPTABLE]]&lt;&gt;0,1,"")</f>
        <v/>
      </c>
      <c r="AZ60" s="205"/>
      <c r="BA60" s="188"/>
      <c r="BB60" s="188"/>
      <c r="BC60" s="188"/>
      <c r="BD60" s="205"/>
      <c r="BE60" s="205"/>
      <c r="BF60" s="205"/>
      <c r="BG60" s="192"/>
      <c r="BH60" s="205"/>
      <c r="BI60" s="205"/>
      <c r="BJ60" s="206"/>
      <c r="BK60" s="205"/>
    </row>
    <row r="63" spans="1:63" x14ac:dyDescent="0.25">
      <c r="B63" s="89" t="s">
        <v>120</v>
      </c>
    </row>
    <row r="65" spans="2:52" x14ac:dyDescent="0.25">
      <c r="B65" s="279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80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280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81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275" t="s">
        <v>123</v>
      </c>
      <c r="C69" s="275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2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80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280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81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275" t="s">
        <v>123</v>
      </c>
      <c r="C75" s="275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2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80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B79" s="280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281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B81" s="275" t="s">
        <v>123</v>
      </c>
      <c r="C81" s="275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6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277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7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277" t="s">
        <v>123</v>
      </c>
      <c r="C88" s="277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8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277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COUNTIFS($I$3:$I$60,"&lt;&gt;",$BB$3:$BB$60,"X",$E$3:$E$60,DATE(Paramètres!A4,Paramètres!D15,Paramètres!C15),$F$3:$F$60,"EARL")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277" t="s">
        <v>123</v>
      </c>
      <c r="C94" s="277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B98" s="277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277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B100" s="277" t="s">
        <v>123</v>
      </c>
      <c r="C100" s="277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79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80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280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81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275" t="s">
        <v>123</v>
      </c>
      <c r="C108" s="275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2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80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280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81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275" t="s">
        <v>123</v>
      </c>
      <c r="C114" s="275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2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80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B118" s="280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B119" s="281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B120" s="275" t="s">
        <v>123</v>
      </c>
      <c r="C120" s="275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  <row r="181" spans="21:52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  <c r="AZ181" s="164"/>
    </row>
    <row r="182" spans="21:52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</row>
    <row r="183" spans="21:52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  <c r="AY183" s="164"/>
      <c r="AZ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143" priority="2">
      <formula>AND(P3&lt;&gt;"",P3&lt;&gt;"OUI")</formula>
    </cfRule>
  </conditionalFormatting>
  <conditionalFormatting sqref="AN3:AO60 S3:AH60">
    <cfRule type="expression" dxfId="142" priority="1" stopIfTrue="1">
      <formula>$AH3&lt;&gt;0</formula>
    </cfRule>
  </conditionalFormatting>
  <conditionalFormatting sqref="A3:E60">
    <cfRule type="expression" dxfId="141" priority="3" stopIfTrue="1">
      <formula>AND($I3&lt;&gt;"",AND($J3="",AND($BA3="",$BB3="")))</formula>
    </cfRule>
    <cfRule type="expression" dxfId="140" priority="4" stopIfTrue="1">
      <formula>AND($J3&lt;&gt;"",AND($BA3="",$BB3=""))</formula>
    </cfRule>
    <cfRule type="expression" dxfId="139" priority="5" stopIfTrue="1">
      <formula>AND($BA3&lt;&gt;"",$BB3="")</formula>
    </cfRule>
    <cfRule type="expression" dxfId="138" priority="6" stopIfTrue="1">
      <formula>$BB3="X"</formula>
    </cfRule>
  </conditionalFormatting>
  <dataValidations count="12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I3:BK60">
      <formula1>"OUI,NON,N/C"</formula1>
    </dataValidation>
    <dataValidation type="list" allowBlank="1" showInputMessage="1" showErrorMessage="1" sqref="AN3:AN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BA3:BC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O3:AO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Y3:JY60 TU3:TU60 ADQ3:ADQ60 ANM3:ANM60 AXI3:AXI60 BHE3:BHE60 BRA3:BRA60 CAW3:CAW60 CKS3:CKS60 CUO3:CUO60 DEK3:DEK60 DOG3:DOG60 DYC3:DYC60 EHY3:EHY60 ERU3:ERU60 FBQ3:FBQ60 FLM3:FLM60 FVI3:FVI60 GFE3:GFE60 GPA3:GPA60 GYW3:GYW60 HIS3:HIS60 HSO3:HSO60 ICK3:ICK60 IMG3:IMG60 IWC3:IWC60 JFY3:JFY60 JPU3:JPU60 JZQ3:JZQ60 KJM3:KJM60 KTI3:KTI60 LDE3:LDE60 LNA3:LNA60 LWW3:LWW60 MGS3:MGS60 MQO3:MQO60 NAK3:NAK60 NKG3:NKG60 NUC3:NUC60 ODY3:ODY60 ONU3:ONU60 OXQ3:OXQ60 PHM3:PHM60 PRI3:PRI60 QBE3:QBE60 QLA3:QLA60 QUW3:QUW60 RES3:RES60 ROO3:ROO60 RYK3:RYK60 SIG3:SIG60 SSC3:SSC60 TBY3:TBY60 TLU3:TLU60 TVQ3:TVQ60 UFM3:UFM60 UPI3:UPI60 UZE3:UZE60 VJA3:VJA60 VSW3:VSW60 WCS3:WCS60 WMO3:WMO60 WWK3:WWK60 G65539:G65596 JX65539:JX65596 TT65539:TT65596 ADP65539:ADP65596 ANL65539:ANL65596 AXH65539:AXH65596 BHD65539:BHD65596 BQZ65539:BQZ65596 CAV65539:CAV65596 CKR65539:CKR65596 CUN65539:CUN65596 DEJ65539:DEJ65596 DOF65539:DOF65596 DYB65539:DYB65596 EHX65539:EHX65596 ERT65539:ERT65596 FBP65539:FBP65596 FLL65539:FLL65596 FVH65539:FVH65596 GFD65539:GFD65596 GOZ65539:GOZ65596 GYV65539:GYV65596 HIR65539:HIR65596 HSN65539:HSN65596 ICJ65539:ICJ65596 IMF65539:IMF65596 IWB65539:IWB65596 JFX65539:JFX65596 JPT65539:JPT65596 JZP65539:JZP65596 KJL65539:KJL65596 KTH65539:KTH65596 LDD65539:LDD65596 LMZ65539:LMZ65596 LWV65539:LWV65596 MGR65539:MGR65596 MQN65539:MQN65596 NAJ65539:NAJ65596 NKF65539:NKF65596 NUB65539:NUB65596 ODX65539:ODX65596 ONT65539:ONT65596 OXP65539:OXP65596 PHL65539:PHL65596 PRH65539:PRH65596 QBD65539:QBD65596 QKZ65539:QKZ65596 QUV65539:QUV65596 RER65539:RER65596 RON65539:RON65596 RYJ65539:RYJ65596 SIF65539:SIF65596 SSB65539:SSB65596 TBX65539:TBX65596 TLT65539:TLT65596 TVP65539:TVP65596 UFL65539:UFL65596 UPH65539:UPH65596 UZD65539:UZD65596 VIZ65539:VIZ65596 VSV65539:VSV65596 WCR65539:WCR65596 WMN65539:WMN65596 WWJ65539:WWJ65596 G131075:G131132 JX131075:JX131132 TT131075:TT131132 ADP131075:ADP131132 ANL131075:ANL131132 AXH131075:AXH131132 BHD131075:BHD131132 BQZ131075:BQZ131132 CAV131075:CAV131132 CKR131075:CKR131132 CUN131075:CUN131132 DEJ131075:DEJ131132 DOF131075:DOF131132 DYB131075:DYB131132 EHX131075:EHX131132 ERT131075:ERT131132 FBP131075:FBP131132 FLL131075:FLL131132 FVH131075:FVH131132 GFD131075:GFD131132 GOZ131075:GOZ131132 GYV131075:GYV131132 HIR131075:HIR131132 HSN131075:HSN131132 ICJ131075:ICJ131132 IMF131075:IMF131132 IWB131075:IWB131132 JFX131075:JFX131132 JPT131075:JPT131132 JZP131075:JZP131132 KJL131075:KJL131132 KTH131075:KTH131132 LDD131075:LDD131132 LMZ131075:LMZ131132 LWV131075:LWV131132 MGR131075:MGR131132 MQN131075:MQN131132 NAJ131075:NAJ131132 NKF131075:NKF131132 NUB131075:NUB131132 ODX131075:ODX131132 ONT131075:ONT131132 OXP131075:OXP131132 PHL131075:PHL131132 PRH131075:PRH131132 QBD131075:QBD131132 QKZ131075:QKZ131132 QUV131075:QUV131132 RER131075:RER131132 RON131075:RON131132 RYJ131075:RYJ131132 SIF131075:SIF131132 SSB131075:SSB131132 TBX131075:TBX131132 TLT131075:TLT131132 TVP131075:TVP131132 UFL131075:UFL131132 UPH131075:UPH131132 UZD131075:UZD131132 VIZ131075:VIZ131132 VSV131075:VSV131132 WCR131075:WCR131132 WMN131075:WMN131132 WWJ131075:WWJ131132 G196611:G196668 JX196611:JX196668 TT196611:TT196668 ADP196611:ADP196668 ANL196611:ANL196668 AXH196611:AXH196668 BHD196611:BHD196668 BQZ196611:BQZ196668 CAV196611:CAV196668 CKR196611:CKR196668 CUN196611:CUN196668 DEJ196611:DEJ196668 DOF196611:DOF196668 DYB196611:DYB196668 EHX196611:EHX196668 ERT196611:ERT196668 FBP196611:FBP196668 FLL196611:FLL196668 FVH196611:FVH196668 GFD196611:GFD196668 GOZ196611:GOZ196668 GYV196611:GYV196668 HIR196611:HIR196668 HSN196611:HSN196668 ICJ196611:ICJ196668 IMF196611:IMF196668 IWB196611:IWB196668 JFX196611:JFX196668 JPT196611:JPT196668 JZP196611:JZP196668 KJL196611:KJL196668 KTH196611:KTH196668 LDD196611:LDD196668 LMZ196611:LMZ196668 LWV196611:LWV196668 MGR196611:MGR196668 MQN196611:MQN196668 NAJ196611:NAJ196668 NKF196611:NKF196668 NUB196611:NUB196668 ODX196611:ODX196668 ONT196611:ONT196668 OXP196611:OXP196668 PHL196611:PHL196668 PRH196611:PRH196668 QBD196611:QBD196668 QKZ196611:QKZ196668 QUV196611:QUV196668 RER196611:RER196668 RON196611:RON196668 RYJ196611:RYJ196668 SIF196611:SIF196668 SSB196611:SSB196668 TBX196611:TBX196668 TLT196611:TLT196668 TVP196611:TVP196668 UFL196611:UFL196668 UPH196611:UPH196668 UZD196611:UZD196668 VIZ196611:VIZ196668 VSV196611:VSV196668 WCR196611:WCR196668 WMN196611:WMN196668 WWJ196611:WWJ196668 G262147:G262204 JX262147:JX262204 TT262147:TT262204 ADP262147:ADP262204 ANL262147:ANL262204 AXH262147:AXH262204 BHD262147:BHD262204 BQZ262147:BQZ262204 CAV262147:CAV262204 CKR262147:CKR262204 CUN262147:CUN262204 DEJ262147:DEJ262204 DOF262147:DOF262204 DYB262147:DYB262204 EHX262147:EHX262204 ERT262147:ERT262204 FBP262147:FBP262204 FLL262147:FLL262204 FVH262147:FVH262204 GFD262147:GFD262204 GOZ262147:GOZ262204 GYV262147:GYV262204 HIR262147:HIR262204 HSN262147:HSN262204 ICJ262147:ICJ262204 IMF262147:IMF262204 IWB262147:IWB262204 JFX262147:JFX262204 JPT262147:JPT262204 JZP262147:JZP262204 KJL262147:KJL262204 KTH262147:KTH262204 LDD262147:LDD262204 LMZ262147:LMZ262204 LWV262147:LWV262204 MGR262147:MGR262204 MQN262147:MQN262204 NAJ262147:NAJ262204 NKF262147:NKF262204 NUB262147:NUB262204 ODX262147:ODX262204 ONT262147:ONT262204 OXP262147:OXP262204 PHL262147:PHL262204 PRH262147:PRH262204 QBD262147:QBD262204 QKZ262147:QKZ262204 QUV262147:QUV262204 RER262147:RER262204 RON262147:RON262204 RYJ262147:RYJ262204 SIF262147:SIF262204 SSB262147:SSB262204 TBX262147:TBX262204 TLT262147:TLT262204 TVP262147:TVP262204 UFL262147:UFL262204 UPH262147:UPH262204 UZD262147:UZD262204 VIZ262147:VIZ262204 VSV262147:VSV262204 WCR262147:WCR262204 WMN262147:WMN262204 WWJ262147:WWJ262204 G327683:G327740 JX327683:JX327740 TT327683:TT327740 ADP327683:ADP327740 ANL327683:ANL327740 AXH327683:AXH327740 BHD327683:BHD327740 BQZ327683:BQZ327740 CAV327683:CAV327740 CKR327683:CKR327740 CUN327683:CUN327740 DEJ327683:DEJ327740 DOF327683:DOF327740 DYB327683:DYB327740 EHX327683:EHX327740 ERT327683:ERT327740 FBP327683:FBP327740 FLL327683:FLL327740 FVH327683:FVH327740 GFD327683:GFD327740 GOZ327683:GOZ327740 GYV327683:GYV327740 HIR327683:HIR327740 HSN327683:HSN327740 ICJ327683:ICJ327740 IMF327683:IMF327740 IWB327683:IWB327740 JFX327683:JFX327740 JPT327683:JPT327740 JZP327683:JZP327740 KJL327683:KJL327740 KTH327683:KTH327740 LDD327683:LDD327740 LMZ327683:LMZ327740 LWV327683:LWV327740 MGR327683:MGR327740 MQN327683:MQN327740 NAJ327683:NAJ327740 NKF327683:NKF327740 NUB327683:NUB327740 ODX327683:ODX327740 ONT327683:ONT327740 OXP327683:OXP327740 PHL327683:PHL327740 PRH327683:PRH327740 QBD327683:QBD327740 QKZ327683:QKZ327740 QUV327683:QUV327740 RER327683:RER327740 RON327683:RON327740 RYJ327683:RYJ327740 SIF327683:SIF327740 SSB327683:SSB327740 TBX327683:TBX327740 TLT327683:TLT327740 TVP327683:TVP327740 UFL327683:UFL327740 UPH327683:UPH327740 UZD327683:UZD327740 VIZ327683:VIZ327740 VSV327683:VSV327740 WCR327683:WCR327740 WMN327683:WMN327740 WWJ327683:WWJ327740 G393219:G393276 JX393219:JX393276 TT393219:TT393276 ADP393219:ADP393276 ANL393219:ANL393276 AXH393219:AXH393276 BHD393219:BHD393276 BQZ393219:BQZ393276 CAV393219:CAV393276 CKR393219:CKR393276 CUN393219:CUN393276 DEJ393219:DEJ393276 DOF393219:DOF393276 DYB393219:DYB393276 EHX393219:EHX393276 ERT393219:ERT393276 FBP393219:FBP393276 FLL393219:FLL393276 FVH393219:FVH393276 GFD393219:GFD393276 GOZ393219:GOZ393276 GYV393219:GYV393276 HIR393219:HIR393276 HSN393219:HSN393276 ICJ393219:ICJ393276 IMF393219:IMF393276 IWB393219:IWB393276 JFX393219:JFX393276 JPT393219:JPT393276 JZP393219:JZP393276 KJL393219:KJL393276 KTH393219:KTH393276 LDD393219:LDD393276 LMZ393219:LMZ393276 LWV393219:LWV393276 MGR393219:MGR393276 MQN393219:MQN393276 NAJ393219:NAJ393276 NKF393219:NKF393276 NUB393219:NUB393276 ODX393219:ODX393276 ONT393219:ONT393276 OXP393219:OXP393276 PHL393219:PHL393276 PRH393219:PRH393276 QBD393219:QBD393276 QKZ393219:QKZ393276 QUV393219:QUV393276 RER393219:RER393276 RON393219:RON393276 RYJ393219:RYJ393276 SIF393219:SIF393276 SSB393219:SSB393276 TBX393219:TBX393276 TLT393219:TLT393276 TVP393219:TVP393276 UFL393219:UFL393276 UPH393219:UPH393276 UZD393219:UZD393276 VIZ393219:VIZ393276 VSV393219:VSV393276 WCR393219:WCR393276 WMN393219:WMN393276 WWJ393219:WWJ393276 G458755:G458812 JX458755:JX458812 TT458755:TT458812 ADP458755:ADP458812 ANL458755:ANL458812 AXH458755:AXH458812 BHD458755:BHD458812 BQZ458755:BQZ458812 CAV458755:CAV458812 CKR458755:CKR458812 CUN458755:CUN458812 DEJ458755:DEJ458812 DOF458755:DOF458812 DYB458755:DYB458812 EHX458755:EHX458812 ERT458755:ERT458812 FBP458755:FBP458812 FLL458755:FLL458812 FVH458755:FVH458812 GFD458755:GFD458812 GOZ458755:GOZ458812 GYV458755:GYV458812 HIR458755:HIR458812 HSN458755:HSN458812 ICJ458755:ICJ458812 IMF458755:IMF458812 IWB458755:IWB458812 JFX458755:JFX458812 JPT458755:JPT458812 JZP458755:JZP458812 KJL458755:KJL458812 KTH458755:KTH458812 LDD458755:LDD458812 LMZ458755:LMZ458812 LWV458755:LWV458812 MGR458755:MGR458812 MQN458755:MQN458812 NAJ458755:NAJ458812 NKF458755:NKF458812 NUB458755:NUB458812 ODX458755:ODX458812 ONT458755:ONT458812 OXP458755:OXP458812 PHL458755:PHL458812 PRH458755:PRH458812 QBD458755:QBD458812 QKZ458755:QKZ458812 QUV458755:QUV458812 RER458755:RER458812 RON458755:RON458812 RYJ458755:RYJ458812 SIF458755:SIF458812 SSB458755:SSB458812 TBX458755:TBX458812 TLT458755:TLT458812 TVP458755:TVP458812 UFL458755:UFL458812 UPH458755:UPH458812 UZD458755:UZD458812 VIZ458755:VIZ458812 VSV458755:VSV458812 WCR458755:WCR458812 WMN458755:WMN458812 WWJ458755:WWJ458812 G524291:G524348 JX524291:JX524348 TT524291:TT524348 ADP524291:ADP524348 ANL524291:ANL524348 AXH524291:AXH524348 BHD524291:BHD524348 BQZ524291:BQZ524348 CAV524291:CAV524348 CKR524291:CKR524348 CUN524291:CUN524348 DEJ524291:DEJ524348 DOF524291:DOF524348 DYB524291:DYB524348 EHX524291:EHX524348 ERT524291:ERT524348 FBP524291:FBP524348 FLL524291:FLL524348 FVH524291:FVH524348 GFD524291:GFD524348 GOZ524291:GOZ524348 GYV524291:GYV524348 HIR524291:HIR524348 HSN524291:HSN524348 ICJ524291:ICJ524348 IMF524291:IMF524348 IWB524291:IWB524348 JFX524291:JFX524348 JPT524291:JPT524348 JZP524291:JZP524348 KJL524291:KJL524348 KTH524291:KTH524348 LDD524291:LDD524348 LMZ524291:LMZ524348 LWV524291:LWV524348 MGR524291:MGR524348 MQN524291:MQN524348 NAJ524291:NAJ524348 NKF524291:NKF524348 NUB524291:NUB524348 ODX524291:ODX524348 ONT524291:ONT524348 OXP524291:OXP524348 PHL524291:PHL524348 PRH524291:PRH524348 QBD524291:QBD524348 QKZ524291:QKZ524348 QUV524291:QUV524348 RER524291:RER524348 RON524291:RON524348 RYJ524291:RYJ524348 SIF524291:SIF524348 SSB524291:SSB524348 TBX524291:TBX524348 TLT524291:TLT524348 TVP524291:TVP524348 UFL524291:UFL524348 UPH524291:UPH524348 UZD524291:UZD524348 VIZ524291:VIZ524348 VSV524291:VSV524348 WCR524291:WCR524348 WMN524291:WMN524348 WWJ524291:WWJ524348 G589827:G589884 JX589827:JX589884 TT589827:TT589884 ADP589827:ADP589884 ANL589827:ANL589884 AXH589827:AXH589884 BHD589827:BHD589884 BQZ589827:BQZ589884 CAV589827:CAV589884 CKR589827:CKR589884 CUN589827:CUN589884 DEJ589827:DEJ589884 DOF589827:DOF589884 DYB589827:DYB589884 EHX589827:EHX589884 ERT589827:ERT589884 FBP589827:FBP589884 FLL589827:FLL589884 FVH589827:FVH589884 GFD589827:GFD589884 GOZ589827:GOZ589884 GYV589827:GYV589884 HIR589827:HIR589884 HSN589827:HSN589884 ICJ589827:ICJ589884 IMF589827:IMF589884 IWB589827:IWB589884 JFX589827:JFX589884 JPT589827:JPT589884 JZP589827:JZP589884 KJL589827:KJL589884 KTH589827:KTH589884 LDD589827:LDD589884 LMZ589827:LMZ589884 LWV589827:LWV589884 MGR589827:MGR589884 MQN589827:MQN589884 NAJ589827:NAJ589884 NKF589827:NKF589884 NUB589827:NUB589884 ODX589827:ODX589884 ONT589827:ONT589884 OXP589827:OXP589884 PHL589827:PHL589884 PRH589827:PRH589884 QBD589827:QBD589884 QKZ589827:QKZ589884 QUV589827:QUV589884 RER589827:RER589884 RON589827:RON589884 RYJ589827:RYJ589884 SIF589827:SIF589884 SSB589827:SSB589884 TBX589827:TBX589884 TLT589827:TLT589884 TVP589827:TVP589884 UFL589827:UFL589884 UPH589827:UPH589884 UZD589827:UZD589884 VIZ589827:VIZ589884 VSV589827:VSV589884 WCR589827:WCR589884 WMN589827:WMN589884 WWJ589827:WWJ589884 G655363:G655420 JX655363:JX655420 TT655363:TT655420 ADP655363:ADP655420 ANL655363:ANL655420 AXH655363:AXH655420 BHD655363:BHD655420 BQZ655363:BQZ655420 CAV655363:CAV655420 CKR655363:CKR655420 CUN655363:CUN655420 DEJ655363:DEJ655420 DOF655363:DOF655420 DYB655363:DYB655420 EHX655363:EHX655420 ERT655363:ERT655420 FBP655363:FBP655420 FLL655363:FLL655420 FVH655363:FVH655420 GFD655363:GFD655420 GOZ655363:GOZ655420 GYV655363:GYV655420 HIR655363:HIR655420 HSN655363:HSN655420 ICJ655363:ICJ655420 IMF655363:IMF655420 IWB655363:IWB655420 JFX655363:JFX655420 JPT655363:JPT655420 JZP655363:JZP655420 KJL655363:KJL655420 KTH655363:KTH655420 LDD655363:LDD655420 LMZ655363:LMZ655420 LWV655363:LWV655420 MGR655363:MGR655420 MQN655363:MQN655420 NAJ655363:NAJ655420 NKF655363:NKF655420 NUB655363:NUB655420 ODX655363:ODX655420 ONT655363:ONT655420 OXP655363:OXP655420 PHL655363:PHL655420 PRH655363:PRH655420 QBD655363:QBD655420 QKZ655363:QKZ655420 QUV655363:QUV655420 RER655363:RER655420 RON655363:RON655420 RYJ655363:RYJ655420 SIF655363:SIF655420 SSB655363:SSB655420 TBX655363:TBX655420 TLT655363:TLT655420 TVP655363:TVP655420 UFL655363:UFL655420 UPH655363:UPH655420 UZD655363:UZD655420 VIZ655363:VIZ655420 VSV655363:VSV655420 WCR655363:WCR655420 WMN655363:WMN655420 WWJ655363:WWJ655420 G720899:G720956 JX720899:JX720956 TT720899:TT720956 ADP720899:ADP720956 ANL720899:ANL720956 AXH720899:AXH720956 BHD720899:BHD720956 BQZ720899:BQZ720956 CAV720899:CAV720956 CKR720899:CKR720956 CUN720899:CUN720956 DEJ720899:DEJ720956 DOF720899:DOF720956 DYB720899:DYB720956 EHX720899:EHX720956 ERT720899:ERT720956 FBP720899:FBP720956 FLL720899:FLL720956 FVH720899:FVH720956 GFD720899:GFD720956 GOZ720899:GOZ720956 GYV720899:GYV720956 HIR720899:HIR720956 HSN720899:HSN720956 ICJ720899:ICJ720956 IMF720899:IMF720956 IWB720899:IWB720956 JFX720899:JFX720956 JPT720899:JPT720956 JZP720899:JZP720956 KJL720899:KJL720956 KTH720899:KTH720956 LDD720899:LDD720956 LMZ720899:LMZ720956 LWV720899:LWV720956 MGR720899:MGR720956 MQN720899:MQN720956 NAJ720899:NAJ720956 NKF720899:NKF720956 NUB720899:NUB720956 ODX720899:ODX720956 ONT720899:ONT720956 OXP720899:OXP720956 PHL720899:PHL720956 PRH720899:PRH720956 QBD720899:QBD720956 QKZ720899:QKZ720956 QUV720899:QUV720956 RER720899:RER720956 RON720899:RON720956 RYJ720899:RYJ720956 SIF720899:SIF720956 SSB720899:SSB720956 TBX720899:TBX720956 TLT720899:TLT720956 TVP720899:TVP720956 UFL720899:UFL720956 UPH720899:UPH720956 UZD720899:UZD720956 VIZ720899:VIZ720956 VSV720899:VSV720956 WCR720899:WCR720956 WMN720899:WMN720956 WWJ720899:WWJ720956 G786435:G786492 JX786435:JX786492 TT786435:TT786492 ADP786435:ADP786492 ANL786435:ANL786492 AXH786435:AXH786492 BHD786435:BHD786492 BQZ786435:BQZ786492 CAV786435:CAV786492 CKR786435:CKR786492 CUN786435:CUN786492 DEJ786435:DEJ786492 DOF786435:DOF786492 DYB786435:DYB786492 EHX786435:EHX786492 ERT786435:ERT786492 FBP786435:FBP786492 FLL786435:FLL786492 FVH786435:FVH786492 GFD786435:GFD786492 GOZ786435:GOZ786492 GYV786435:GYV786492 HIR786435:HIR786492 HSN786435:HSN786492 ICJ786435:ICJ786492 IMF786435:IMF786492 IWB786435:IWB786492 JFX786435:JFX786492 JPT786435:JPT786492 JZP786435:JZP786492 KJL786435:KJL786492 KTH786435:KTH786492 LDD786435:LDD786492 LMZ786435:LMZ786492 LWV786435:LWV786492 MGR786435:MGR786492 MQN786435:MQN786492 NAJ786435:NAJ786492 NKF786435:NKF786492 NUB786435:NUB786492 ODX786435:ODX786492 ONT786435:ONT786492 OXP786435:OXP786492 PHL786435:PHL786492 PRH786435:PRH786492 QBD786435:QBD786492 QKZ786435:QKZ786492 QUV786435:QUV786492 RER786435:RER786492 RON786435:RON786492 RYJ786435:RYJ786492 SIF786435:SIF786492 SSB786435:SSB786492 TBX786435:TBX786492 TLT786435:TLT786492 TVP786435:TVP786492 UFL786435:UFL786492 UPH786435:UPH786492 UZD786435:UZD786492 VIZ786435:VIZ786492 VSV786435:VSV786492 WCR786435:WCR786492 WMN786435:WMN786492 WWJ786435:WWJ786492 G851971:G852028 JX851971:JX852028 TT851971:TT852028 ADP851971:ADP852028 ANL851971:ANL852028 AXH851971:AXH852028 BHD851971:BHD852028 BQZ851971:BQZ852028 CAV851971:CAV852028 CKR851971:CKR852028 CUN851971:CUN852028 DEJ851971:DEJ852028 DOF851971:DOF852028 DYB851971:DYB852028 EHX851971:EHX852028 ERT851971:ERT852028 FBP851971:FBP852028 FLL851971:FLL852028 FVH851971:FVH852028 GFD851971:GFD852028 GOZ851971:GOZ852028 GYV851971:GYV852028 HIR851971:HIR852028 HSN851971:HSN852028 ICJ851971:ICJ852028 IMF851971:IMF852028 IWB851971:IWB852028 JFX851971:JFX852028 JPT851971:JPT852028 JZP851971:JZP852028 KJL851971:KJL852028 KTH851971:KTH852028 LDD851971:LDD852028 LMZ851971:LMZ852028 LWV851971:LWV852028 MGR851971:MGR852028 MQN851971:MQN852028 NAJ851971:NAJ852028 NKF851971:NKF852028 NUB851971:NUB852028 ODX851971:ODX852028 ONT851971:ONT852028 OXP851971:OXP852028 PHL851971:PHL852028 PRH851971:PRH852028 QBD851971:QBD852028 QKZ851971:QKZ852028 QUV851971:QUV852028 RER851971:RER852028 RON851971:RON852028 RYJ851971:RYJ852028 SIF851971:SIF852028 SSB851971:SSB852028 TBX851971:TBX852028 TLT851971:TLT852028 TVP851971:TVP852028 UFL851971:UFL852028 UPH851971:UPH852028 UZD851971:UZD852028 VIZ851971:VIZ852028 VSV851971:VSV852028 WCR851971:WCR852028 WMN851971:WMN852028 WWJ851971:WWJ852028 G917507:G917564 JX917507:JX917564 TT917507:TT917564 ADP917507:ADP917564 ANL917507:ANL917564 AXH917507:AXH917564 BHD917507:BHD917564 BQZ917507:BQZ917564 CAV917507:CAV917564 CKR917507:CKR917564 CUN917507:CUN917564 DEJ917507:DEJ917564 DOF917507:DOF917564 DYB917507:DYB917564 EHX917507:EHX917564 ERT917507:ERT917564 FBP917507:FBP917564 FLL917507:FLL917564 FVH917507:FVH917564 GFD917507:GFD917564 GOZ917507:GOZ917564 GYV917507:GYV917564 HIR917507:HIR917564 HSN917507:HSN917564 ICJ917507:ICJ917564 IMF917507:IMF917564 IWB917507:IWB917564 JFX917507:JFX917564 JPT917507:JPT917564 JZP917507:JZP917564 KJL917507:KJL917564 KTH917507:KTH917564 LDD917507:LDD917564 LMZ917507:LMZ917564 LWV917507:LWV917564 MGR917507:MGR917564 MQN917507:MQN917564 NAJ917507:NAJ917564 NKF917507:NKF917564 NUB917507:NUB917564 ODX917507:ODX917564 ONT917507:ONT917564 OXP917507:OXP917564 PHL917507:PHL917564 PRH917507:PRH917564 QBD917507:QBD917564 QKZ917507:QKZ917564 QUV917507:QUV917564 RER917507:RER917564 RON917507:RON917564 RYJ917507:RYJ917564 SIF917507:SIF917564 SSB917507:SSB917564 TBX917507:TBX917564 TLT917507:TLT917564 TVP917507:TVP917564 UFL917507:UFL917564 UPH917507:UPH917564 UZD917507:UZD917564 VIZ917507:VIZ917564 VSV917507:VSV917564 WCR917507:WCR917564 WMN917507:WMN917564 WWJ917507:WWJ917564 G983043:G983100 JX983043:JX983100 TT983043:TT983100 ADP983043:ADP983100 ANL983043:ANL983100 AXH983043:AXH983100 BHD983043:BHD983100 BQZ983043:BQZ983100 CAV983043:CAV983100 CKR983043:CKR983100 CUN983043:CUN983100 DEJ983043:DEJ983100 DOF983043:DOF983100 DYB983043:DYB983100 EHX983043:EHX983100 ERT983043:ERT983100 FBP983043:FBP983100 FLL983043:FLL983100 FVH983043:FVH983100 GFD983043:GFD983100 GOZ983043:GOZ983100 GYV983043:GYV983100 HIR983043:HIR983100 HSN983043:HSN983100 ICJ983043:ICJ983100 IMF983043:IMF983100 IWB983043:IWB983100 JFX983043:JFX983100 JPT983043:JPT983100 JZP983043:JZP983100 KJL983043:KJL983100 KTH983043:KTH983100 LDD983043:LDD983100 LMZ983043:LMZ983100 LWV983043:LWV983100 MGR983043:MGR983100 MQN983043:MQN983100 NAJ983043:NAJ983100 NKF983043:NKF983100 NUB983043:NUB983100 ODX983043:ODX983100 ONT983043:ONT983100 OXP983043:OXP983100 PHL983043:PHL983100 PRH983043:PRH983100 QBD983043:QBD983100 QKZ983043:QKZ983100 QUV983043:QUV983100 RER983043:RER983100 RON983043:RON983100 RYJ983043:RYJ983100 SIF983043:SIF983100 SSB983043:SSB983100 TBX983043:TBX983100 TLT983043:TLT983100 TVP983043:TVP983100 UFL983043:UFL983100 UPH983043:UPH983100 UZD983043:UZD983100 VIZ983043:VIZ983100 VSV983043:VSV983100 WCR983043:WCR983100 WMN983043:WMN983100 WWJ983043:WWJ983100 G3:G60">
      <formula1>"IS,IR,"</formula1>
    </dataValidation>
    <dataValidation type="list" allowBlank="1" showInputMessage="1" showErrorMessage="1" sqref="D3:D60 JV3:JV60 TR3:TR60 ADN3:ADN60 ANJ3:ANJ60 AXF3:AXF60 BHB3:BHB60 BQX3:BQX60 CAT3:CAT60 CKP3:CKP60 CUL3:CUL60 DEH3:DEH60 DOD3:DOD60 DXZ3:DXZ60 EHV3:EHV60 ERR3:ERR60 FBN3:FBN60 FLJ3:FLJ60 FVF3:FVF60 GFB3:GFB60 GOX3:GOX60 GYT3:GYT60 HIP3:HIP60 HSL3:HSL60 ICH3:ICH60 IMD3:IMD60 IVZ3:IVZ60 JFV3:JFV60 JPR3:JPR60 JZN3:JZN60 KJJ3:KJJ60 KTF3:KTF60 LDB3:LDB60 LMX3:LMX60 LWT3:LWT60 MGP3:MGP60 MQL3:MQL60 NAH3:NAH60 NKD3:NKD60 NTZ3:NTZ60 ODV3:ODV60 ONR3:ONR60 OXN3:OXN60 PHJ3:PHJ60 PRF3:PRF60 QBB3:QBB60 QKX3:QKX60 QUT3:QUT60 REP3:REP60 ROL3:ROL60 RYH3:RYH60 SID3:SID60 SRZ3:SRZ60 TBV3:TBV60 TLR3:TLR60 TVN3:TVN60 UFJ3:UFJ60 UPF3:UPF60 UZB3:UZB60 VIX3:VIX60 VST3:VST60 WCP3:WCP60 WML3:WML60 WWH3:WWH60 D65539:D65596 JU65539:JU65596 TQ65539:TQ65596 ADM65539:ADM65596 ANI65539:ANI65596 AXE65539:AXE65596 BHA65539:BHA65596 BQW65539:BQW65596 CAS65539:CAS65596 CKO65539:CKO65596 CUK65539:CUK65596 DEG65539:DEG65596 DOC65539:DOC65596 DXY65539:DXY65596 EHU65539:EHU65596 ERQ65539:ERQ65596 FBM65539:FBM65596 FLI65539:FLI65596 FVE65539:FVE65596 GFA65539:GFA65596 GOW65539:GOW65596 GYS65539:GYS65596 HIO65539:HIO65596 HSK65539:HSK65596 ICG65539:ICG65596 IMC65539:IMC65596 IVY65539:IVY65596 JFU65539:JFU65596 JPQ65539:JPQ65596 JZM65539:JZM65596 KJI65539:KJI65596 KTE65539:KTE65596 LDA65539:LDA65596 LMW65539:LMW65596 LWS65539:LWS65596 MGO65539:MGO65596 MQK65539:MQK65596 NAG65539:NAG65596 NKC65539:NKC65596 NTY65539:NTY65596 ODU65539:ODU65596 ONQ65539:ONQ65596 OXM65539:OXM65596 PHI65539:PHI65596 PRE65539:PRE65596 QBA65539:QBA65596 QKW65539:QKW65596 QUS65539:QUS65596 REO65539:REO65596 ROK65539:ROK65596 RYG65539:RYG65596 SIC65539:SIC65596 SRY65539:SRY65596 TBU65539:TBU65596 TLQ65539:TLQ65596 TVM65539:TVM65596 UFI65539:UFI65596 UPE65539:UPE65596 UZA65539:UZA65596 VIW65539:VIW65596 VSS65539:VSS65596 WCO65539:WCO65596 WMK65539:WMK65596 WWG65539:WWG65596 D131075:D131132 JU131075:JU131132 TQ131075:TQ131132 ADM131075:ADM131132 ANI131075:ANI131132 AXE131075:AXE131132 BHA131075:BHA131132 BQW131075:BQW131132 CAS131075:CAS131132 CKO131075:CKO131132 CUK131075:CUK131132 DEG131075:DEG131132 DOC131075:DOC131132 DXY131075:DXY131132 EHU131075:EHU131132 ERQ131075:ERQ131132 FBM131075:FBM131132 FLI131075:FLI131132 FVE131075:FVE131132 GFA131075:GFA131132 GOW131075:GOW131132 GYS131075:GYS131132 HIO131075:HIO131132 HSK131075:HSK131132 ICG131075:ICG131132 IMC131075:IMC131132 IVY131075:IVY131132 JFU131075:JFU131132 JPQ131075:JPQ131132 JZM131075:JZM131132 KJI131075:KJI131132 KTE131075:KTE131132 LDA131075:LDA131132 LMW131075:LMW131132 LWS131075:LWS131132 MGO131075:MGO131132 MQK131075:MQK131132 NAG131075:NAG131132 NKC131075:NKC131132 NTY131075:NTY131132 ODU131075:ODU131132 ONQ131075:ONQ131132 OXM131075:OXM131132 PHI131075:PHI131132 PRE131075:PRE131132 QBA131075:QBA131132 QKW131075:QKW131132 QUS131075:QUS131132 REO131075:REO131132 ROK131075:ROK131132 RYG131075:RYG131132 SIC131075:SIC131132 SRY131075:SRY131132 TBU131075:TBU131132 TLQ131075:TLQ131132 TVM131075:TVM131132 UFI131075:UFI131132 UPE131075:UPE131132 UZA131075:UZA131132 VIW131075:VIW131132 VSS131075:VSS131132 WCO131075:WCO131132 WMK131075:WMK131132 WWG131075:WWG131132 D196611:D196668 JU196611:JU196668 TQ196611:TQ196668 ADM196611:ADM196668 ANI196611:ANI196668 AXE196611:AXE196668 BHA196611:BHA196668 BQW196611:BQW196668 CAS196611:CAS196668 CKO196611:CKO196668 CUK196611:CUK196668 DEG196611:DEG196668 DOC196611:DOC196668 DXY196611:DXY196668 EHU196611:EHU196668 ERQ196611:ERQ196668 FBM196611:FBM196668 FLI196611:FLI196668 FVE196611:FVE196668 GFA196611:GFA196668 GOW196611:GOW196668 GYS196611:GYS196668 HIO196611:HIO196668 HSK196611:HSK196668 ICG196611:ICG196668 IMC196611:IMC196668 IVY196611:IVY196668 JFU196611:JFU196668 JPQ196611:JPQ196668 JZM196611:JZM196668 KJI196611:KJI196668 KTE196611:KTE196668 LDA196611:LDA196668 LMW196611:LMW196668 LWS196611:LWS196668 MGO196611:MGO196668 MQK196611:MQK196668 NAG196611:NAG196668 NKC196611:NKC196668 NTY196611:NTY196668 ODU196611:ODU196668 ONQ196611:ONQ196668 OXM196611:OXM196668 PHI196611:PHI196668 PRE196611:PRE196668 QBA196611:QBA196668 QKW196611:QKW196668 QUS196611:QUS196668 REO196611:REO196668 ROK196611:ROK196668 RYG196611:RYG196668 SIC196611:SIC196668 SRY196611:SRY196668 TBU196611:TBU196668 TLQ196611:TLQ196668 TVM196611:TVM196668 UFI196611:UFI196668 UPE196611:UPE196668 UZA196611:UZA196668 VIW196611:VIW196668 VSS196611:VSS196668 WCO196611:WCO196668 WMK196611:WMK196668 WWG196611:WWG196668 D262147:D262204 JU262147:JU262204 TQ262147:TQ262204 ADM262147:ADM262204 ANI262147:ANI262204 AXE262147:AXE262204 BHA262147:BHA262204 BQW262147:BQW262204 CAS262147:CAS262204 CKO262147:CKO262204 CUK262147:CUK262204 DEG262147:DEG262204 DOC262147:DOC262204 DXY262147:DXY262204 EHU262147:EHU262204 ERQ262147:ERQ262204 FBM262147:FBM262204 FLI262147:FLI262204 FVE262147:FVE262204 GFA262147:GFA262204 GOW262147:GOW262204 GYS262147:GYS262204 HIO262147:HIO262204 HSK262147:HSK262204 ICG262147:ICG262204 IMC262147:IMC262204 IVY262147:IVY262204 JFU262147:JFU262204 JPQ262147:JPQ262204 JZM262147:JZM262204 KJI262147:KJI262204 KTE262147:KTE262204 LDA262147:LDA262204 LMW262147:LMW262204 LWS262147:LWS262204 MGO262147:MGO262204 MQK262147:MQK262204 NAG262147:NAG262204 NKC262147:NKC262204 NTY262147:NTY262204 ODU262147:ODU262204 ONQ262147:ONQ262204 OXM262147:OXM262204 PHI262147:PHI262204 PRE262147:PRE262204 QBA262147:QBA262204 QKW262147:QKW262204 QUS262147:QUS262204 REO262147:REO262204 ROK262147:ROK262204 RYG262147:RYG262204 SIC262147:SIC262204 SRY262147:SRY262204 TBU262147:TBU262204 TLQ262147:TLQ262204 TVM262147:TVM262204 UFI262147:UFI262204 UPE262147:UPE262204 UZA262147:UZA262204 VIW262147:VIW262204 VSS262147:VSS262204 WCO262147:WCO262204 WMK262147:WMK262204 WWG262147:WWG262204 D327683:D327740 JU327683:JU327740 TQ327683:TQ327740 ADM327683:ADM327740 ANI327683:ANI327740 AXE327683:AXE327740 BHA327683:BHA327740 BQW327683:BQW327740 CAS327683:CAS327740 CKO327683:CKO327740 CUK327683:CUK327740 DEG327683:DEG327740 DOC327683:DOC327740 DXY327683:DXY327740 EHU327683:EHU327740 ERQ327683:ERQ327740 FBM327683:FBM327740 FLI327683:FLI327740 FVE327683:FVE327740 GFA327683:GFA327740 GOW327683:GOW327740 GYS327683:GYS327740 HIO327683:HIO327740 HSK327683:HSK327740 ICG327683:ICG327740 IMC327683:IMC327740 IVY327683:IVY327740 JFU327683:JFU327740 JPQ327683:JPQ327740 JZM327683:JZM327740 KJI327683:KJI327740 KTE327683:KTE327740 LDA327683:LDA327740 LMW327683:LMW327740 LWS327683:LWS327740 MGO327683:MGO327740 MQK327683:MQK327740 NAG327683:NAG327740 NKC327683:NKC327740 NTY327683:NTY327740 ODU327683:ODU327740 ONQ327683:ONQ327740 OXM327683:OXM327740 PHI327683:PHI327740 PRE327683:PRE327740 QBA327683:QBA327740 QKW327683:QKW327740 QUS327683:QUS327740 REO327683:REO327740 ROK327683:ROK327740 RYG327683:RYG327740 SIC327683:SIC327740 SRY327683:SRY327740 TBU327683:TBU327740 TLQ327683:TLQ327740 TVM327683:TVM327740 UFI327683:UFI327740 UPE327683:UPE327740 UZA327683:UZA327740 VIW327683:VIW327740 VSS327683:VSS327740 WCO327683:WCO327740 WMK327683:WMK327740 WWG327683:WWG327740 D393219:D393276 JU393219:JU393276 TQ393219:TQ393276 ADM393219:ADM393276 ANI393219:ANI393276 AXE393219:AXE393276 BHA393219:BHA393276 BQW393219:BQW393276 CAS393219:CAS393276 CKO393219:CKO393276 CUK393219:CUK393276 DEG393219:DEG393276 DOC393219:DOC393276 DXY393219:DXY393276 EHU393219:EHU393276 ERQ393219:ERQ393276 FBM393219:FBM393276 FLI393219:FLI393276 FVE393219:FVE393276 GFA393219:GFA393276 GOW393219:GOW393276 GYS393219:GYS393276 HIO393219:HIO393276 HSK393219:HSK393276 ICG393219:ICG393276 IMC393219:IMC393276 IVY393219:IVY393276 JFU393219:JFU393276 JPQ393219:JPQ393276 JZM393219:JZM393276 KJI393219:KJI393276 KTE393219:KTE393276 LDA393219:LDA393276 LMW393219:LMW393276 LWS393219:LWS393276 MGO393219:MGO393276 MQK393219:MQK393276 NAG393219:NAG393276 NKC393219:NKC393276 NTY393219:NTY393276 ODU393219:ODU393276 ONQ393219:ONQ393276 OXM393219:OXM393276 PHI393219:PHI393276 PRE393219:PRE393276 QBA393219:QBA393276 QKW393219:QKW393276 QUS393219:QUS393276 REO393219:REO393276 ROK393219:ROK393276 RYG393219:RYG393276 SIC393219:SIC393276 SRY393219:SRY393276 TBU393219:TBU393276 TLQ393219:TLQ393276 TVM393219:TVM393276 UFI393219:UFI393276 UPE393219:UPE393276 UZA393219:UZA393276 VIW393219:VIW393276 VSS393219:VSS393276 WCO393219:WCO393276 WMK393219:WMK393276 WWG393219:WWG393276 D458755:D458812 JU458755:JU458812 TQ458755:TQ458812 ADM458755:ADM458812 ANI458755:ANI458812 AXE458755:AXE458812 BHA458755:BHA458812 BQW458755:BQW458812 CAS458755:CAS458812 CKO458755:CKO458812 CUK458755:CUK458812 DEG458755:DEG458812 DOC458755:DOC458812 DXY458755:DXY458812 EHU458755:EHU458812 ERQ458755:ERQ458812 FBM458755:FBM458812 FLI458755:FLI458812 FVE458755:FVE458812 GFA458755:GFA458812 GOW458755:GOW458812 GYS458755:GYS458812 HIO458755:HIO458812 HSK458755:HSK458812 ICG458755:ICG458812 IMC458755:IMC458812 IVY458755:IVY458812 JFU458755:JFU458812 JPQ458755:JPQ458812 JZM458755:JZM458812 KJI458755:KJI458812 KTE458755:KTE458812 LDA458755:LDA458812 LMW458755:LMW458812 LWS458755:LWS458812 MGO458755:MGO458812 MQK458755:MQK458812 NAG458755:NAG458812 NKC458755:NKC458812 NTY458755:NTY458812 ODU458755:ODU458812 ONQ458755:ONQ458812 OXM458755:OXM458812 PHI458755:PHI458812 PRE458755:PRE458812 QBA458755:QBA458812 QKW458755:QKW458812 QUS458755:QUS458812 REO458755:REO458812 ROK458755:ROK458812 RYG458755:RYG458812 SIC458755:SIC458812 SRY458755:SRY458812 TBU458755:TBU458812 TLQ458755:TLQ458812 TVM458755:TVM458812 UFI458755:UFI458812 UPE458755:UPE458812 UZA458755:UZA458812 VIW458755:VIW458812 VSS458755:VSS458812 WCO458755:WCO458812 WMK458755:WMK458812 WWG458755:WWG458812 D524291:D524348 JU524291:JU524348 TQ524291:TQ524348 ADM524291:ADM524348 ANI524291:ANI524348 AXE524291:AXE524348 BHA524291:BHA524348 BQW524291:BQW524348 CAS524291:CAS524348 CKO524291:CKO524348 CUK524291:CUK524348 DEG524291:DEG524348 DOC524291:DOC524348 DXY524291:DXY524348 EHU524291:EHU524348 ERQ524291:ERQ524348 FBM524291:FBM524348 FLI524291:FLI524348 FVE524291:FVE524348 GFA524291:GFA524348 GOW524291:GOW524348 GYS524291:GYS524348 HIO524291:HIO524348 HSK524291:HSK524348 ICG524291:ICG524348 IMC524291:IMC524348 IVY524291:IVY524348 JFU524291:JFU524348 JPQ524291:JPQ524348 JZM524291:JZM524348 KJI524291:KJI524348 KTE524291:KTE524348 LDA524291:LDA524348 LMW524291:LMW524348 LWS524291:LWS524348 MGO524291:MGO524348 MQK524291:MQK524348 NAG524291:NAG524348 NKC524291:NKC524348 NTY524291:NTY524348 ODU524291:ODU524348 ONQ524291:ONQ524348 OXM524291:OXM524348 PHI524291:PHI524348 PRE524291:PRE524348 QBA524291:QBA524348 QKW524291:QKW524348 QUS524291:QUS524348 REO524291:REO524348 ROK524291:ROK524348 RYG524291:RYG524348 SIC524291:SIC524348 SRY524291:SRY524348 TBU524291:TBU524348 TLQ524291:TLQ524348 TVM524291:TVM524348 UFI524291:UFI524348 UPE524291:UPE524348 UZA524291:UZA524348 VIW524291:VIW524348 VSS524291:VSS524348 WCO524291:WCO524348 WMK524291:WMK524348 WWG524291:WWG524348 D589827:D589884 JU589827:JU589884 TQ589827:TQ589884 ADM589827:ADM589884 ANI589827:ANI589884 AXE589827:AXE589884 BHA589827:BHA589884 BQW589827:BQW589884 CAS589827:CAS589884 CKO589827:CKO589884 CUK589827:CUK589884 DEG589827:DEG589884 DOC589827:DOC589884 DXY589827:DXY589884 EHU589827:EHU589884 ERQ589827:ERQ589884 FBM589827:FBM589884 FLI589827:FLI589884 FVE589827:FVE589884 GFA589827:GFA589884 GOW589827:GOW589884 GYS589827:GYS589884 HIO589827:HIO589884 HSK589827:HSK589884 ICG589827:ICG589884 IMC589827:IMC589884 IVY589827:IVY589884 JFU589827:JFU589884 JPQ589827:JPQ589884 JZM589827:JZM589884 KJI589827:KJI589884 KTE589827:KTE589884 LDA589827:LDA589884 LMW589827:LMW589884 LWS589827:LWS589884 MGO589827:MGO589884 MQK589827:MQK589884 NAG589827:NAG589884 NKC589827:NKC589884 NTY589827:NTY589884 ODU589827:ODU589884 ONQ589827:ONQ589884 OXM589827:OXM589884 PHI589827:PHI589884 PRE589827:PRE589884 QBA589827:QBA589884 QKW589827:QKW589884 QUS589827:QUS589884 REO589827:REO589884 ROK589827:ROK589884 RYG589827:RYG589884 SIC589827:SIC589884 SRY589827:SRY589884 TBU589827:TBU589884 TLQ589827:TLQ589884 TVM589827:TVM589884 UFI589827:UFI589884 UPE589827:UPE589884 UZA589827:UZA589884 VIW589827:VIW589884 VSS589827:VSS589884 WCO589827:WCO589884 WMK589827:WMK589884 WWG589827:WWG589884 D655363:D655420 JU655363:JU655420 TQ655363:TQ655420 ADM655363:ADM655420 ANI655363:ANI655420 AXE655363:AXE655420 BHA655363:BHA655420 BQW655363:BQW655420 CAS655363:CAS655420 CKO655363:CKO655420 CUK655363:CUK655420 DEG655363:DEG655420 DOC655363:DOC655420 DXY655363:DXY655420 EHU655363:EHU655420 ERQ655363:ERQ655420 FBM655363:FBM655420 FLI655363:FLI655420 FVE655363:FVE655420 GFA655363:GFA655420 GOW655363:GOW655420 GYS655363:GYS655420 HIO655363:HIO655420 HSK655363:HSK655420 ICG655363:ICG655420 IMC655363:IMC655420 IVY655363:IVY655420 JFU655363:JFU655420 JPQ655363:JPQ655420 JZM655363:JZM655420 KJI655363:KJI655420 KTE655363:KTE655420 LDA655363:LDA655420 LMW655363:LMW655420 LWS655363:LWS655420 MGO655363:MGO655420 MQK655363:MQK655420 NAG655363:NAG655420 NKC655363:NKC655420 NTY655363:NTY655420 ODU655363:ODU655420 ONQ655363:ONQ655420 OXM655363:OXM655420 PHI655363:PHI655420 PRE655363:PRE655420 QBA655363:QBA655420 QKW655363:QKW655420 QUS655363:QUS655420 REO655363:REO655420 ROK655363:ROK655420 RYG655363:RYG655420 SIC655363:SIC655420 SRY655363:SRY655420 TBU655363:TBU655420 TLQ655363:TLQ655420 TVM655363:TVM655420 UFI655363:UFI655420 UPE655363:UPE655420 UZA655363:UZA655420 VIW655363:VIW655420 VSS655363:VSS655420 WCO655363:WCO655420 WMK655363:WMK655420 WWG655363:WWG655420 D720899:D720956 JU720899:JU720956 TQ720899:TQ720956 ADM720899:ADM720956 ANI720899:ANI720956 AXE720899:AXE720956 BHA720899:BHA720956 BQW720899:BQW720956 CAS720899:CAS720956 CKO720899:CKO720956 CUK720899:CUK720956 DEG720899:DEG720956 DOC720899:DOC720956 DXY720899:DXY720956 EHU720899:EHU720956 ERQ720899:ERQ720956 FBM720899:FBM720956 FLI720899:FLI720956 FVE720899:FVE720956 GFA720899:GFA720956 GOW720899:GOW720956 GYS720899:GYS720956 HIO720899:HIO720956 HSK720899:HSK720956 ICG720899:ICG720956 IMC720899:IMC720956 IVY720899:IVY720956 JFU720899:JFU720956 JPQ720899:JPQ720956 JZM720899:JZM720956 KJI720899:KJI720956 KTE720899:KTE720956 LDA720899:LDA720956 LMW720899:LMW720956 LWS720899:LWS720956 MGO720899:MGO720956 MQK720899:MQK720956 NAG720899:NAG720956 NKC720899:NKC720956 NTY720899:NTY720956 ODU720899:ODU720956 ONQ720899:ONQ720956 OXM720899:OXM720956 PHI720899:PHI720956 PRE720899:PRE720956 QBA720899:QBA720956 QKW720899:QKW720956 QUS720899:QUS720956 REO720899:REO720956 ROK720899:ROK720956 RYG720899:RYG720956 SIC720899:SIC720956 SRY720899:SRY720956 TBU720899:TBU720956 TLQ720899:TLQ720956 TVM720899:TVM720956 UFI720899:UFI720956 UPE720899:UPE720956 UZA720899:UZA720956 VIW720899:VIW720956 VSS720899:VSS720956 WCO720899:WCO720956 WMK720899:WMK720956 WWG720899:WWG720956 D786435:D786492 JU786435:JU786492 TQ786435:TQ786492 ADM786435:ADM786492 ANI786435:ANI786492 AXE786435:AXE786492 BHA786435:BHA786492 BQW786435:BQW786492 CAS786435:CAS786492 CKO786435:CKO786492 CUK786435:CUK786492 DEG786435:DEG786492 DOC786435:DOC786492 DXY786435:DXY786492 EHU786435:EHU786492 ERQ786435:ERQ786492 FBM786435:FBM786492 FLI786435:FLI786492 FVE786435:FVE786492 GFA786435:GFA786492 GOW786435:GOW786492 GYS786435:GYS786492 HIO786435:HIO786492 HSK786435:HSK786492 ICG786435:ICG786492 IMC786435:IMC786492 IVY786435:IVY786492 JFU786435:JFU786492 JPQ786435:JPQ786492 JZM786435:JZM786492 KJI786435:KJI786492 KTE786435:KTE786492 LDA786435:LDA786492 LMW786435:LMW786492 LWS786435:LWS786492 MGO786435:MGO786492 MQK786435:MQK786492 NAG786435:NAG786492 NKC786435:NKC786492 NTY786435:NTY786492 ODU786435:ODU786492 ONQ786435:ONQ786492 OXM786435:OXM786492 PHI786435:PHI786492 PRE786435:PRE786492 QBA786435:QBA786492 QKW786435:QKW786492 QUS786435:QUS786492 REO786435:REO786492 ROK786435:ROK786492 RYG786435:RYG786492 SIC786435:SIC786492 SRY786435:SRY786492 TBU786435:TBU786492 TLQ786435:TLQ786492 TVM786435:TVM786492 UFI786435:UFI786492 UPE786435:UPE786492 UZA786435:UZA786492 VIW786435:VIW786492 VSS786435:VSS786492 WCO786435:WCO786492 WMK786435:WMK786492 WWG786435:WWG786492 D851971:D852028 JU851971:JU852028 TQ851971:TQ852028 ADM851971:ADM852028 ANI851971:ANI852028 AXE851971:AXE852028 BHA851971:BHA852028 BQW851971:BQW852028 CAS851971:CAS852028 CKO851971:CKO852028 CUK851971:CUK852028 DEG851971:DEG852028 DOC851971:DOC852028 DXY851971:DXY852028 EHU851971:EHU852028 ERQ851971:ERQ852028 FBM851971:FBM852028 FLI851971:FLI852028 FVE851971:FVE852028 GFA851971:GFA852028 GOW851971:GOW852028 GYS851971:GYS852028 HIO851971:HIO852028 HSK851971:HSK852028 ICG851971:ICG852028 IMC851971:IMC852028 IVY851971:IVY852028 JFU851971:JFU852028 JPQ851971:JPQ852028 JZM851971:JZM852028 KJI851971:KJI852028 KTE851971:KTE852028 LDA851971:LDA852028 LMW851971:LMW852028 LWS851971:LWS852028 MGO851971:MGO852028 MQK851971:MQK852028 NAG851971:NAG852028 NKC851971:NKC852028 NTY851971:NTY852028 ODU851971:ODU852028 ONQ851971:ONQ852028 OXM851971:OXM852028 PHI851971:PHI852028 PRE851971:PRE852028 QBA851971:QBA852028 QKW851971:QKW852028 QUS851971:QUS852028 REO851971:REO852028 ROK851971:ROK852028 RYG851971:RYG852028 SIC851971:SIC852028 SRY851971:SRY852028 TBU851971:TBU852028 TLQ851971:TLQ852028 TVM851971:TVM852028 UFI851971:UFI852028 UPE851971:UPE852028 UZA851971:UZA852028 VIW851971:VIW852028 VSS851971:VSS852028 WCO851971:WCO852028 WMK851971:WMK852028 WWG851971:WWG852028 D917507:D917564 JU917507:JU917564 TQ917507:TQ917564 ADM917507:ADM917564 ANI917507:ANI917564 AXE917507:AXE917564 BHA917507:BHA917564 BQW917507:BQW917564 CAS917507:CAS917564 CKO917507:CKO917564 CUK917507:CUK917564 DEG917507:DEG917564 DOC917507:DOC917564 DXY917507:DXY917564 EHU917507:EHU917564 ERQ917507:ERQ917564 FBM917507:FBM917564 FLI917507:FLI917564 FVE917507:FVE917564 GFA917507:GFA917564 GOW917507:GOW917564 GYS917507:GYS917564 HIO917507:HIO917564 HSK917507:HSK917564 ICG917507:ICG917564 IMC917507:IMC917564 IVY917507:IVY917564 JFU917507:JFU917564 JPQ917507:JPQ917564 JZM917507:JZM917564 KJI917507:KJI917564 KTE917507:KTE917564 LDA917507:LDA917564 LMW917507:LMW917564 LWS917507:LWS917564 MGO917507:MGO917564 MQK917507:MQK917564 NAG917507:NAG917564 NKC917507:NKC917564 NTY917507:NTY917564 ODU917507:ODU917564 ONQ917507:ONQ917564 OXM917507:OXM917564 PHI917507:PHI917564 PRE917507:PRE917564 QBA917507:QBA917564 QKW917507:QKW917564 QUS917507:QUS917564 REO917507:REO917564 ROK917507:ROK917564 RYG917507:RYG917564 SIC917507:SIC917564 SRY917507:SRY917564 TBU917507:TBU917564 TLQ917507:TLQ917564 TVM917507:TVM917564 UFI917507:UFI917564 UPE917507:UPE917564 UZA917507:UZA917564 VIW917507:VIW917564 VSS917507:VSS917564 WCO917507:WCO917564 WMK917507:WMK917564 WWG917507:WWG917564 D983043:D983100 JU983043:JU983100 TQ983043:TQ983100 ADM983043:ADM983100 ANI983043:ANI983100 AXE983043:AXE983100 BHA983043:BHA983100 BQW983043:BQW983100 CAS983043:CAS983100 CKO983043:CKO983100 CUK983043:CUK983100 DEG983043:DEG983100 DOC983043:DOC983100 DXY983043:DXY983100 EHU983043:EHU983100 ERQ983043:ERQ983100 FBM983043:FBM983100 FLI983043:FLI983100 FVE983043:FVE983100 GFA983043:GFA983100 GOW983043:GOW983100 GYS983043:GYS983100 HIO983043:HIO983100 HSK983043:HSK983100 ICG983043:ICG983100 IMC983043:IMC983100 IVY983043:IVY983100 JFU983043:JFU983100 JPQ983043:JPQ983100 JZM983043:JZM983100 KJI983043:KJI983100 KTE983043:KTE983100 LDA983043:LDA983100 LMW983043:LMW983100 LWS983043:LWS983100 MGO983043:MGO983100 MQK983043:MQK983100 NAG983043:NAG983100 NKC983043:NKC983100 NTY983043:NTY983100 ODU983043:ODU983100 ONQ983043:ONQ983100 OXM983043:OXM983100 PHI983043:PHI983100 PRE983043:PRE983100 QBA983043:QBA983100 QKW983043:QKW983100 QUS983043:QUS983100 REO983043:REO983100 ROK983043:ROK983100 RYG983043:RYG983100 SIC983043:SIC983100 SRY983043:SRY983100 TBU983043:TBU983100 TLQ983043:TLQ983100 TVM983043:TVM983100 UFI983043:UFI983100 UPE983043:UPE983100 UZA983043:UZA983100 VIW983043:VIW983100 VSS983043:VSS983100 WCO983043:WCO983100 WMK983043:WMK983100 WWG983043:WWG983100">
      <formula1>"ACS,AGRI,BNC,"</formula1>
    </dataValidation>
    <dataValidation type="list" allowBlank="1" showInputMessage="1" showErrorMessage="1" sqref="AL3:AL60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BH3:BH60</xm:sqref>
        </x14:dataValidation>
        <x14:dataValidation type="list" allowBlank="1" showInputMessage="1" showErrorMessage="1">
          <x14:formula1>
            <xm:f>Paramètres!$N$4:$N$13</xm:f>
          </x14:formula1>
          <xm:sqref>BG3:BG60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N180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17" sqref="A17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9" width="18" style="89" customWidth="1"/>
    <col min="40" max="45" width="19" style="89" customWidth="1"/>
    <col min="46" max="46" width="11.42578125" style="241" customWidth="1"/>
    <col min="47" max="51" width="11.42578125" style="89" customWidth="1"/>
    <col min="52" max="52" width="15.140625" style="89" customWidth="1"/>
    <col min="53" max="53" width="14" style="89" customWidth="1"/>
    <col min="54" max="54" width="15.140625" style="89" customWidth="1"/>
    <col min="55" max="55" width="11.42578125" style="89" customWidth="1"/>
    <col min="56" max="56" width="22.28515625" style="89" customWidth="1"/>
    <col min="57" max="58" width="29.5703125" style="89" customWidth="1"/>
    <col min="59" max="59" width="30.85546875" style="89" customWidth="1"/>
    <col min="60" max="64" width="11.42578125" style="89" customWidth="1"/>
    <col min="65" max="78" width="30.7109375" style="89" customWidth="1"/>
    <col min="79" max="114" width="11.42578125" style="89" customWidth="1"/>
    <col min="115" max="118" width="11.42578125" style="89" hidden="1" customWidth="1"/>
    <col min="119" max="278" width="11.42578125" style="89"/>
    <col min="279" max="279" width="15.5703125" style="89" bestFit="1" customWidth="1"/>
    <col min="280" max="280" width="33.7109375" style="89" customWidth="1"/>
    <col min="281" max="281" width="19" style="89" customWidth="1"/>
    <col min="282" max="282" width="19.85546875" style="89" customWidth="1"/>
    <col min="283" max="283" width="18.5703125" style="89" customWidth="1"/>
    <col min="284" max="284" width="19.7109375" style="89" customWidth="1"/>
    <col min="285" max="285" width="14.85546875" style="89" customWidth="1"/>
    <col min="286" max="286" width="16.85546875" style="89" customWidth="1"/>
    <col min="287" max="289" width="11.42578125" style="89" customWidth="1"/>
    <col min="290" max="290" width="18.140625" style="89" customWidth="1"/>
    <col min="291" max="291" width="11.42578125" style="89" customWidth="1"/>
    <col min="292" max="292" width="12.5703125" style="89" customWidth="1"/>
    <col min="293" max="293" width="25" style="89" customWidth="1"/>
    <col min="294" max="294" width="16.5703125" style="89" bestFit="1" customWidth="1"/>
    <col min="295" max="295" width="24" style="89" customWidth="1"/>
    <col min="296" max="296" width="11.42578125" style="89" customWidth="1"/>
    <col min="297" max="297" width="20" style="89" customWidth="1"/>
    <col min="298" max="298" width="11.42578125" style="89" customWidth="1"/>
    <col min="299" max="299" width="19" style="89" customWidth="1"/>
    <col min="300" max="303" width="11.42578125" style="89" customWidth="1"/>
    <col min="304" max="304" width="15.140625" style="89" customWidth="1"/>
    <col min="305" max="305" width="14" style="89" customWidth="1"/>
    <col min="306" max="306" width="15.140625" style="89" customWidth="1"/>
    <col min="307" max="307" width="11.42578125" style="89" customWidth="1"/>
    <col min="308" max="308" width="51.7109375" style="89" customWidth="1"/>
    <col min="309" max="310" width="29.5703125" style="89" customWidth="1"/>
    <col min="311" max="311" width="44.42578125" style="89" customWidth="1"/>
    <col min="312" max="312" width="36.28515625" style="89" customWidth="1"/>
    <col min="313" max="313" width="27.42578125" style="89" bestFit="1" customWidth="1"/>
    <col min="314" max="534" width="11.42578125" style="89"/>
    <col min="535" max="535" width="15.5703125" style="89" bestFit="1" customWidth="1"/>
    <col min="536" max="536" width="33.7109375" style="89" customWidth="1"/>
    <col min="537" max="537" width="19" style="89" customWidth="1"/>
    <col min="538" max="538" width="19.85546875" style="89" customWidth="1"/>
    <col min="539" max="539" width="18.5703125" style="89" customWidth="1"/>
    <col min="540" max="540" width="19.7109375" style="89" customWidth="1"/>
    <col min="541" max="541" width="14.85546875" style="89" customWidth="1"/>
    <col min="542" max="542" width="16.85546875" style="89" customWidth="1"/>
    <col min="543" max="545" width="11.42578125" style="89" customWidth="1"/>
    <col min="546" max="546" width="18.140625" style="89" customWidth="1"/>
    <col min="547" max="547" width="11.42578125" style="89" customWidth="1"/>
    <col min="548" max="548" width="12.5703125" style="89" customWidth="1"/>
    <col min="549" max="549" width="25" style="89" customWidth="1"/>
    <col min="550" max="550" width="16.5703125" style="89" bestFit="1" customWidth="1"/>
    <col min="551" max="551" width="24" style="89" customWidth="1"/>
    <col min="552" max="552" width="11.42578125" style="89" customWidth="1"/>
    <col min="553" max="553" width="20" style="89" customWidth="1"/>
    <col min="554" max="554" width="11.42578125" style="89" customWidth="1"/>
    <col min="555" max="555" width="19" style="89" customWidth="1"/>
    <col min="556" max="559" width="11.42578125" style="89" customWidth="1"/>
    <col min="560" max="560" width="15.140625" style="89" customWidth="1"/>
    <col min="561" max="561" width="14" style="89" customWidth="1"/>
    <col min="562" max="562" width="15.140625" style="89" customWidth="1"/>
    <col min="563" max="563" width="11.42578125" style="89" customWidth="1"/>
    <col min="564" max="564" width="51.7109375" style="89" customWidth="1"/>
    <col min="565" max="566" width="29.5703125" style="89" customWidth="1"/>
    <col min="567" max="567" width="44.42578125" style="89" customWidth="1"/>
    <col min="568" max="568" width="36.28515625" style="89" customWidth="1"/>
    <col min="569" max="569" width="27.42578125" style="89" bestFit="1" customWidth="1"/>
    <col min="570" max="790" width="11.42578125" style="89"/>
    <col min="791" max="791" width="15.5703125" style="89" bestFit="1" customWidth="1"/>
    <col min="792" max="792" width="33.7109375" style="89" customWidth="1"/>
    <col min="793" max="793" width="19" style="89" customWidth="1"/>
    <col min="794" max="794" width="19.85546875" style="89" customWidth="1"/>
    <col min="795" max="795" width="18.5703125" style="89" customWidth="1"/>
    <col min="796" max="796" width="19.7109375" style="89" customWidth="1"/>
    <col min="797" max="797" width="14.85546875" style="89" customWidth="1"/>
    <col min="798" max="798" width="16.85546875" style="89" customWidth="1"/>
    <col min="799" max="801" width="11.42578125" style="89" customWidth="1"/>
    <col min="802" max="802" width="18.140625" style="89" customWidth="1"/>
    <col min="803" max="803" width="11.42578125" style="89" customWidth="1"/>
    <col min="804" max="804" width="12.5703125" style="89" customWidth="1"/>
    <col min="805" max="805" width="25" style="89" customWidth="1"/>
    <col min="806" max="806" width="16.5703125" style="89" bestFit="1" customWidth="1"/>
    <col min="807" max="807" width="24" style="89" customWidth="1"/>
    <col min="808" max="808" width="11.42578125" style="89" customWidth="1"/>
    <col min="809" max="809" width="20" style="89" customWidth="1"/>
    <col min="810" max="810" width="11.42578125" style="89" customWidth="1"/>
    <col min="811" max="811" width="19" style="89" customWidth="1"/>
    <col min="812" max="815" width="11.42578125" style="89" customWidth="1"/>
    <col min="816" max="816" width="15.140625" style="89" customWidth="1"/>
    <col min="817" max="817" width="14" style="89" customWidth="1"/>
    <col min="818" max="818" width="15.140625" style="89" customWidth="1"/>
    <col min="819" max="819" width="11.42578125" style="89" customWidth="1"/>
    <col min="820" max="820" width="51.7109375" style="89" customWidth="1"/>
    <col min="821" max="822" width="29.5703125" style="89" customWidth="1"/>
    <col min="823" max="823" width="44.42578125" style="89" customWidth="1"/>
    <col min="824" max="824" width="36.28515625" style="89" customWidth="1"/>
    <col min="825" max="825" width="27.42578125" style="89" bestFit="1" customWidth="1"/>
    <col min="826" max="1046" width="11.42578125" style="89"/>
    <col min="1047" max="1047" width="15.5703125" style="89" bestFit="1" customWidth="1"/>
    <col min="1048" max="1048" width="33.7109375" style="89" customWidth="1"/>
    <col min="1049" max="1049" width="19" style="89" customWidth="1"/>
    <col min="1050" max="1050" width="19.85546875" style="89" customWidth="1"/>
    <col min="1051" max="1051" width="18.5703125" style="89" customWidth="1"/>
    <col min="1052" max="1052" width="19.7109375" style="89" customWidth="1"/>
    <col min="1053" max="1053" width="14.85546875" style="89" customWidth="1"/>
    <col min="1054" max="1054" width="16.85546875" style="89" customWidth="1"/>
    <col min="1055" max="1057" width="11.42578125" style="89" customWidth="1"/>
    <col min="1058" max="1058" width="18.140625" style="89" customWidth="1"/>
    <col min="1059" max="1059" width="11.42578125" style="89" customWidth="1"/>
    <col min="1060" max="1060" width="12.5703125" style="89" customWidth="1"/>
    <col min="1061" max="1061" width="25" style="89" customWidth="1"/>
    <col min="1062" max="1062" width="16.5703125" style="89" bestFit="1" customWidth="1"/>
    <col min="1063" max="1063" width="24" style="89" customWidth="1"/>
    <col min="1064" max="1064" width="11.42578125" style="89" customWidth="1"/>
    <col min="1065" max="1065" width="20" style="89" customWidth="1"/>
    <col min="1066" max="1066" width="11.42578125" style="89" customWidth="1"/>
    <col min="1067" max="1067" width="19" style="89" customWidth="1"/>
    <col min="1068" max="1071" width="11.42578125" style="89" customWidth="1"/>
    <col min="1072" max="1072" width="15.140625" style="89" customWidth="1"/>
    <col min="1073" max="1073" width="14" style="89" customWidth="1"/>
    <col min="1074" max="1074" width="15.140625" style="89" customWidth="1"/>
    <col min="1075" max="1075" width="11.42578125" style="89" customWidth="1"/>
    <col min="1076" max="1076" width="51.7109375" style="89" customWidth="1"/>
    <col min="1077" max="1078" width="29.5703125" style="89" customWidth="1"/>
    <col min="1079" max="1079" width="44.42578125" style="89" customWidth="1"/>
    <col min="1080" max="1080" width="36.28515625" style="89" customWidth="1"/>
    <col min="1081" max="1081" width="27.42578125" style="89" bestFit="1" customWidth="1"/>
    <col min="1082" max="1302" width="11.42578125" style="89"/>
    <col min="1303" max="1303" width="15.5703125" style="89" bestFit="1" customWidth="1"/>
    <col min="1304" max="1304" width="33.7109375" style="89" customWidth="1"/>
    <col min="1305" max="1305" width="19" style="89" customWidth="1"/>
    <col min="1306" max="1306" width="19.85546875" style="89" customWidth="1"/>
    <col min="1307" max="1307" width="18.5703125" style="89" customWidth="1"/>
    <col min="1308" max="1308" width="19.7109375" style="89" customWidth="1"/>
    <col min="1309" max="1309" width="14.85546875" style="89" customWidth="1"/>
    <col min="1310" max="1310" width="16.85546875" style="89" customWidth="1"/>
    <col min="1311" max="1313" width="11.42578125" style="89" customWidth="1"/>
    <col min="1314" max="1314" width="18.140625" style="89" customWidth="1"/>
    <col min="1315" max="1315" width="11.42578125" style="89" customWidth="1"/>
    <col min="1316" max="1316" width="12.5703125" style="89" customWidth="1"/>
    <col min="1317" max="1317" width="25" style="89" customWidth="1"/>
    <col min="1318" max="1318" width="16.5703125" style="89" bestFit="1" customWidth="1"/>
    <col min="1319" max="1319" width="24" style="89" customWidth="1"/>
    <col min="1320" max="1320" width="11.42578125" style="89" customWidth="1"/>
    <col min="1321" max="1321" width="20" style="89" customWidth="1"/>
    <col min="1322" max="1322" width="11.42578125" style="89" customWidth="1"/>
    <col min="1323" max="1323" width="19" style="89" customWidth="1"/>
    <col min="1324" max="1327" width="11.42578125" style="89" customWidth="1"/>
    <col min="1328" max="1328" width="15.140625" style="89" customWidth="1"/>
    <col min="1329" max="1329" width="14" style="89" customWidth="1"/>
    <col min="1330" max="1330" width="15.140625" style="89" customWidth="1"/>
    <col min="1331" max="1331" width="11.42578125" style="89" customWidth="1"/>
    <col min="1332" max="1332" width="51.7109375" style="89" customWidth="1"/>
    <col min="1333" max="1334" width="29.5703125" style="89" customWidth="1"/>
    <col min="1335" max="1335" width="44.42578125" style="89" customWidth="1"/>
    <col min="1336" max="1336" width="36.28515625" style="89" customWidth="1"/>
    <col min="1337" max="1337" width="27.42578125" style="89" bestFit="1" customWidth="1"/>
    <col min="1338" max="1558" width="11.42578125" style="89"/>
    <col min="1559" max="1559" width="15.5703125" style="89" bestFit="1" customWidth="1"/>
    <col min="1560" max="1560" width="33.7109375" style="89" customWidth="1"/>
    <col min="1561" max="1561" width="19" style="89" customWidth="1"/>
    <col min="1562" max="1562" width="19.85546875" style="89" customWidth="1"/>
    <col min="1563" max="1563" width="18.5703125" style="89" customWidth="1"/>
    <col min="1564" max="1564" width="19.7109375" style="89" customWidth="1"/>
    <col min="1565" max="1565" width="14.85546875" style="89" customWidth="1"/>
    <col min="1566" max="1566" width="16.85546875" style="89" customWidth="1"/>
    <col min="1567" max="1569" width="11.42578125" style="89" customWidth="1"/>
    <col min="1570" max="1570" width="18.140625" style="89" customWidth="1"/>
    <col min="1571" max="1571" width="11.42578125" style="89" customWidth="1"/>
    <col min="1572" max="1572" width="12.5703125" style="89" customWidth="1"/>
    <col min="1573" max="1573" width="25" style="89" customWidth="1"/>
    <col min="1574" max="1574" width="16.5703125" style="89" bestFit="1" customWidth="1"/>
    <col min="1575" max="1575" width="24" style="89" customWidth="1"/>
    <col min="1576" max="1576" width="11.42578125" style="89" customWidth="1"/>
    <col min="1577" max="1577" width="20" style="89" customWidth="1"/>
    <col min="1578" max="1578" width="11.42578125" style="89" customWidth="1"/>
    <col min="1579" max="1579" width="19" style="89" customWidth="1"/>
    <col min="1580" max="1583" width="11.42578125" style="89" customWidth="1"/>
    <col min="1584" max="1584" width="15.140625" style="89" customWidth="1"/>
    <col min="1585" max="1585" width="14" style="89" customWidth="1"/>
    <col min="1586" max="1586" width="15.140625" style="89" customWidth="1"/>
    <col min="1587" max="1587" width="11.42578125" style="89" customWidth="1"/>
    <col min="1588" max="1588" width="51.7109375" style="89" customWidth="1"/>
    <col min="1589" max="1590" width="29.5703125" style="89" customWidth="1"/>
    <col min="1591" max="1591" width="44.42578125" style="89" customWidth="1"/>
    <col min="1592" max="1592" width="36.28515625" style="89" customWidth="1"/>
    <col min="1593" max="1593" width="27.42578125" style="89" bestFit="1" customWidth="1"/>
    <col min="1594" max="1814" width="11.42578125" style="89"/>
    <col min="1815" max="1815" width="15.5703125" style="89" bestFit="1" customWidth="1"/>
    <col min="1816" max="1816" width="33.7109375" style="89" customWidth="1"/>
    <col min="1817" max="1817" width="19" style="89" customWidth="1"/>
    <col min="1818" max="1818" width="19.85546875" style="89" customWidth="1"/>
    <col min="1819" max="1819" width="18.5703125" style="89" customWidth="1"/>
    <col min="1820" max="1820" width="19.7109375" style="89" customWidth="1"/>
    <col min="1821" max="1821" width="14.85546875" style="89" customWidth="1"/>
    <col min="1822" max="1822" width="16.85546875" style="89" customWidth="1"/>
    <col min="1823" max="1825" width="11.42578125" style="89" customWidth="1"/>
    <col min="1826" max="1826" width="18.140625" style="89" customWidth="1"/>
    <col min="1827" max="1827" width="11.42578125" style="89" customWidth="1"/>
    <col min="1828" max="1828" width="12.5703125" style="89" customWidth="1"/>
    <col min="1829" max="1829" width="25" style="89" customWidth="1"/>
    <col min="1830" max="1830" width="16.5703125" style="89" bestFit="1" customWidth="1"/>
    <col min="1831" max="1831" width="24" style="89" customWidth="1"/>
    <col min="1832" max="1832" width="11.42578125" style="89" customWidth="1"/>
    <col min="1833" max="1833" width="20" style="89" customWidth="1"/>
    <col min="1834" max="1834" width="11.42578125" style="89" customWidth="1"/>
    <col min="1835" max="1835" width="19" style="89" customWidth="1"/>
    <col min="1836" max="1839" width="11.42578125" style="89" customWidth="1"/>
    <col min="1840" max="1840" width="15.140625" style="89" customWidth="1"/>
    <col min="1841" max="1841" width="14" style="89" customWidth="1"/>
    <col min="1842" max="1842" width="15.140625" style="89" customWidth="1"/>
    <col min="1843" max="1843" width="11.42578125" style="89" customWidth="1"/>
    <col min="1844" max="1844" width="51.7109375" style="89" customWidth="1"/>
    <col min="1845" max="1846" width="29.5703125" style="89" customWidth="1"/>
    <col min="1847" max="1847" width="44.42578125" style="89" customWidth="1"/>
    <col min="1848" max="1848" width="36.28515625" style="89" customWidth="1"/>
    <col min="1849" max="1849" width="27.42578125" style="89" bestFit="1" customWidth="1"/>
    <col min="1850" max="2070" width="11.42578125" style="89"/>
    <col min="2071" max="2071" width="15.5703125" style="89" bestFit="1" customWidth="1"/>
    <col min="2072" max="2072" width="33.7109375" style="89" customWidth="1"/>
    <col min="2073" max="2073" width="19" style="89" customWidth="1"/>
    <col min="2074" max="2074" width="19.85546875" style="89" customWidth="1"/>
    <col min="2075" max="2075" width="18.5703125" style="89" customWidth="1"/>
    <col min="2076" max="2076" width="19.7109375" style="89" customWidth="1"/>
    <col min="2077" max="2077" width="14.85546875" style="89" customWidth="1"/>
    <col min="2078" max="2078" width="16.85546875" style="89" customWidth="1"/>
    <col min="2079" max="2081" width="11.42578125" style="89" customWidth="1"/>
    <col min="2082" max="2082" width="18.140625" style="89" customWidth="1"/>
    <col min="2083" max="2083" width="11.42578125" style="89" customWidth="1"/>
    <col min="2084" max="2084" width="12.5703125" style="89" customWidth="1"/>
    <col min="2085" max="2085" width="25" style="89" customWidth="1"/>
    <col min="2086" max="2086" width="16.5703125" style="89" bestFit="1" customWidth="1"/>
    <col min="2087" max="2087" width="24" style="89" customWidth="1"/>
    <col min="2088" max="2088" width="11.42578125" style="89" customWidth="1"/>
    <col min="2089" max="2089" width="20" style="89" customWidth="1"/>
    <col min="2090" max="2090" width="11.42578125" style="89" customWidth="1"/>
    <col min="2091" max="2091" width="19" style="89" customWidth="1"/>
    <col min="2092" max="2095" width="11.42578125" style="89" customWidth="1"/>
    <col min="2096" max="2096" width="15.140625" style="89" customWidth="1"/>
    <col min="2097" max="2097" width="14" style="89" customWidth="1"/>
    <col min="2098" max="2098" width="15.140625" style="89" customWidth="1"/>
    <col min="2099" max="2099" width="11.42578125" style="89" customWidth="1"/>
    <col min="2100" max="2100" width="51.7109375" style="89" customWidth="1"/>
    <col min="2101" max="2102" width="29.5703125" style="89" customWidth="1"/>
    <col min="2103" max="2103" width="44.42578125" style="89" customWidth="1"/>
    <col min="2104" max="2104" width="36.28515625" style="89" customWidth="1"/>
    <col min="2105" max="2105" width="27.42578125" style="89" bestFit="1" customWidth="1"/>
    <col min="2106" max="2326" width="11.42578125" style="89"/>
    <col min="2327" max="2327" width="15.5703125" style="89" bestFit="1" customWidth="1"/>
    <col min="2328" max="2328" width="33.7109375" style="89" customWidth="1"/>
    <col min="2329" max="2329" width="19" style="89" customWidth="1"/>
    <col min="2330" max="2330" width="19.85546875" style="89" customWidth="1"/>
    <col min="2331" max="2331" width="18.5703125" style="89" customWidth="1"/>
    <col min="2332" max="2332" width="19.7109375" style="89" customWidth="1"/>
    <col min="2333" max="2333" width="14.85546875" style="89" customWidth="1"/>
    <col min="2334" max="2334" width="16.85546875" style="89" customWidth="1"/>
    <col min="2335" max="2337" width="11.42578125" style="89" customWidth="1"/>
    <col min="2338" max="2338" width="18.140625" style="89" customWidth="1"/>
    <col min="2339" max="2339" width="11.42578125" style="89" customWidth="1"/>
    <col min="2340" max="2340" width="12.5703125" style="89" customWidth="1"/>
    <col min="2341" max="2341" width="25" style="89" customWidth="1"/>
    <col min="2342" max="2342" width="16.5703125" style="89" bestFit="1" customWidth="1"/>
    <col min="2343" max="2343" width="24" style="89" customWidth="1"/>
    <col min="2344" max="2344" width="11.42578125" style="89" customWidth="1"/>
    <col min="2345" max="2345" width="20" style="89" customWidth="1"/>
    <col min="2346" max="2346" width="11.42578125" style="89" customWidth="1"/>
    <col min="2347" max="2347" width="19" style="89" customWidth="1"/>
    <col min="2348" max="2351" width="11.42578125" style="89" customWidth="1"/>
    <col min="2352" max="2352" width="15.140625" style="89" customWidth="1"/>
    <col min="2353" max="2353" width="14" style="89" customWidth="1"/>
    <col min="2354" max="2354" width="15.140625" style="89" customWidth="1"/>
    <col min="2355" max="2355" width="11.42578125" style="89" customWidth="1"/>
    <col min="2356" max="2356" width="51.7109375" style="89" customWidth="1"/>
    <col min="2357" max="2358" width="29.5703125" style="89" customWidth="1"/>
    <col min="2359" max="2359" width="44.42578125" style="89" customWidth="1"/>
    <col min="2360" max="2360" width="36.28515625" style="89" customWidth="1"/>
    <col min="2361" max="2361" width="27.42578125" style="89" bestFit="1" customWidth="1"/>
    <col min="2362" max="2582" width="11.42578125" style="89"/>
    <col min="2583" max="2583" width="15.5703125" style="89" bestFit="1" customWidth="1"/>
    <col min="2584" max="2584" width="33.7109375" style="89" customWidth="1"/>
    <col min="2585" max="2585" width="19" style="89" customWidth="1"/>
    <col min="2586" max="2586" width="19.85546875" style="89" customWidth="1"/>
    <col min="2587" max="2587" width="18.5703125" style="89" customWidth="1"/>
    <col min="2588" max="2588" width="19.7109375" style="89" customWidth="1"/>
    <col min="2589" max="2589" width="14.85546875" style="89" customWidth="1"/>
    <col min="2590" max="2590" width="16.85546875" style="89" customWidth="1"/>
    <col min="2591" max="2593" width="11.42578125" style="89" customWidth="1"/>
    <col min="2594" max="2594" width="18.140625" style="89" customWidth="1"/>
    <col min="2595" max="2595" width="11.42578125" style="89" customWidth="1"/>
    <col min="2596" max="2596" width="12.5703125" style="89" customWidth="1"/>
    <col min="2597" max="2597" width="25" style="89" customWidth="1"/>
    <col min="2598" max="2598" width="16.5703125" style="89" bestFit="1" customWidth="1"/>
    <col min="2599" max="2599" width="24" style="89" customWidth="1"/>
    <col min="2600" max="2600" width="11.42578125" style="89" customWidth="1"/>
    <col min="2601" max="2601" width="20" style="89" customWidth="1"/>
    <col min="2602" max="2602" width="11.42578125" style="89" customWidth="1"/>
    <col min="2603" max="2603" width="19" style="89" customWidth="1"/>
    <col min="2604" max="2607" width="11.42578125" style="89" customWidth="1"/>
    <col min="2608" max="2608" width="15.140625" style="89" customWidth="1"/>
    <col min="2609" max="2609" width="14" style="89" customWidth="1"/>
    <col min="2610" max="2610" width="15.140625" style="89" customWidth="1"/>
    <col min="2611" max="2611" width="11.42578125" style="89" customWidth="1"/>
    <col min="2612" max="2612" width="51.7109375" style="89" customWidth="1"/>
    <col min="2613" max="2614" width="29.5703125" style="89" customWidth="1"/>
    <col min="2615" max="2615" width="44.42578125" style="89" customWidth="1"/>
    <col min="2616" max="2616" width="36.28515625" style="89" customWidth="1"/>
    <col min="2617" max="2617" width="27.42578125" style="89" bestFit="1" customWidth="1"/>
    <col min="2618" max="2838" width="11.42578125" style="89"/>
    <col min="2839" max="2839" width="15.5703125" style="89" bestFit="1" customWidth="1"/>
    <col min="2840" max="2840" width="33.7109375" style="89" customWidth="1"/>
    <col min="2841" max="2841" width="19" style="89" customWidth="1"/>
    <col min="2842" max="2842" width="19.85546875" style="89" customWidth="1"/>
    <col min="2843" max="2843" width="18.5703125" style="89" customWidth="1"/>
    <col min="2844" max="2844" width="19.7109375" style="89" customWidth="1"/>
    <col min="2845" max="2845" width="14.85546875" style="89" customWidth="1"/>
    <col min="2846" max="2846" width="16.85546875" style="89" customWidth="1"/>
    <col min="2847" max="2849" width="11.42578125" style="89" customWidth="1"/>
    <col min="2850" max="2850" width="18.140625" style="89" customWidth="1"/>
    <col min="2851" max="2851" width="11.42578125" style="89" customWidth="1"/>
    <col min="2852" max="2852" width="12.5703125" style="89" customWidth="1"/>
    <col min="2853" max="2853" width="25" style="89" customWidth="1"/>
    <col min="2854" max="2854" width="16.5703125" style="89" bestFit="1" customWidth="1"/>
    <col min="2855" max="2855" width="24" style="89" customWidth="1"/>
    <col min="2856" max="2856" width="11.42578125" style="89" customWidth="1"/>
    <col min="2857" max="2857" width="20" style="89" customWidth="1"/>
    <col min="2858" max="2858" width="11.42578125" style="89" customWidth="1"/>
    <col min="2859" max="2859" width="19" style="89" customWidth="1"/>
    <col min="2860" max="2863" width="11.42578125" style="89" customWidth="1"/>
    <col min="2864" max="2864" width="15.140625" style="89" customWidth="1"/>
    <col min="2865" max="2865" width="14" style="89" customWidth="1"/>
    <col min="2866" max="2866" width="15.140625" style="89" customWidth="1"/>
    <col min="2867" max="2867" width="11.42578125" style="89" customWidth="1"/>
    <col min="2868" max="2868" width="51.7109375" style="89" customWidth="1"/>
    <col min="2869" max="2870" width="29.5703125" style="89" customWidth="1"/>
    <col min="2871" max="2871" width="44.42578125" style="89" customWidth="1"/>
    <col min="2872" max="2872" width="36.28515625" style="89" customWidth="1"/>
    <col min="2873" max="2873" width="27.42578125" style="89" bestFit="1" customWidth="1"/>
    <col min="2874" max="3094" width="11.42578125" style="89"/>
    <col min="3095" max="3095" width="15.5703125" style="89" bestFit="1" customWidth="1"/>
    <col min="3096" max="3096" width="33.7109375" style="89" customWidth="1"/>
    <col min="3097" max="3097" width="19" style="89" customWidth="1"/>
    <col min="3098" max="3098" width="19.85546875" style="89" customWidth="1"/>
    <col min="3099" max="3099" width="18.5703125" style="89" customWidth="1"/>
    <col min="3100" max="3100" width="19.7109375" style="89" customWidth="1"/>
    <col min="3101" max="3101" width="14.85546875" style="89" customWidth="1"/>
    <col min="3102" max="3102" width="16.85546875" style="89" customWidth="1"/>
    <col min="3103" max="3105" width="11.42578125" style="89" customWidth="1"/>
    <col min="3106" max="3106" width="18.140625" style="89" customWidth="1"/>
    <col min="3107" max="3107" width="11.42578125" style="89" customWidth="1"/>
    <col min="3108" max="3108" width="12.5703125" style="89" customWidth="1"/>
    <col min="3109" max="3109" width="25" style="89" customWidth="1"/>
    <col min="3110" max="3110" width="16.5703125" style="89" bestFit="1" customWidth="1"/>
    <col min="3111" max="3111" width="24" style="89" customWidth="1"/>
    <col min="3112" max="3112" width="11.42578125" style="89" customWidth="1"/>
    <col min="3113" max="3113" width="20" style="89" customWidth="1"/>
    <col min="3114" max="3114" width="11.42578125" style="89" customWidth="1"/>
    <col min="3115" max="3115" width="19" style="89" customWidth="1"/>
    <col min="3116" max="3119" width="11.42578125" style="89" customWidth="1"/>
    <col min="3120" max="3120" width="15.140625" style="89" customWidth="1"/>
    <col min="3121" max="3121" width="14" style="89" customWidth="1"/>
    <col min="3122" max="3122" width="15.140625" style="89" customWidth="1"/>
    <col min="3123" max="3123" width="11.42578125" style="89" customWidth="1"/>
    <col min="3124" max="3124" width="51.7109375" style="89" customWidth="1"/>
    <col min="3125" max="3126" width="29.5703125" style="89" customWidth="1"/>
    <col min="3127" max="3127" width="44.42578125" style="89" customWidth="1"/>
    <col min="3128" max="3128" width="36.28515625" style="89" customWidth="1"/>
    <col min="3129" max="3129" width="27.42578125" style="89" bestFit="1" customWidth="1"/>
    <col min="3130" max="3350" width="11.42578125" style="89"/>
    <col min="3351" max="3351" width="15.5703125" style="89" bestFit="1" customWidth="1"/>
    <col min="3352" max="3352" width="33.7109375" style="89" customWidth="1"/>
    <col min="3353" max="3353" width="19" style="89" customWidth="1"/>
    <col min="3354" max="3354" width="19.85546875" style="89" customWidth="1"/>
    <col min="3355" max="3355" width="18.5703125" style="89" customWidth="1"/>
    <col min="3356" max="3356" width="19.7109375" style="89" customWidth="1"/>
    <col min="3357" max="3357" width="14.85546875" style="89" customWidth="1"/>
    <col min="3358" max="3358" width="16.85546875" style="89" customWidth="1"/>
    <col min="3359" max="3361" width="11.42578125" style="89" customWidth="1"/>
    <col min="3362" max="3362" width="18.140625" style="89" customWidth="1"/>
    <col min="3363" max="3363" width="11.42578125" style="89" customWidth="1"/>
    <col min="3364" max="3364" width="12.5703125" style="89" customWidth="1"/>
    <col min="3365" max="3365" width="25" style="89" customWidth="1"/>
    <col min="3366" max="3366" width="16.5703125" style="89" bestFit="1" customWidth="1"/>
    <col min="3367" max="3367" width="24" style="89" customWidth="1"/>
    <col min="3368" max="3368" width="11.42578125" style="89" customWidth="1"/>
    <col min="3369" max="3369" width="20" style="89" customWidth="1"/>
    <col min="3370" max="3370" width="11.42578125" style="89" customWidth="1"/>
    <col min="3371" max="3371" width="19" style="89" customWidth="1"/>
    <col min="3372" max="3375" width="11.42578125" style="89" customWidth="1"/>
    <col min="3376" max="3376" width="15.140625" style="89" customWidth="1"/>
    <col min="3377" max="3377" width="14" style="89" customWidth="1"/>
    <col min="3378" max="3378" width="15.140625" style="89" customWidth="1"/>
    <col min="3379" max="3379" width="11.42578125" style="89" customWidth="1"/>
    <col min="3380" max="3380" width="51.7109375" style="89" customWidth="1"/>
    <col min="3381" max="3382" width="29.5703125" style="89" customWidth="1"/>
    <col min="3383" max="3383" width="44.42578125" style="89" customWidth="1"/>
    <col min="3384" max="3384" width="36.28515625" style="89" customWidth="1"/>
    <col min="3385" max="3385" width="27.42578125" style="89" bestFit="1" customWidth="1"/>
    <col min="3386" max="3606" width="11.42578125" style="89"/>
    <col min="3607" max="3607" width="15.5703125" style="89" bestFit="1" customWidth="1"/>
    <col min="3608" max="3608" width="33.7109375" style="89" customWidth="1"/>
    <col min="3609" max="3609" width="19" style="89" customWidth="1"/>
    <col min="3610" max="3610" width="19.85546875" style="89" customWidth="1"/>
    <col min="3611" max="3611" width="18.5703125" style="89" customWidth="1"/>
    <col min="3612" max="3612" width="19.7109375" style="89" customWidth="1"/>
    <col min="3613" max="3613" width="14.85546875" style="89" customWidth="1"/>
    <col min="3614" max="3614" width="16.85546875" style="89" customWidth="1"/>
    <col min="3615" max="3617" width="11.42578125" style="89" customWidth="1"/>
    <col min="3618" max="3618" width="18.140625" style="89" customWidth="1"/>
    <col min="3619" max="3619" width="11.42578125" style="89" customWidth="1"/>
    <col min="3620" max="3620" width="12.5703125" style="89" customWidth="1"/>
    <col min="3621" max="3621" width="25" style="89" customWidth="1"/>
    <col min="3622" max="3622" width="16.5703125" style="89" bestFit="1" customWidth="1"/>
    <col min="3623" max="3623" width="24" style="89" customWidth="1"/>
    <col min="3624" max="3624" width="11.42578125" style="89" customWidth="1"/>
    <col min="3625" max="3625" width="20" style="89" customWidth="1"/>
    <col min="3626" max="3626" width="11.42578125" style="89" customWidth="1"/>
    <col min="3627" max="3627" width="19" style="89" customWidth="1"/>
    <col min="3628" max="3631" width="11.42578125" style="89" customWidth="1"/>
    <col min="3632" max="3632" width="15.140625" style="89" customWidth="1"/>
    <col min="3633" max="3633" width="14" style="89" customWidth="1"/>
    <col min="3634" max="3634" width="15.140625" style="89" customWidth="1"/>
    <col min="3635" max="3635" width="11.42578125" style="89" customWidth="1"/>
    <col min="3636" max="3636" width="51.7109375" style="89" customWidth="1"/>
    <col min="3637" max="3638" width="29.5703125" style="89" customWidth="1"/>
    <col min="3639" max="3639" width="44.42578125" style="89" customWidth="1"/>
    <col min="3640" max="3640" width="36.28515625" style="89" customWidth="1"/>
    <col min="3641" max="3641" width="27.42578125" style="89" bestFit="1" customWidth="1"/>
    <col min="3642" max="3862" width="11.42578125" style="89"/>
    <col min="3863" max="3863" width="15.5703125" style="89" bestFit="1" customWidth="1"/>
    <col min="3864" max="3864" width="33.7109375" style="89" customWidth="1"/>
    <col min="3865" max="3865" width="19" style="89" customWidth="1"/>
    <col min="3866" max="3866" width="19.85546875" style="89" customWidth="1"/>
    <col min="3867" max="3867" width="18.5703125" style="89" customWidth="1"/>
    <col min="3868" max="3868" width="19.7109375" style="89" customWidth="1"/>
    <col min="3869" max="3869" width="14.85546875" style="89" customWidth="1"/>
    <col min="3870" max="3870" width="16.85546875" style="89" customWidth="1"/>
    <col min="3871" max="3873" width="11.42578125" style="89" customWidth="1"/>
    <col min="3874" max="3874" width="18.140625" style="89" customWidth="1"/>
    <col min="3875" max="3875" width="11.42578125" style="89" customWidth="1"/>
    <col min="3876" max="3876" width="12.5703125" style="89" customWidth="1"/>
    <col min="3877" max="3877" width="25" style="89" customWidth="1"/>
    <col min="3878" max="3878" width="16.5703125" style="89" bestFit="1" customWidth="1"/>
    <col min="3879" max="3879" width="24" style="89" customWidth="1"/>
    <col min="3880" max="3880" width="11.42578125" style="89" customWidth="1"/>
    <col min="3881" max="3881" width="20" style="89" customWidth="1"/>
    <col min="3882" max="3882" width="11.42578125" style="89" customWidth="1"/>
    <col min="3883" max="3883" width="19" style="89" customWidth="1"/>
    <col min="3884" max="3887" width="11.42578125" style="89" customWidth="1"/>
    <col min="3888" max="3888" width="15.140625" style="89" customWidth="1"/>
    <col min="3889" max="3889" width="14" style="89" customWidth="1"/>
    <col min="3890" max="3890" width="15.140625" style="89" customWidth="1"/>
    <col min="3891" max="3891" width="11.42578125" style="89" customWidth="1"/>
    <col min="3892" max="3892" width="51.7109375" style="89" customWidth="1"/>
    <col min="3893" max="3894" width="29.5703125" style="89" customWidth="1"/>
    <col min="3895" max="3895" width="44.42578125" style="89" customWidth="1"/>
    <col min="3896" max="3896" width="36.28515625" style="89" customWidth="1"/>
    <col min="3897" max="3897" width="27.42578125" style="89" bestFit="1" customWidth="1"/>
    <col min="3898" max="4118" width="11.42578125" style="89"/>
    <col min="4119" max="4119" width="15.5703125" style="89" bestFit="1" customWidth="1"/>
    <col min="4120" max="4120" width="33.7109375" style="89" customWidth="1"/>
    <col min="4121" max="4121" width="19" style="89" customWidth="1"/>
    <col min="4122" max="4122" width="19.85546875" style="89" customWidth="1"/>
    <col min="4123" max="4123" width="18.5703125" style="89" customWidth="1"/>
    <col min="4124" max="4124" width="19.7109375" style="89" customWidth="1"/>
    <col min="4125" max="4125" width="14.85546875" style="89" customWidth="1"/>
    <col min="4126" max="4126" width="16.85546875" style="89" customWidth="1"/>
    <col min="4127" max="4129" width="11.42578125" style="89" customWidth="1"/>
    <col min="4130" max="4130" width="18.140625" style="89" customWidth="1"/>
    <col min="4131" max="4131" width="11.42578125" style="89" customWidth="1"/>
    <col min="4132" max="4132" width="12.5703125" style="89" customWidth="1"/>
    <col min="4133" max="4133" width="25" style="89" customWidth="1"/>
    <col min="4134" max="4134" width="16.5703125" style="89" bestFit="1" customWidth="1"/>
    <col min="4135" max="4135" width="24" style="89" customWidth="1"/>
    <col min="4136" max="4136" width="11.42578125" style="89" customWidth="1"/>
    <col min="4137" max="4137" width="20" style="89" customWidth="1"/>
    <col min="4138" max="4138" width="11.42578125" style="89" customWidth="1"/>
    <col min="4139" max="4139" width="19" style="89" customWidth="1"/>
    <col min="4140" max="4143" width="11.42578125" style="89" customWidth="1"/>
    <col min="4144" max="4144" width="15.140625" style="89" customWidth="1"/>
    <col min="4145" max="4145" width="14" style="89" customWidth="1"/>
    <col min="4146" max="4146" width="15.140625" style="89" customWidth="1"/>
    <col min="4147" max="4147" width="11.42578125" style="89" customWidth="1"/>
    <col min="4148" max="4148" width="51.7109375" style="89" customWidth="1"/>
    <col min="4149" max="4150" width="29.5703125" style="89" customWidth="1"/>
    <col min="4151" max="4151" width="44.42578125" style="89" customWidth="1"/>
    <col min="4152" max="4152" width="36.28515625" style="89" customWidth="1"/>
    <col min="4153" max="4153" width="27.42578125" style="89" bestFit="1" customWidth="1"/>
    <col min="4154" max="4374" width="11.42578125" style="89"/>
    <col min="4375" max="4375" width="15.5703125" style="89" bestFit="1" customWidth="1"/>
    <col min="4376" max="4376" width="33.7109375" style="89" customWidth="1"/>
    <col min="4377" max="4377" width="19" style="89" customWidth="1"/>
    <col min="4378" max="4378" width="19.85546875" style="89" customWidth="1"/>
    <col min="4379" max="4379" width="18.5703125" style="89" customWidth="1"/>
    <col min="4380" max="4380" width="19.7109375" style="89" customWidth="1"/>
    <col min="4381" max="4381" width="14.85546875" style="89" customWidth="1"/>
    <col min="4382" max="4382" width="16.85546875" style="89" customWidth="1"/>
    <col min="4383" max="4385" width="11.42578125" style="89" customWidth="1"/>
    <col min="4386" max="4386" width="18.140625" style="89" customWidth="1"/>
    <col min="4387" max="4387" width="11.42578125" style="89" customWidth="1"/>
    <col min="4388" max="4388" width="12.5703125" style="89" customWidth="1"/>
    <col min="4389" max="4389" width="25" style="89" customWidth="1"/>
    <col min="4390" max="4390" width="16.5703125" style="89" bestFit="1" customWidth="1"/>
    <col min="4391" max="4391" width="24" style="89" customWidth="1"/>
    <col min="4392" max="4392" width="11.42578125" style="89" customWidth="1"/>
    <col min="4393" max="4393" width="20" style="89" customWidth="1"/>
    <col min="4394" max="4394" width="11.42578125" style="89" customWidth="1"/>
    <col min="4395" max="4395" width="19" style="89" customWidth="1"/>
    <col min="4396" max="4399" width="11.42578125" style="89" customWidth="1"/>
    <col min="4400" max="4400" width="15.140625" style="89" customWidth="1"/>
    <col min="4401" max="4401" width="14" style="89" customWidth="1"/>
    <col min="4402" max="4402" width="15.140625" style="89" customWidth="1"/>
    <col min="4403" max="4403" width="11.42578125" style="89" customWidth="1"/>
    <col min="4404" max="4404" width="51.7109375" style="89" customWidth="1"/>
    <col min="4405" max="4406" width="29.5703125" style="89" customWidth="1"/>
    <col min="4407" max="4407" width="44.42578125" style="89" customWidth="1"/>
    <col min="4408" max="4408" width="36.28515625" style="89" customWidth="1"/>
    <col min="4409" max="4409" width="27.42578125" style="89" bestFit="1" customWidth="1"/>
    <col min="4410" max="4630" width="11.42578125" style="89"/>
    <col min="4631" max="4631" width="15.5703125" style="89" bestFit="1" customWidth="1"/>
    <col min="4632" max="4632" width="33.7109375" style="89" customWidth="1"/>
    <col min="4633" max="4633" width="19" style="89" customWidth="1"/>
    <col min="4634" max="4634" width="19.85546875" style="89" customWidth="1"/>
    <col min="4635" max="4635" width="18.5703125" style="89" customWidth="1"/>
    <col min="4636" max="4636" width="19.7109375" style="89" customWidth="1"/>
    <col min="4637" max="4637" width="14.85546875" style="89" customWidth="1"/>
    <col min="4638" max="4638" width="16.85546875" style="89" customWidth="1"/>
    <col min="4639" max="4641" width="11.42578125" style="89" customWidth="1"/>
    <col min="4642" max="4642" width="18.140625" style="89" customWidth="1"/>
    <col min="4643" max="4643" width="11.42578125" style="89" customWidth="1"/>
    <col min="4644" max="4644" width="12.5703125" style="89" customWidth="1"/>
    <col min="4645" max="4645" width="25" style="89" customWidth="1"/>
    <col min="4646" max="4646" width="16.5703125" style="89" bestFit="1" customWidth="1"/>
    <col min="4647" max="4647" width="24" style="89" customWidth="1"/>
    <col min="4648" max="4648" width="11.42578125" style="89" customWidth="1"/>
    <col min="4649" max="4649" width="20" style="89" customWidth="1"/>
    <col min="4650" max="4650" width="11.42578125" style="89" customWidth="1"/>
    <col min="4651" max="4651" width="19" style="89" customWidth="1"/>
    <col min="4652" max="4655" width="11.42578125" style="89" customWidth="1"/>
    <col min="4656" max="4656" width="15.140625" style="89" customWidth="1"/>
    <col min="4657" max="4657" width="14" style="89" customWidth="1"/>
    <col min="4658" max="4658" width="15.140625" style="89" customWidth="1"/>
    <col min="4659" max="4659" width="11.42578125" style="89" customWidth="1"/>
    <col min="4660" max="4660" width="51.7109375" style="89" customWidth="1"/>
    <col min="4661" max="4662" width="29.5703125" style="89" customWidth="1"/>
    <col min="4663" max="4663" width="44.42578125" style="89" customWidth="1"/>
    <col min="4664" max="4664" width="36.28515625" style="89" customWidth="1"/>
    <col min="4665" max="4665" width="27.42578125" style="89" bestFit="1" customWidth="1"/>
    <col min="4666" max="4886" width="11.42578125" style="89"/>
    <col min="4887" max="4887" width="15.5703125" style="89" bestFit="1" customWidth="1"/>
    <col min="4888" max="4888" width="33.7109375" style="89" customWidth="1"/>
    <col min="4889" max="4889" width="19" style="89" customWidth="1"/>
    <col min="4890" max="4890" width="19.85546875" style="89" customWidth="1"/>
    <col min="4891" max="4891" width="18.5703125" style="89" customWidth="1"/>
    <col min="4892" max="4892" width="19.7109375" style="89" customWidth="1"/>
    <col min="4893" max="4893" width="14.85546875" style="89" customWidth="1"/>
    <col min="4894" max="4894" width="16.85546875" style="89" customWidth="1"/>
    <col min="4895" max="4897" width="11.42578125" style="89" customWidth="1"/>
    <col min="4898" max="4898" width="18.140625" style="89" customWidth="1"/>
    <col min="4899" max="4899" width="11.42578125" style="89" customWidth="1"/>
    <col min="4900" max="4900" width="12.5703125" style="89" customWidth="1"/>
    <col min="4901" max="4901" width="25" style="89" customWidth="1"/>
    <col min="4902" max="4902" width="16.5703125" style="89" bestFit="1" customWidth="1"/>
    <col min="4903" max="4903" width="24" style="89" customWidth="1"/>
    <col min="4904" max="4904" width="11.42578125" style="89" customWidth="1"/>
    <col min="4905" max="4905" width="20" style="89" customWidth="1"/>
    <col min="4906" max="4906" width="11.42578125" style="89" customWidth="1"/>
    <col min="4907" max="4907" width="19" style="89" customWidth="1"/>
    <col min="4908" max="4911" width="11.42578125" style="89" customWidth="1"/>
    <col min="4912" max="4912" width="15.140625" style="89" customWidth="1"/>
    <col min="4913" max="4913" width="14" style="89" customWidth="1"/>
    <col min="4914" max="4914" width="15.140625" style="89" customWidth="1"/>
    <col min="4915" max="4915" width="11.42578125" style="89" customWidth="1"/>
    <col min="4916" max="4916" width="51.7109375" style="89" customWidth="1"/>
    <col min="4917" max="4918" width="29.5703125" style="89" customWidth="1"/>
    <col min="4919" max="4919" width="44.42578125" style="89" customWidth="1"/>
    <col min="4920" max="4920" width="36.28515625" style="89" customWidth="1"/>
    <col min="4921" max="4921" width="27.42578125" style="89" bestFit="1" customWidth="1"/>
    <col min="4922" max="5142" width="11.42578125" style="89"/>
    <col min="5143" max="5143" width="15.5703125" style="89" bestFit="1" customWidth="1"/>
    <col min="5144" max="5144" width="33.7109375" style="89" customWidth="1"/>
    <col min="5145" max="5145" width="19" style="89" customWidth="1"/>
    <col min="5146" max="5146" width="19.85546875" style="89" customWidth="1"/>
    <col min="5147" max="5147" width="18.5703125" style="89" customWidth="1"/>
    <col min="5148" max="5148" width="19.7109375" style="89" customWidth="1"/>
    <col min="5149" max="5149" width="14.85546875" style="89" customWidth="1"/>
    <col min="5150" max="5150" width="16.85546875" style="89" customWidth="1"/>
    <col min="5151" max="5153" width="11.42578125" style="89" customWidth="1"/>
    <col min="5154" max="5154" width="18.140625" style="89" customWidth="1"/>
    <col min="5155" max="5155" width="11.42578125" style="89" customWidth="1"/>
    <col min="5156" max="5156" width="12.5703125" style="89" customWidth="1"/>
    <col min="5157" max="5157" width="25" style="89" customWidth="1"/>
    <col min="5158" max="5158" width="16.5703125" style="89" bestFit="1" customWidth="1"/>
    <col min="5159" max="5159" width="24" style="89" customWidth="1"/>
    <col min="5160" max="5160" width="11.42578125" style="89" customWidth="1"/>
    <col min="5161" max="5161" width="20" style="89" customWidth="1"/>
    <col min="5162" max="5162" width="11.42578125" style="89" customWidth="1"/>
    <col min="5163" max="5163" width="19" style="89" customWidth="1"/>
    <col min="5164" max="5167" width="11.42578125" style="89" customWidth="1"/>
    <col min="5168" max="5168" width="15.140625" style="89" customWidth="1"/>
    <col min="5169" max="5169" width="14" style="89" customWidth="1"/>
    <col min="5170" max="5170" width="15.140625" style="89" customWidth="1"/>
    <col min="5171" max="5171" width="11.42578125" style="89" customWidth="1"/>
    <col min="5172" max="5172" width="51.7109375" style="89" customWidth="1"/>
    <col min="5173" max="5174" width="29.5703125" style="89" customWidth="1"/>
    <col min="5175" max="5175" width="44.42578125" style="89" customWidth="1"/>
    <col min="5176" max="5176" width="36.28515625" style="89" customWidth="1"/>
    <col min="5177" max="5177" width="27.42578125" style="89" bestFit="1" customWidth="1"/>
    <col min="5178" max="5398" width="11.42578125" style="89"/>
    <col min="5399" max="5399" width="15.5703125" style="89" bestFit="1" customWidth="1"/>
    <col min="5400" max="5400" width="33.7109375" style="89" customWidth="1"/>
    <col min="5401" max="5401" width="19" style="89" customWidth="1"/>
    <col min="5402" max="5402" width="19.85546875" style="89" customWidth="1"/>
    <col min="5403" max="5403" width="18.5703125" style="89" customWidth="1"/>
    <col min="5404" max="5404" width="19.7109375" style="89" customWidth="1"/>
    <col min="5405" max="5405" width="14.85546875" style="89" customWidth="1"/>
    <col min="5406" max="5406" width="16.85546875" style="89" customWidth="1"/>
    <col min="5407" max="5409" width="11.42578125" style="89" customWidth="1"/>
    <col min="5410" max="5410" width="18.140625" style="89" customWidth="1"/>
    <col min="5411" max="5411" width="11.42578125" style="89" customWidth="1"/>
    <col min="5412" max="5412" width="12.5703125" style="89" customWidth="1"/>
    <col min="5413" max="5413" width="25" style="89" customWidth="1"/>
    <col min="5414" max="5414" width="16.5703125" style="89" bestFit="1" customWidth="1"/>
    <col min="5415" max="5415" width="24" style="89" customWidth="1"/>
    <col min="5416" max="5416" width="11.42578125" style="89" customWidth="1"/>
    <col min="5417" max="5417" width="20" style="89" customWidth="1"/>
    <col min="5418" max="5418" width="11.42578125" style="89" customWidth="1"/>
    <col min="5419" max="5419" width="19" style="89" customWidth="1"/>
    <col min="5420" max="5423" width="11.42578125" style="89" customWidth="1"/>
    <col min="5424" max="5424" width="15.140625" style="89" customWidth="1"/>
    <col min="5425" max="5425" width="14" style="89" customWidth="1"/>
    <col min="5426" max="5426" width="15.140625" style="89" customWidth="1"/>
    <col min="5427" max="5427" width="11.42578125" style="89" customWidth="1"/>
    <col min="5428" max="5428" width="51.7109375" style="89" customWidth="1"/>
    <col min="5429" max="5430" width="29.5703125" style="89" customWidth="1"/>
    <col min="5431" max="5431" width="44.42578125" style="89" customWidth="1"/>
    <col min="5432" max="5432" width="36.28515625" style="89" customWidth="1"/>
    <col min="5433" max="5433" width="27.42578125" style="89" bestFit="1" customWidth="1"/>
    <col min="5434" max="5654" width="11.42578125" style="89"/>
    <col min="5655" max="5655" width="15.5703125" style="89" bestFit="1" customWidth="1"/>
    <col min="5656" max="5656" width="33.7109375" style="89" customWidth="1"/>
    <col min="5657" max="5657" width="19" style="89" customWidth="1"/>
    <col min="5658" max="5658" width="19.85546875" style="89" customWidth="1"/>
    <col min="5659" max="5659" width="18.5703125" style="89" customWidth="1"/>
    <col min="5660" max="5660" width="19.7109375" style="89" customWidth="1"/>
    <col min="5661" max="5661" width="14.85546875" style="89" customWidth="1"/>
    <col min="5662" max="5662" width="16.85546875" style="89" customWidth="1"/>
    <col min="5663" max="5665" width="11.42578125" style="89" customWidth="1"/>
    <col min="5666" max="5666" width="18.140625" style="89" customWidth="1"/>
    <col min="5667" max="5667" width="11.42578125" style="89" customWidth="1"/>
    <col min="5668" max="5668" width="12.5703125" style="89" customWidth="1"/>
    <col min="5669" max="5669" width="25" style="89" customWidth="1"/>
    <col min="5670" max="5670" width="16.5703125" style="89" bestFit="1" customWidth="1"/>
    <col min="5671" max="5671" width="24" style="89" customWidth="1"/>
    <col min="5672" max="5672" width="11.42578125" style="89" customWidth="1"/>
    <col min="5673" max="5673" width="20" style="89" customWidth="1"/>
    <col min="5674" max="5674" width="11.42578125" style="89" customWidth="1"/>
    <col min="5675" max="5675" width="19" style="89" customWidth="1"/>
    <col min="5676" max="5679" width="11.42578125" style="89" customWidth="1"/>
    <col min="5680" max="5680" width="15.140625" style="89" customWidth="1"/>
    <col min="5681" max="5681" width="14" style="89" customWidth="1"/>
    <col min="5682" max="5682" width="15.140625" style="89" customWidth="1"/>
    <col min="5683" max="5683" width="11.42578125" style="89" customWidth="1"/>
    <col min="5684" max="5684" width="51.7109375" style="89" customWidth="1"/>
    <col min="5685" max="5686" width="29.5703125" style="89" customWidth="1"/>
    <col min="5687" max="5687" width="44.42578125" style="89" customWidth="1"/>
    <col min="5688" max="5688" width="36.28515625" style="89" customWidth="1"/>
    <col min="5689" max="5689" width="27.42578125" style="89" bestFit="1" customWidth="1"/>
    <col min="5690" max="5910" width="11.42578125" style="89"/>
    <col min="5911" max="5911" width="15.5703125" style="89" bestFit="1" customWidth="1"/>
    <col min="5912" max="5912" width="33.7109375" style="89" customWidth="1"/>
    <col min="5913" max="5913" width="19" style="89" customWidth="1"/>
    <col min="5914" max="5914" width="19.85546875" style="89" customWidth="1"/>
    <col min="5915" max="5915" width="18.5703125" style="89" customWidth="1"/>
    <col min="5916" max="5916" width="19.7109375" style="89" customWidth="1"/>
    <col min="5917" max="5917" width="14.85546875" style="89" customWidth="1"/>
    <col min="5918" max="5918" width="16.85546875" style="89" customWidth="1"/>
    <col min="5919" max="5921" width="11.42578125" style="89" customWidth="1"/>
    <col min="5922" max="5922" width="18.140625" style="89" customWidth="1"/>
    <col min="5923" max="5923" width="11.42578125" style="89" customWidth="1"/>
    <col min="5924" max="5924" width="12.5703125" style="89" customWidth="1"/>
    <col min="5925" max="5925" width="25" style="89" customWidth="1"/>
    <col min="5926" max="5926" width="16.5703125" style="89" bestFit="1" customWidth="1"/>
    <col min="5927" max="5927" width="24" style="89" customWidth="1"/>
    <col min="5928" max="5928" width="11.42578125" style="89" customWidth="1"/>
    <col min="5929" max="5929" width="20" style="89" customWidth="1"/>
    <col min="5930" max="5930" width="11.42578125" style="89" customWidth="1"/>
    <col min="5931" max="5931" width="19" style="89" customWidth="1"/>
    <col min="5932" max="5935" width="11.42578125" style="89" customWidth="1"/>
    <col min="5936" max="5936" width="15.140625" style="89" customWidth="1"/>
    <col min="5937" max="5937" width="14" style="89" customWidth="1"/>
    <col min="5938" max="5938" width="15.140625" style="89" customWidth="1"/>
    <col min="5939" max="5939" width="11.42578125" style="89" customWidth="1"/>
    <col min="5940" max="5940" width="51.7109375" style="89" customWidth="1"/>
    <col min="5941" max="5942" width="29.5703125" style="89" customWidth="1"/>
    <col min="5943" max="5943" width="44.42578125" style="89" customWidth="1"/>
    <col min="5944" max="5944" width="36.28515625" style="89" customWidth="1"/>
    <col min="5945" max="5945" width="27.42578125" style="89" bestFit="1" customWidth="1"/>
    <col min="5946" max="6166" width="11.42578125" style="89"/>
    <col min="6167" max="6167" width="15.5703125" style="89" bestFit="1" customWidth="1"/>
    <col min="6168" max="6168" width="33.7109375" style="89" customWidth="1"/>
    <col min="6169" max="6169" width="19" style="89" customWidth="1"/>
    <col min="6170" max="6170" width="19.85546875" style="89" customWidth="1"/>
    <col min="6171" max="6171" width="18.5703125" style="89" customWidth="1"/>
    <col min="6172" max="6172" width="19.7109375" style="89" customWidth="1"/>
    <col min="6173" max="6173" width="14.85546875" style="89" customWidth="1"/>
    <col min="6174" max="6174" width="16.85546875" style="89" customWidth="1"/>
    <col min="6175" max="6177" width="11.42578125" style="89" customWidth="1"/>
    <col min="6178" max="6178" width="18.140625" style="89" customWidth="1"/>
    <col min="6179" max="6179" width="11.42578125" style="89" customWidth="1"/>
    <col min="6180" max="6180" width="12.5703125" style="89" customWidth="1"/>
    <col min="6181" max="6181" width="25" style="89" customWidth="1"/>
    <col min="6182" max="6182" width="16.5703125" style="89" bestFit="1" customWidth="1"/>
    <col min="6183" max="6183" width="24" style="89" customWidth="1"/>
    <col min="6184" max="6184" width="11.42578125" style="89" customWidth="1"/>
    <col min="6185" max="6185" width="20" style="89" customWidth="1"/>
    <col min="6186" max="6186" width="11.42578125" style="89" customWidth="1"/>
    <col min="6187" max="6187" width="19" style="89" customWidth="1"/>
    <col min="6188" max="6191" width="11.42578125" style="89" customWidth="1"/>
    <col min="6192" max="6192" width="15.140625" style="89" customWidth="1"/>
    <col min="6193" max="6193" width="14" style="89" customWidth="1"/>
    <col min="6194" max="6194" width="15.140625" style="89" customWidth="1"/>
    <col min="6195" max="6195" width="11.42578125" style="89" customWidth="1"/>
    <col min="6196" max="6196" width="51.7109375" style="89" customWidth="1"/>
    <col min="6197" max="6198" width="29.5703125" style="89" customWidth="1"/>
    <col min="6199" max="6199" width="44.42578125" style="89" customWidth="1"/>
    <col min="6200" max="6200" width="36.28515625" style="89" customWidth="1"/>
    <col min="6201" max="6201" width="27.42578125" style="89" bestFit="1" customWidth="1"/>
    <col min="6202" max="6422" width="11.42578125" style="89"/>
    <col min="6423" max="6423" width="15.5703125" style="89" bestFit="1" customWidth="1"/>
    <col min="6424" max="6424" width="33.7109375" style="89" customWidth="1"/>
    <col min="6425" max="6425" width="19" style="89" customWidth="1"/>
    <col min="6426" max="6426" width="19.85546875" style="89" customWidth="1"/>
    <col min="6427" max="6427" width="18.5703125" style="89" customWidth="1"/>
    <col min="6428" max="6428" width="19.7109375" style="89" customWidth="1"/>
    <col min="6429" max="6429" width="14.85546875" style="89" customWidth="1"/>
    <col min="6430" max="6430" width="16.85546875" style="89" customWidth="1"/>
    <col min="6431" max="6433" width="11.42578125" style="89" customWidth="1"/>
    <col min="6434" max="6434" width="18.140625" style="89" customWidth="1"/>
    <col min="6435" max="6435" width="11.42578125" style="89" customWidth="1"/>
    <col min="6436" max="6436" width="12.5703125" style="89" customWidth="1"/>
    <col min="6437" max="6437" width="25" style="89" customWidth="1"/>
    <col min="6438" max="6438" width="16.5703125" style="89" bestFit="1" customWidth="1"/>
    <col min="6439" max="6439" width="24" style="89" customWidth="1"/>
    <col min="6440" max="6440" width="11.42578125" style="89" customWidth="1"/>
    <col min="6441" max="6441" width="20" style="89" customWidth="1"/>
    <col min="6442" max="6442" width="11.42578125" style="89" customWidth="1"/>
    <col min="6443" max="6443" width="19" style="89" customWidth="1"/>
    <col min="6444" max="6447" width="11.42578125" style="89" customWidth="1"/>
    <col min="6448" max="6448" width="15.140625" style="89" customWidth="1"/>
    <col min="6449" max="6449" width="14" style="89" customWidth="1"/>
    <col min="6450" max="6450" width="15.140625" style="89" customWidth="1"/>
    <col min="6451" max="6451" width="11.42578125" style="89" customWidth="1"/>
    <col min="6452" max="6452" width="51.7109375" style="89" customWidth="1"/>
    <col min="6453" max="6454" width="29.5703125" style="89" customWidth="1"/>
    <col min="6455" max="6455" width="44.42578125" style="89" customWidth="1"/>
    <col min="6456" max="6456" width="36.28515625" style="89" customWidth="1"/>
    <col min="6457" max="6457" width="27.42578125" style="89" bestFit="1" customWidth="1"/>
    <col min="6458" max="6678" width="11.42578125" style="89"/>
    <col min="6679" max="6679" width="15.5703125" style="89" bestFit="1" customWidth="1"/>
    <col min="6680" max="6680" width="33.7109375" style="89" customWidth="1"/>
    <col min="6681" max="6681" width="19" style="89" customWidth="1"/>
    <col min="6682" max="6682" width="19.85546875" style="89" customWidth="1"/>
    <col min="6683" max="6683" width="18.5703125" style="89" customWidth="1"/>
    <col min="6684" max="6684" width="19.7109375" style="89" customWidth="1"/>
    <col min="6685" max="6685" width="14.85546875" style="89" customWidth="1"/>
    <col min="6686" max="6686" width="16.85546875" style="89" customWidth="1"/>
    <col min="6687" max="6689" width="11.42578125" style="89" customWidth="1"/>
    <col min="6690" max="6690" width="18.140625" style="89" customWidth="1"/>
    <col min="6691" max="6691" width="11.42578125" style="89" customWidth="1"/>
    <col min="6692" max="6692" width="12.5703125" style="89" customWidth="1"/>
    <col min="6693" max="6693" width="25" style="89" customWidth="1"/>
    <col min="6694" max="6694" width="16.5703125" style="89" bestFit="1" customWidth="1"/>
    <col min="6695" max="6695" width="24" style="89" customWidth="1"/>
    <col min="6696" max="6696" width="11.42578125" style="89" customWidth="1"/>
    <col min="6697" max="6697" width="20" style="89" customWidth="1"/>
    <col min="6698" max="6698" width="11.42578125" style="89" customWidth="1"/>
    <col min="6699" max="6699" width="19" style="89" customWidth="1"/>
    <col min="6700" max="6703" width="11.42578125" style="89" customWidth="1"/>
    <col min="6704" max="6704" width="15.140625" style="89" customWidth="1"/>
    <col min="6705" max="6705" width="14" style="89" customWidth="1"/>
    <col min="6706" max="6706" width="15.140625" style="89" customWidth="1"/>
    <col min="6707" max="6707" width="11.42578125" style="89" customWidth="1"/>
    <col min="6708" max="6708" width="51.7109375" style="89" customWidth="1"/>
    <col min="6709" max="6710" width="29.5703125" style="89" customWidth="1"/>
    <col min="6711" max="6711" width="44.42578125" style="89" customWidth="1"/>
    <col min="6712" max="6712" width="36.28515625" style="89" customWidth="1"/>
    <col min="6713" max="6713" width="27.42578125" style="89" bestFit="1" customWidth="1"/>
    <col min="6714" max="6934" width="11.42578125" style="89"/>
    <col min="6935" max="6935" width="15.5703125" style="89" bestFit="1" customWidth="1"/>
    <col min="6936" max="6936" width="33.7109375" style="89" customWidth="1"/>
    <col min="6937" max="6937" width="19" style="89" customWidth="1"/>
    <col min="6938" max="6938" width="19.85546875" style="89" customWidth="1"/>
    <col min="6939" max="6939" width="18.5703125" style="89" customWidth="1"/>
    <col min="6940" max="6940" width="19.7109375" style="89" customWidth="1"/>
    <col min="6941" max="6941" width="14.85546875" style="89" customWidth="1"/>
    <col min="6942" max="6942" width="16.85546875" style="89" customWidth="1"/>
    <col min="6943" max="6945" width="11.42578125" style="89" customWidth="1"/>
    <col min="6946" max="6946" width="18.140625" style="89" customWidth="1"/>
    <col min="6947" max="6947" width="11.42578125" style="89" customWidth="1"/>
    <col min="6948" max="6948" width="12.5703125" style="89" customWidth="1"/>
    <col min="6949" max="6949" width="25" style="89" customWidth="1"/>
    <col min="6950" max="6950" width="16.5703125" style="89" bestFit="1" customWidth="1"/>
    <col min="6951" max="6951" width="24" style="89" customWidth="1"/>
    <col min="6952" max="6952" width="11.42578125" style="89" customWidth="1"/>
    <col min="6953" max="6953" width="20" style="89" customWidth="1"/>
    <col min="6954" max="6954" width="11.42578125" style="89" customWidth="1"/>
    <col min="6955" max="6955" width="19" style="89" customWidth="1"/>
    <col min="6956" max="6959" width="11.42578125" style="89" customWidth="1"/>
    <col min="6960" max="6960" width="15.140625" style="89" customWidth="1"/>
    <col min="6961" max="6961" width="14" style="89" customWidth="1"/>
    <col min="6962" max="6962" width="15.140625" style="89" customWidth="1"/>
    <col min="6963" max="6963" width="11.42578125" style="89" customWidth="1"/>
    <col min="6964" max="6964" width="51.7109375" style="89" customWidth="1"/>
    <col min="6965" max="6966" width="29.5703125" style="89" customWidth="1"/>
    <col min="6967" max="6967" width="44.42578125" style="89" customWidth="1"/>
    <col min="6968" max="6968" width="36.28515625" style="89" customWidth="1"/>
    <col min="6969" max="6969" width="27.42578125" style="89" bestFit="1" customWidth="1"/>
    <col min="6970" max="7190" width="11.42578125" style="89"/>
    <col min="7191" max="7191" width="15.5703125" style="89" bestFit="1" customWidth="1"/>
    <col min="7192" max="7192" width="33.7109375" style="89" customWidth="1"/>
    <col min="7193" max="7193" width="19" style="89" customWidth="1"/>
    <col min="7194" max="7194" width="19.85546875" style="89" customWidth="1"/>
    <col min="7195" max="7195" width="18.5703125" style="89" customWidth="1"/>
    <col min="7196" max="7196" width="19.7109375" style="89" customWidth="1"/>
    <col min="7197" max="7197" width="14.85546875" style="89" customWidth="1"/>
    <col min="7198" max="7198" width="16.85546875" style="89" customWidth="1"/>
    <col min="7199" max="7201" width="11.42578125" style="89" customWidth="1"/>
    <col min="7202" max="7202" width="18.140625" style="89" customWidth="1"/>
    <col min="7203" max="7203" width="11.42578125" style="89" customWidth="1"/>
    <col min="7204" max="7204" width="12.5703125" style="89" customWidth="1"/>
    <col min="7205" max="7205" width="25" style="89" customWidth="1"/>
    <col min="7206" max="7206" width="16.5703125" style="89" bestFit="1" customWidth="1"/>
    <col min="7207" max="7207" width="24" style="89" customWidth="1"/>
    <col min="7208" max="7208" width="11.42578125" style="89" customWidth="1"/>
    <col min="7209" max="7209" width="20" style="89" customWidth="1"/>
    <col min="7210" max="7210" width="11.42578125" style="89" customWidth="1"/>
    <col min="7211" max="7211" width="19" style="89" customWidth="1"/>
    <col min="7212" max="7215" width="11.42578125" style="89" customWidth="1"/>
    <col min="7216" max="7216" width="15.140625" style="89" customWidth="1"/>
    <col min="7217" max="7217" width="14" style="89" customWidth="1"/>
    <col min="7218" max="7218" width="15.140625" style="89" customWidth="1"/>
    <col min="7219" max="7219" width="11.42578125" style="89" customWidth="1"/>
    <col min="7220" max="7220" width="51.7109375" style="89" customWidth="1"/>
    <col min="7221" max="7222" width="29.5703125" style="89" customWidth="1"/>
    <col min="7223" max="7223" width="44.42578125" style="89" customWidth="1"/>
    <col min="7224" max="7224" width="36.28515625" style="89" customWidth="1"/>
    <col min="7225" max="7225" width="27.42578125" style="89" bestFit="1" customWidth="1"/>
    <col min="7226" max="7446" width="11.42578125" style="89"/>
    <col min="7447" max="7447" width="15.5703125" style="89" bestFit="1" customWidth="1"/>
    <col min="7448" max="7448" width="33.7109375" style="89" customWidth="1"/>
    <col min="7449" max="7449" width="19" style="89" customWidth="1"/>
    <col min="7450" max="7450" width="19.85546875" style="89" customWidth="1"/>
    <col min="7451" max="7451" width="18.5703125" style="89" customWidth="1"/>
    <col min="7452" max="7452" width="19.7109375" style="89" customWidth="1"/>
    <col min="7453" max="7453" width="14.85546875" style="89" customWidth="1"/>
    <col min="7454" max="7454" width="16.85546875" style="89" customWidth="1"/>
    <col min="7455" max="7457" width="11.42578125" style="89" customWidth="1"/>
    <col min="7458" max="7458" width="18.140625" style="89" customWidth="1"/>
    <col min="7459" max="7459" width="11.42578125" style="89" customWidth="1"/>
    <col min="7460" max="7460" width="12.5703125" style="89" customWidth="1"/>
    <col min="7461" max="7461" width="25" style="89" customWidth="1"/>
    <col min="7462" max="7462" width="16.5703125" style="89" bestFit="1" customWidth="1"/>
    <col min="7463" max="7463" width="24" style="89" customWidth="1"/>
    <col min="7464" max="7464" width="11.42578125" style="89" customWidth="1"/>
    <col min="7465" max="7465" width="20" style="89" customWidth="1"/>
    <col min="7466" max="7466" width="11.42578125" style="89" customWidth="1"/>
    <col min="7467" max="7467" width="19" style="89" customWidth="1"/>
    <col min="7468" max="7471" width="11.42578125" style="89" customWidth="1"/>
    <col min="7472" max="7472" width="15.140625" style="89" customWidth="1"/>
    <col min="7473" max="7473" width="14" style="89" customWidth="1"/>
    <col min="7474" max="7474" width="15.140625" style="89" customWidth="1"/>
    <col min="7475" max="7475" width="11.42578125" style="89" customWidth="1"/>
    <col min="7476" max="7476" width="51.7109375" style="89" customWidth="1"/>
    <col min="7477" max="7478" width="29.5703125" style="89" customWidth="1"/>
    <col min="7479" max="7479" width="44.42578125" style="89" customWidth="1"/>
    <col min="7480" max="7480" width="36.28515625" style="89" customWidth="1"/>
    <col min="7481" max="7481" width="27.42578125" style="89" bestFit="1" customWidth="1"/>
    <col min="7482" max="7702" width="11.42578125" style="89"/>
    <col min="7703" max="7703" width="15.5703125" style="89" bestFit="1" customWidth="1"/>
    <col min="7704" max="7704" width="33.7109375" style="89" customWidth="1"/>
    <col min="7705" max="7705" width="19" style="89" customWidth="1"/>
    <col min="7706" max="7706" width="19.85546875" style="89" customWidth="1"/>
    <col min="7707" max="7707" width="18.5703125" style="89" customWidth="1"/>
    <col min="7708" max="7708" width="19.7109375" style="89" customWidth="1"/>
    <col min="7709" max="7709" width="14.85546875" style="89" customWidth="1"/>
    <col min="7710" max="7710" width="16.85546875" style="89" customWidth="1"/>
    <col min="7711" max="7713" width="11.42578125" style="89" customWidth="1"/>
    <col min="7714" max="7714" width="18.140625" style="89" customWidth="1"/>
    <col min="7715" max="7715" width="11.42578125" style="89" customWidth="1"/>
    <col min="7716" max="7716" width="12.5703125" style="89" customWidth="1"/>
    <col min="7717" max="7717" width="25" style="89" customWidth="1"/>
    <col min="7718" max="7718" width="16.5703125" style="89" bestFit="1" customWidth="1"/>
    <col min="7719" max="7719" width="24" style="89" customWidth="1"/>
    <col min="7720" max="7720" width="11.42578125" style="89" customWidth="1"/>
    <col min="7721" max="7721" width="20" style="89" customWidth="1"/>
    <col min="7722" max="7722" width="11.42578125" style="89" customWidth="1"/>
    <col min="7723" max="7723" width="19" style="89" customWidth="1"/>
    <col min="7724" max="7727" width="11.42578125" style="89" customWidth="1"/>
    <col min="7728" max="7728" width="15.140625" style="89" customWidth="1"/>
    <col min="7729" max="7729" width="14" style="89" customWidth="1"/>
    <col min="7730" max="7730" width="15.140625" style="89" customWidth="1"/>
    <col min="7731" max="7731" width="11.42578125" style="89" customWidth="1"/>
    <col min="7732" max="7732" width="51.7109375" style="89" customWidth="1"/>
    <col min="7733" max="7734" width="29.5703125" style="89" customWidth="1"/>
    <col min="7735" max="7735" width="44.42578125" style="89" customWidth="1"/>
    <col min="7736" max="7736" width="36.28515625" style="89" customWidth="1"/>
    <col min="7737" max="7737" width="27.42578125" style="89" bestFit="1" customWidth="1"/>
    <col min="7738" max="7958" width="11.42578125" style="89"/>
    <col min="7959" max="7959" width="15.5703125" style="89" bestFit="1" customWidth="1"/>
    <col min="7960" max="7960" width="33.7109375" style="89" customWidth="1"/>
    <col min="7961" max="7961" width="19" style="89" customWidth="1"/>
    <col min="7962" max="7962" width="19.85546875" style="89" customWidth="1"/>
    <col min="7963" max="7963" width="18.5703125" style="89" customWidth="1"/>
    <col min="7964" max="7964" width="19.7109375" style="89" customWidth="1"/>
    <col min="7965" max="7965" width="14.85546875" style="89" customWidth="1"/>
    <col min="7966" max="7966" width="16.85546875" style="89" customWidth="1"/>
    <col min="7967" max="7969" width="11.42578125" style="89" customWidth="1"/>
    <col min="7970" max="7970" width="18.140625" style="89" customWidth="1"/>
    <col min="7971" max="7971" width="11.42578125" style="89" customWidth="1"/>
    <col min="7972" max="7972" width="12.5703125" style="89" customWidth="1"/>
    <col min="7973" max="7973" width="25" style="89" customWidth="1"/>
    <col min="7974" max="7974" width="16.5703125" style="89" bestFit="1" customWidth="1"/>
    <col min="7975" max="7975" width="24" style="89" customWidth="1"/>
    <col min="7976" max="7976" width="11.42578125" style="89" customWidth="1"/>
    <col min="7977" max="7977" width="20" style="89" customWidth="1"/>
    <col min="7978" max="7978" width="11.42578125" style="89" customWidth="1"/>
    <col min="7979" max="7979" width="19" style="89" customWidth="1"/>
    <col min="7980" max="7983" width="11.42578125" style="89" customWidth="1"/>
    <col min="7984" max="7984" width="15.140625" style="89" customWidth="1"/>
    <col min="7985" max="7985" width="14" style="89" customWidth="1"/>
    <col min="7986" max="7986" width="15.140625" style="89" customWidth="1"/>
    <col min="7987" max="7987" width="11.42578125" style="89" customWidth="1"/>
    <col min="7988" max="7988" width="51.7109375" style="89" customWidth="1"/>
    <col min="7989" max="7990" width="29.5703125" style="89" customWidth="1"/>
    <col min="7991" max="7991" width="44.42578125" style="89" customWidth="1"/>
    <col min="7992" max="7992" width="36.28515625" style="89" customWidth="1"/>
    <col min="7993" max="7993" width="27.42578125" style="89" bestFit="1" customWidth="1"/>
    <col min="7994" max="8214" width="11.42578125" style="89"/>
    <col min="8215" max="8215" width="15.5703125" style="89" bestFit="1" customWidth="1"/>
    <col min="8216" max="8216" width="33.7109375" style="89" customWidth="1"/>
    <col min="8217" max="8217" width="19" style="89" customWidth="1"/>
    <col min="8218" max="8218" width="19.85546875" style="89" customWidth="1"/>
    <col min="8219" max="8219" width="18.5703125" style="89" customWidth="1"/>
    <col min="8220" max="8220" width="19.7109375" style="89" customWidth="1"/>
    <col min="8221" max="8221" width="14.85546875" style="89" customWidth="1"/>
    <col min="8222" max="8222" width="16.85546875" style="89" customWidth="1"/>
    <col min="8223" max="8225" width="11.42578125" style="89" customWidth="1"/>
    <col min="8226" max="8226" width="18.140625" style="89" customWidth="1"/>
    <col min="8227" max="8227" width="11.42578125" style="89" customWidth="1"/>
    <col min="8228" max="8228" width="12.5703125" style="89" customWidth="1"/>
    <col min="8229" max="8229" width="25" style="89" customWidth="1"/>
    <col min="8230" max="8230" width="16.5703125" style="89" bestFit="1" customWidth="1"/>
    <col min="8231" max="8231" width="24" style="89" customWidth="1"/>
    <col min="8232" max="8232" width="11.42578125" style="89" customWidth="1"/>
    <col min="8233" max="8233" width="20" style="89" customWidth="1"/>
    <col min="8234" max="8234" width="11.42578125" style="89" customWidth="1"/>
    <col min="8235" max="8235" width="19" style="89" customWidth="1"/>
    <col min="8236" max="8239" width="11.42578125" style="89" customWidth="1"/>
    <col min="8240" max="8240" width="15.140625" style="89" customWidth="1"/>
    <col min="8241" max="8241" width="14" style="89" customWidth="1"/>
    <col min="8242" max="8242" width="15.140625" style="89" customWidth="1"/>
    <col min="8243" max="8243" width="11.42578125" style="89" customWidth="1"/>
    <col min="8244" max="8244" width="51.7109375" style="89" customWidth="1"/>
    <col min="8245" max="8246" width="29.5703125" style="89" customWidth="1"/>
    <col min="8247" max="8247" width="44.42578125" style="89" customWidth="1"/>
    <col min="8248" max="8248" width="36.28515625" style="89" customWidth="1"/>
    <col min="8249" max="8249" width="27.42578125" style="89" bestFit="1" customWidth="1"/>
    <col min="8250" max="8470" width="11.42578125" style="89"/>
    <col min="8471" max="8471" width="15.5703125" style="89" bestFit="1" customWidth="1"/>
    <col min="8472" max="8472" width="33.7109375" style="89" customWidth="1"/>
    <col min="8473" max="8473" width="19" style="89" customWidth="1"/>
    <col min="8474" max="8474" width="19.85546875" style="89" customWidth="1"/>
    <col min="8475" max="8475" width="18.5703125" style="89" customWidth="1"/>
    <col min="8476" max="8476" width="19.7109375" style="89" customWidth="1"/>
    <col min="8477" max="8477" width="14.85546875" style="89" customWidth="1"/>
    <col min="8478" max="8478" width="16.85546875" style="89" customWidth="1"/>
    <col min="8479" max="8481" width="11.42578125" style="89" customWidth="1"/>
    <col min="8482" max="8482" width="18.140625" style="89" customWidth="1"/>
    <col min="8483" max="8483" width="11.42578125" style="89" customWidth="1"/>
    <col min="8484" max="8484" width="12.5703125" style="89" customWidth="1"/>
    <col min="8485" max="8485" width="25" style="89" customWidth="1"/>
    <col min="8486" max="8486" width="16.5703125" style="89" bestFit="1" customWidth="1"/>
    <col min="8487" max="8487" width="24" style="89" customWidth="1"/>
    <col min="8488" max="8488" width="11.42578125" style="89" customWidth="1"/>
    <col min="8489" max="8489" width="20" style="89" customWidth="1"/>
    <col min="8490" max="8490" width="11.42578125" style="89" customWidth="1"/>
    <col min="8491" max="8491" width="19" style="89" customWidth="1"/>
    <col min="8492" max="8495" width="11.42578125" style="89" customWidth="1"/>
    <col min="8496" max="8496" width="15.140625" style="89" customWidth="1"/>
    <col min="8497" max="8497" width="14" style="89" customWidth="1"/>
    <col min="8498" max="8498" width="15.140625" style="89" customWidth="1"/>
    <col min="8499" max="8499" width="11.42578125" style="89" customWidth="1"/>
    <col min="8500" max="8500" width="51.7109375" style="89" customWidth="1"/>
    <col min="8501" max="8502" width="29.5703125" style="89" customWidth="1"/>
    <col min="8503" max="8503" width="44.42578125" style="89" customWidth="1"/>
    <col min="8504" max="8504" width="36.28515625" style="89" customWidth="1"/>
    <col min="8505" max="8505" width="27.42578125" style="89" bestFit="1" customWidth="1"/>
    <col min="8506" max="8726" width="11.42578125" style="89"/>
    <col min="8727" max="8727" width="15.5703125" style="89" bestFit="1" customWidth="1"/>
    <col min="8728" max="8728" width="33.7109375" style="89" customWidth="1"/>
    <col min="8729" max="8729" width="19" style="89" customWidth="1"/>
    <col min="8730" max="8730" width="19.85546875" style="89" customWidth="1"/>
    <col min="8731" max="8731" width="18.5703125" style="89" customWidth="1"/>
    <col min="8732" max="8732" width="19.7109375" style="89" customWidth="1"/>
    <col min="8733" max="8733" width="14.85546875" style="89" customWidth="1"/>
    <col min="8734" max="8734" width="16.85546875" style="89" customWidth="1"/>
    <col min="8735" max="8737" width="11.42578125" style="89" customWidth="1"/>
    <col min="8738" max="8738" width="18.140625" style="89" customWidth="1"/>
    <col min="8739" max="8739" width="11.42578125" style="89" customWidth="1"/>
    <col min="8740" max="8740" width="12.5703125" style="89" customWidth="1"/>
    <col min="8741" max="8741" width="25" style="89" customWidth="1"/>
    <col min="8742" max="8742" width="16.5703125" style="89" bestFit="1" customWidth="1"/>
    <col min="8743" max="8743" width="24" style="89" customWidth="1"/>
    <col min="8744" max="8744" width="11.42578125" style="89" customWidth="1"/>
    <col min="8745" max="8745" width="20" style="89" customWidth="1"/>
    <col min="8746" max="8746" width="11.42578125" style="89" customWidth="1"/>
    <col min="8747" max="8747" width="19" style="89" customWidth="1"/>
    <col min="8748" max="8751" width="11.42578125" style="89" customWidth="1"/>
    <col min="8752" max="8752" width="15.140625" style="89" customWidth="1"/>
    <col min="8753" max="8753" width="14" style="89" customWidth="1"/>
    <col min="8754" max="8754" width="15.140625" style="89" customWidth="1"/>
    <col min="8755" max="8755" width="11.42578125" style="89" customWidth="1"/>
    <col min="8756" max="8756" width="51.7109375" style="89" customWidth="1"/>
    <col min="8757" max="8758" width="29.5703125" style="89" customWidth="1"/>
    <col min="8759" max="8759" width="44.42578125" style="89" customWidth="1"/>
    <col min="8760" max="8760" width="36.28515625" style="89" customWidth="1"/>
    <col min="8761" max="8761" width="27.42578125" style="89" bestFit="1" customWidth="1"/>
    <col min="8762" max="8982" width="11.42578125" style="89"/>
    <col min="8983" max="8983" width="15.5703125" style="89" bestFit="1" customWidth="1"/>
    <col min="8984" max="8984" width="33.7109375" style="89" customWidth="1"/>
    <col min="8985" max="8985" width="19" style="89" customWidth="1"/>
    <col min="8986" max="8986" width="19.85546875" style="89" customWidth="1"/>
    <col min="8987" max="8987" width="18.5703125" style="89" customWidth="1"/>
    <col min="8988" max="8988" width="19.7109375" style="89" customWidth="1"/>
    <col min="8989" max="8989" width="14.85546875" style="89" customWidth="1"/>
    <col min="8990" max="8990" width="16.85546875" style="89" customWidth="1"/>
    <col min="8991" max="8993" width="11.42578125" style="89" customWidth="1"/>
    <col min="8994" max="8994" width="18.140625" style="89" customWidth="1"/>
    <col min="8995" max="8995" width="11.42578125" style="89" customWidth="1"/>
    <col min="8996" max="8996" width="12.5703125" style="89" customWidth="1"/>
    <col min="8997" max="8997" width="25" style="89" customWidth="1"/>
    <col min="8998" max="8998" width="16.5703125" style="89" bestFit="1" customWidth="1"/>
    <col min="8999" max="8999" width="24" style="89" customWidth="1"/>
    <col min="9000" max="9000" width="11.42578125" style="89" customWidth="1"/>
    <col min="9001" max="9001" width="20" style="89" customWidth="1"/>
    <col min="9002" max="9002" width="11.42578125" style="89" customWidth="1"/>
    <col min="9003" max="9003" width="19" style="89" customWidth="1"/>
    <col min="9004" max="9007" width="11.42578125" style="89" customWidth="1"/>
    <col min="9008" max="9008" width="15.140625" style="89" customWidth="1"/>
    <col min="9009" max="9009" width="14" style="89" customWidth="1"/>
    <col min="9010" max="9010" width="15.140625" style="89" customWidth="1"/>
    <col min="9011" max="9011" width="11.42578125" style="89" customWidth="1"/>
    <col min="9012" max="9012" width="51.7109375" style="89" customWidth="1"/>
    <col min="9013" max="9014" width="29.5703125" style="89" customWidth="1"/>
    <col min="9015" max="9015" width="44.42578125" style="89" customWidth="1"/>
    <col min="9016" max="9016" width="36.28515625" style="89" customWidth="1"/>
    <col min="9017" max="9017" width="27.42578125" style="89" bestFit="1" customWidth="1"/>
    <col min="9018" max="9238" width="11.42578125" style="89"/>
    <col min="9239" max="9239" width="15.5703125" style="89" bestFit="1" customWidth="1"/>
    <col min="9240" max="9240" width="33.7109375" style="89" customWidth="1"/>
    <col min="9241" max="9241" width="19" style="89" customWidth="1"/>
    <col min="9242" max="9242" width="19.85546875" style="89" customWidth="1"/>
    <col min="9243" max="9243" width="18.5703125" style="89" customWidth="1"/>
    <col min="9244" max="9244" width="19.7109375" style="89" customWidth="1"/>
    <col min="9245" max="9245" width="14.85546875" style="89" customWidth="1"/>
    <col min="9246" max="9246" width="16.85546875" style="89" customWidth="1"/>
    <col min="9247" max="9249" width="11.42578125" style="89" customWidth="1"/>
    <col min="9250" max="9250" width="18.140625" style="89" customWidth="1"/>
    <col min="9251" max="9251" width="11.42578125" style="89" customWidth="1"/>
    <col min="9252" max="9252" width="12.5703125" style="89" customWidth="1"/>
    <col min="9253" max="9253" width="25" style="89" customWidth="1"/>
    <col min="9254" max="9254" width="16.5703125" style="89" bestFit="1" customWidth="1"/>
    <col min="9255" max="9255" width="24" style="89" customWidth="1"/>
    <col min="9256" max="9256" width="11.42578125" style="89" customWidth="1"/>
    <col min="9257" max="9257" width="20" style="89" customWidth="1"/>
    <col min="9258" max="9258" width="11.42578125" style="89" customWidth="1"/>
    <col min="9259" max="9259" width="19" style="89" customWidth="1"/>
    <col min="9260" max="9263" width="11.42578125" style="89" customWidth="1"/>
    <col min="9264" max="9264" width="15.140625" style="89" customWidth="1"/>
    <col min="9265" max="9265" width="14" style="89" customWidth="1"/>
    <col min="9266" max="9266" width="15.140625" style="89" customWidth="1"/>
    <col min="9267" max="9267" width="11.42578125" style="89" customWidth="1"/>
    <col min="9268" max="9268" width="51.7109375" style="89" customWidth="1"/>
    <col min="9269" max="9270" width="29.5703125" style="89" customWidth="1"/>
    <col min="9271" max="9271" width="44.42578125" style="89" customWidth="1"/>
    <col min="9272" max="9272" width="36.28515625" style="89" customWidth="1"/>
    <col min="9273" max="9273" width="27.42578125" style="89" bestFit="1" customWidth="1"/>
    <col min="9274" max="9494" width="11.42578125" style="89"/>
    <col min="9495" max="9495" width="15.5703125" style="89" bestFit="1" customWidth="1"/>
    <col min="9496" max="9496" width="33.7109375" style="89" customWidth="1"/>
    <col min="9497" max="9497" width="19" style="89" customWidth="1"/>
    <col min="9498" max="9498" width="19.85546875" style="89" customWidth="1"/>
    <col min="9499" max="9499" width="18.5703125" style="89" customWidth="1"/>
    <col min="9500" max="9500" width="19.7109375" style="89" customWidth="1"/>
    <col min="9501" max="9501" width="14.85546875" style="89" customWidth="1"/>
    <col min="9502" max="9502" width="16.85546875" style="89" customWidth="1"/>
    <col min="9503" max="9505" width="11.42578125" style="89" customWidth="1"/>
    <col min="9506" max="9506" width="18.140625" style="89" customWidth="1"/>
    <col min="9507" max="9507" width="11.42578125" style="89" customWidth="1"/>
    <col min="9508" max="9508" width="12.5703125" style="89" customWidth="1"/>
    <col min="9509" max="9509" width="25" style="89" customWidth="1"/>
    <col min="9510" max="9510" width="16.5703125" style="89" bestFit="1" customWidth="1"/>
    <col min="9511" max="9511" width="24" style="89" customWidth="1"/>
    <col min="9512" max="9512" width="11.42578125" style="89" customWidth="1"/>
    <col min="9513" max="9513" width="20" style="89" customWidth="1"/>
    <col min="9514" max="9514" width="11.42578125" style="89" customWidth="1"/>
    <col min="9515" max="9515" width="19" style="89" customWidth="1"/>
    <col min="9516" max="9519" width="11.42578125" style="89" customWidth="1"/>
    <col min="9520" max="9520" width="15.140625" style="89" customWidth="1"/>
    <col min="9521" max="9521" width="14" style="89" customWidth="1"/>
    <col min="9522" max="9522" width="15.140625" style="89" customWidth="1"/>
    <col min="9523" max="9523" width="11.42578125" style="89" customWidth="1"/>
    <col min="9524" max="9524" width="51.7109375" style="89" customWidth="1"/>
    <col min="9525" max="9526" width="29.5703125" style="89" customWidth="1"/>
    <col min="9527" max="9527" width="44.42578125" style="89" customWidth="1"/>
    <col min="9528" max="9528" width="36.28515625" style="89" customWidth="1"/>
    <col min="9529" max="9529" width="27.42578125" style="89" bestFit="1" customWidth="1"/>
    <col min="9530" max="9750" width="11.42578125" style="89"/>
    <col min="9751" max="9751" width="15.5703125" style="89" bestFit="1" customWidth="1"/>
    <col min="9752" max="9752" width="33.7109375" style="89" customWidth="1"/>
    <col min="9753" max="9753" width="19" style="89" customWidth="1"/>
    <col min="9754" max="9754" width="19.85546875" style="89" customWidth="1"/>
    <col min="9755" max="9755" width="18.5703125" style="89" customWidth="1"/>
    <col min="9756" max="9756" width="19.7109375" style="89" customWidth="1"/>
    <col min="9757" max="9757" width="14.85546875" style="89" customWidth="1"/>
    <col min="9758" max="9758" width="16.85546875" style="89" customWidth="1"/>
    <col min="9759" max="9761" width="11.42578125" style="89" customWidth="1"/>
    <col min="9762" max="9762" width="18.140625" style="89" customWidth="1"/>
    <col min="9763" max="9763" width="11.42578125" style="89" customWidth="1"/>
    <col min="9764" max="9764" width="12.5703125" style="89" customWidth="1"/>
    <col min="9765" max="9765" width="25" style="89" customWidth="1"/>
    <col min="9766" max="9766" width="16.5703125" style="89" bestFit="1" customWidth="1"/>
    <col min="9767" max="9767" width="24" style="89" customWidth="1"/>
    <col min="9768" max="9768" width="11.42578125" style="89" customWidth="1"/>
    <col min="9769" max="9769" width="20" style="89" customWidth="1"/>
    <col min="9770" max="9770" width="11.42578125" style="89" customWidth="1"/>
    <col min="9771" max="9771" width="19" style="89" customWidth="1"/>
    <col min="9772" max="9775" width="11.42578125" style="89" customWidth="1"/>
    <col min="9776" max="9776" width="15.140625" style="89" customWidth="1"/>
    <col min="9777" max="9777" width="14" style="89" customWidth="1"/>
    <col min="9778" max="9778" width="15.140625" style="89" customWidth="1"/>
    <col min="9779" max="9779" width="11.42578125" style="89" customWidth="1"/>
    <col min="9780" max="9780" width="51.7109375" style="89" customWidth="1"/>
    <col min="9781" max="9782" width="29.5703125" style="89" customWidth="1"/>
    <col min="9783" max="9783" width="44.42578125" style="89" customWidth="1"/>
    <col min="9784" max="9784" width="36.28515625" style="89" customWidth="1"/>
    <col min="9785" max="9785" width="27.42578125" style="89" bestFit="1" customWidth="1"/>
    <col min="9786" max="10006" width="11.42578125" style="89"/>
    <col min="10007" max="10007" width="15.5703125" style="89" bestFit="1" customWidth="1"/>
    <col min="10008" max="10008" width="33.7109375" style="89" customWidth="1"/>
    <col min="10009" max="10009" width="19" style="89" customWidth="1"/>
    <col min="10010" max="10010" width="19.85546875" style="89" customWidth="1"/>
    <col min="10011" max="10011" width="18.5703125" style="89" customWidth="1"/>
    <col min="10012" max="10012" width="19.7109375" style="89" customWidth="1"/>
    <col min="10013" max="10013" width="14.85546875" style="89" customWidth="1"/>
    <col min="10014" max="10014" width="16.85546875" style="89" customWidth="1"/>
    <col min="10015" max="10017" width="11.42578125" style="89" customWidth="1"/>
    <col min="10018" max="10018" width="18.140625" style="89" customWidth="1"/>
    <col min="10019" max="10019" width="11.42578125" style="89" customWidth="1"/>
    <col min="10020" max="10020" width="12.5703125" style="89" customWidth="1"/>
    <col min="10021" max="10021" width="25" style="89" customWidth="1"/>
    <col min="10022" max="10022" width="16.5703125" style="89" bestFit="1" customWidth="1"/>
    <col min="10023" max="10023" width="24" style="89" customWidth="1"/>
    <col min="10024" max="10024" width="11.42578125" style="89" customWidth="1"/>
    <col min="10025" max="10025" width="20" style="89" customWidth="1"/>
    <col min="10026" max="10026" width="11.42578125" style="89" customWidth="1"/>
    <col min="10027" max="10027" width="19" style="89" customWidth="1"/>
    <col min="10028" max="10031" width="11.42578125" style="89" customWidth="1"/>
    <col min="10032" max="10032" width="15.140625" style="89" customWidth="1"/>
    <col min="10033" max="10033" width="14" style="89" customWidth="1"/>
    <col min="10034" max="10034" width="15.140625" style="89" customWidth="1"/>
    <col min="10035" max="10035" width="11.42578125" style="89" customWidth="1"/>
    <col min="10036" max="10036" width="51.7109375" style="89" customWidth="1"/>
    <col min="10037" max="10038" width="29.5703125" style="89" customWidth="1"/>
    <col min="10039" max="10039" width="44.42578125" style="89" customWidth="1"/>
    <col min="10040" max="10040" width="36.28515625" style="89" customWidth="1"/>
    <col min="10041" max="10041" width="27.42578125" style="89" bestFit="1" customWidth="1"/>
    <col min="10042" max="10262" width="11.42578125" style="89"/>
    <col min="10263" max="10263" width="15.5703125" style="89" bestFit="1" customWidth="1"/>
    <col min="10264" max="10264" width="33.7109375" style="89" customWidth="1"/>
    <col min="10265" max="10265" width="19" style="89" customWidth="1"/>
    <col min="10266" max="10266" width="19.85546875" style="89" customWidth="1"/>
    <col min="10267" max="10267" width="18.5703125" style="89" customWidth="1"/>
    <col min="10268" max="10268" width="19.7109375" style="89" customWidth="1"/>
    <col min="10269" max="10269" width="14.85546875" style="89" customWidth="1"/>
    <col min="10270" max="10270" width="16.85546875" style="89" customWidth="1"/>
    <col min="10271" max="10273" width="11.42578125" style="89" customWidth="1"/>
    <col min="10274" max="10274" width="18.140625" style="89" customWidth="1"/>
    <col min="10275" max="10275" width="11.42578125" style="89" customWidth="1"/>
    <col min="10276" max="10276" width="12.5703125" style="89" customWidth="1"/>
    <col min="10277" max="10277" width="25" style="89" customWidth="1"/>
    <col min="10278" max="10278" width="16.5703125" style="89" bestFit="1" customWidth="1"/>
    <col min="10279" max="10279" width="24" style="89" customWidth="1"/>
    <col min="10280" max="10280" width="11.42578125" style="89" customWidth="1"/>
    <col min="10281" max="10281" width="20" style="89" customWidth="1"/>
    <col min="10282" max="10282" width="11.42578125" style="89" customWidth="1"/>
    <col min="10283" max="10283" width="19" style="89" customWidth="1"/>
    <col min="10284" max="10287" width="11.42578125" style="89" customWidth="1"/>
    <col min="10288" max="10288" width="15.140625" style="89" customWidth="1"/>
    <col min="10289" max="10289" width="14" style="89" customWidth="1"/>
    <col min="10290" max="10290" width="15.140625" style="89" customWidth="1"/>
    <col min="10291" max="10291" width="11.42578125" style="89" customWidth="1"/>
    <col min="10292" max="10292" width="51.7109375" style="89" customWidth="1"/>
    <col min="10293" max="10294" width="29.5703125" style="89" customWidth="1"/>
    <col min="10295" max="10295" width="44.42578125" style="89" customWidth="1"/>
    <col min="10296" max="10296" width="36.28515625" style="89" customWidth="1"/>
    <col min="10297" max="10297" width="27.42578125" style="89" bestFit="1" customWidth="1"/>
    <col min="10298" max="10518" width="11.42578125" style="89"/>
    <col min="10519" max="10519" width="15.5703125" style="89" bestFit="1" customWidth="1"/>
    <col min="10520" max="10520" width="33.7109375" style="89" customWidth="1"/>
    <col min="10521" max="10521" width="19" style="89" customWidth="1"/>
    <col min="10522" max="10522" width="19.85546875" style="89" customWidth="1"/>
    <col min="10523" max="10523" width="18.5703125" style="89" customWidth="1"/>
    <col min="10524" max="10524" width="19.7109375" style="89" customWidth="1"/>
    <col min="10525" max="10525" width="14.85546875" style="89" customWidth="1"/>
    <col min="10526" max="10526" width="16.85546875" style="89" customWidth="1"/>
    <col min="10527" max="10529" width="11.42578125" style="89" customWidth="1"/>
    <col min="10530" max="10530" width="18.140625" style="89" customWidth="1"/>
    <col min="10531" max="10531" width="11.42578125" style="89" customWidth="1"/>
    <col min="10532" max="10532" width="12.5703125" style="89" customWidth="1"/>
    <col min="10533" max="10533" width="25" style="89" customWidth="1"/>
    <col min="10534" max="10534" width="16.5703125" style="89" bestFit="1" customWidth="1"/>
    <col min="10535" max="10535" width="24" style="89" customWidth="1"/>
    <col min="10536" max="10536" width="11.42578125" style="89" customWidth="1"/>
    <col min="10537" max="10537" width="20" style="89" customWidth="1"/>
    <col min="10538" max="10538" width="11.42578125" style="89" customWidth="1"/>
    <col min="10539" max="10539" width="19" style="89" customWidth="1"/>
    <col min="10540" max="10543" width="11.42578125" style="89" customWidth="1"/>
    <col min="10544" max="10544" width="15.140625" style="89" customWidth="1"/>
    <col min="10545" max="10545" width="14" style="89" customWidth="1"/>
    <col min="10546" max="10546" width="15.140625" style="89" customWidth="1"/>
    <col min="10547" max="10547" width="11.42578125" style="89" customWidth="1"/>
    <col min="10548" max="10548" width="51.7109375" style="89" customWidth="1"/>
    <col min="10549" max="10550" width="29.5703125" style="89" customWidth="1"/>
    <col min="10551" max="10551" width="44.42578125" style="89" customWidth="1"/>
    <col min="10552" max="10552" width="36.28515625" style="89" customWidth="1"/>
    <col min="10553" max="10553" width="27.42578125" style="89" bestFit="1" customWidth="1"/>
    <col min="10554" max="10774" width="11.42578125" style="89"/>
    <col min="10775" max="10775" width="15.5703125" style="89" bestFit="1" customWidth="1"/>
    <col min="10776" max="10776" width="33.7109375" style="89" customWidth="1"/>
    <col min="10777" max="10777" width="19" style="89" customWidth="1"/>
    <col min="10778" max="10778" width="19.85546875" style="89" customWidth="1"/>
    <col min="10779" max="10779" width="18.5703125" style="89" customWidth="1"/>
    <col min="10780" max="10780" width="19.7109375" style="89" customWidth="1"/>
    <col min="10781" max="10781" width="14.85546875" style="89" customWidth="1"/>
    <col min="10782" max="10782" width="16.85546875" style="89" customWidth="1"/>
    <col min="10783" max="10785" width="11.42578125" style="89" customWidth="1"/>
    <col min="10786" max="10786" width="18.140625" style="89" customWidth="1"/>
    <col min="10787" max="10787" width="11.42578125" style="89" customWidth="1"/>
    <col min="10788" max="10788" width="12.5703125" style="89" customWidth="1"/>
    <col min="10789" max="10789" width="25" style="89" customWidth="1"/>
    <col min="10790" max="10790" width="16.5703125" style="89" bestFit="1" customWidth="1"/>
    <col min="10791" max="10791" width="24" style="89" customWidth="1"/>
    <col min="10792" max="10792" width="11.42578125" style="89" customWidth="1"/>
    <col min="10793" max="10793" width="20" style="89" customWidth="1"/>
    <col min="10794" max="10794" width="11.42578125" style="89" customWidth="1"/>
    <col min="10795" max="10795" width="19" style="89" customWidth="1"/>
    <col min="10796" max="10799" width="11.42578125" style="89" customWidth="1"/>
    <col min="10800" max="10800" width="15.140625" style="89" customWidth="1"/>
    <col min="10801" max="10801" width="14" style="89" customWidth="1"/>
    <col min="10802" max="10802" width="15.140625" style="89" customWidth="1"/>
    <col min="10803" max="10803" width="11.42578125" style="89" customWidth="1"/>
    <col min="10804" max="10804" width="51.7109375" style="89" customWidth="1"/>
    <col min="10805" max="10806" width="29.5703125" style="89" customWidth="1"/>
    <col min="10807" max="10807" width="44.42578125" style="89" customWidth="1"/>
    <col min="10808" max="10808" width="36.28515625" style="89" customWidth="1"/>
    <col min="10809" max="10809" width="27.42578125" style="89" bestFit="1" customWidth="1"/>
    <col min="10810" max="11030" width="11.42578125" style="89"/>
    <col min="11031" max="11031" width="15.5703125" style="89" bestFit="1" customWidth="1"/>
    <col min="11032" max="11032" width="33.7109375" style="89" customWidth="1"/>
    <col min="11033" max="11033" width="19" style="89" customWidth="1"/>
    <col min="11034" max="11034" width="19.85546875" style="89" customWidth="1"/>
    <col min="11035" max="11035" width="18.5703125" style="89" customWidth="1"/>
    <col min="11036" max="11036" width="19.7109375" style="89" customWidth="1"/>
    <col min="11037" max="11037" width="14.85546875" style="89" customWidth="1"/>
    <col min="11038" max="11038" width="16.85546875" style="89" customWidth="1"/>
    <col min="11039" max="11041" width="11.42578125" style="89" customWidth="1"/>
    <col min="11042" max="11042" width="18.140625" style="89" customWidth="1"/>
    <col min="11043" max="11043" width="11.42578125" style="89" customWidth="1"/>
    <col min="11044" max="11044" width="12.5703125" style="89" customWidth="1"/>
    <col min="11045" max="11045" width="25" style="89" customWidth="1"/>
    <col min="11046" max="11046" width="16.5703125" style="89" bestFit="1" customWidth="1"/>
    <col min="11047" max="11047" width="24" style="89" customWidth="1"/>
    <col min="11048" max="11048" width="11.42578125" style="89" customWidth="1"/>
    <col min="11049" max="11049" width="20" style="89" customWidth="1"/>
    <col min="11050" max="11050" width="11.42578125" style="89" customWidth="1"/>
    <col min="11051" max="11051" width="19" style="89" customWidth="1"/>
    <col min="11052" max="11055" width="11.42578125" style="89" customWidth="1"/>
    <col min="11056" max="11056" width="15.140625" style="89" customWidth="1"/>
    <col min="11057" max="11057" width="14" style="89" customWidth="1"/>
    <col min="11058" max="11058" width="15.140625" style="89" customWidth="1"/>
    <col min="11059" max="11059" width="11.42578125" style="89" customWidth="1"/>
    <col min="11060" max="11060" width="51.7109375" style="89" customWidth="1"/>
    <col min="11061" max="11062" width="29.5703125" style="89" customWidth="1"/>
    <col min="11063" max="11063" width="44.42578125" style="89" customWidth="1"/>
    <col min="11064" max="11064" width="36.28515625" style="89" customWidth="1"/>
    <col min="11065" max="11065" width="27.42578125" style="89" bestFit="1" customWidth="1"/>
    <col min="11066" max="11286" width="11.42578125" style="89"/>
    <col min="11287" max="11287" width="15.5703125" style="89" bestFit="1" customWidth="1"/>
    <col min="11288" max="11288" width="33.7109375" style="89" customWidth="1"/>
    <col min="11289" max="11289" width="19" style="89" customWidth="1"/>
    <col min="11290" max="11290" width="19.85546875" style="89" customWidth="1"/>
    <col min="11291" max="11291" width="18.5703125" style="89" customWidth="1"/>
    <col min="11292" max="11292" width="19.7109375" style="89" customWidth="1"/>
    <col min="11293" max="11293" width="14.85546875" style="89" customWidth="1"/>
    <col min="11294" max="11294" width="16.85546875" style="89" customWidth="1"/>
    <col min="11295" max="11297" width="11.42578125" style="89" customWidth="1"/>
    <col min="11298" max="11298" width="18.140625" style="89" customWidth="1"/>
    <col min="11299" max="11299" width="11.42578125" style="89" customWidth="1"/>
    <col min="11300" max="11300" width="12.5703125" style="89" customWidth="1"/>
    <col min="11301" max="11301" width="25" style="89" customWidth="1"/>
    <col min="11302" max="11302" width="16.5703125" style="89" bestFit="1" customWidth="1"/>
    <col min="11303" max="11303" width="24" style="89" customWidth="1"/>
    <col min="11304" max="11304" width="11.42578125" style="89" customWidth="1"/>
    <col min="11305" max="11305" width="20" style="89" customWidth="1"/>
    <col min="11306" max="11306" width="11.42578125" style="89" customWidth="1"/>
    <col min="11307" max="11307" width="19" style="89" customWidth="1"/>
    <col min="11308" max="11311" width="11.42578125" style="89" customWidth="1"/>
    <col min="11312" max="11312" width="15.140625" style="89" customWidth="1"/>
    <col min="11313" max="11313" width="14" style="89" customWidth="1"/>
    <col min="11314" max="11314" width="15.140625" style="89" customWidth="1"/>
    <col min="11315" max="11315" width="11.42578125" style="89" customWidth="1"/>
    <col min="11316" max="11316" width="51.7109375" style="89" customWidth="1"/>
    <col min="11317" max="11318" width="29.5703125" style="89" customWidth="1"/>
    <col min="11319" max="11319" width="44.42578125" style="89" customWidth="1"/>
    <col min="11320" max="11320" width="36.28515625" style="89" customWidth="1"/>
    <col min="11321" max="11321" width="27.42578125" style="89" bestFit="1" customWidth="1"/>
    <col min="11322" max="11542" width="11.42578125" style="89"/>
    <col min="11543" max="11543" width="15.5703125" style="89" bestFit="1" customWidth="1"/>
    <col min="11544" max="11544" width="33.7109375" style="89" customWidth="1"/>
    <col min="11545" max="11545" width="19" style="89" customWidth="1"/>
    <col min="11546" max="11546" width="19.85546875" style="89" customWidth="1"/>
    <col min="11547" max="11547" width="18.5703125" style="89" customWidth="1"/>
    <col min="11548" max="11548" width="19.7109375" style="89" customWidth="1"/>
    <col min="11549" max="11549" width="14.85546875" style="89" customWidth="1"/>
    <col min="11550" max="11550" width="16.85546875" style="89" customWidth="1"/>
    <col min="11551" max="11553" width="11.42578125" style="89" customWidth="1"/>
    <col min="11554" max="11554" width="18.140625" style="89" customWidth="1"/>
    <col min="11555" max="11555" width="11.42578125" style="89" customWidth="1"/>
    <col min="11556" max="11556" width="12.5703125" style="89" customWidth="1"/>
    <col min="11557" max="11557" width="25" style="89" customWidth="1"/>
    <col min="11558" max="11558" width="16.5703125" style="89" bestFit="1" customWidth="1"/>
    <col min="11559" max="11559" width="24" style="89" customWidth="1"/>
    <col min="11560" max="11560" width="11.42578125" style="89" customWidth="1"/>
    <col min="11561" max="11561" width="20" style="89" customWidth="1"/>
    <col min="11562" max="11562" width="11.42578125" style="89" customWidth="1"/>
    <col min="11563" max="11563" width="19" style="89" customWidth="1"/>
    <col min="11564" max="11567" width="11.42578125" style="89" customWidth="1"/>
    <col min="11568" max="11568" width="15.140625" style="89" customWidth="1"/>
    <col min="11569" max="11569" width="14" style="89" customWidth="1"/>
    <col min="11570" max="11570" width="15.140625" style="89" customWidth="1"/>
    <col min="11571" max="11571" width="11.42578125" style="89" customWidth="1"/>
    <col min="11572" max="11572" width="51.7109375" style="89" customWidth="1"/>
    <col min="11573" max="11574" width="29.5703125" style="89" customWidth="1"/>
    <col min="11575" max="11575" width="44.42578125" style="89" customWidth="1"/>
    <col min="11576" max="11576" width="36.28515625" style="89" customWidth="1"/>
    <col min="11577" max="11577" width="27.42578125" style="89" bestFit="1" customWidth="1"/>
    <col min="11578" max="11798" width="11.42578125" style="89"/>
    <col min="11799" max="11799" width="15.5703125" style="89" bestFit="1" customWidth="1"/>
    <col min="11800" max="11800" width="33.7109375" style="89" customWidth="1"/>
    <col min="11801" max="11801" width="19" style="89" customWidth="1"/>
    <col min="11802" max="11802" width="19.85546875" style="89" customWidth="1"/>
    <col min="11803" max="11803" width="18.5703125" style="89" customWidth="1"/>
    <col min="11804" max="11804" width="19.7109375" style="89" customWidth="1"/>
    <col min="11805" max="11805" width="14.85546875" style="89" customWidth="1"/>
    <col min="11806" max="11806" width="16.85546875" style="89" customWidth="1"/>
    <col min="11807" max="11809" width="11.42578125" style="89" customWidth="1"/>
    <col min="11810" max="11810" width="18.140625" style="89" customWidth="1"/>
    <col min="11811" max="11811" width="11.42578125" style="89" customWidth="1"/>
    <col min="11812" max="11812" width="12.5703125" style="89" customWidth="1"/>
    <col min="11813" max="11813" width="25" style="89" customWidth="1"/>
    <col min="11814" max="11814" width="16.5703125" style="89" bestFit="1" customWidth="1"/>
    <col min="11815" max="11815" width="24" style="89" customWidth="1"/>
    <col min="11816" max="11816" width="11.42578125" style="89" customWidth="1"/>
    <col min="11817" max="11817" width="20" style="89" customWidth="1"/>
    <col min="11818" max="11818" width="11.42578125" style="89" customWidth="1"/>
    <col min="11819" max="11819" width="19" style="89" customWidth="1"/>
    <col min="11820" max="11823" width="11.42578125" style="89" customWidth="1"/>
    <col min="11824" max="11824" width="15.140625" style="89" customWidth="1"/>
    <col min="11825" max="11825" width="14" style="89" customWidth="1"/>
    <col min="11826" max="11826" width="15.140625" style="89" customWidth="1"/>
    <col min="11827" max="11827" width="11.42578125" style="89" customWidth="1"/>
    <col min="11828" max="11828" width="51.7109375" style="89" customWidth="1"/>
    <col min="11829" max="11830" width="29.5703125" style="89" customWidth="1"/>
    <col min="11831" max="11831" width="44.42578125" style="89" customWidth="1"/>
    <col min="11832" max="11832" width="36.28515625" style="89" customWidth="1"/>
    <col min="11833" max="11833" width="27.42578125" style="89" bestFit="1" customWidth="1"/>
    <col min="11834" max="12054" width="11.42578125" style="89"/>
    <col min="12055" max="12055" width="15.5703125" style="89" bestFit="1" customWidth="1"/>
    <col min="12056" max="12056" width="33.7109375" style="89" customWidth="1"/>
    <col min="12057" max="12057" width="19" style="89" customWidth="1"/>
    <col min="12058" max="12058" width="19.85546875" style="89" customWidth="1"/>
    <col min="12059" max="12059" width="18.5703125" style="89" customWidth="1"/>
    <col min="12060" max="12060" width="19.7109375" style="89" customWidth="1"/>
    <col min="12061" max="12061" width="14.85546875" style="89" customWidth="1"/>
    <col min="12062" max="12062" width="16.85546875" style="89" customWidth="1"/>
    <col min="12063" max="12065" width="11.42578125" style="89" customWidth="1"/>
    <col min="12066" max="12066" width="18.140625" style="89" customWidth="1"/>
    <col min="12067" max="12067" width="11.42578125" style="89" customWidth="1"/>
    <col min="12068" max="12068" width="12.5703125" style="89" customWidth="1"/>
    <col min="12069" max="12069" width="25" style="89" customWidth="1"/>
    <col min="12070" max="12070" width="16.5703125" style="89" bestFit="1" customWidth="1"/>
    <col min="12071" max="12071" width="24" style="89" customWidth="1"/>
    <col min="12072" max="12072" width="11.42578125" style="89" customWidth="1"/>
    <col min="12073" max="12073" width="20" style="89" customWidth="1"/>
    <col min="12074" max="12074" width="11.42578125" style="89" customWidth="1"/>
    <col min="12075" max="12075" width="19" style="89" customWidth="1"/>
    <col min="12076" max="12079" width="11.42578125" style="89" customWidth="1"/>
    <col min="12080" max="12080" width="15.140625" style="89" customWidth="1"/>
    <col min="12081" max="12081" width="14" style="89" customWidth="1"/>
    <col min="12082" max="12082" width="15.140625" style="89" customWidth="1"/>
    <col min="12083" max="12083" width="11.42578125" style="89" customWidth="1"/>
    <col min="12084" max="12084" width="51.7109375" style="89" customWidth="1"/>
    <col min="12085" max="12086" width="29.5703125" style="89" customWidth="1"/>
    <col min="12087" max="12087" width="44.42578125" style="89" customWidth="1"/>
    <col min="12088" max="12088" width="36.28515625" style="89" customWidth="1"/>
    <col min="12089" max="12089" width="27.42578125" style="89" bestFit="1" customWidth="1"/>
    <col min="12090" max="12310" width="11.42578125" style="89"/>
    <col min="12311" max="12311" width="15.5703125" style="89" bestFit="1" customWidth="1"/>
    <col min="12312" max="12312" width="33.7109375" style="89" customWidth="1"/>
    <col min="12313" max="12313" width="19" style="89" customWidth="1"/>
    <col min="12314" max="12314" width="19.85546875" style="89" customWidth="1"/>
    <col min="12315" max="12315" width="18.5703125" style="89" customWidth="1"/>
    <col min="12316" max="12316" width="19.7109375" style="89" customWidth="1"/>
    <col min="12317" max="12317" width="14.85546875" style="89" customWidth="1"/>
    <col min="12318" max="12318" width="16.85546875" style="89" customWidth="1"/>
    <col min="12319" max="12321" width="11.42578125" style="89" customWidth="1"/>
    <col min="12322" max="12322" width="18.140625" style="89" customWidth="1"/>
    <col min="12323" max="12323" width="11.42578125" style="89" customWidth="1"/>
    <col min="12324" max="12324" width="12.5703125" style="89" customWidth="1"/>
    <col min="12325" max="12325" width="25" style="89" customWidth="1"/>
    <col min="12326" max="12326" width="16.5703125" style="89" bestFit="1" customWidth="1"/>
    <col min="12327" max="12327" width="24" style="89" customWidth="1"/>
    <col min="12328" max="12328" width="11.42578125" style="89" customWidth="1"/>
    <col min="12329" max="12329" width="20" style="89" customWidth="1"/>
    <col min="12330" max="12330" width="11.42578125" style="89" customWidth="1"/>
    <col min="12331" max="12331" width="19" style="89" customWidth="1"/>
    <col min="12332" max="12335" width="11.42578125" style="89" customWidth="1"/>
    <col min="12336" max="12336" width="15.140625" style="89" customWidth="1"/>
    <col min="12337" max="12337" width="14" style="89" customWidth="1"/>
    <col min="12338" max="12338" width="15.140625" style="89" customWidth="1"/>
    <col min="12339" max="12339" width="11.42578125" style="89" customWidth="1"/>
    <col min="12340" max="12340" width="51.7109375" style="89" customWidth="1"/>
    <col min="12341" max="12342" width="29.5703125" style="89" customWidth="1"/>
    <col min="12343" max="12343" width="44.42578125" style="89" customWidth="1"/>
    <col min="12344" max="12344" width="36.28515625" style="89" customWidth="1"/>
    <col min="12345" max="12345" width="27.42578125" style="89" bestFit="1" customWidth="1"/>
    <col min="12346" max="12566" width="11.42578125" style="89"/>
    <col min="12567" max="12567" width="15.5703125" style="89" bestFit="1" customWidth="1"/>
    <col min="12568" max="12568" width="33.7109375" style="89" customWidth="1"/>
    <col min="12569" max="12569" width="19" style="89" customWidth="1"/>
    <col min="12570" max="12570" width="19.85546875" style="89" customWidth="1"/>
    <col min="12571" max="12571" width="18.5703125" style="89" customWidth="1"/>
    <col min="12572" max="12572" width="19.7109375" style="89" customWidth="1"/>
    <col min="12573" max="12573" width="14.85546875" style="89" customWidth="1"/>
    <col min="12574" max="12574" width="16.85546875" style="89" customWidth="1"/>
    <col min="12575" max="12577" width="11.42578125" style="89" customWidth="1"/>
    <col min="12578" max="12578" width="18.140625" style="89" customWidth="1"/>
    <col min="12579" max="12579" width="11.42578125" style="89" customWidth="1"/>
    <col min="12580" max="12580" width="12.5703125" style="89" customWidth="1"/>
    <col min="12581" max="12581" width="25" style="89" customWidth="1"/>
    <col min="12582" max="12582" width="16.5703125" style="89" bestFit="1" customWidth="1"/>
    <col min="12583" max="12583" width="24" style="89" customWidth="1"/>
    <col min="12584" max="12584" width="11.42578125" style="89" customWidth="1"/>
    <col min="12585" max="12585" width="20" style="89" customWidth="1"/>
    <col min="12586" max="12586" width="11.42578125" style="89" customWidth="1"/>
    <col min="12587" max="12587" width="19" style="89" customWidth="1"/>
    <col min="12588" max="12591" width="11.42578125" style="89" customWidth="1"/>
    <col min="12592" max="12592" width="15.140625" style="89" customWidth="1"/>
    <col min="12593" max="12593" width="14" style="89" customWidth="1"/>
    <col min="12594" max="12594" width="15.140625" style="89" customWidth="1"/>
    <col min="12595" max="12595" width="11.42578125" style="89" customWidth="1"/>
    <col min="12596" max="12596" width="51.7109375" style="89" customWidth="1"/>
    <col min="12597" max="12598" width="29.5703125" style="89" customWidth="1"/>
    <col min="12599" max="12599" width="44.42578125" style="89" customWidth="1"/>
    <col min="12600" max="12600" width="36.28515625" style="89" customWidth="1"/>
    <col min="12601" max="12601" width="27.42578125" style="89" bestFit="1" customWidth="1"/>
    <col min="12602" max="12822" width="11.42578125" style="89"/>
    <col min="12823" max="12823" width="15.5703125" style="89" bestFit="1" customWidth="1"/>
    <col min="12824" max="12824" width="33.7109375" style="89" customWidth="1"/>
    <col min="12825" max="12825" width="19" style="89" customWidth="1"/>
    <col min="12826" max="12826" width="19.85546875" style="89" customWidth="1"/>
    <col min="12827" max="12827" width="18.5703125" style="89" customWidth="1"/>
    <col min="12828" max="12828" width="19.7109375" style="89" customWidth="1"/>
    <col min="12829" max="12829" width="14.85546875" style="89" customWidth="1"/>
    <col min="12830" max="12830" width="16.85546875" style="89" customWidth="1"/>
    <col min="12831" max="12833" width="11.42578125" style="89" customWidth="1"/>
    <col min="12834" max="12834" width="18.140625" style="89" customWidth="1"/>
    <col min="12835" max="12835" width="11.42578125" style="89" customWidth="1"/>
    <col min="12836" max="12836" width="12.5703125" style="89" customWidth="1"/>
    <col min="12837" max="12837" width="25" style="89" customWidth="1"/>
    <col min="12838" max="12838" width="16.5703125" style="89" bestFit="1" customWidth="1"/>
    <col min="12839" max="12839" width="24" style="89" customWidth="1"/>
    <col min="12840" max="12840" width="11.42578125" style="89" customWidth="1"/>
    <col min="12841" max="12841" width="20" style="89" customWidth="1"/>
    <col min="12842" max="12842" width="11.42578125" style="89" customWidth="1"/>
    <col min="12843" max="12843" width="19" style="89" customWidth="1"/>
    <col min="12844" max="12847" width="11.42578125" style="89" customWidth="1"/>
    <col min="12848" max="12848" width="15.140625" style="89" customWidth="1"/>
    <col min="12849" max="12849" width="14" style="89" customWidth="1"/>
    <col min="12850" max="12850" width="15.140625" style="89" customWidth="1"/>
    <col min="12851" max="12851" width="11.42578125" style="89" customWidth="1"/>
    <col min="12852" max="12852" width="51.7109375" style="89" customWidth="1"/>
    <col min="12853" max="12854" width="29.5703125" style="89" customWidth="1"/>
    <col min="12855" max="12855" width="44.42578125" style="89" customWidth="1"/>
    <col min="12856" max="12856" width="36.28515625" style="89" customWidth="1"/>
    <col min="12857" max="12857" width="27.42578125" style="89" bestFit="1" customWidth="1"/>
    <col min="12858" max="13078" width="11.42578125" style="89"/>
    <col min="13079" max="13079" width="15.5703125" style="89" bestFit="1" customWidth="1"/>
    <col min="13080" max="13080" width="33.7109375" style="89" customWidth="1"/>
    <col min="13081" max="13081" width="19" style="89" customWidth="1"/>
    <col min="13082" max="13082" width="19.85546875" style="89" customWidth="1"/>
    <col min="13083" max="13083" width="18.5703125" style="89" customWidth="1"/>
    <col min="13084" max="13084" width="19.7109375" style="89" customWidth="1"/>
    <col min="13085" max="13085" width="14.85546875" style="89" customWidth="1"/>
    <col min="13086" max="13086" width="16.85546875" style="89" customWidth="1"/>
    <col min="13087" max="13089" width="11.42578125" style="89" customWidth="1"/>
    <col min="13090" max="13090" width="18.140625" style="89" customWidth="1"/>
    <col min="13091" max="13091" width="11.42578125" style="89" customWidth="1"/>
    <col min="13092" max="13092" width="12.5703125" style="89" customWidth="1"/>
    <col min="13093" max="13093" width="25" style="89" customWidth="1"/>
    <col min="13094" max="13094" width="16.5703125" style="89" bestFit="1" customWidth="1"/>
    <col min="13095" max="13095" width="24" style="89" customWidth="1"/>
    <col min="13096" max="13096" width="11.42578125" style="89" customWidth="1"/>
    <col min="13097" max="13097" width="20" style="89" customWidth="1"/>
    <col min="13098" max="13098" width="11.42578125" style="89" customWidth="1"/>
    <col min="13099" max="13099" width="19" style="89" customWidth="1"/>
    <col min="13100" max="13103" width="11.42578125" style="89" customWidth="1"/>
    <col min="13104" max="13104" width="15.140625" style="89" customWidth="1"/>
    <col min="13105" max="13105" width="14" style="89" customWidth="1"/>
    <col min="13106" max="13106" width="15.140625" style="89" customWidth="1"/>
    <col min="13107" max="13107" width="11.42578125" style="89" customWidth="1"/>
    <col min="13108" max="13108" width="51.7109375" style="89" customWidth="1"/>
    <col min="13109" max="13110" width="29.5703125" style="89" customWidth="1"/>
    <col min="13111" max="13111" width="44.42578125" style="89" customWidth="1"/>
    <col min="13112" max="13112" width="36.28515625" style="89" customWidth="1"/>
    <col min="13113" max="13113" width="27.42578125" style="89" bestFit="1" customWidth="1"/>
    <col min="13114" max="13334" width="11.42578125" style="89"/>
    <col min="13335" max="13335" width="15.5703125" style="89" bestFit="1" customWidth="1"/>
    <col min="13336" max="13336" width="33.7109375" style="89" customWidth="1"/>
    <col min="13337" max="13337" width="19" style="89" customWidth="1"/>
    <col min="13338" max="13338" width="19.85546875" style="89" customWidth="1"/>
    <col min="13339" max="13339" width="18.5703125" style="89" customWidth="1"/>
    <col min="13340" max="13340" width="19.7109375" style="89" customWidth="1"/>
    <col min="13341" max="13341" width="14.85546875" style="89" customWidth="1"/>
    <col min="13342" max="13342" width="16.85546875" style="89" customWidth="1"/>
    <col min="13343" max="13345" width="11.42578125" style="89" customWidth="1"/>
    <col min="13346" max="13346" width="18.140625" style="89" customWidth="1"/>
    <col min="13347" max="13347" width="11.42578125" style="89" customWidth="1"/>
    <col min="13348" max="13348" width="12.5703125" style="89" customWidth="1"/>
    <col min="13349" max="13349" width="25" style="89" customWidth="1"/>
    <col min="13350" max="13350" width="16.5703125" style="89" bestFit="1" customWidth="1"/>
    <col min="13351" max="13351" width="24" style="89" customWidth="1"/>
    <col min="13352" max="13352" width="11.42578125" style="89" customWidth="1"/>
    <col min="13353" max="13353" width="20" style="89" customWidth="1"/>
    <col min="13354" max="13354" width="11.42578125" style="89" customWidth="1"/>
    <col min="13355" max="13355" width="19" style="89" customWidth="1"/>
    <col min="13356" max="13359" width="11.42578125" style="89" customWidth="1"/>
    <col min="13360" max="13360" width="15.140625" style="89" customWidth="1"/>
    <col min="13361" max="13361" width="14" style="89" customWidth="1"/>
    <col min="13362" max="13362" width="15.140625" style="89" customWidth="1"/>
    <col min="13363" max="13363" width="11.42578125" style="89" customWidth="1"/>
    <col min="13364" max="13364" width="51.7109375" style="89" customWidth="1"/>
    <col min="13365" max="13366" width="29.5703125" style="89" customWidth="1"/>
    <col min="13367" max="13367" width="44.42578125" style="89" customWidth="1"/>
    <col min="13368" max="13368" width="36.28515625" style="89" customWidth="1"/>
    <col min="13369" max="13369" width="27.42578125" style="89" bestFit="1" customWidth="1"/>
    <col min="13370" max="13590" width="11.42578125" style="89"/>
    <col min="13591" max="13591" width="15.5703125" style="89" bestFit="1" customWidth="1"/>
    <col min="13592" max="13592" width="33.7109375" style="89" customWidth="1"/>
    <col min="13593" max="13593" width="19" style="89" customWidth="1"/>
    <col min="13594" max="13594" width="19.85546875" style="89" customWidth="1"/>
    <col min="13595" max="13595" width="18.5703125" style="89" customWidth="1"/>
    <col min="13596" max="13596" width="19.7109375" style="89" customWidth="1"/>
    <col min="13597" max="13597" width="14.85546875" style="89" customWidth="1"/>
    <col min="13598" max="13598" width="16.85546875" style="89" customWidth="1"/>
    <col min="13599" max="13601" width="11.42578125" style="89" customWidth="1"/>
    <col min="13602" max="13602" width="18.140625" style="89" customWidth="1"/>
    <col min="13603" max="13603" width="11.42578125" style="89" customWidth="1"/>
    <col min="13604" max="13604" width="12.5703125" style="89" customWidth="1"/>
    <col min="13605" max="13605" width="25" style="89" customWidth="1"/>
    <col min="13606" max="13606" width="16.5703125" style="89" bestFit="1" customWidth="1"/>
    <col min="13607" max="13607" width="24" style="89" customWidth="1"/>
    <col min="13608" max="13608" width="11.42578125" style="89" customWidth="1"/>
    <col min="13609" max="13609" width="20" style="89" customWidth="1"/>
    <col min="13610" max="13610" width="11.42578125" style="89" customWidth="1"/>
    <col min="13611" max="13611" width="19" style="89" customWidth="1"/>
    <col min="13612" max="13615" width="11.42578125" style="89" customWidth="1"/>
    <col min="13616" max="13616" width="15.140625" style="89" customWidth="1"/>
    <col min="13617" max="13617" width="14" style="89" customWidth="1"/>
    <col min="13618" max="13618" width="15.140625" style="89" customWidth="1"/>
    <col min="13619" max="13619" width="11.42578125" style="89" customWidth="1"/>
    <col min="13620" max="13620" width="51.7109375" style="89" customWidth="1"/>
    <col min="13621" max="13622" width="29.5703125" style="89" customWidth="1"/>
    <col min="13623" max="13623" width="44.42578125" style="89" customWidth="1"/>
    <col min="13624" max="13624" width="36.28515625" style="89" customWidth="1"/>
    <col min="13625" max="13625" width="27.42578125" style="89" bestFit="1" customWidth="1"/>
    <col min="13626" max="13846" width="11.42578125" style="89"/>
    <col min="13847" max="13847" width="15.5703125" style="89" bestFit="1" customWidth="1"/>
    <col min="13848" max="13848" width="33.7109375" style="89" customWidth="1"/>
    <col min="13849" max="13849" width="19" style="89" customWidth="1"/>
    <col min="13850" max="13850" width="19.85546875" style="89" customWidth="1"/>
    <col min="13851" max="13851" width="18.5703125" style="89" customWidth="1"/>
    <col min="13852" max="13852" width="19.7109375" style="89" customWidth="1"/>
    <col min="13853" max="13853" width="14.85546875" style="89" customWidth="1"/>
    <col min="13854" max="13854" width="16.85546875" style="89" customWidth="1"/>
    <col min="13855" max="13857" width="11.42578125" style="89" customWidth="1"/>
    <col min="13858" max="13858" width="18.140625" style="89" customWidth="1"/>
    <col min="13859" max="13859" width="11.42578125" style="89" customWidth="1"/>
    <col min="13860" max="13860" width="12.5703125" style="89" customWidth="1"/>
    <col min="13861" max="13861" width="25" style="89" customWidth="1"/>
    <col min="13862" max="13862" width="16.5703125" style="89" bestFit="1" customWidth="1"/>
    <col min="13863" max="13863" width="24" style="89" customWidth="1"/>
    <col min="13864" max="13864" width="11.42578125" style="89" customWidth="1"/>
    <col min="13865" max="13865" width="20" style="89" customWidth="1"/>
    <col min="13866" max="13866" width="11.42578125" style="89" customWidth="1"/>
    <col min="13867" max="13867" width="19" style="89" customWidth="1"/>
    <col min="13868" max="13871" width="11.42578125" style="89" customWidth="1"/>
    <col min="13872" max="13872" width="15.140625" style="89" customWidth="1"/>
    <col min="13873" max="13873" width="14" style="89" customWidth="1"/>
    <col min="13874" max="13874" width="15.140625" style="89" customWidth="1"/>
    <col min="13875" max="13875" width="11.42578125" style="89" customWidth="1"/>
    <col min="13876" max="13876" width="51.7109375" style="89" customWidth="1"/>
    <col min="13877" max="13878" width="29.5703125" style="89" customWidth="1"/>
    <col min="13879" max="13879" width="44.42578125" style="89" customWidth="1"/>
    <col min="13880" max="13880" width="36.28515625" style="89" customWidth="1"/>
    <col min="13881" max="13881" width="27.42578125" style="89" bestFit="1" customWidth="1"/>
    <col min="13882" max="14102" width="11.42578125" style="89"/>
    <col min="14103" max="14103" width="15.5703125" style="89" bestFit="1" customWidth="1"/>
    <col min="14104" max="14104" width="33.7109375" style="89" customWidth="1"/>
    <col min="14105" max="14105" width="19" style="89" customWidth="1"/>
    <col min="14106" max="14106" width="19.85546875" style="89" customWidth="1"/>
    <col min="14107" max="14107" width="18.5703125" style="89" customWidth="1"/>
    <col min="14108" max="14108" width="19.7109375" style="89" customWidth="1"/>
    <col min="14109" max="14109" width="14.85546875" style="89" customWidth="1"/>
    <col min="14110" max="14110" width="16.85546875" style="89" customWidth="1"/>
    <col min="14111" max="14113" width="11.42578125" style="89" customWidth="1"/>
    <col min="14114" max="14114" width="18.140625" style="89" customWidth="1"/>
    <col min="14115" max="14115" width="11.42578125" style="89" customWidth="1"/>
    <col min="14116" max="14116" width="12.5703125" style="89" customWidth="1"/>
    <col min="14117" max="14117" width="25" style="89" customWidth="1"/>
    <col min="14118" max="14118" width="16.5703125" style="89" bestFit="1" customWidth="1"/>
    <col min="14119" max="14119" width="24" style="89" customWidth="1"/>
    <col min="14120" max="14120" width="11.42578125" style="89" customWidth="1"/>
    <col min="14121" max="14121" width="20" style="89" customWidth="1"/>
    <col min="14122" max="14122" width="11.42578125" style="89" customWidth="1"/>
    <col min="14123" max="14123" width="19" style="89" customWidth="1"/>
    <col min="14124" max="14127" width="11.42578125" style="89" customWidth="1"/>
    <col min="14128" max="14128" width="15.140625" style="89" customWidth="1"/>
    <col min="14129" max="14129" width="14" style="89" customWidth="1"/>
    <col min="14130" max="14130" width="15.140625" style="89" customWidth="1"/>
    <col min="14131" max="14131" width="11.42578125" style="89" customWidth="1"/>
    <col min="14132" max="14132" width="51.7109375" style="89" customWidth="1"/>
    <col min="14133" max="14134" width="29.5703125" style="89" customWidth="1"/>
    <col min="14135" max="14135" width="44.42578125" style="89" customWidth="1"/>
    <col min="14136" max="14136" width="36.28515625" style="89" customWidth="1"/>
    <col min="14137" max="14137" width="27.42578125" style="89" bestFit="1" customWidth="1"/>
    <col min="14138" max="14358" width="11.42578125" style="89"/>
    <col min="14359" max="14359" width="15.5703125" style="89" bestFit="1" customWidth="1"/>
    <col min="14360" max="14360" width="33.7109375" style="89" customWidth="1"/>
    <col min="14361" max="14361" width="19" style="89" customWidth="1"/>
    <col min="14362" max="14362" width="19.85546875" style="89" customWidth="1"/>
    <col min="14363" max="14363" width="18.5703125" style="89" customWidth="1"/>
    <col min="14364" max="14364" width="19.7109375" style="89" customWidth="1"/>
    <col min="14365" max="14365" width="14.85546875" style="89" customWidth="1"/>
    <col min="14366" max="14366" width="16.85546875" style="89" customWidth="1"/>
    <col min="14367" max="14369" width="11.42578125" style="89" customWidth="1"/>
    <col min="14370" max="14370" width="18.140625" style="89" customWidth="1"/>
    <col min="14371" max="14371" width="11.42578125" style="89" customWidth="1"/>
    <col min="14372" max="14372" width="12.5703125" style="89" customWidth="1"/>
    <col min="14373" max="14373" width="25" style="89" customWidth="1"/>
    <col min="14374" max="14374" width="16.5703125" style="89" bestFit="1" customWidth="1"/>
    <col min="14375" max="14375" width="24" style="89" customWidth="1"/>
    <col min="14376" max="14376" width="11.42578125" style="89" customWidth="1"/>
    <col min="14377" max="14377" width="20" style="89" customWidth="1"/>
    <col min="14378" max="14378" width="11.42578125" style="89" customWidth="1"/>
    <col min="14379" max="14379" width="19" style="89" customWidth="1"/>
    <col min="14380" max="14383" width="11.42578125" style="89" customWidth="1"/>
    <col min="14384" max="14384" width="15.140625" style="89" customWidth="1"/>
    <col min="14385" max="14385" width="14" style="89" customWidth="1"/>
    <col min="14386" max="14386" width="15.140625" style="89" customWidth="1"/>
    <col min="14387" max="14387" width="11.42578125" style="89" customWidth="1"/>
    <col min="14388" max="14388" width="51.7109375" style="89" customWidth="1"/>
    <col min="14389" max="14390" width="29.5703125" style="89" customWidth="1"/>
    <col min="14391" max="14391" width="44.42578125" style="89" customWidth="1"/>
    <col min="14392" max="14392" width="36.28515625" style="89" customWidth="1"/>
    <col min="14393" max="14393" width="27.42578125" style="89" bestFit="1" customWidth="1"/>
    <col min="14394" max="14614" width="11.42578125" style="89"/>
    <col min="14615" max="14615" width="15.5703125" style="89" bestFit="1" customWidth="1"/>
    <col min="14616" max="14616" width="33.7109375" style="89" customWidth="1"/>
    <col min="14617" max="14617" width="19" style="89" customWidth="1"/>
    <col min="14618" max="14618" width="19.85546875" style="89" customWidth="1"/>
    <col min="14619" max="14619" width="18.5703125" style="89" customWidth="1"/>
    <col min="14620" max="14620" width="19.7109375" style="89" customWidth="1"/>
    <col min="14621" max="14621" width="14.85546875" style="89" customWidth="1"/>
    <col min="14622" max="14622" width="16.85546875" style="89" customWidth="1"/>
    <col min="14623" max="14625" width="11.42578125" style="89" customWidth="1"/>
    <col min="14626" max="14626" width="18.140625" style="89" customWidth="1"/>
    <col min="14627" max="14627" width="11.42578125" style="89" customWidth="1"/>
    <col min="14628" max="14628" width="12.5703125" style="89" customWidth="1"/>
    <col min="14629" max="14629" width="25" style="89" customWidth="1"/>
    <col min="14630" max="14630" width="16.5703125" style="89" bestFit="1" customWidth="1"/>
    <col min="14631" max="14631" width="24" style="89" customWidth="1"/>
    <col min="14632" max="14632" width="11.42578125" style="89" customWidth="1"/>
    <col min="14633" max="14633" width="20" style="89" customWidth="1"/>
    <col min="14634" max="14634" width="11.42578125" style="89" customWidth="1"/>
    <col min="14635" max="14635" width="19" style="89" customWidth="1"/>
    <col min="14636" max="14639" width="11.42578125" style="89" customWidth="1"/>
    <col min="14640" max="14640" width="15.140625" style="89" customWidth="1"/>
    <col min="14641" max="14641" width="14" style="89" customWidth="1"/>
    <col min="14642" max="14642" width="15.140625" style="89" customWidth="1"/>
    <col min="14643" max="14643" width="11.42578125" style="89" customWidth="1"/>
    <col min="14644" max="14644" width="51.7109375" style="89" customWidth="1"/>
    <col min="14645" max="14646" width="29.5703125" style="89" customWidth="1"/>
    <col min="14647" max="14647" width="44.42578125" style="89" customWidth="1"/>
    <col min="14648" max="14648" width="36.28515625" style="89" customWidth="1"/>
    <col min="14649" max="14649" width="27.42578125" style="89" bestFit="1" customWidth="1"/>
    <col min="14650" max="14870" width="11.42578125" style="89"/>
    <col min="14871" max="14871" width="15.5703125" style="89" bestFit="1" customWidth="1"/>
    <col min="14872" max="14872" width="33.7109375" style="89" customWidth="1"/>
    <col min="14873" max="14873" width="19" style="89" customWidth="1"/>
    <col min="14874" max="14874" width="19.85546875" style="89" customWidth="1"/>
    <col min="14875" max="14875" width="18.5703125" style="89" customWidth="1"/>
    <col min="14876" max="14876" width="19.7109375" style="89" customWidth="1"/>
    <col min="14877" max="14877" width="14.85546875" style="89" customWidth="1"/>
    <col min="14878" max="14878" width="16.85546875" style="89" customWidth="1"/>
    <col min="14879" max="14881" width="11.42578125" style="89" customWidth="1"/>
    <col min="14882" max="14882" width="18.140625" style="89" customWidth="1"/>
    <col min="14883" max="14883" width="11.42578125" style="89" customWidth="1"/>
    <col min="14884" max="14884" width="12.5703125" style="89" customWidth="1"/>
    <col min="14885" max="14885" width="25" style="89" customWidth="1"/>
    <col min="14886" max="14886" width="16.5703125" style="89" bestFit="1" customWidth="1"/>
    <col min="14887" max="14887" width="24" style="89" customWidth="1"/>
    <col min="14888" max="14888" width="11.42578125" style="89" customWidth="1"/>
    <col min="14889" max="14889" width="20" style="89" customWidth="1"/>
    <col min="14890" max="14890" width="11.42578125" style="89" customWidth="1"/>
    <col min="14891" max="14891" width="19" style="89" customWidth="1"/>
    <col min="14892" max="14895" width="11.42578125" style="89" customWidth="1"/>
    <col min="14896" max="14896" width="15.140625" style="89" customWidth="1"/>
    <col min="14897" max="14897" width="14" style="89" customWidth="1"/>
    <col min="14898" max="14898" width="15.140625" style="89" customWidth="1"/>
    <col min="14899" max="14899" width="11.42578125" style="89" customWidth="1"/>
    <col min="14900" max="14900" width="51.7109375" style="89" customWidth="1"/>
    <col min="14901" max="14902" width="29.5703125" style="89" customWidth="1"/>
    <col min="14903" max="14903" width="44.42578125" style="89" customWidth="1"/>
    <col min="14904" max="14904" width="36.28515625" style="89" customWidth="1"/>
    <col min="14905" max="14905" width="27.42578125" style="89" bestFit="1" customWidth="1"/>
    <col min="14906" max="15126" width="11.42578125" style="89"/>
    <col min="15127" max="15127" width="15.5703125" style="89" bestFit="1" customWidth="1"/>
    <col min="15128" max="15128" width="33.7109375" style="89" customWidth="1"/>
    <col min="15129" max="15129" width="19" style="89" customWidth="1"/>
    <col min="15130" max="15130" width="19.85546875" style="89" customWidth="1"/>
    <col min="15131" max="15131" width="18.5703125" style="89" customWidth="1"/>
    <col min="15132" max="15132" width="19.7109375" style="89" customWidth="1"/>
    <col min="15133" max="15133" width="14.85546875" style="89" customWidth="1"/>
    <col min="15134" max="15134" width="16.85546875" style="89" customWidth="1"/>
    <col min="15135" max="15137" width="11.42578125" style="89" customWidth="1"/>
    <col min="15138" max="15138" width="18.140625" style="89" customWidth="1"/>
    <col min="15139" max="15139" width="11.42578125" style="89" customWidth="1"/>
    <col min="15140" max="15140" width="12.5703125" style="89" customWidth="1"/>
    <col min="15141" max="15141" width="25" style="89" customWidth="1"/>
    <col min="15142" max="15142" width="16.5703125" style="89" bestFit="1" customWidth="1"/>
    <col min="15143" max="15143" width="24" style="89" customWidth="1"/>
    <col min="15144" max="15144" width="11.42578125" style="89" customWidth="1"/>
    <col min="15145" max="15145" width="20" style="89" customWidth="1"/>
    <col min="15146" max="15146" width="11.42578125" style="89" customWidth="1"/>
    <col min="15147" max="15147" width="19" style="89" customWidth="1"/>
    <col min="15148" max="15151" width="11.42578125" style="89" customWidth="1"/>
    <col min="15152" max="15152" width="15.140625" style="89" customWidth="1"/>
    <col min="15153" max="15153" width="14" style="89" customWidth="1"/>
    <col min="15154" max="15154" width="15.140625" style="89" customWidth="1"/>
    <col min="15155" max="15155" width="11.42578125" style="89" customWidth="1"/>
    <col min="15156" max="15156" width="51.7109375" style="89" customWidth="1"/>
    <col min="15157" max="15158" width="29.5703125" style="89" customWidth="1"/>
    <col min="15159" max="15159" width="44.42578125" style="89" customWidth="1"/>
    <col min="15160" max="15160" width="36.28515625" style="89" customWidth="1"/>
    <col min="15161" max="15161" width="27.42578125" style="89" bestFit="1" customWidth="1"/>
    <col min="15162" max="15382" width="11.42578125" style="89"/>
    <col min="15383" max="15383" width="15.5703125" style="89" bestFit="1" customWidth="1"/>
    <col min="15384" max="15384" width="33.7109375" style="89" customWidth="1"/>
    <col min="15385" max="15385" width="19" style="89" customWidth="1"/>
    <col min="15386" max="15386" width="19.85546875" style="89" customWidth="1"/>
    <col min="15387" max="15387" width="18.5703125" style="89" customWidth="1"/>
    <col min="15388" max="15388" width="19.7109375" style="89" customWidth="1"/>
    <col min="15389" max="15389" width="14.85546875" style="89" customWidth="1"/>
    <col min="15390" max="15390" width="16.85546875" style="89" customWidth="1"/>
    <col min="15391" max="15393" width="11.42578125" style="89" customWidth="1"/>
    <col min="15394" max="15394" width="18.140625" style="89" customWidth="1"/>
    <col min="15395" max="15395" width="11.42578125" style="89" customWidth="1"/>
    <col min="15396" max="15396" width="12.5703125" style="89" customWidth="1"/>
    <col min="15397" max="15397" width="25" style="89" customWidth="1"/>
    <col min="15398" max="15398" width="16.5703125" style="89" bestFit="1" customWidth="1"/>
    <col min="15399" max="15399" width="24" style="89" customWidth="1"/>
    <col min="15400" max="15400" width="11.42578125" style="89" customWidth="1"/>
    <col min="15401" max="15401" width="20" style="89" customWidth="1"/>
    <col min="15402" max="15402" width="11.42578125" style="89" customWidth="1"/>
    <col min="15403" max="15403" width="19" style="89" customWidth="1"/>
    <col min="15404" max="15407" width="11.42578125" style="89" customWidth="1"/>
    <col min="15408" max="15408" width="15.140625" style="89" customWidth="1"/>
    <col min="15409" max="15409" width="14" style="89" customWidth="1"/>
    <col min="15410" max="15410" width="15.140625" style="89" customWidth="1"/>
    <col min="15411" max="15411" width="11.42578125" style="89" customWidth="1"/>
    <col min="15412" max="15412" width="51.7109375" style="89" customWidth="1"/>
    <col min="15413" max="15414" width="29.5703125" style="89" customWidth="1"/>
    <col min="15415" max="15415" width="44.42578125" style="89" customWidth="1"/>
    <col min="15416" max="15416" width="36.28515625" style="89" customWidth="1"/>
    <col min="15417" max="15417" width="27.42578125" style="89" bestFit="1" customWidth="1"/>
    <col min="15418" max="15638" width="11.42578125" style="89"/>
    <col min="15639" max="15639" width="15.5703125" style="89" bestFit="1" customWidth="1"/>
    <col min="15640" max="15640" width="33.7109375" style="89" customWidth="1"/>
    <col min="15641" max="15641" width="19" style="89" customWidth="1"/>
    <col min="15642" max="15642" width="19.85546875" style="89" customWidth="1"/>
    <col min="15643" max="15643" width="18.5703125" style="89" customWidth="1"/>
    <col min="15644" max="15644" width="19.7109375" style="89" customWidth="1"/>
    <col min="15645" max="15645" width="14.85546875" style="89" customWidth="1"/>
    <col min="15646" max="15646" width="16.85546875" style="89" customWidth="1"/>
    <col min="15647" max="15649" width="11.42578125" style="89" customWidth="1"/>
    <col min="15650" max="15650" width="18.140625" style="89" customWidth="1"/>
    <col min="15651" max="15651" width="11.42578125" style="89" customWidth="1"/>
    <col min="15652" max="15652" width="12.5703125" style="89" customWidth="1"/>
    <col min="15653" max="15653" width="25" style="89" customWidth="1"/>
    <col min="15654" max="15654" width="16.5703125" style="89" bestFit="1" customWidth="1"/>
    <col min="15655" max="15655" width="24" style="89" customWidth="1"/>
    <col min="15656" max="15656" width="11.42578125" style="89" customWidth="1"/>
    <col min="15657" max="15657" width="20" style="89" customWidth="1"/>
    <col min="15658" max="15658" width="11.42578125" style="89" customWidth="1"/>
    <col min="15659" max="15659" width="19" style="89" customWidth="1"/>
    <col min="15660" max="15663" width="11.42578125" style="89" customWidth="1"/>
    <col min="15664" max="15664" width="15.140625" style="89" customWidth="1"/>
    <col min="15665" max="15665" width="14" style="89" customWidth="1"/>
    <col min="15666" max="15666" width="15.140625" style="89" customWidth="1"/>
    <col min="15667" max="15667" width="11.42578125" style="89" customWidth="1"/>
    <col min="15668" max="15668" width="51.7109375" style="89" customWidth="1"/>
    <col min="15669" max="15670" width="29.5703125" style="89" customWidth="1"/>
    <col min="15671" max="15671" width="44.42578125" style="89" customWidth="1"/>
    <col min="15672" max="15672" width="36.28515625" style="89" customWidth="1"/>
    <col min="15673" max="15673" width="27.42578125" style="89" bestFit="1" customWidth="1"/>
    <col min="15674" max="15894" width="11.42578125" style="89"/>
    <col min="15895" max="15895" width="15.5703125" style="89" bestFit="1" customWidth="1"/>
    <col min="15896" max="15896" width="33.7109375" style="89" customWidth="1"/>
    <col min="15897" max="15897" width="19" style="89" customWidth="1"/>
    <col min="15898" max="15898" width="19.85546875" style="89" customWidth="1"/>
    <col min="15899" max="15899" width="18.5703125" style="89" customWidth="1"/>
    <col min="15900" max="15900" width="19.7109375" style="89" customWidth="1"/>
    <col min="15901" max="15901" width="14.85546875" style="89" customWidth="1"/>
    <col min="15902" max="15902" width="16.85546875" style="89" customWidth="1"/>
    <col min="15903" max="15905" width="11.42578125" style="89" customWidth="1"/>
    <col min="15906" max="15906" width="18.140625" style="89" customWidth="1"/>
    <col min="15907" max="15907" width="11.42578125" style="89" customWidth="1"/>
    <col min="15908" max="15908" width="12.5703125" style="89" customWidth="1"/>
    <col min="15909" max="15909" width="25" style="89" customWidth="1"/>
    <col min="15910" max="15910" width="16.5703125" style="89" bestFit="1" customWidth="1"/>
    <col min="15911" max="15911" width="24" style="89" customWidth="1"/>
    <col min="15912" max="15912" width="11.42578125" style="89" customWidth="1"/>
    <col min="15913" max="15913" width="20" style="89" customWidth="1"/>
    <col min="15914" max="15914" width="11.42578125" style="89" customWidth="1"/>
    <col min="15915" max="15915" width="19" style="89" customWidth="1"/>
    <col min="15916" max="15919" width="11.42578125" style="89" customWidth="1"/>
    <col min="15920" max="15920" width="15.140625" style="89" customWidth="1"/>
    <col min="15921" max="15921" width="14" style="89" customWidth="1"/>
    <col min="15922" max="15922" width="15.140625" style="89" customWidth="1"/>
    <col min="15923" max="15923" width="11.42578125" style="89" customWidth="1"/>
    <col min="15924" max="15924" width="51.7109375" style="89" customWidth="1"/>
    <col min="15925" max="15926" width="29.5703125" style="89" customWidth="1"/>
    <col min="15927" max="15927" width="44.42578125" style="89" customWidth="1"/>
    <col min="15928" max="15928" width="36.28515625" style="89" customWidth="1"/>
    <col min="15929" max="15929" width="27.42578125" style="89" bestFit="1" customWidth="1"/>
    <col min="15930" max="16150" width="11.42578125" style="89"/>
    <col min="16151" max="16151" width="15.5703125" style="89" bestFit="1" customWidth="1"/>
    <col min="16152" max="16152" width="33.7109375" style="89" customWidth="1"/>
    <col min="16153" max="16153" width="19" style="89" customWidth="1"/>
    <col min="16154" max="16154" width="19.85546875" style="89" customWidth="1"/>
    <col min="16155" max="16155" width="18.5703125" style="89" customWidth="1"/>
    <col min="16156" max="16156" width="19.7109375" style="89" customWidth="1"/>
    <col min="16157" max="16157" width="14.85546875" style="89" customWidth="1"/>
    <col min="16158" max="16158" width="16.85546875" style="89" customWidth="1"/>
    <col min="16159" max="16161" width="11.42578125" style="89" customWidth="1"/>
    <col min="16162" max="16162" width="18.140625" style="89" customWidth="1"/>
    <col min="16163" max="16163" width="11.42578125" style="89" customWidth="1"/>
    <col min="16164" max="16164" width="12.5703125" style="89" customWidth="1"/>
    <col min="16165" max="16165" width="25" style="89" customWidth="1"/>
    <col min="16166" max="16166" width="16.5703125" style="89" bestFit="1" customWidth="1"/>
    <col min="16167" max="16167" width="24" style="89" customWidth="1"/>
    <col min="16168" max="16168" width="11.42578125" style="89" customWidth="1"/>
    <col min="16169" max="16169" width="20" style="89" customWidth="1"/>
    <col min="16170" max="16170" width="11.42578125" style="89" customWidth="1"/>
    <col min="16171" max="16171" width="19" style="89" customWidth="1"/>
    <col min="16172" max="16175" width="11.42578125" style="89" customWidth="1"/>
    <col min="16176" max="16176" width="15.140625" style="89" customWidth="1"/>
    <col min="16177" max="16177" width="14" style="89" customWidth="1"/>
    <col min="16178" max="16178" width="15.140625" style="89" customWidth="1"/>
    <col min="16179" max="16179" width="11.42578125" style="89" customWidth="1"/>
    <col min="16180" max="16180" width="51.7109375" style="89" customWidth="1"/>
    <col min="16181" max="16182" width="29.5703125" style="89" customWidth="1"/>
    <col min="16183" max="16183" width="44.42578125" style="89" customWidth="1"/>
    <col min="16184" max="16184" width="36.28515625" style="89" customWidth="1"/>
    <col min="16185" max="16185" width="27.42578125" style="89" bestFit="1" customWidth="1"/>
    <col min="16186" max="16384" width="11.42578125" style="89"/>
  </cols>
  <sheetData>
    <row r="1" spans="1:78" s="90" customFormat="1" ht="34.5" customHeight="1" x14ac:dyDescent="0.6">
      <c r="AD1" s="238"/>
      <c r="AH1" s="238"/>
      <c r="AI1" s="238"/>
      <c r="AJ1" s="238"/>
      <c r="AT1" s="238"/>
      <c r="BN1" s="242" t="s">
        <v>218</v>
      </c>
      <c r="BO1" s="243"/>
      <c r="BP1" s="243"/>
      <c r="BQ1" s="243"/>
      <c r="BR1" s="243"/>
      <c r="BS1" s="243"/>
      <c r="BT1" s="243"/>
      <c r="BU1" s="243"/>
      <c r="BV1" s="243"/>
      <c r="BW1" s="243"/>
    </row>
    <row r="2" spans="1:78" ht="76.5" x14ac:dyDescent="0.25">
      <c r="A2" s="233" t="s">
        <v>241</v>
      </c>
      <c r="B2" s="234" t="s">
        <v>242</v>
      </c>
      <c r="C2" s="235" t="s">
        <v>243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229</v>
      </c>
      <c r="AM2" s="237" t="s">
        <v>230</v>
      </c>
      <c r="AN2" s="231" t="s">
        <v>184</v>
      </c>
      <c r="AO2" s="231" t="s">
        <v>185</v>
      </c>
      <c r="AP2" s="231" t="s">
        <v>168</v>
      </c>
      <c r="AQ2" s="231" t="s">
        <v>169</v>
      </c>
      <c r="AR2" s="237" t="s">
        <v>172</v>
      </c>
      <c r="AS2" s="237" t="s">
        <v>173</v>
      </c>
      <c r="AT2" s="237" t="s">
        <v>181</v>
      </c>
      <c r="AU2" s="237" t="s">
        <v>180</v>
      </c>
      <c r="AV2" s="237" t="s">
        <v>170</v>
      </c>
      <c r="AW2" s="237" t="s">
        <v>171</v>
      </c>
      <c r="AX2" s="237" t="s">
        <v>182</v>
      </c>
      <c r="AY2" s="237" t="s">
        <v>183</v>
      </c>
      <c r="AZ2" s="232" t="s">
        <v>105</v>
      </c>
      <c r="BA2" s="232" t="s">
        <v>106</v>
      </c>
      <c r="BB2" s="226" t="s">
        <v>107</v>
      </c>
      <c r="BC2" s="232" t="s">
        <v>65</v>
      </c>
      <c r="BD2" s="226" t="s">
        <v>108</v>
      </c>
      <c r="BE2" s="226" t="s">
        <v>146</v>
      </c>
      <c r="BF2" s="226" t="s">
        <v>147</v>
      </c>
      <c r="BG2" s="227" t="s">
        <v>186</v>
      </c>
      <c r="BH2" s="227" t="s">
        <v>187</v>
      </c>
      <c r="BI2" s="227" t="s">
        <v>188</v>
      </c>
      <c r="BJ2" s="228" t="s">
        <v>216</v>
      </c>
      <c r="BK2" s="228" t="s">
        <v>217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  <c r="BY2" s="239" t="s">
        <v>219</v>
      </c>
      <c r="BZ2" s="239" t="s">
        <v>219</v>
      </c>
    </row>
    <row r="3" spans="1:78" x14ac:dyDescent="0.25">
      <c r="A3" s="172"/>
      <c r="B3" s="170"/>
      <c r="C3" s="165"/>
      <c r="D3" s="171"/>
      <c r="E3" s="189"/>
      <c r="F3" s="188"/>
      <c r="G3" s="189"/>
      <c r="H3" s="189"/>
      <c r="I3" s="189" t="s">
        <v>240</v>
      </c>
      <c r="J3" s="189" t="s">
        <v>240</v>
      </c>
      <c r="K3" s="190" t="str">
        <f t="shared" ref="K3:K57" si="0">IF(I3="","",MONTH(I3))</f>
        <v/>
      </c>
      <c r="L3" s="190" t="str">
        <f t="shared" ref="L3:L57" si="1">IF(I3="","",DAYS360(E3,I3))</f>
        <v/>
      </c>
      <c r="M3" s="188" t="s">
        <v>240</v>
      </c>
      <c r="N3" s="188" t="s">
        <v>240</v>
      </c>
      <c r="O3" s="188" t="s">
        <v>240</v>
      </c>
      <c r="P3" s="188" t="s">
        <v>240</v>
      </c>
      <c r="Q3" s="188" t="s">
        <v>240</v>
      </c>
      <c r="R3" s="188" t="s">
        <v>240</v>
      </c>
      <c r="S3" s="213"/>
      <c r="T3" s="207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25">
        <f>SUM(PORTEFEUILLE_AUTRE_COMPTABLE[[#This Row],[PCR COMPTABLE €]:[MONTANT
RESPONSABLE RELATION CLIENT €]])-PORTEFEUILLE_AUTRE_COMPTABLE[[#This Row],[MONTANT TOTAL LETTRE DE MISION €]]</f>
        <v>0</v>
      </c>
      <c r="AI3" s="191"/>
      <c r="AJ3" s="188"/>
      <c r="AK3" s="188"/>
      <c r="AL3" s="188"/>
      <c r="AM3" s="188"/>
      <c r="AN3" s="188"/>
      <c r="AO3" s="188" t="s">
        <v>240</v>
      </c>
      <c r="AP3" s="188" t="s">
        <v>240</v>
      </c>
      <c r="AQ3" s="188" t="s">
        <v>240</v>
      </c>
      <c r="AR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" s="188" t="str">
        <f>IF(PORTEFEUILLE_AUTRE_COMPTABLE[[#This Row],[BONI AAC]]&lt;&gt;0,1,"")</f>
        <v/>
      </c>
      <c r="AU3" s="188" t="str">
        <f>IF(PORTEFEUILLE_AUTRE_COMPTABLE[[#This Row],[MALI AAC]]&lt;&gt;0,1,"")</f>
        <v/>
      </c>
      <c r="AV3" s="225">
        <f>IF(AP3&lt;&gt;"",IF((AP3*Paramètres!$H$4)-PORTEFEUILLE_AUTRE_COMPTABLE[[#This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€]]-(DELPHINE!#REF!*Paramètres!$H$4),0),0)</f>
        <v>0</v>
      </c>
      <c r="AW3" s="225">
        <f>IF(AP3&lt;&gt;"",IF(((AP3*Paramètres!$H$4)-PORTEFEUILLE_AUTRE_COMPTABLE[[#This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" s="190" t="str">
        <f>IF(PORTEFEUILLE_AUTRE_COMPTABLE[[#This Row],[BONI COMPTABLE]]&lt;&gt;0,1,"")</f>
        <v/>
      </c>
      <c r="AY3" s="190" t="str">
        <f>IF(PORTEFEUILLE_AUTRE_COMPTABLE[[#This Row],[MALI COMPTABLE]]&lt;&gt;0,1,"")</f>
        <v/>
      </c>
      <c r="AZ3" s="188" t="s">
        <v>240</v>
      </c>
      <c r="BA3" s="188" t="s">
        <v>240</v>
      </c>
      <c r="BB3" s="188" t="s">
        <v>240</v>
      </c>
      <c r="BC3" s="188" t="s">
        <v>240</v>
      </c>
      <c r="BD3" s="188" t="s">
        <v>240</v>
      </c>
      <c r="BE3" s="188" t="s">
        <v>240</v>
      </c>
      <c r="BF3" s="188"/>
      <c r="BG3" s="192"/>
      <c r="BH3" s="194"/>
      <c r="BI3" s="194"/>
      <c r="BJ3" s="195"/>
      <c r="BK3" s="194"/>
    </row>
    <row r="4" spans="1:78" x14ac:dyDescent="0.25">
      <c r="A4" s="172"/>
      <c r="B4" s="173"/>
      <c r="C4" s="165"/>
      <c r="D4" s="171"/>
      <c r="E4" s="189"/>
      <c r="F4" s="188"/>
      <c r="G4" s="189"/>
      <c r="H4" s="189"/>
      <c r="I4" s="189"/>
      <c r="J4" s="189"/>
      <c r="K4" s="190" t="str">
        <f t="shared" si="0"/>
        <v/>
      </c>
      <c r="L4" s="190" t="str">
        <f t="shared" si="1"/>
        <v/>
      </c>
      <c r="M4" s="188"/>
      <c r="N4" s="188"/>
      <c r="O4" s="188"/>
      <c r="P4" s="188"/>
      <c r="Q4" s="188"/>
      <c r="R4" s="188"/>
      <c r="S4" s="213"/>
      <c r="T4" s="207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19"/>
      <c r="AG4" s="219"/>
      <c r="AH4" s="225">
        <f>SUM(PORTEFEUILLE_AUTRE_COMPTABLE[[#This Row],[PCR COMPTABLE €]:[MONTANT
RESPONSABLE RELATION CLIENT €]])-PORTEFEUILLE_AUTRE_COMPTABLE[[#This Row],[MONTANT TOTAL LETTRE DE MISION €]]</f>
        <v>0</v>
      </c>
      <c r="AI4" s="191"/>
      <c r="AJ4" s="188"/>
      <c r="AK4" s="188"/>
      <c r="AL4" s="188"/>
      <c r="AM4" s="188"/>
      <c r="AN4" s="188"/>
      <c r="AO4" s="188"/>
      <c r="AP4" s="188"/>
      <c r="AQ4" s="188"/>
      <c r="AR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" s="188" t="str">
        <f>IF(PORTEFEUILLE_AUTRE_COMPTABLE[[#This Row],[BONI AAC]]&lt;&gt;0,1,"")</f>
        <v/>
      </c>
      <c r="AU4" s="188" t="str">
        <f>IF(PORTEFEUILLE_AUTRE_COMPTABLE[[#This Row],[MALI AAC]]&lt;&gt;0,1,"")</f>
        <v/>
      </c>
      <c r="AV4" s="225">
        <f>IF(AP4&lt;&gt;"",IF((AP4*Paramètres!$H$4)-PORTEFEUILLE_AUTRE_COMPTABLE[[#This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€]]-(DELPHINE!AP6*Paramètres!$H$4),0),0)</f>
        <v>0</v>
      </c>
      <c r="AW4" s="225">
        <f>IF(AP4&lt;&gt;"",IF(((AP4*Paramètres!$H$4)-PORTEFEUILLE_AUTRE_COMPTABLE[[#This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" s="190" t="str">
        <f>IF(PORTEFEUILLE_AUTRE_COMPTABLE[[#This Row],[BONI COMPTABLE]]&lt;&gt;0,1,"")</f>
        <v/>
      </c>
      <c r="AY4" s="190" t="str">
        <f>IF(PORTEFEUILLE_AUTRE_COMPTABLE[[#This Row],[MALI COMPTABLE]]&lt;&gt;0,1,"")</f>
        <v/>
      </c>
      <c r="AZ4" s="188"/>
      <c r="BA4" s="188"/>
      <c r="BB4" s="188"/>
      <c r="BC4" s="188"/>
      <c r="BD4" s="196"/>
      <c r="BE4" s="196"/>
      <c r="BF4" s="196"/>
      <c r="BG4" s="192"/>
      <c r="BH4" s="194"/>
      <c r="BI4" s="194"/>
      <c r="BJ4" s="195"/>
      <c r="BK4" s="194"/>
    </row>
    <row r="5" spans="1:78" x14ac:dyDescent="0.25">
      <c r="A5" s="172"/>
      <c r="B5" s="170"/>
      <c r="C5" s="165"/>
      <c r="D5" s="171"/>
      <c r="E5" s="189"/>
      <c r="F5" s="188"/>
      <c r="G5" s="189"/>
      <c r="H5" s="189"/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/>
      <c r="T5" s="207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19"/>
      <c r="AH5" s="225">
        <f>SUM(PORTEFEUILLE_AUTRE_COMPTABLE[[#This Row],[PCR COMPTABLE €]:[MONTANT
RESPONSABLE RELATION CLIENT €]])-PORTEFEUILLE_AUTRE_COMPTABLE[[#This Row],[MONTANT TOTAL LETTRE DE MISION €]]</f>
        <v>0</v>
      </c>
      <c r="AI5" s="191"/>
      <c r="AJ5" s="188"/>
      <c r="AK5" s="188"/>
      <c r="AL5" s="188"/>
      <c r="AM5" s="188"/>
      <c r="AN5" s="188"/>
      <c r="AO5" s="188"/>
      <c r="AP5" s="188"/>
      <c r="AQ5" s="188"/>
      <c r="AR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" s="188" t="str">
        <f>IF(PORTEFEUILLE_AUTRE_COMPTABLE[[#This Row],[BONI AAC]]&lt;&gt;0,1,"")</f>
        <v/>
      </c>
      <c r="AU5" s="188" t="str">
        <f>IF(PORTEFEUILLE_AUTRE_COMPTABLE[[#This Row],[MALI AAC]]&lt;&gt;0,1,"")</f>
        <v/>
      </c>
      <c r="AV5" s="225">
        <f>IF(AP5&lt;&gt;"",IF((AP5*Paramètres!$H$4)-PORTEFEUILLE_AUTRE_COMPTABLE[[#This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€]]-(DELPHINE!AP7*Paramètres!$H$4),0),0)</f>
        <v>0</v>
      </c>
      <c r="AW5" s="225">
        <f>IF(AP5&lt;&gt;"",IF(((AP5*Paramètres!$H$4)-PORTEFEUILLE_AUTRE_COMPTABLE[[#This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" s="190" t="str">
        <f>IF(PORTEFEUILLE_AUTRE_COMPTABLE[[#This Row],[BONI COMPTABLE]]&lt;&gt;0,1,"")</f>
        <v/>
      </c>
      <c r="AY5" s="190" t="str">
        <f>IF(PORTEFEUILLE_AUTRE_COMPTABLE[[#This Row],[MALI COMPTABLE]]&lt;&gt;0,1,"")</f>
        <v/>
      </c>
      <c r="AZ5" s="188"/>
      <c r="BA5" s="188"/>
      <c r="BB5" s="188"/>
      <c r="BC5" s="188"/>
      <c r="BD5" s="188"/>
      <c r="BE5" s="188"/>
      <c r="BF5" s="188"/>
      <c r="BG5" s="192"/>
      <c r="BH5" s="194"/>
      <c r="BI5" s="194"/>
      <c r="BJ5" s="195"/>
      <c r="BK5" s="194"/>
    </row>
    <row r="6" spans="1:78" x14ac:dyDescent="0.25">
      <c r="A6" s="172"/>
      <c r="B6" s="170"/>
      <c r="C6" s="165"/>
      <c r="D6" s="171"/>
      <c r="E6" s="189"/>
      <c r="F6" s="188"/>
      <c r="G6" s="188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4"/>
      <c r="T6" s="208"/>
      <c r="U6" s="220"/>
      <c r="V6" s="220"/>
      <c r="W6" s="220"/>
      <c r="X6" s="220"/>
      <c r="Y6" s="220"/>
      <c r="Z6" s="220"/>
      <c r="AA6" s="220"/>
      <c r="AB6" s="220"/>
      <c r="AC6" s="220"/>
      <c r="AD6" s="220"/>
      <c r="AE6" s="220"/>
      <c r="AF6" s="220"/>
      <c r="AG6" s="219"/>
      <c r="AH6" s="225">
        <f>SUM(PORTEFEUILLE_AUTRE_COMPTABLE[[#This Row],[PCR COMPTABLE €]:[MONTANT
RESPONSABLE RELATION CLIENT €]])-PORTEFEUILLE_AUTRE_COMPTABLE[[#This Row],[MONTANT TOTAL LETTRE DE MISION €]]</f>
        <v>0</v>
      </c>
      <c r="AI6" s="191"/>
      <c r="AJ6" s="188"/>
      <c r="AK6" s="188"/>
      <c r="AL6" s="188"/>
      <c r="AM6" s="188"/>
      <c r="AN6" s="196"/>
      <c r="AO6" s="196"/>
      <c r="AP6" s="196"/>
      <c r="AQ6" s="196"/>
      <c r="AR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6" s="188" t="str">
        <f>IF(PORTEFEUILLE_AUTRE_COMPTABLE[[#This Row],[BONI AAC]]&lt;&gt;0,1,"")</f>
        <v/>
      </c>
      <c r="AU6" s="188" t="str">
        <f>IF(PORTEFEUILLE_AUTRE_COMPTABLE[[#This Row],[MALI AAC]]&lt;&gt;0,1,"")</f>
        <v/>
      </c>
      <c r="AV6" s="225">
        <f>IF(AP6&lt;&gt;"",IF((AP6*Paramètres!$H$4)-PORTEFEUILLE_AUTRE_COMPTABLE[[#This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€]]-(DELPHINE!AP8*Paramètres!$H$4),0),0)</f>
        <v>0</v>
      </c>
      <c r="AW6" s="225">
        <f>IF(AP6&lt;&gt;"",IF(((AP6*Paramètres!$H$4)-PORTEFEUILLE_AUTRE_COMPTABLE[[#This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6" s="190" t="str">
        <f>IF(PORTEFEUILLE_AUTRE_COMPTABLE[[#This Row],[BONI COMPTABLE]]&lt;&gt;0,1,"")</f>
        <v/>
      </c>
      <c r="AY6" s="190" t="str">
        <f>IF(PORTEFEUILLE_AUTRE_COMPTABLE[[#This Row],[MALI COMPTABLE]]&lt;&gt;0,1,"")</f>
        <v/>
      </c>
      <c r="AZ6" s="196"/>
      <c r="BA6" s="188"/>
      <c r="BB6" s="188"/>
      <c r="BC6" s="188"/>
      <c r="BD6" s="188"/>
      <c r="BE6" s="188"/>
      <c r="BF6" s="188"/>
      <c r="BG6" s="192"/>
      <c r="BH6" s="194"/>
      <c r="BI6" s="194"/>
      <c r="BJ6" s="195"/>
      <c r="BK6" s="194"/>
    </row>
    <row r="7" spans="1:78" x14ac:dyDescent="0.25">
      <c r="A7" s="172"/>
      <c r="B7" s="170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SUM(PORTEFEUILLE_AUTRE_COMPTABLE[[#This Row],[PCR COMPTABLE €]:[MONTANT
RESPONSABLE RELATION CLIENT €]])-PORTEFEUILLE_AUTRE_COMPTABLE[[#This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188"/>
      <c r="AQ7" s="188"/>
      <c r="AR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7" s="188" t="str">
        <f>IF(PORTEFEUILLE_AUTRE_COMPTABLE[[#This Row],[BONI AAC]]&lt;&gt;0,1,"")</f>
        <v/>
      </c>
      <c r="AU7" s="188" t="str">
        <f>IF(PORTEFEUILLE_AUTRE_COMPTABLE[[#This Row],[MALI AAC]]&lt;&gt;0,1,"")</f>
        <v/>
      </c>
      <c r="AV7" s="225">
        <f>IF(AP7&lt;&gt;"",IF((AP7*Paramètres!$H$4)-PORTEFEUILLE_AUTRE_COMPTABLE[[#This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€]]-(DELPHINE!AP9*Paramètres!$H$4),0),0)</f>
        <v>0</v>
      </c>
      <c r="AW7" s="225">
        <f>IF(AP7&lt;&gt;"",IF(((AP7*Paramètres!$H$4)-PORTEFEUILLE_AUTRE_COMPTABLE[[#This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7" s="190" t="str">
        <f>IF(PORTEFEUILLE_AUTRE_COMPTABLE[[#This Row],[BONI COMPTABLE]]&lt;&gt;0,1,"")</f>
        <v/>
      </c>
      <c r="AY7" s="190" t="str">
        <f>IF(PORTEFEUILLE_AUTRE_COMPTABLE[[#This Row],[MALI COMPTABLE]]&lt;&gt;0,1,"")</f>
        <v/>
      </c>
      <c r="AZ7" s="188"/>
      <c r="BA7" s="188"/>
      <c r="BB7" s="188"/>
      <c r="BC7" s="188"/>
      <c r="BD7" s="188"/>
      <c r="BE7" s="188"/>
      <c r="BF7" s="188"/>
      <c r="BG7" s="192"/>
      <c r="BH7" s="194"/>
      <c r="BI7" s="194"/>
      <c r="BJ7" s="195"/>
      <c r="BK7" s="194"/>
    </row>
    <row r="8" spans="1:78" x14ac:dyDescent="0.25">
      <c r="A8" s="172"/>
      <c r="B8" s="173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SUM(PORTEFEUILLE_AUTRE_COMPTABLE[[#This Row],[PCR COMPTABLE €]:[MONTANT
RESPONSABLE RELATION CLIENT €]])-PORTEFEUILLE_AUTRE_COMPTABLE[[#This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188"/>
      <c r="AQ8" s="188"/>
      <c r="AR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8" s="188" t="str">
        <f>IF(PORTEFEUILLE_AUTRE_COMPTABLE[[#This Row],[BONI AAC]]&lt;&gt;0,1,"")</f>
        <v/>
      </c>
      <c r="AU8" s="188" t="str">
        <f>IF(PORTEFEUILLE_AUTRE_COMPTABLE[[#This Row],[MALI AAC]]&lt;&gt;0,1,"")</f>
        <v/>
      </c>
      <c r="AV8" s="225">
        <f>IF(AP8&lt;&gt;"",IF((AP8*Paramètres!$H$4)-PORTEFEUILLE_AUTRE_COMPTABLE[[#This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€]]-(DELPHINE!AP10*Paramètres!$H$4),0),0)</f>
        <v>0</v>
      </c>
      <c r="AW8" s="225">
        <f>IF(AP8&lt;&gt;"",IF(((AP8*Paramètres!$H$4)-PORTEFEUILLE_AUTRE_COMPTABLE[[#This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8" s="190" t="str">
        <f>IF(PORTEFEUILLE_AUTRE_COMPTABLE[[#This Row],[BONI COMPTABLE]]&lt;&gt;0,1,"")</f>
        <v/>
      </c>
      <c r="AY8" s="190" t="str">
        <f>IF(PORTEFEUILLE_AUTRE_COMPTABLE[[#This Row],[MALI COMPTABLE]]&lt;&gt;0,1,"")</f>
        <v/>
      </c>
      <c r="AZ8" s="188"/>
      <c r="BA8" s="188"/>
      <c r="BB8" s="188"/>
      <c r="BC8" s="188"/>
      <c r="BD8" s="188"/>
      <c r="BE8" s="188"/>
      <c r="BF8" s="188"/>
      <c r="BG8" s="192"/>
      <c r="BH8" s="194"/>
      <c r="BI8" s="194"/>
      <c r="BJ8" s="195"/>
      <c r="BK8" s="194"/>
    </row>
    <row r="9" spans="1:78" x14ac:dyDescent="0.25">
      <c r="A9" s="172"/>
      <c r="B9" s="170"/>
      <c r="C9" s="165"/>
      <c r="D9" s="171"/>
      <c r="E9" s="189"/>
      <c r="F9" s="188"/>
      <c r="G9" s="189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3"/>
      <c r="T9" s="207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25">
        <f>SUM(PORTEFEUILLE_AUTRE_COMPTABLE[[#This Row],[PCR COMPTABLE €]:[MONTANT
RESPONSABLE RELATION CLIENT €]])-PORTEFEUILLE_AUTRE_COMPTABLE[[#This Row],[MONTANT TOTAL LETTRE DE MISION €]]</f>
        <v>0</v>
      </c>
      <c r="AI9" s="191"/>
      <c r="AJ9" s="188"/>
      <c r="AK9" s="188"/>
      <c r="AL9" s="188"/>
      <c r="AM9" s="188"/>
      <c r="AN9" s="188"/>
      <c r="AO9" s="188"/>
      <c r="AP9" s="188"/>
      <c r="AQ9" s="188"/>
      <c r="AR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9" s="188" t="str">
        <f>IF(PORTEFEUILLE_AUTRE_COMPTABLE[[#This Row],[BONI AAC]]&lt;&gt;0,1,"")</f>
        <v/>
      </c>
      <c r="AU9" s="188" t="str">
        <f>IF(PORTEFEUILLE_AUTRE_COMPTABLE[[#This Row],[MALI AAC]]&lt;&gt;0,1,"")</f>
        <v/>
      </c>
      <c r="AV9" s="225">
        <f>IF(AP9&lt;&gt;"",IF((AP9*Paramètres!$H$4)-PORTEFEUILLE_AUTRE_COMPTABLE[[#This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€]]-(DELPHINE!AP11*Paramètres!$H$4),0),0)</f>
        <v>0</v>
      </c>
      <c r="AW9" s="225">
        <f>IF(AP9&lt;&gt;"",IF(((AP9*Paramètres!$H$4)-PORTEFEUILLE_AUTRE_COMPTABLE[[#This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9" s="190" t="str">
        <f>IF(PORTEFEUILLE_AUTRE_COMPTABLE[[#This Row],[BONI COMPTABLE]]&lt;&gt;0,1,"")</f>
        <v/>
      </c>
      <c r="AY9" s="190" t="str">
        <f>IF(PORTEFEUILLE_AUTRE_COMPTABLE[[#This Row],[MALI COMPTABLE]]&lt;&gt;0,1,"")</f>
        <v/>
      </c>
      <c r="AZ9" s="188"/>
      <c r="BA9" s="188"/>
      <c r="BB9" s="188"/>
      <c r="BC9" s="188"/>
      <c r="BD9" s="188"/>
      <c r="BE9" s="188"/>
      <c r="BF9" s="188"/>
      <c r="BG9" s="192"/>
      <c r="BH9" s="194"/>
      <c r="BI9" s="194"/>
      <c r="BJ9" s="195"/>
      <c r="BK9" s="194"/>
    </row>
    <row r="10" spans="1:78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SUM(PORTEFEUILLE_AUTRE_COMPTABLE[[#This Row],[PCR COMPTABLE €]:[MONTANT
RESPONSABLE RELATION CLIENT €]])-PORTEFEUILLE_AUTRE_COMPTABLE[[#This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188"/>
      <c r="AQ10" s="188"/>
      <c r="AR1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0" s="188" t="str">
        <f>IF(PORTEFEUILLE_AUTRE_COMPTABLE[[#This Row],[BONI AAC]]&lt;&gt;0,1,"")</f>
        <v/>
      </c>
      <c r="AU10" s="188" t="str">
        <f>IF(PORTEFEUILLE_AUTRE_COMPTABLE[[#This Row],[MALI AAC]]&lt;&gt;0,1,"")</f>
        <v/>
      </c>
      <c r="AV10" s="225">
        <f>IF(AP10&lt;&gt;"",IF((AP10*Paramètres!$H$4)-PORTEFEUILLE_AUTRE_COMPTABLE[[#This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€]]-(DELPHINE!AP12*Paramètres!$H$4),0),0)</f>
        <v>0</v>
      </c>
      <c r="AW10" s="225">
        <f>IF(AP10&lt;&gt;"",IF(((AP10*Paramètres!$H$4)-PORTEFEUILLE_AUTRE_COMPTABLE[[#This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0" s="190" t="str">
        <f>IF(PORTEFEUILLE_AUTRE_COMPTABLE[[#This Row],[BONI COMPTABLE]]&lt;&gt;0,1,"")</f>
        <v/>
      </c>
      <c r="AY10" s="190" t="str">
        <f>IF(PORTEFEUILLE_AUTRE_COMPTABLE[[#This Row],[MALI COMPTABLE]]&lt;&gt;0,1,"")</f>
        <v/>
      </c>
      <c r="AZ10" s="188"/>
      <c r="BA10" s="188"/>
      <c r="BB10" s="188"/>
      <c r="BC10" s="188"/>
      <c r="BD10" s="188"/>
      <c r="BE10" s="188"/>
      <c r="BF10" s="188"/>
      <c r="BG10" s="192"/>
      <c r="BH10" s="194"/>
      <c r="BI10" s="194"/>
      <c r="BJ10" s="195"/>
      <c r="BK10" s="194"/>
    </row>
    <row r="11" spans="1:78" x14ac:dyDescent="0.25">
      <c r="A11" s="172"/>
      <c r="B11" s="170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SUM(PORTEFEUILLE_AUTRE_COMPTABLE[[#This Row],[PCR COMPTABLE €]:[MONTANT
RESPONSABLE RELATION CLIENT €]])-PORTEFEUILLE_AUTRE_COMPTABLE[[#This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188"/>
      <c r="AQ11" s="188"/>
      <c r="AR1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1" s="188" t="str">
        <f>IF(PORTEFEUILLE_AUTRE_COMPTABLE[[#This Row],[BONI AAC]]&lt;&gt;0,1,"")</f>
        <v/>
      </c>
      <c r="AU11" s="188" t="str">
        <f>IF(PORTEFEUILLE_AUTRE_COMPTABLE[[#This Row],[MALI AAC]]&lt;&gt;0,1,"")</f>
        <v/>
      </c>
      <c r="AV11" s="225">
        <f>IF(AP11&lt;&gt;"",IF((AP11*Paramètres!$H$4)-PORTEFEUILLE_AUTRE_COMPTABLE[[#This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€]]-(DELPHINE!AP13*Paramètres!$H$4),0),0)</f>
        <v>0</v>
      </c>
      <c r="AW11" s="225">
        <f>IF(AP11&lt;&gt;"",IF(((AP11*Paramètres!$H$4)-PORTEFEUILLE_AUTRE_COMPTABLE[[#This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1" s="190" t="str">
        <f>IF(PORTEFEUILLE_AUTRE_COMPTABLE[[#This Row],[BONI COMPTABLE]]&lt;&gt;0,1,"")</f>
        <v/>
      </c>
      <c r="AY11" s="190" t="str">
        <f>IF(PORTEFEUILLE_AUTRE_COMPTABLE[[#This Row],[MALI COMPTABLE]]&lt;&gt;0,1,"")</f>
        <v/>
      </c>
      <c r="AZ11" s="188"/>
      <c r="BA11" s="188"/>
      <c r="BB11" s="188"/>
      <c r="BC11" s="188"/>
      <c r="BD11" s="188"/>
      <c r="BE11" s="188"/>
      <c r="BF11" s="188"/>
      <c r="BG11" s="192"/>
      <c r="BH11" s="194"/>
      <c r="BI11" s="194"/>
      <c r="BJ11" s="195"/>
      <c r="BK11" s="194"/>
    </row>
    <row r="12" spans="1:78" x14ac:dyDescent="0.25">
      <c r="A12" s="172"/>
      <c r="B12" s="170"/>
      <c r="C12" s="170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SUM(PORTEFEUILLE_AUTRE_COMPTABLE[[#This Row],[PCR COMPTABLE €]:[MONTANT
RESPONSABLE RELATION CLIENT €]])-PORTEFEUILLE_AUTRE_COMPTABLE[[#This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188"/>
      <c r="AQ12" s="188"/>
      <c r="AR1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2" s="188" t="str">
        <f>IF(PORTEFEUILLE_AUTRE_COMPTABLE[[#This Row],[BONI AAC]]&lt;&gt;0,1,"")</f>
        <v/>
      </c>
      <c r="AU12" s="188" t="str">
        <f>IF(PORTEFEUILLE_AUTRE_COMPTABLE[[#This Row],[MALI AAC]]&lt;&gt;0,1,"")</f>
        <v/>
      </c>
      <c r="AV12" s="225">
        <f>IF(AP12&lt;&gt;"",IF((AP12*Paramètres!$H$4)-PORTEFEUILLE_AUTRE_COMPTABLE[[#This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€]]-(DELPHINE!AP14*Paramètres!$H$4),0),0)</f>
        <v>0</v>
      </c>
      <c r="AW12" s="225">
        <f>IF(AP12&lt;&gt;"",IF(((AP12*Paramètres!$H$4)-PORTEFEUILLE_AUTRE_COMPTABLE[[#This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2" s="190" t="str">
        <f>IF(PORTEFEUILLE_AUTRE_COMPTABLE[[#This Row],[BONI COMPTABLE]]&lt;&gt;0,1,"")</f>
        <v/>
      </c>
      <c r="AY12" s="190" t="str">
        <f>IF(PORTEFEUILLE_AUTRE_COMPTABLE[[#This Row],[MALI COMPTABLE]]&lt;&gt;0,1,"")</f>
        <v/>
      </c>
      <c r="AZ12" s="188"/>
      <c r="BA12" s="188"/>
      <c r="BB12" s="188"/>
      <c r="BC12" s="188"/>
      <c r="BD12" s="188"/>
      <c r="BE12" s="188"/>
      <c r="BF12" s="188"/>
      <c r="BG12" s="192"/>
      <c r="BH12" s="194"/>
      <c r="BI12" s="194"/>
      <c r="BJ12" s="195"/>
      <c r="BK12" s="194"/>
    </row>
    <row r="13" spans="1:78" x14ac:dyDescent="0.25">
      <c r="A13" s="172"/>
      <c r="B13" s="170"/>
      <c r="C13" s="174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SUM(PORTEFEUILLE_AUTRE_COMPTABLE[[#This Row],[PCR COMPTABLE €]:[MONTANT
RESPONSABLE RELATION CLIENT €]])-PORTEFEUILLE_AUTRE_COMPTABLE[[#This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188"/>
      <c r="AQ13" s="188"/>
      <c r="AR1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3" s="188" t="str">
        <f>IF(PORTEFEUILLE_AUTRE_COMPTABLE[[#This Row],[BONI AAC]]&lt;&gt;0,1,"")</f>
        <v/>
      </c>
      <c r="AU13" s="188" t="str">
        <f>IF(PORTEFEUILLE_AUTRE_COMPTABLE[[#This Row],[MALI AAC]]&lt;&gt;0,1,"")</f>
        <v/>
      </c>
      <c r="AV13" s="225">
        <f>IF(AP13&lt;&gt;"",IF((AP13*Paramètres!$H$4)-PORTEFEUILLE_AUTRE_COMPTABLE[[#This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€]]-(DELPHINE!AP15*Paramètres!$H$4),0),0)</f>
        <v>0</v>
      </c>
      <c r="AW13" s="225">
        <f>IF(AP13&lt;&gt;"",IF(((AP13*Paramètres!$H$4)-PORTEFEUILLE_AUTRE_COMPTABLE[[#This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3" s="190" t="str">
        <f>IF(PORTEFEUILLE_AUTRE_COMPTABLE[[#This Row],[BONI COMPTABLE]]&lt;&gt;0,1,"")</f>
        <v/>
      </c>
      <c r="AY13" s="190" t="str">
        <f>IF(PORTEFEUILLE_AUTRE_COMPTABLE[[#This Row],[MALI COMPTABLE]]&lt;&gt;0,1,"")</f>
        <v/>
      </c>
      <c r="AZ13" s="188"/>
      <c r="BA13" s="188"/>
      <c r="BB13" s="188"/>
      <c r="BC13" s="188"/>
      <c r="BD13" s="188"/>
      <c r="BE13" s="188"/>
      <c r="BF13" s="188"/>
      <c r="BG13" s="192"/>
      <c r="BH13" s="194"/>
      <c r="BI13" s="194"/>
      <c r="BJ13" s="195"/>
      <c r="BK13" s="194"/>
    </row>
    <row r="14" spans="1:78" x14ac:dyDescent="0.25">
      <c r="A14" s="172"/>
      <c r="B14" s="170"/>
      <c r="C14" s="17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SUM(PORTEFEUILLE_AUTRE_COMPTABLE[[#This Row],[PCR COMPTABLE €]:[MONTANT
RESPONSABLE RELATION CLIENT €]])-PORTEFEUILLE_AUTRE_COMPTABLE[[#This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188"/>
      <c r="AQ14" s="188"/>
      <c r="AR1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4" s="188" t="str">
        <f>IF(PORTEFEUILLE_AUTRE_COMPTABLE[[#This Row],[BONI AAC]]&lt;&gt;0,1,"")</f>
        <v/>
      </c>
      <c r="AU14" s="188" t="str">
        <f>IF(PORTEFEUILLE_AUTRE_COMPTABLE[[#This Row],[MALI AAC]]&lt;&gt;0,1,"")</f>
        <v/>
      </c>
      <c r="AV14" s="225">
        <f>IF(AP14&lt;&gt;"",IF((AP14*Paramètres!$H$4)-PORTEFEUILLE_AUTRE_COMPTABLE[[#This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€]]-(DELPHINE!AP16*Paramètres!$H$4),0),0)</f>
        <v>0</v>
      </c>
      <c r="AW14" s="225">
        <f>IF(AP14&lt;&gt;"",IF(((AP14*Paramètres!$H$4)-PORTEFEUILLE_AUTRE_COMPTABLE[[#This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4" s="190" t="str">
        <f>IF(PORTEFEUILLE_AUTRE_COMPTABLE[[#This Row],[BONI COMPTABLE]]&lt;&gt;0,1,"")</f>
        <v/>
      </c>
      <c r="AY14" s="190" t="str">
        <f>IF(PORTEFEUILLE_AUTRE_COMPTABLE[[#This Row],[MALI COMPTABLE]]&lt;&gt;0,1,"")</f>
        <v/>
      </c>
      <c r="AZ14" s="188"/>
      <c r="BA14" s="188"/>
      <c r="BB14" s="188"/>
      <c r="BC14" s="188"/>
      <c r="BD14" s="188"/>
      <c r="BE14" s="188"/>
      <c r="BF14" s="188"/>
      <c r="BG14" s="192"/>
      <c r="BH14" s="194"/>
      <c r="BI14" s="194"/>
      <c r="BJ14" s="195"/>
      <c r="BK14" s="194"/>
    </row>
    <row r="15" spans="1:78" s="241" customFormat="1" x14ac:dyDescent="0.25">
      <c r="A15" s="172"/>
      <c r="B15" s="170"/>
      <c r="C15" s="165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SUM(PORTEFEUILLE_AUTRE_COMPTABLE[[#This Row],[PCR COMPTABLE €]:[MONTANT
RESPONSABLE RELATION CLIENT €]])-PORTEFEUILLE_AUTRE_COMPTABLE[[#This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188"/>
      <c r="AQ15" s="188"/>
      <c r="AR1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5" s="188" t="str">
        <f>IF(PORTEFEUILLE_AUTRE_COMPTABLE[[#This Row],[BONI AAC]]&lt;&gt;0,1,"")</f>
        <v/>
      </c>
      <c r="AU15" s="188" t="str">
        <f>IF(PORTEFEUILLE_AUTRE_COMPTABLE[[#This Row],[MALI AAC]]&lt;&gt;0,1,"")</f>
        <v/>
      </c>
      <c r="AV15" s="225">
        <f>IF(AP15&lt;&gt;"",IF((AP15*Paramètres!$H$4)-PORTEFEUILLE_AUTRE_COMPTABLE[[#This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€]]-(DELPHINE!AP17*Paramètres!$H$4),0),0)</f>
        <v>0</v>
      </c>
      <c r="AW15" s="225">
        <f>IF(AP15&lt;&gt;"",IF(((AP15*Paramètres!$H$4)-PORTEFEUILLE_AUTRE_COMPTABLE[[#This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5" s="190" t="str">
        <f>IF(PORTEFEUILLE_AUTRE_COMPTABLE[[#This Row],[BONI COMPTABLE]]&lt;&gt;0,1,"")</f>
        <v/>
      </c>
      <c r="AY15" s="190" t="str">
        <f>IF(PORTEFEUILLE_AUTRE_COMPTABLE[[#This Row],[MALI COMPTABLE]]&lt;&gt;0,1,"")</f>
        <v/>
      </c>
      <c r="AZ15" s="188"/>
      <c r="BA15" s="188"/>
      <c r="BB15" s="188"/>
      <c r="BC15" s="188"/>
      <c r="BD15" s="188"/>
      <c r="BE15" s="188"/>
      <c r="BF15" s="188"/>
      <c r="BG15" s="192"/>
      <c r="BH15" s="194"/>
      <c r="BI15" s="194"/>
      <c r="BJ15" s="195"/>
      <c r="BK15" s="194"/>
    </row>
    <row r="16" spans="1:78" x14ac:dyDescent="0.25">
      <c r="A16" s="172"/>
      <c r="B16" s="170"/>
      <c r="C16" s="165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SUM(PORTEFEUILLE_AUTRE_COMPTABLE[[#This Row],[PCR COMPTABLE €]:[MONTANT
RESPONSABLE RELATION CLIENT €]])-PORTEFEUILLE_AUTRE_COMPTABLE[[#This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188"/>
      <c r="AQ16" s="188"/>
      <c r="AR1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6" s="188" t="str">
        <f>IF(PORTEFEUILLE_AUTRE_COMPTABLE[[#This Row],[BONI AAC]]&lt;&gt;0,1,"")</f>
        <v/>
      </c>
      <c r="AU16" s="188" t="str">
        <f>IF(PORTEFEUILLE_AUTRE_COMPTABLE[[#This Row],[MALI AAC]]&lt;&gt;0,1,"")</f>
        <v/>
      </c>
      <c r="AV16" s="225">
        <f>IF(AP16&lt;&gt;"",IF((AP16*Paramètres!$H$4)-PORTEFEUILLE_AUTRE_COMPTABLE[[#This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€]]-(DELPHINE!AP18*Paramètres!$H$4),0),0)</f>
        <v>0</v>
      </c>
      <c r="AW16" s="225">
        <f>IF(AP16&lt;&gt;"",IF(((AP16*Paramètres!$H$4)-PORTEFEUILLE_AUTRE_COMPTABLE[[#This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6" s="190" t="str">
        <f>IF(PORTEFEUILLE_AUTRE_COMPTABLE[[#This Row],[BONI COMPTABLE]]&lt;&gt;0,1,"")</f>
        <v/>
      </c>
      <c r="AY16" s="190" t="str">
        <f>IF(PORTEFEUILLE_AUTRE_COMPTABLE[[#This Row],[MALI COMPTABLE]]&lt;&gt;0,1,"")</f>
        <v/>
      </c>
      <c r="AZ16" s="188"/>
      <c r="BA16" s="188"/>
      <c r="BB16" s="188"/>
      <c r="BC16" s="188"/>
      <c r="BD16" s="188"/>
      <c r="BE16" s="188"/>
      <c r="BF16" s="188"/>
      <c r="BG16" s="192"/>
      <c r="BH16" s="194"/>
      <c r="BI16" s="194"/>
      <c r="BJ16" s="195"/>
      <c r="BK16" s="194"/>
    </row>
    <row r="17" spans="1:63" x14ac:dyDescent="0.25">
      <c r="A17" s="172"/>
      <c r="B17" s="170"/>
      <c r="C17" s="165"/>
      <c r="D17" s="171"/>
      <c r="E17" s="189"/>
      <c r="F17" s="188"/>
      <c r="G17" s="188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4"/>
      <c r="T17" s="208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19"/>
      <c r="AH17" s="225">
        <f>SUM(PORTEFEUILLE_AUTRE_COMPTABLE[[#This Row],[PCR COMPTABLE €]:[MONTANT
RESPONSABLE RELATION CLIENT €]])-PORTEFEUILLE_AUTRE_COMPTABLE[[#This Row],[MONTANT TOTAL LETTRE DE MISION €]]</f>
        <v>0</v>
      </c>
      <c r="AI17" s="191"/>
      <c r="AJ17" s="188"/>
      <c r="AK17" s="188"/>
      <c r="AL17" s="188"/>
      <c r="AM17" s="188"/>
      <c r="AN17" s="196"/>
      <c r="AO17" s="196"/>
      <c r="AP17" s="196"/>
      <c r="AQ17" s="196"/>
      <c r="AR1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7" s="188" t="str">
        <f>IF(PORTEFEUILLE_AUTRE_COMPTABLE[[#This Row],[BONI AAC]]&lt;&gt;0,1,"")</f>
        <v/>
      </c>
      <c r="AU17" s="188" t="str">
        <f>IF(PORTEFEUILLE_AUTRE_COMPTABLE[[#This Row],[MALI AAC]]&lt;&gt;0,1,"")</f>
        <v/>
      </c>
      <c r="AV17" s="225">
        <f>IF(AP17&lt;&gt;"",IF((AP17*Paramètres!$H$4)-PORTEFEUILLE_AUTRE_COMPTABLE[[#This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€]]-(DELPHINE!AP19*Paramètres!$H$4),0),0)</f>
        <v>0</v>
      </c>
      <c r="AW17" s="225">
        <f>IF(AP17&lt;&gt;"",IF(((AP17*Paramètres!$H$4)-PORTEFEUILLE_AUTRE_COMPTABLE[[#This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7" s="190" t="str">
        <f>IF(PORTEFEUILLE_AUTRE_COMPTABLE[[#This Row],[BONI COMPTABLE]]&lt;&gt;0,1,"")</f>
        <v/>
      </c>
      <c r="AY17" s="190" t="str">
        <f>IF(PORTEFEUILLE_AUTRE_COMPTABLE[[#This Row],[MALI COMPTABLE]]&lt;&gt;0,1,"")</f>
        <v/>
      </c>
      <c r="AZ17" s="196"/>
      <c r="BA17" s="188"/>
      <c r="BB17" s="188"/>
      <c r="BC17" s="188"/>
      <c r="BD17" s="196"/>
      <c r="BE17" s="196"/>
      <c r="BF17" s="196"/>
      <c r="BG17" s="192"/>
      <c r="BH17" s="194"/>
      <c r="BI17" s="194"/>
      <c r="BJ17" s="195"/>
      <c r="BK17" s="194"/>
    </row>
    <row r="18" spans="1:63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SUM(PORTEFEUILLE_AUTRE_COMPTABLE[[#This Row],[PCR COMPTABLE €]:[MONTANT
RESPONSABLE RELATION CLIENT €]])-PORTEFEUILLE_AUTRE_COMPTABLE[[#This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188"/>
      <c r="AQ18" s="188"/>
      <c r="AR1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8" s="188" t="str">
        <f>IF(PORTEFEUILLE_AUTRE_COMPTABLE[[#This Row],[BONI AAC]]&lt;&gt;0,1,"")</f>
        <v/>
      </c>
      <c r="AU18" s="188" t="str">
        <f>IF(PORTEFEUILLE_AUTRE_COMPTABLE[[#This Row],[MALI AAC]]&lt;&gt;0,1,"")</f>
        <v/>
      </c>
      <c r="AV18" s="225">
        <f>IF(AP18&lt;&gt;"",IF((AP18*Paramètres!$H$4)-PORTEFEUILLE_AUTRE_COMPTABLE[[#This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€]]-(DELPHINE!AP20*Paramètres!$H$4),0),0)</f>
        <v>0</v>
      </c>
      <c r="AW18" s="225">
        <f>IF(AP18&lt;&gt;"",IF(((AP18*Paramètres!$H$4)-PORTEFEUILLE_AUTRE_COMPTABLE[[#This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8" s="190" t="str">
        <f>IF(PORTEFEUILLE_AUTRE_COMPTABLE[[#This Row],[BONI COMPTABLE]]&lt;&gt;0,1,"")</f>
        <v/>
      </c>
      <c r="AY18" s="190" t="str">
        <f>IF(PORTEFEUILLE_AUTRE_COMPTABLE[[#This Row],[MALI COMPTABLE]]&lt;&gt;0,1,"")</f>
        <v/>
      </c>
      <c r="AZ18" s="188"/>
      <c r="BA18" s="188"/>
      <c r="BB18" s="188"/>
      <c r="BC18" s="188"/>
      <c r="BD18" s="196"/>
      <c r="BE18" s="196"/>
      <c r="BF18" s="196"/>
      <c r="BG18" s="192"/>
      <c r="BH18" s="194"/>
      <c r="BI18" s="194"/>
      <c r="BJ18" s="195"/>
      <c r="BK18" s="194"/>
    </row>
    <row r="19" spans="1:63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5"/>
      <c r="T19" s="209"/>
      <c r="U19" s="221"/>
      <c r="V19" s="221"/>
      <c r="W19" s="221"/>
      <c r="X19" s="221"/>
      <c r="Y19" s="221"/>
      <c r="Z19" s="221"/>
      <c r="AA19" s="221"/>
      <c r="AB19" s="221"/>
      <c r="AC19" s="221"/>
      <c r="AD19" s="221"/>
      <c r="AE19" s="221"/>
      <c r="AF19" s="221"/>
      <c r="AG19" s="219"/>
      <c r="AH19" s="225">
        <f>SUM(PORTEFEUILLE_AUTRE_COMPTABLE[[#This Row],[PCR COMPTABLE €]:[MONTANT
RESPONSABLE RELATION CLIENT €]])-PORTEFEUILLE_AUTRE_COMPTABLE[[#This Row],[MONTANT TOTAL LETTRE DE MISION €]]</f>
        <v>0</v>
      </c>
      <c r="AI19" s="191"/>
      <c r="AJ19" s="188"/>
      <c r="AK19" s="188"/>
      <c r="AL19" s="188"/>
      <c r="AM19" s="188"/>
      <c r="AN19" s="197"/>
      <c r="AO19" s="197"/>
      <c r="AP19" s="197"/>
      <c r="AQ19" s="197"/>
      <c r="AR1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1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19" s="188" t="str">
        <f>IF(PORTEFEUILLE_AUTRE_COMPTABLE[[#This Row],[BONI AAC]]&lt;&gt;0,1,"")</f>
        <v/>
      </c>
      <c r="AU19" s="188" t="str">
        <f>IF(PORTEFEUILLE_AUTRE_COMPTABLE[[#This Row],[MALI AAC]]&lt;&gt;0,1,"")</f>
        <v/>
      </c>
      <c r="AV19" s="225">
        <f>IF(AP19&lt;&gt;"",IF((AP19*Paramètres!$H$4)-PORTEFEUILLE_AUTRE_COMPTABLE[[#This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€]]-(DELPHINE!AP21*Paramètres!$H$4),0),0)</f>
        <v>0</v>
      </c>
      <c r="AW19" s="225">
        <f>IF(AP19&lt;&gt;"",IF(((AP19*Paramètres!$H$4)-PORTEFEUILLE_AUTRE_COMPTABLE[[#This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19" s="190" t="str">
        <f>IF(PORTEFEUILLE_AUTRE_COMPTABLE[[#This Row],[BONI COMPTABLE]]&lt;&gt;0,1,"")</f>
        <v/>
      </c>
      <c r="AY19" s="190" t="str">
        <f>IF(PORTEFEUILLE_AUTRE_COMPTABLE[[#This Row],[MALI COMPTABLE]]&lt;&gt;0,1,"")</f>
        <v/>
      </c>
      <c r="AZ19" s="188"/>
      <c r="BA19" s="188"/>
      <c r="BB19" s="188"/>
      <c r="BC19" s="188"/>
      <c r="BD19" s="196"/>
      <c r="BE19" s="196"/>
      <c r="BF19" s="196"/>
      <c r="BG19" s="192"/>
      <c r="BH19" s="194"/>
      <c r="BI19" s="194"/>
      <c r="BJ19" s="195"/>
      <c r="BK19" s="194"/>
    </row>
    <row r="20" spans="1:63" x14ac:dyDescent="0.25">
      <c r="A20" s="172"/>
      <c r="B20" s="170"/>
      <c r="C20" s="165"/>
      <c r="D20" s="171"/>
      <c r="E20" s="189"/>
      <c r="F20" s="188"/>
      <c r="G20" s="189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3"/>
      <c r="T20" s="207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25">
        <f>SUM(PORTEFEUILLE_AUTRE_COMPTABLE[[#This Row],[PCR COMPTABLE €]:[MONTANT
RESPONSABLE RELATION CLIENT €]])-PORTEFEUILLE_AUTRE_COMPTABLE[[#This Row],[MONTANT TOTAL LETTRE DE MISION €]]</f>
        <v>0</v>
      </c>
      <c r="AI20" s="191"/>
      <c r="AJ20" s="188"/>
      <c r="AK20" s="188"/>
      <c r="AL20" s="188"/>
      <c r="AM20" s="188"/>
      <c r="AN20" s="188"/>
      <c r="AO20" s="188"/>
      <c r="AP20" s="188"/>
      <c r="AQ20" s="188"/>
      <c r="AR2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0" s="188" t="str">
        <f>IF(PORTEFEUILLE_AUTRE_COMPTABLE[[#This Row],[BONI AAC]]&lt;&gt;0,1,"")</f>
        <v/>
      </c>
      <c r="AU20" s="188" t="str">
        <f>IF(PORTEFEUILLE_AUTRE_COMPTABLE[[#This Row],[MALI AAC]]&lt;&gt;0,1,"")</f>
        <v/>
      </c>
      <c r="AV20" s="225">
        <f>IF(AP20&lt;&gt;"",IF((AP20*Paramètres!$H$4)-PORTEFEUILLE_AUTRE_COMPTABLE[[#This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€]]-(DELPHINE!AP22*Paramètres!$H$4),0),0)</f>
        <v>0</v>
      </c>
      <c r="AW20" s="225">
        <f>IF(AP20&lt;&gt;"",IF(((AP20*Paramètres!$H$4)-PORTEFEUILLE_AUTRE_COMPTABLE[[#This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0" s="190" t="str">
        <f>IF(PORTEFEUILLE_AUTRE_COMPTABLE[[#This Row],[BONI COMPTABLE]]&lt;&gt;0,1,"")</f>
        <v/>
      </c>
      <c r="AY20" s="190" t="str">
        <f>IF(PORTEFEUILLE_AUTRE_COMPTABLE[[#This Row],[MALI COMPTABLE]]&lt;&gt;0,1,"")</f>
        <v/>
      </c>
      <c r="AZ20" s="188"/>
      <c r="BA20" s="188"/>
      <c r="BB20" s="188"/>
      <c r="BC20" s="188"/>
      <c r="BD20" s="188"/>
      <c r="BE20" s="188"/>
      <c r="BF20" s="188"/>
      <c r="BG20" s="192"/>
      <c r="BH20" s="194"/>
      <c r="BI20" s="194"/>
      <c r="BJ20" s="195"/>
      <c r="BK20" s="194"/>
    </row>
    <row r="21" spans="1:63" x14ac:dyDescent="0.25">
      <c r="A21" s="172"/>
      <c r="B21" s="170"/>
      <c r="C21" s="165"/>
      <c r="D21" s="171"/>
      <c r="E21" s="189"/>
      <c r="F21" s="188"/>
      <c r="G21" s="188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4"/>
      <c r="T21" s="208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  <c r="AG21" s="219"/>
      <c r="AH21" s="225">
        <f>SUM(PORTEFEUILLE_AUTRE_COMPTABLE[[#This Row],[PCR COMPTABLE €]:[MONTANT
RESPONSABLE RELATION CLIENT €]])-PORTEFEUILLE_AUTRE_COMPTABLE[[#This Row],[MONTANT TOTAL LETTRE DE MISION €]]</f>
        <v>0</v>
      </c>
      <c r="AI21" s="191"/>
      <c r="AJ21" s="188"/>
      <c r="AK21" s="188"/>
      <c r="AL21" s="188"/>
      <c r="AM21" s="188"/>
      <c r="AN21" s="196"/>
      <c r="AO21" s="196"/>
      <c r="AP21" s="196"/>
      <c r="AQ21" s="196"/>
      <c r="AR2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1" s="188" t="str">
        <f>IF(PORTEFEUILLE_AUTRE_COMPTABLE[[#This Row],[BONI AAC]]&lt;&gt;0,1,"")</f>
        <v/>
      </c>
      <c r="AU21" s="188" t="str">
        <f>IF(PORTEFEUILLE_AUTRE_COMPTABLE[[#This Row],[MALI AAC]]&lt;&gt;0,1,"")</f>
        <v/>
      </c>
      <c r="AV21" s="225">
        <f>IF(AP21&lt;&gt;"",IF((AP21*Paramètres!$H$4)-PORTEFEUILLE_AUTRE_COMPTABLE[[#This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€]]-(DELPHINE!AP23*Paramètres!$H$4),0),0)</f>
        <v>0</v>
      </c>
      <c r="AW21" s="225">
        <f>IF(AP21&lt;&gt;"",IF(((AP21*Paramètres!$H$4)-PORTEFEUILLE_AUTRE_COMPTABLE[[#This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1" s="190" t="str">
        <f>IF(PORTEFEUILLE_AUTRE_COMPTABLE[[#This Row],[BONI COMPTABLE]]&lt;&gt;0,1,"")</f>
        <v/>
      </c>
      <c r="AY21" s="190" t="str">
        <f>IF(PORTEFEUILLE_AUTRE_COMPTABLE[[#This Row],[MALI COMPTABLE]]&lt;&gt;0,1,"")</f>
        <v/>
      </c>
      <c r="AZ21" s="196"/>
      <c r="BA21" s="188"/>
      <c r="BB21" s="188"/>
      <c r="BC21" s="188"/>
      <c r="BD21" s="188"/>
      <c r="BE21" s="188"/>
      <c r="BF21" s="188"/>
      <c r="BG21" s="192"/>
      <c r="BH21" s="194"/>
      <c r="BI21" s="194"/>
      <c r="BJ21" s="195"/>
      <c r="BK21" s="194"/>
    </row>
    <row r="22" spans="1:63" x14ac:dyDescent="0.25">
      <c r="A22" s="172"/>
      <c r="B22" s="170"/>
      <c r="C22" s="165"/>
      <c r="D22" s="171"/>
      <c r="E22" s="189"/>
      <c r="F22" s="188"/>
      <c r="G22" s="188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4"/>
      <c r="T22" s="208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19"/>
      <c r="AH22" s="225">
        <f>SUM(PORTEFEUILLE_AUTRE_COMPTABLE[[#This Row],[PCR COMPTABLE €]:[MONTANT
RESPONSABLE RELATION CLIENT €]])-PORTEFEUILLE_AUTRE_COMPTABLE[[#This Row],[MONTANT TOTAL LETTRE DE MISION €]]</f>
        <v>0</v>
      </c>
      <c r="AI22" s="191"/>
      <c r="AJ22" s="188"/>
      <c r="AK22" s="188"/>
      <c r="AL22" s="188"/>
      <c r="AM22" s="188"/>
      <c r="AN22" s="196"/>
      <c r="AO22" s="196"/>
      <c r="AP22" s="196"/>
      <c r="AQ22" s="196"/>
      <c r="AR2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2" s="188" t="str">
        <f>IF(PORTEFEUILLE_AUTRE_COMPTABLE[[#This Row],[BONI AAC]]&lt;&gt;0,1,"")</f>
        <v/>
      </c>
      <c r="AU22" s="188" t="str">
        <f>IF(PORTEFEUILLE_AUTRE_COMPTABLE[[#This Row],[MALI AAC]]&lt;&gt;0,1,"")</f>
        <v/>
      </c>
      <c r="AV22" s="225">
        <f>IF(AP22&lt;&gt;"",IF((AP22*Paramètres!$H$4)-PORTEFEUILLE_AUTRE_COMPTABLE[[#This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€]]-(DELPHINE!AP24*Paramètres!$H$4),0),0)</f>
        <v>0</v>
      </c>
      <c r="AW22" s="225">
        <f>IF(AP22&lt;&gt;"",IF(((AP22*Paramètres!$H$4)-PORTEFEUILLE_AUTRE_COMPTABLE[[#This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2" s="190" t="str">
        <f>IF(PORTEFEUILLE_AUTRE_COMPTABLE[[#This Row],[BONI COMPTABLE]]&lt;&gt;0,1,"")</f>
        <v/>
      </c>
      <c r="AY22" s="190" t="str">
        <f>IF(PORTEFEUILLE_AUTRE_COMPTABLE[[#This Row],[MALI COMPTABLE]]&lt;&gt;0,1,"")</f>
        <v/>
      </c>
      <c r="AZ22" s="196"/>
      <c r="BA22" s="188"/>
      <c r="BB22" s="188"/>
      <c r="BC22" s="188"/>
      <c r="BD22" s="188"/>
      <c r="BE22" s="188"/>
      <c r="BF22" s="188"/>
      <c r="BG22" s="192"/>
      <c r="BH22" s="194"/>
      <c r="BI22" s="194"/>
      <c r="BJ22" s="195"/>
      <c r="BK22" s="194"/>
    </row>
    <row r="23" spans="1:63" x14ac:dyDescent="0.25">
      <c r="A23" s="172"/>
      <c r="B23" s="170"/>
      <c r="C23" s="165"/>
      <c r="D23" s="171"/>
      <c r="E23" s="189"/>
      <c r="F23" s="188"/>
      <c r="G23" s="188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4"/>
      <c r="T23" s="208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19"/>
      <c r="AH23" s="225">
        <f>SUM(PORTEFEUILLE_AUTRE_COMPTABLE[[#This Row],[PCR COMPTABLE €]:[MONTANT
RESPONSABLE RELATION CLIENT €]])-PORTEFEUILLE_AUTRE_COMPTABLE[[#This Row],[MONTANT TOTAL LETTRE DE MISION €]]</f>
        <v>0</v>
      </c>
      <c r="AI23" s="191"/>
      <c r="AJ23" s="188"/>
      <c r="AK23" s="188"/>
      <c r="AL23" s="188"/>
      <c r="AM23" s="188"/>
      <c r="AN23" s="196"/>
      <c r="AO23" s="196"/>
      <c r="AP23" s="196"/>
      <c r="AQ23" s="196"/>
      <c r="AR2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3" s="188" t="str">
        <f>IF(PORTEFEUILLE_AUTRE_COMPTABLE[[#This Row],[BONI AAC]]&lt;&gt;0,1,"")</f>
        <v/>
      </c>
      <c r="AU23" s="188" t="str">
        <f>IF(PORTEFEUILLE_AUTRE_COMPTABLE[[#This Row],[MALI AAC]]&lt;&gt;0,1,"")</f>
        <v/>
      </c>
      <c r="AV23" s="225">
        <f>IF(AP23&lt;&gt;"",IF((AP23*Paramètres!$H$4)-PORTEFEUILLE_AUTRE_COMPTABLE[[#This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€]]-(DELPHINE!AP25*Paramètres!$H$4),0),0)</f>
        <v>0</v>
      </c>
      <c r="AW23" s="225">
        <f>IF(AP23&lt;&gt;"",IF(((AP23*Paramètres!$H$4)-PORTEFEUILLE_AUTRE_COMPTABLE[[#This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3" s="190" t="str">
        <f>IF(PORTEFEUILLE_AUTRE_COMPTABLE[[#This Row],[BONI COMPTABLE]]&lt;&gt;0,1,"")</f>
        <v/>
      </c>
      <c r="AY23" s="190" t="str">
        <f>IF(PORTEFEUILLE_AUTRE_COMPTABLE[[#This Row],[MALI COMPTABLE]]&lt;&gt;0,1,"")</f>
        <v/>
      </c>
      <c r="AZ23" s="196"/>
      <c r="BA23" s="188"/>
      <c r="BB23" s="188"/>
      <c r="BC23" s="188"/>
      <c r="BD23" s="188"/>
      <c r="BE23" s="188"/>
      <c r="BF23" s="188"/>
      <c r="BG23" s="192"/>
      <c r="BH23" s="194"/>
      <c r="BI23" s="194"/>
      <c r="BJ23" s="195"/>
      <c r="BK23" s="194"/>
    </row>
    <row r="24" spans="1:63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SUM(PORTEFEUILLE_AUTRE_COMPTABLE[[#This Row],[PCR COMPTABLE €]:[MONTANT
RESPONSABLE RELATION CLIENT €]])-PORTEFEUILLE_AUTRE_COMPTABLE[[#This Row],[MONTANT TOTAL LETTRE DE MISION €]]</f>
        <v>0</v>
      </c>
      <c r="AI24" s="191"/>
      <c r="AJ24" s="188"/>
      <c r="AK24" s="188"/>
      <c r="AL24" s="188"/>
      <c r="AM24" s="188"/>
      <c r="AN24" s="196"/>
      <c r="AO24" s="196"/>
      <c r="AP24" s="196"/>
      <c r="AQ24" s="196"/>
      <c r="AR2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4" s="188" t="str">
        <f>IF(PORTEFEUILLE_AUTRE_COMPTABLE[[#This Row],[BONI AAC]]&lt;&gt;0,1,"")</f>
        <v/>
      </c>
      <c r="AU24" s="188" t="str">
        <f>IF(PORTEFEUILLE_AUTRE_COMPTABLE[[#This Row],[MALI AAC]]&lt;&gt;0,1,"")</f>
        <v/>
      </c>
      <c r="AV24" s="225">
        <f>IF(AP24&lt;&gt;"",IF((AP24*Paramètres!$H$4)-PORTEFEUILLE_AUTRE_COMPTABLE[[#This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€]]-(DELPHINE!AP26*Paramètres!$H$4),0),0)</f>
        <v>0</v>
      </c>
      <c r="AW24" s="225">
        <f>IF(AP24&lt;&gt;"",IF(((AP24*Paramètres!$H$4)-PORTEFEUILLE_AUTRE_COMPTABLE[[#This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4" s="190" t="str">
        <f>IF(PORTEFEUILLE_AUTRE_COMPTABLE[[#This Row],[BONI COMPTABLE]]&lt;&gt;0,1,"")</f>
        <v/>
      </c>
      <c r="AY24" s="190" t="str">
        <f>IF(PORTEFEUILLE_AUTRE_COMPTABLE[[#This Row],[MALI COMPTABLE]]&lt;&gt;0,1,"")</f>
        <v/>
      </c>
      <c r="AZ24" s="196"/>
      <c r="BA24" s="188"/>
      <c r="BB24" s="188"/>
      <c r="BC24" s="188"/>
      <c r="BD24" s="188"/>
      <c r="BE24" s="188"/>
      <c r="BF24" s="188"/>
      <c r="BG24" s="192"/>
      <c r="BH24" s="194"/>
      <c r="BI24" s="194"/>
      <c r="BJ24" s="195"/>
      <c r="BK24" s="194"/>
    </row>
    <row r="25" spans="1:63" s="90" customFormat="1" x14ac:dyDescent="0.25">
      <c r="A25" s="176"/>
      <c r="B25" s="170"/>
      <c r="C25" s="165"/>
      <c r="D25" s="171"/>
      <c r="E25" s="189"/>
      <c r="F25" s="188"/>
      <c r="G25" s="189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3"/>
      <c r="T25" s="207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25">
        <f>SUM(PORTEFEUILLE_AUTRE_COMPTABLE[[#This Row],[PCR COMPTABLE €]:[MONTANT
RESPONSABLE RELATION CLIENT €]])-PORTEFEUILLE_AUTRE_COMPTABLE[[#This Row],[MONTANT TOTAL LETTRE DE MISION €]]</f>
        <v>0</v>
      </c>
      <c r="AI25" s="191"/>
      <c r="AJ25" s="188"/>
      <c r="AK25" s="188"/>
      <c r="AL25" s="188"/>
      <c r="AM25" s="188"/>
      <c r="AN25" s="188"/>
      <c r="AO25" s="188"/>
      <c r="AP25" s="188"/>
      <c r="AQ25" s="188"/>
      <c r="AR2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5" s="188" t="str">
        <f>IF(PORTEFEUILLE_AUTRE_COMPTABLE[[#This Row],[BONI AAC]]&lt;&gt;0,1,"")</f>
        <v/>
      </c>
      <c r="AU25" s="188" t="str">
        <f>IF(PORTEFEUILLE_AUTRE_COMPTABLE[[#This Row],[MALI AAC]]&lt;&gt;0,1,"")</f>
        <v/>
      </c>
      <c r="AV25" s="225">
        <f>IF(AP25&lt;&gt;"",IF((AP25*Paramètres!$H$4)-PORTEFEUILLE_AUTRE_COMPTABLE[[#This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€]]-(DELPHINE!AP27*Paramètres!$H$4),0),0)</f>
        <v>0</v>
      </c>
      <c r="AW25" s="225">
        <f>IF(AP25&lt;&gt;"",IF(((AP25*Paramètres!$H$4)-PORTEFEUILLE_AUTRE_COMPTABLE[[#This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5" s="190" t="str">
        <f>IF(PORTEFEUILLE_AUTRE_COMPTABLE[[#This Row],[BONI COMPTABLE]]&lt;&gt;0,1,"")</f>
        <v/>
      </c>
      <c r="AY25" s="190" t="str">
        <f>IF(PORTEFEUILLE_AUTRE_COMPTABLE[[#This Row],[MALI COMPTABLE]]&lt;&gt;0,1,"")</f>
        <v/>
      </c>
      <c r="AZ25" s="188"/>
      <c r="BA25" s="188"/>
      <c r="BB25" s="188"/>
      <c r="BC25" s="188"/>
      <c r="BD25" s="196"/>
      <c r="BE25" s="196"/>
      <c r="BF25" s="196"/>
      <c r="BG25" s="192"/>
      <c r="BH25" s="196"/>
      <c r="BI25" s="196"/>
      <c r="BJ25" s="198"/>
      <c r="BK25" s="196"/>
    </row>
    <row r="26" spans="1:63" x14ac:dyDescent="0.25">
      <c r="A26" s="172"/>
      <c r="B26" s="170"/>
      <c r="C26" s="165"/>
      <c r="D26" s="171"/>
      <c r="E26" s="189"/>
      <c r="F26" s="188"/>
      <c r="G26" s="189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3"/>
      <c r="T26" s="207"/>
      <c r="U26" s="219"/>
      <c r="V26" s="219"/>
      <c r="W26" s="219"/>
      <c r="X26" s="219"/>
      <c r="Y26" s="219"/>
      <c r="Z26" s="219"/>
      <c r="AA26" s="219"/>
      <c r="AB26" s="219"/>
      <c r="AC26" s="219"/>
      <c r="AD26" s="219"/>
      <c r="AE26" s="219"/>
      <c r="AF26" s="219"/>
      <c r="AG26" s="219"/>
      <c r="AH26" s="225">
        <f>SUM(PORTEFEUILLE_AUTRE_COMPTABLE[[#This Row],[PCR COMPTABLE €]:[MONTANT
RESPONSABLE RELATION CLIENT €]])-PORTEFEUILLE_AUTRE_COMPTABLE[[#This Row],[MONTANT TOTAL LETTRE DE MISION €]]</f>
        <v>0</v>
      </c>
      <c r="AI26" s="191"/>
      <c r="AJ26" s="188"/>
      <c r="AK26" s="188"/>
      <c r="AL26" s="188"/>
      <c r="AM26" s="188"/>
      <c r="AN26" s="188"/>
      <c r="AO26" s="188"/>
      <c r="AP26" s="188"/>
      <c r="AQ26" s="188"/>
      <c r="AR2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6" s="188" t="str">
        <f>IF(PORTEFEUILLE_AUTRE_COMPTABLE[[#This Row],[BONI AAC]]&lt;&gt;0,1,"")</f>
        <v/>
      </c>
      <c r="AU26" s="188" t="str">
        <f>IF(PORTEFEUILLE_AUTRE_COMPTABLE[[#This Row],[MALI AAC]]&lt;&gt;0,1,"")</f>
        <v/>
      </c>
      <c r="AV26" s="225">
        <f>IF(AP26&lt;&gt;"",IF((AP26*Paramètres!$H$4)-PORTEFEUILLE_AUTRE_COMPTABLE[[#This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€]]-(DELPHINE!AP28*Paramètres!$H$4),0),0)</f>
        <v>0</v>
      </c>
      <c r="AW26" s="225">
        <f>IF(AP26&lt;&gt;"",IF(((AP26*Paramètres!$H$4)-PORTEFEUILLE_AUTRE_COMPTABLE[[#This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6" s="190" t="str">
        <f>IF(PORTEFEUILLE_AUTRE_COMPTABLE[[#This Row],[BONI COMPTABLE]]&lt;&gt;0,1,"")</f>
        <v/>
      </c>
      <c r="AY26" s="190" t="str">
        <f>IF(PORTEFEUILLE_AUTRE_COMPTABLE[[#This Row],[MALI COMPTABLE]]&lt;&gt;0,1,"")</f>
        <v/>
      </c>
      <c r="AZ26" s="188"/>
      <c r="BA26" s="188"/>
      <c r="BB26" s="188"/>
      <c r="BC26" s="188"/>
      <c r="BD26" s="196"/>
      <c r="BE26" s="196"/>
      <c r="BF26" s="196"/>
      <c r="BG26" s="192"/>
      <c r="BH26" s="194"/>
      <c r="BI26" s="194"/>
      <c r="BJ26" s="195"/>
      <c r="BK26" s="194"/>
    </row>
    <row r="27" spans="1:63" x14ac:dyDescent="0.25">
      <c r="A27" s="172"/>
      <c r="B27" s="170"/>
      <c r="C27" s="165"/>
      <c r="D27" s="171"/>
      <c r="E27" s="189"/>
      <c r="F27" s="188"/>
      <c r="G27" s="189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3"/>
      <c r="T27" s="207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25">
        <f>SUM(PORTEFEUILLE_AUTRE_COMPTABLE[[#This Row],[PCR COMPTABLE €]:[MONTANT
RESPONSABLE RELATION CLIENT €]])-PORTEFEUILLE_AUTRE_COMPTABLE[[#This Row],[MONTANT TOTAL LETTRE DE MISION €]]</f>
        <v>0</v>
      </c>
      <c r="AI27" s="191"/>
      <c r="AJ27" s="188"/>
      <c r="AK27" s="188"/>
      <c r="AL27" s="188"/>
      <c r="AM27" s="188"/>
      <c r="AN27" s="188"/>
      <c r="AO27" s="188"/>
      <c r="AP27" s="188"/>
      <c r="AQ27" s="188"/>
      <c r="AR2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7" s="188" t="str">
        <f>IF(PORTEFEUILLE_AUTRE_COMPTABLE[[#This Row],[BONI AAC]]&lt;&gt;0,1,"")</f>
        <v/>
      </c>
      <c r="AU27" s="188" t="str">
        <f>IF(PORTEFEUILLE_AUTRE_COMPTABLE[[#This Row],[MALI AAC]]&lt;&gt;0,1,"")</f>
        <v/>
      </c>
      <c r="AV27" s="225">
        <f>IF(AP27&lt;&gt;"",IF((AP27*Paramètres!$H$4)-PORTEFEUILLE_AUTRE_COMPTABLE[[#This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€]]-(DELPHINE!AP29*Paramètres!$H$4),0),0)</f>
        <v>0</v>
      </c>
      <c r="AW27" s="225">
        <f>IF(AP27&lt;&gt;"",IF(((AP27*Paramètres!$H$4)-PORTEFEUILLE_AUTRE_COMPTABLE[[#This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7" s="190" t="str">
        <f>IF(PORTEFEUILLE_AUTRE_COMPTABLE[[#This Row],[BONI COMPTABLE]]&lt;&gt;0,1,"")</f>
        <v/>
      </c>
      <c r="AY27" s="190" t="str">
        <f>IF(PORTEFEUILLE_AUTRE_COMPTABLE[[#This Row],[MALI COMPTABLE]]&lt;&gt;0,1,"")</f>
        <v/>
      </c>
      <c r="AZ27" s="188"/>
      <c r="BA27" s="188"/>
      <c r="BB27" s="188"/>
      <c r="BC27" s="188"/>
      <c r="BD27" s="188"/>
      <c r="BE27" s="188"/>
      <c r="BF27" s="188"/>
      <c r="BG27" s="192"/>
      <c r="BH27" s="194"/>
      <c r="BI27" s="194"/>
      <c r="BJ27" s="195"/>
      <c r="BK27" s="194"/>
    </row>
    <row r="28" spans="1:63" x14ac:dyDescent="0.25">
      <c r="A28" s="172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SUM(PORTEFEUILLE_AUTRE_COMPTABLE[[#This Row],[PCR COMPTABLE €]:[MONTANT
RESPONSABLE RELATION CLIENT €]])-PORTEFEUILLE_AUTRE_COMPTABLE[[#This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188"/>
      <c r="AQ28" s="188"/>
      <c r="AR2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8" s="188" t="str">
        <f>IF(PORTEFEUILLE_AUTRE_COMPTABLE[[#This Row],[BONI AAC]]&lt;&gt;0,1,"")</f>
        <v/>
      </c>
      <c r="AU28" s="188" t="str">
        <f>IF(PORTEFEUILLE_AUTRE_COMPTABLE[[#This Row],[MALI AAC]]&lt;&gt;0,1,"")</f>
        <v/>
      </c>
      <c r="AV28" s="225">
        <f>IF(AP28&lt;&gt;"",IF((AP28*Paramètres!$H$4)-PORTEFEUILLE_AUTRE_COMPTABLE[[#This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€]]-(DELPHINE!AP30*Paramètres!$H$4),0),0)</f>
        <v>0</v>
      </c>
      <c r="AW28" s="225">
        <f>IF(AP28&lt;&gt;"",IF(((AP28*Paramètres!$H$4)-PORTEFEUILLE_AUTRE_COMPTABLE[[#This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8" s="190" t="str">
        <f>IF(PORTEFEUILLE_AUTRE_COMPTABLE[[#This Row],[BONI COMPTABLE]]&lt;&gt;0,1,"")</f>
        <v/>
      </c>
      <c r="AY28" s="190" t="str">
        <f>IF(PORTEFEUILLE_AUTRE_COMPTABLE[[#This Row],[MALI COMPTABLE]]&lt;&gt;0,1,"")</f>
        <v/>
      </c>
      <c r="AZ28" s="188"/>
      <c r="BA28" s="188"/>
      <c r="BB28" s="188"/>
      <c r="BC28" s="188"/>
      <c r="BD28" s="196"/>
      <c r="BE28" s="196"/>
      <c r="BF28" s="196"/>
      <c r="BG28" s="192"/>
      <c r="BH28" s="194"/>
      <c r="BI28" s="194"/>
      <c r="BJ28" s="195"/>
      <c r="BK28" s="194"/>
    </row>
    <row r="29" spans="1:63" x14ac:dyDescent="0.25">
      <c r="A29" s="172"/>
      <c r="B29" s="177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SUM(PORTEFEUILLE_AUTRE_COMPTABLE[[#This Row],[PCR COMPTABLE €]:[MONTANT
RESPONSABLE RELATION CLIENT €]])-PORTEFEUILLE_AUTRE_COMPTABLE[[#This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188"/>
      <c r="AQ29" s="188"/>
      <c r="AR2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2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29" s="188" t="str">
        <f>IF(PORTEFEUILLE_AUTRE_COMPTABLE[[#This Row],[BONI AAC]]&lt;&gt;0,1,"")</f>
        <v/>
      </c>
      <c r="AU29" s="188" t="str">
        <f>IF(PORTEFEUILLE_AUTRE_COMPTABLE[[#This Row],[MALI AAC]]&lt;&gt;0,1,"")</f>
        <v/>
      </c>
      <c r="AV29" s="225">
        <f>IF(AP29&lt;&gt;"",IF((AP29*Paramètres!$H$4)-PORTEFEUILLE_AUTRE_COMPTABLE[[#This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€]]-(DELPHINE!AP31*Paramètres!$H$4),0),0)</f>
        <v>0</v>
      </c>
      <c r="AW29" s="225">
        <f>IF(AP29&lt;&gt;"",IF(((AP29*Paramètres!$H$4)-PORTEFEUILLE_AUTRE_COMPTABLE[[#This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29" s="190" t="str">
        <f>IF(PORTEFEUILLE_AUTRE_COMPTABLE[[#This Row],[BONI COMPTABLE]]&lt;&gt;0,1,"")</f>
        <v/>
      </c>
      <c r="AY29" s="190" t="str">
        <f>IF(PORTEFEUILLE_AUTRE_COMPTABLE[[#This Row],[MALI COMPTABLE]]&lt;&gt;0,1,"")</f>
        <v/>
      </c>
      <c r="AZ29" s="188"/>
      <c r="BA29" s="188"/>
      <c r="BB29" s="188"/>
      <c r="BC29" s="188"/>
      <c r="BD29" s="188"/>
      <c r="BE29" s="188"/>
      <c r="BF29" s="188"/>
      <c r="BG29" s="192"/>
      <c r="BH29" s="194"/>
      <c r="BI29" s="194"/>
      <c r="BJ29" s="195"/>
      <c r="BK29" s="194"/>
    </row>
    <row r="30" spans="1:63" x14ac:dyDescent="0.25">
      <c r="A30" s="172"/>
      <c r="B30" s="177"/>
      <c r="C30" s="165"/>
      <c r="D30" s="171"/>
      <c r="E30" s="189"/>
      <c r="F30" s="188"/>
      <c r="G30" s="188"/>
      <c r="H30" s="189"/>
      <c r="I30" s="188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4"/>
      <c r="T30" s="208"/>
      <c r="U30" s="220"/>
      <c r="V30" s="220"/>
      <c r="W30" s="220"/>
      <c r="X30" s="220"/>
      <c r="Y30" s="220"/>
      <c r="Z30" s="220"/>
      <c r="AA30" s="220"/>
      <c r="AB30" s="220"/>
      <c r="AC30" s="220"/>
      <c r="AD30" s="220"/>
      <c r="AE30" s="220"/>
      <c r="AF30" s="220"/>
      <c r="AG30" s="219"/>
      <c r="AH30" s="225">
        <f>SUM(PORTEFEUILLE_AUTRE_COMPTABLE[[#This Row],[PCR COMPTABLE €]:[MONTANT
RESPONSABLE RELATION CLIENT €]])-PORTEFEUILLE_AUTRE_COMPTABLE[[#This Row],[MONTANT TOTAL LETTRE DE MISION €]]</f>
        <v>0</v>
      </c>
      <c r="AI30" s="191"/>
      <c r="AJ30" s="188"/>
      <c r="AK30" s="188"/>
      <c r="AL30" s="188"/>
      <c r="AM30" s="188"/>
      <c r="AN30" s="196"/>
      <c r="AO30" s="196"/>
      <c r="AP30" s="196"/>
      <c r="AQ30" s="196"/>
      <c r="AR3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0" s="188" t="str">
        <f>IF(PORTEFEUILLE_AUTRE_COMPTABLE[[#This Row],[BONI AAC]]&lt;&gt;0,1,"")</f>
        <v/>
      </c>
      <c r="AU30" s="188" t="str">
        <f>IF(PORTEFEUILLE_AUTRE_COMPTABLE[[#This Row],[MALI AAC]]&lt;&gt;0,1,"")</f>
        <v/>
      </c>
      <c r="AV30" s="225">
        <f>IF(AP30&lt;&gt;"",IF((AP30*Paramètres!$H$4)-PORTEFEUILLE_AUTRE_COMPTABLE[[#This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€]]-(DELPHINE!AP32*Paramètres!$H$4),0),0)</f>
        <v>0</v>
      </c>
      <c r="AW30" s="225">
        <f>IF(AP30&lt;&gt;"",IF(((AP30*Paramètres!$H$4)-PORTEFEUILLE_AUTRE_COMPTABLE[[#This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0" s="190" t="str">
        <f>IF(PORTEFEUILLE_AUTRE_COMPTABLE[[#This Row],[BONI COMPTABLE]]&lt;&gt;0,1,"")</f>
        <v/>
      </c>
      <c r="AY30" s="190" t="str">
        <f>IF(PORTEFEUILLE_AUTRE_COMPTABLE[[#This Row],[MALI COMPTABLE]]&lt;&gt;0,1,"")</f>
        <v/>
      </c>
      <c r="AZ30" s="196"/>
      <c r="BA30" s="188"/>
      <c r="BB30" s="188"/>
      <c r="BC30" s="188"/>
      <c r="BD30" s="196"/>
      <c r="BE30" s="196"/>
      <c r="BF30" s="196"/>
      <c r="BG30" s="192"/>
      <c r="BH30" s="194"/>
      <c r="BI30" s="194"/>
      <c r="BJ30" s="195"/>
      <c r="BK30" s="194"/>
    </row>
    <row r="31" spans="1:63" x14ac:dyDescent="0.25">
      <c r="A31" s="172"/>
      <c r="B31" s="177"/>
      <c r="C31" s="165"/>
      <c r="D31" s="171"/>
      <c r="E31" s="189"/>
      <c r="F31" s="188"/>
      <c r="G31" s="188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4"/>
      <c r="T31" s="208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19"/>
      <c r="AH31" s="225">
        <f>SUM(PORTEFEUILLE_AUTRE_COMPTABLE[[#This Row],[PCR COMPTABLE €]:[MONTANT
RESPONSABLE RELATION CLIENT €]])-PORTEFEUILLE_AUTRE_COMPTABLE[[#This Row],[MONTANT TOTAL LETTRE DE MISION €]]</f>
        <v>0</v>
      </c>
      <c r="AI31" s="191"/>
      <c r="AJ31" s="188"/>
      <c r="AK31" s="188"/>
      <c r="AL31" s="188"/>
      <c r="AM31" s="188"/>
      <c r="AN31" s="196"/>
      <c r="AO31" s="196"/>
      <c r="AP31" s="196"/>
      <c r="AQ31" s="196"/>
      <c r="AR3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1" s="188" t="str">
        <f>IF(PORTEFEUILLE_AUTRE_COMPTABLE[[#This Row],[BONI AAC]]&lt;&gt;0,1,"")</f>
        <v/>
      </c>
      <c r="AU31" s="188" t="str">
        <f>IF(PORTEFEUILLE_AUTRE_COMPTABLE[[#This Row],[MALI AAC]]&lt;&gt;0,1,"")</f>
        <v/>
      </c>
      <c r="AV31" s="225">
        <f>IF(AP31&lt;&gt;"",IF((AP31*Paramètres!$H$4)-PORTEFEUILLE_AUTRE_COMPTABLE[[#This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€]]-(DELPHINE!AP33*Paramètres!$H$4),0),0)</f>
        <v>0</v>
      </c>
      <c r="AW31" s="225">
        <f>IF(AP31&lt;&gt;"",IF(((AP31*Paramètres!$H$4)-PORTEFEUILLE_AUTRE_COMPTABLE[[#This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1" s="190" t="str">
        <f>IF(PORTEFEUILLE_AUTRE_COMPTABLE[[#This Row],[BONI COMPTABLE]]&lt;&gt;0,1,"")</f>
        <v/>
      </c>
      <c r="AY31" s="190" t="str">
        <f>IF(PORTEFEUILLE_AUTRE_COMPTABLE[[#This Row],[MALI COMPTABLE]]&lt;&gt;0,1,"")</f>
        <v/>
      </c>
      <c r="AZ31" s="196"/>
      <c r="BA31" s="188"/>
      <c r="BB31" s="188"/>
      <c r="BC31" s="188"/>
      <c r="BD31" s="188"/>
      <c r="BE31" s="188"/>
      <c r="BF31" s="188"/>
      <c r="BG31" s="192"/>
      <c r="BH31" s="194"/>
      <c r="BI31" s="194"/>
      <c r="BJ31" s="195"/>
      <c r="BK31" s="194"/>
    </row>
    <row r="32" spans="1:63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SUM(PORTEFEUILLE_AUTRE_COMPTABLE[[#This Row],[PCR COMPTABLE €]:[MONTANT
RESPONSABLE RELATION CLIENT €]])-PORTEFEUILLE_AUTRE_COMPTABLE[[#This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188"/>
      <c r="AQ32" s="188"/>
      <c r="AR3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2" s="188" t="str">
        <f>IF(PORTEFEUILLE_AUTRE_COMPTABLE[[#This Row],[BONI AAC]]&lt;&gt;0,1,"")</f>
        <v/>
      </c>
      <c r="AU32" s="188" t="str">
        <f>IF(PORTEFEUILLE_AUTRE_COMPTABLE[[#This Row],[MALI AAC]]&lt;&gt;0,1,"")</f>
        <v/>
      </c>
      <c r="AV32" s="225">
        <f>IF(AP32&lt;&gt;"",IF((AP32*Paramètres!$H$4)-PORTEFEUILLE_AUTRE_COMPTABLE[[#This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€]]-(DELPHINE!AP34*Paramètres!$H$4),0),0)</f>
        <v>0</v>
      </c>
      <c r="AW32" s="225">
        <f>IF(AP32&lt;&gt;"",IF(((AP32*Paramètres!$H$4)-PORTEFEUILLE_AUTRE_COMPTABLE[[#This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2" s="190" t="str">
        <f>IF(PORTEFEUILLE_AUTRE_COMPTABLE[[#This Row],[BONI COMPTABLE]]&lt;&gt;0,1,"")</f>
        <v/>
      </c>
      <c r="AY32" s="190" t="str">
        <f>IF(PORTEFEUILLE_AUTRE_COMPTABLE[[#This Row],[MALI COMPTABLE]]&lt;&gt;0,1,"")</f>
        <v/>
      </c>
      <c r="AZ32" s="188"/>
      <c r="BA32" s="188"/>
      <c r="BB32" s="188"/>
      <c r="BC32" s="188"/>
      <c r="BD32" s="188"/>
      <c r="BE32" s="188"/>
      <c r="BF32" s="188"/>
      <c r="BG32" s="192"/>
      <c r="BH32" s="194"/>
      <c r="BI32" s="194"/>
      <c r="BJ32" s="195"/>
      <c r="BK32" s="194"/>
    </row>
    <row r="33" spans="1:63" x14ac:dyDescent="0.25">
      <c r="A33" s="172"/>
      <c r="B33" s="178"/>
      <c r="C33" s="165"/>
      <c r="D33" s="171"/>
      <c r="E33" s="189"/>
      <c r="F33" s="188"/>
      <c r="G33" s="189"/>
      <c r="H33" s="189"/>
      <c r="I33" s="189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3"/>
      <c r="T33" s="207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25">
        <f>SUM(PORTEFEUILLE_AUTRE_COMPTABLE[[#This Row],[PCR COMPTABLE €]:[MONTANT
RESPONSABLE RELATION CLIENT €]])-PORTEFEUILLE_AUTRE_COMPTABLE[[#This Row],[MONTANT TOTAL LETTRE DE MISION €]]</f>
        <v>0</v>
      </c>
      <c r="AI33" s="191"/>
      <c r="AJ33" s="188"/>
      <c r="AK33" s="188"/>
      <c r="AL33" s="188"/>
      <c r="AM33" s="188"/>
      <c r="AN33" s="188"/>
      <c r="AO33" s="188"/>
      <c r="AP33" s="188"/>
      <c r="AQ33" s="188"/>
      <c r="AR3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3" s="188" t="str">
        <f>IF(PORTEFEUILLE_AUTRE_COMPTABLE[[#This Row],[BONI AAC]]&lt;&gt;0,1,"")</f>
        <v/>
      </c>
      <c r="AU33" s="188" t="str">
        <f>IF(PORTEFEUILLE_AUTRE_COMPTABLE[[#This Row],[MALI AAC]]&lt;&gt;0,1,"")</f>
        <v/>
      </c>
      <c r="AV33" s="225">
        <f>IF(AP33&lt;&gt;"",IF((AP33*Paramètres!$H$4)-PORTEFEUILLE_AUTRE_COMPTABLE[[#This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€]]-(DELPHINE!AP35*Paramètres!$H$4),0),0)</f>
        <v>0</v>
      </c>
      <c r="AW33" s="225">
        <f>IF(AP33&lt;&gt;"",IF(((AP33*Paramètres!$H$4)-PORTEFEUILLE_AUTRE_COMPTABLE[[#This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3" s="190" t="str">
        <f>IF(PORTEFEUILLE_AUTRE_COMPTABLE[[#This Row],[BONI COMPTABLE]]&lt;&gt;0,1,"")</f>
        <v/>
      </c>
      <c r="AY33" s="190" t="str">
        <f>IF(PORTEFEUILLE_AUTRE_COMPTABLE[[#This Row],[MALI COMPTABLE]]&lt;&gt;0,1,"")</f>
        <v/>
      </c>
      <c r="AZ33" s="188"/>
      <c r="BA33" s="188"/>
      <c r="BB33" s="188"/>
      <c r="BC33" s="188"/>
      <c r="BD33" s="196"/>
      <c r="BE33" s="196"/>
      <c r="BF33" s="196"/>
      <c r="BG33" s="192"/>
      <c r="BH33" s="194"/>
      <c r="BI33" s="194"/>
      <c r="BJ33" s="195"/>
      <c r="BK33" s="194"/>
    </row>
    <row r="34" spans="1:63" x14ac:dyDescent="0.25">
      <c r="A34" s="172"/>
      <c r="B34" s="178"/>
      <c r="C34" s="165"/>
      <c r="D34" s="171"/>
      <c r="E34" s="189"/>
      <c r="F34" s="188"/>
      <c r="G34" s="189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3"/>
      <c r="T34" s="207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19"/>
      <c r="AF34" s="219"/>
      <c r="AG34" s="219"/>
      <c r="AH34" s="225">
        <f>SUM(PORTEFEUILLE_AUTRE_COMPTABLE[[#This Row],[PCR COMPTABLE €]:[MONTANT
RESPONSABLE RELATION CLIENT €]])-PORTEFEUILLE_AUTRE_COMPTABLE[[#This Row],[MONTANT TOTAL LETTRE DE MISION €]]</f>
        <v>0</v>
      </c>
      <c r="AI34" s="191"/>
      <c r="AJ34" s="188"/>
      <c r="AK34" s="188"/>
      <c r="AL34" s="188"/>
      <c r="AM34" s="188"/>
      <c r="AN34" s="188"/>
      <c r="AO34" s="188"/>
      <c r="AP34" s="188"/>
      <c r="AQ34" s="188"/>
      <c r="AR3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4" s="188" t="str">
        <f>IF(PORTEFEUILLE_AUTRE_COMPTABLE[[#This Row],[BONI AAC]]&lt;&gt;0,1,"")</f>
        <v/>
      </c>
      <c r="AU34" s="188" t="str">
        <f>IF(PORTEFEUILLE_AUTRE_COMPTABLE[[#This Row],[MALI AAC]]&lt;&gt;0,1,"")</f>
        <v/>
      </c>
      <c r="AV34" s="225">
        <f>IF(AP34&lt;&gt;"",IF((AP34*Paramètres!$H$4)-PORTEFEUILLE_AUTRE_COMPTABLE[[#This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€]]-(DELPHINE!AP36*Paramètres!$H$4),0),0)</f>
        <v>0</v>
      </c>
      <c r="AW34" s="225">
        <f>IF(AP34&lt;&gt;"",IF(((AP34*Paramètres!$H$4)-PORTEFEUILLE_AUTRE_COMPTABLE[[#This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4" s="190" t="str">
        <f>IF(PORTEFEUILLE_AUTRE_COMPTABLE[[#This Row],[BONI COMPTABLE]]&lt;&gt;0,1,"")</f>
        <v/>
      </c>
      <c r="AY34" s="190" t="str">
        <f>IF(PORTEFEUILLE_AUTRE_COMPTABLE[[#This Row],[MALI COMPTABLE]]&lt;&gt;0,1,"")</f>
        <v/>
      </c>
      <c r="AZ34" s="188"/>
      <c r="BA34" s="188"/>
      <c r="BB34" s="188"/>
      <c r="BC34" s="188"/>
      <c r="BD34" s="196"/>
      <c r="BE34" s="196"/>
      <c r="BF34" s="196"/>
      <c r="BG34" s="192"/>
      <c r="BH34" s="194"/>
      <c r="BI34" s="194"/>
      <c r="BJ34" s="195"/>
      <c r="BK34" s="194"/>
    </row>
    <row r="35" spans="1:63" x14ac:dyDescent="0.25">
      <c r="A35" s="172"/>
      <c r="B35" s="179"/>
      <c r="C35" s="165"/>
      <c r="D35" s="171"/>
      <c r="E35" s="189"/>
      <c r="F35" s="188"/>
      <c r="G35" s="188"/>
      <c r="H35" s="189"/>
      <c r="I35" s="189"/>
      <c r="J35" s="19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SUM(PORTEFEUILLE_AUTRE_COMPTABLE[[#This Row],[PCR COMPTABLE €]:[MONTANT
RESPONSABLE RELATION CLIENT €]])-PORTEFEUILLE_AUTRE_COMPTABLE[[#This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188"/>
      <c r="AQ35" s="188"/>
      <c r="AR3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5" s="188" t="str">
        <f>IF(PORTEFEUILLE_AUTRE_COMPTABLE[[#This Row],[BONI AAC]]&lt;&gt;0,1,"")</f>
        <v/>
      </c>
      <c r="AU35" s="188" t="str">
        <f>IF(PORTEFEUILLE_AUTRE_COMPTABLE[[#This Row],[MALI AAC]]&lt;&gt;0,1,"")</f>
        <v/>
      </c>
      <c r="AV35" s="225">
        <f>IF(AP35&lt;&gt;"",IF((AP35*Paramètres!$H$4)-PORTEFEUILLE_AUTRE_COMPTABLE[[#This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€]]-(DELPHINE!AP37*Paramètres!$H$4),0),0)</f>
        <v>0</v>
      </c>
      <c r="AW35" s="225">
        <f>IF(AP35&lt;&gt;"",IF(((AP35*Paramètres!$H$4)-PORTEFEUILLE_AUTRE_COMPTABLE[[#This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5" s="190" t="str">
        <f>IF(PORTEFEUILLE_AUTRE_COMPTABLE[[#This Row],[BONI COMPTABLE]]&lt;&gt;0,1,"")</f>
        <v/>
      </c>
      <c r="AY35" s="190" t="str">
        <f>IF(PORTEFEUILLE_AUTRE_COMPTABLE[[#This Row],[MALI COMPTABLE]]&lt;&gt;0,1,"")</f>
        <v/>
      </c>
      <c r="AZ35" s="188"/>
      <c r="BA35" s="188"/>
      <c r="BB35" s="188"/>
      <c r="BC35" s="188"/>
      <c r="BD35" s="196"/>
      <c r="BE35" s="196"/>
      <c r="BF35" s="196"/>
      <c r="BG35" s="192"/>
      <c r="BH35" s="194"/>
      <c r="BI35" s="194"/>
      <c r="BJ35" s="195"/>
      <c r="BK35" s="194"/>
    </row>
    <row r="36" spans="1:63" x14ac:dyDescent="0.25">
      <c r="A36" s="172"/>
      <c r="B36" s="180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SUM(PORTEFEUILLE_AUTRE_COMPTABLE[[#This Row],[PCR COMPTABLE €]:[MONTANT
RESPONSABLE RELATION CLIENT €]])-PORTEFEUILLE_AUTRE_COMPTABLE[[#This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188"/>
      <c r="AQ36" s="188"/>
      <c r="AR3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6" s="188" t="str">
        <f>IF(PORTEFEUILLE_AUTRE_COMPTABLE[[#This Row],[BONI AAC]]&lt;&gt;0,1,"")</f>
        <v/>
      </c>
      <c r="AU36" s="188" t="str">
        <f>IF(PORTEFEUILLE_AUTRE_COMPTABLE[[#This Row],[MALI AAC]]&lt;&gt;0,1,"")</f>
        <v/>
      </c>
      <c r="AV36" s="225">
        <f>IF(AP36&lt;&gt;"",IF((AP36*Paramètres!$H$4)-PORTEFEUILLE_AUTRE_COMPTABLE[[#This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€]]-(DELPHINE!AP38*Paramètres!$H$4),0),0)</f>
        <v>0</v>
      </c>
      <c r="AW36" s="225">
        <f>IF(AP36&lt;&gt;"",IF(((AP36*Paramètres!$H$4)-PORTEFEUILLE_AUTRE_COMPTABLE[[#This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6" s="190" t="str">
        <f>IF(PORTEFEUILLE_AUTRE_COMPTABLE[[#This Row],[BONI COMPTABLE]]&lt;&gt;0,1,"")</f>
        <v/>
      </c>
      <c r="AY36" s="190" t="str">
        <f>IF(PORTEFEUILLE_AUTRE_COMPTABLE[[#This Row],[MALI COMPTABLE]]&lt;&gt;0,1,"")</f>
        <v/>
      </c>
      <c r="AZ36" s="188"/>
      <c r="BA36" s="188"/>
      <c r="BB36" s="188"/>
      <c r="BC36" s="188"/>
      <c r="BD36" s="188"/>
      <c r="BE36" s="188"/>
      <c r="BF36" s="188"/>
      <c r="BG36" s="192"/>
      <c r="BH36" s="194"/>
      <c r="BI36" s="194"/>
      <c r="BJ36" s="195"/>
      <c r="BK36" s="194"/>
    </row>
    <row r="37" spans="1:63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SUM(PORTEFEUILLE_AUTRE_COMPTABLE[[#This Row],[PCR COMPTABLE €]:[MONTANT
RESPONSABLE RELATION CLIENT €]])-PORTEFEUILLE_AUTRE_COMPTABLE[[#This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188"/>
      <c r="AQ37" s="188"/>
      <c r="AR3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7" s="188" t="str">
        <f>IF(PORTEFEUILLE_AUTRE_COMPTABLE[[#This Row],[BONI AAC]]&lt;&gt;0,1,"")</f>
        <v/>
      </c>
      <c r="AU37" s="188" t="str">
        <f>IF(PORTEFEUILLE_AUTRE_COMPTABLE[[#This Row],[MALI AAC]]&lt;&gt;0,1,"")</f>
        <v/>
      </c>
      <c r="AV37" s="225">
        <f>IF(AP37&lt;&gt;"",IF((AP37*Paramètres!$H$4)-PORTEFEUILLE_AUTRE_COMPTABLE[[#This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€]]-(DELPHINE!AP39*Paramètres!$H$4),0),0)</f>
        <v>0</v>
      </c>
      <c r="AW37" s="225">
        <f>IF(AP37&lt;&gt;"",IF(((AP37*Paramètres!$H$4)-PORTEFEUILLE_AUTRE_COMPTABLE[[#This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7" s="190" t="str">
        <f>IF(PORTEFEUILLE_AUTRE_COMPTABLE[[#This Row],[BONI COMPTABLE]]&lt;&gt;0,1,"")</f>
        <v/>
      </c>
      <c r="AY37" s="190" t="str">
        <f>IF(PORTEFEUILLE_AUTRE_COMPTABLE[[#This Row],[MALI COMPTABLE]]&lt;&gt;0,1,"")</f>
        <v/>
      </c>
      <c r="AZ37" s="188"/>
      <c r="BA37" s="188"/>
      <c r="BB37" s="188"/>
      <c r="BC37" s="188"/>
      <c r="BD37" s="188"/>
      <c r="BE37" s="188"/>
      <c r="BF37" s="188"/>
      <c r="BG37" s="192"/>
      <c r="BH37" s="194"/>
      <c r="BI37" s="194"/>
      <c r="BJ37" s="195"/>
      <c r="BK37" s="194"/>
    </row>
    <row r="38" spans="1:63" x14ac:dyDescent="0.25">
      <c r="A38" s="172"/>
      <c r="B38" s="178"/>
      <c r="C38" s="165"/>
      <c r="D38" s="171"/>
      <c r="E38" s="189"/>
      <c r="F38" s="188"/>
      <c r="G38" s="188"/>
      <c r="H38" s="189"/>
      <c r="I38" s="189"/>
      <c r="J38" s="18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4"/>
      <c r="T38" s="208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  <c r="AG38" s="219"/>
      <c r="AH38" s="225">
        <f>SUM(PORTEFEUILLE_AUTRE_COMPTABLE[[#This Row],[PCR COMPTABLE €]:[MONTANT
RESPONSABLE RELATION CLIENT €]])-PORTEFEUILLE_AUTRE_COMPTABLE[[#This Row],[MONTANT TOTAL LETTRE DE MISION €]]</f>
        <v>0</v>
      </c>
      <c r="AI38" s="191"/>
      <c r="AJ38" s="188"/>
      <c r="AK38" s="188"/>
      <c r="AL38" s="188"/>
      <c r="AM38" s="188"/>
      <c r="AN38" s="196"/>
      <c r="AO38" s="196"/>
      <c r="AP38" s="196"/>
      <c r="AQ38" s="196"/>
      <c r="AR3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8" s="188" t="str">
        <f>IF(PORTEFEUILLE_AUTRE_COMPTABLE[[#This Row],[BONI AAC]]&lt;&gt;0,1,"")</f>
        <v/>
      </c>
      <c r="AU38" s="188" t="str">
        <f>IF(PORTEFEUILLE_AUTRE_COMPTABLE[[#This Row],[MALI AAC]]&lt;&gt;0,1,"")</f>
        <v/>
      </c>
      <c r="AV38" s="225">
        <f>IF(AP38&lt;&gt;"",IF((AP38*Paramètres!$H$4)-PORTEFEUILLE_AUTRE_COMPTABLE[[#This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€]]-(DELPHINE!AP40*Paramètres!$H$4),0),0)</f>
        <v>0</v>
      </c>
      <c r="AW38" s="225">
        <f>IF(AP38&lt;&gt;"",IF(((AP38*Paramètres!$H$4)-PORTEFEUILLE_AUTRE_COMPTABLE[[#This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8" s="190" t="str">
        <f>IF(PORTEFEUILLE_AUTRE_COMPTABLE[[#This Row],[BONI COMPTABLE]]&lt;&gt;0,1,"")</f>
        <v/>
      </c>
      <c r="AY38" s="190" t="str">
        <f>IF(PORTEFEUILLE_AUTRE_COMPTABLE[[#This Row],[MALI COMPTABLE]]&lt;&gt;0,1,"")</f>
        <v/>
      </c>
      <c r="AZ38" s="196"/>
      <c r="BA38" s="188"/>
      <c r="BB38" s="188"/>
      <c r="BC38" s="188"/>
      <c r="BD38" s="188"/>
      <c r="BE38" s="188"/>
      <c r="BF38" s="188"/>
      <c r="BG38" s="192"/>
      <c r="BH38" s="194"/>
      <c r="BI38" s="194"/>
      <c r="BJ38" s="195"/>
      <c r="BK38" s="194"/>
    </row>
    <row r="39" spans="1:63" x14ac:dyDescent="0.25">
      <c r="A39" s="172"/>
      <c r="B39" s="178"/>
      <c r="C39" s="165"/>
      <c r="D39" s="171"/>
      <c r="E39" s="189"/>
      <c r="F39" s="188"/>
      <c r="G39" s="188"/>
      <c r="H39" s="189"/>
      <c r="I39" s="188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4"/>
      <c r="T39" s="208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19"/>
      <c r="AH39" s="225">
        <f>SUM(PORTEFEUILLE_AUTRE_COMPTABLE[[#This Row],[PCR COMPTABLE €]:[MONTANT
RESPONSABLE RELATION CLIENT €]])-PORTEFEUILLE_AUTRE_COMPTABLE[[#This Row],[MONTANT TOTAL LETTRE DE MISION €]]</f>
        <v>0</v>
      </c>
      <c r="AI39" s="191"/>
      <c r="AJ39" s="188"/>
      <c r="AK39" s="188"/>
      <c r="AL39" s="188"/>
      <c r="AM39" s="188"/>
      <c r="AN39" s="196"/>
      <c r="AO39" s="196"/>
      <c r="AP39" s="196"/>
      <c r="AQ39" s="196"/>
      <c r="AR3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3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39" s="188" t="str">
        <f>IF(PORTEFEUILLE_AUTRE_COMPTABLE[[#This Row],[BONI AAC]]&lt;&gt;0,1,"")</f>
        <v/>
      </c>
      <c r="AU39" s="188" t="str">
        <f>IF(PORTEFEUILLE_AUTRE_COMPTABLE[[#This Row],[MALI AAC]]&lt;&gt;0,1,"")</f>
        <v/>
      </c>
      <c r="AV39" s="225">
        <f>IF(AP39&lt;&gt;"",IF((AP39*Paramètres!$H$4)-PORTEFEUILLE_AUTRE_COMPTABLE[[#This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€]]-(DELPHINE!AP41*Paramètres!$H$4),0),0)</f>
        <v>0</v>
      </c>
      <c r="AW39" s="225">
        <f>IF(AP39&lt;&gt;"",IF(((AP39*Paramètres!$H$4)-PORTEFEUILLE_AUTRE_COMPTABLE[[#This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39" s="190" t="str">
        <f>IF(PORTEFEUILLE_AUTRE_COMPTABLE[[#This Row],[BONI COMPTABLE]]&lt;&gt;0,1,"")</f>
        <v/>
      </c>
      <c r="AY39" s="190" t="str">
        <f>IF(PORTEFEUILLE_AUTRE_COMPTABLE[[#This Row],[MALI COMPTABLE]]&lt;&gt;0,1,"")</f>
        <v/>
      </c>
      <c r="AZ39" s="196"/>
      <c r="BA39" s="188"/>
      <c r="BB39" s="188"/>
      <c r="BC39" s="188"/>
      <c r="BD39" s="196"/>
      <c r="BE39" s="196"/>
      <c r="BF39" s="196"/>
      <c r="BG39" s="192"/>
      <c r="BH39" s="194"/>
      <c r="BI39" s="194"/>
      <c r="BJ39" s="195"/>
      <c r="BK39" s="194"/>
    </row>
    <row r="40" spans="1:63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SUM(PORTEFEUILLE_AUTRE_COMPTABLE[[#This Row],[PCR COMPTABLE €]:[MONTANT
RESPONSABLE RELATION CLIENT €]])-PORTEFEUILLE_AUTRE_COMPTABLE[[#This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188"/>
      <c r="AQ40" s="188"/>
      <c r="AR4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0" s="188" t="str">
        <f>IF(PORTEFEUILLE_AUTRE_COMPTABLE[[#This Row],[BONI AAC]]&lt;&gt;0,1,"")</f>
        <v/>
      </c>
      <c r="AU40" s="188" t="str">
        <f>IF(PORTEFEUILLE_AUTRE_COMPTABLE[[#This Row],[MALI AAC]]&lt;&gt;0,1,"")</f>
        <v/>
      </c>
      <c r="AV40" s="225">
        <f>IF(AP40&lt;&gt;"",IF((AP40*Paramètres!$H$4)-PORTEFEUILLE_AUTRE_COMPTABLE[[#This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€]]-(DELPHINE!AP42*Paramètres!$H$4),0),0)</f>
        <v>0</v>
      </c>
      <c r="AW40" s="225">
        <f>IF(AP40&lt;&gt;"",IF(((AP40*Paramètres!$H$4)-PORTEFEUILLE_AUTRE_COMPTABLE[[#This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0" s="190" t="str">
        <f>IF(PORTEFEUILLE_AUTRE_COMPTABLE[[#This Row],[BONI COMPTABLE]]&lt;&gt;0,1,"")</f>
        <v/>
      </c>
      <c r="AY40" s="190" t="str">
        <f>IF(PORTEFEUILLE_AUTRE_COMPTABLE[[#This Row],[MALI COMPTABLE]]&lt;&gt;0,1,"")</f>
        <v/>
      </c>
      <c r="AZ40" s="188"/>
      <c r="BA40" s="188"/>
      <c r="BB40" s="188"/>
      <c r="BC40" s="188"/>
      <c r="BD40" s="196"/>
      <c r="BE40" s="196"/>
      <c r="BF40" s="196"/>
      <c r="BG40" s="192"/>
      <c r="BH40" s="194"/>
      <c r="BI40" s="194"/>
      <c r="BJ40" s="195"/>
      <c r="BK40" s="194"/>
    </row>
    <row r="41" spans="1:63" s="241" customFormat="1" x14ac:dyDescent="0.25">
      <c r="A41" s="172"/>
      <c r="B41" s="181"/>
      <c r="C41" s="165"/>
      <c r="D41" s="165"/>
      <c r="E41" s="189"/>
      <c r="F41" s="188"/>
      <c r="G41" s="189"/>
      <c r="H41" s="189"/>
      <c r="I41" s="189"/>
      <c r="J41" s="19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3"/>
      <c r="T41" s="207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25">
        <f>SUM(PORTEFEUILLE_AUTRE_COMPTABLE[[#This Row],[PCR COMPTABLE €]:[MONTANT
RESPONSABLE RELATION CLIENT €]])-PORTEFEUILLE_AUTRE_COMPTABLE[[#This Row],[MONTANT TOTAL LETTRE DE MISION €]]</f>
        <v>0</v>
      </c>
      <c r="AI41" s="191"/>
      <c r="AJ41" s="188"/>
      <c r="AK41" s="188"/>
      <c r="AL41" s="188"/>
      <c r="AM41" s="188"/>
      <c r="AN41" s="188"/>
      <c r="AO41" s="188"/>
      <c r="AP41" s="188"/>
      <c r="AQ41" s="188"/>
      <c r="AR4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1" s="188" t="str">
        <f>IF(PORTEFEUILLE_AUTRE_COMPTABLE[[#This Row],[BONI AAC]]&lt;&gt;0,1,"")</f>
        <v/>
      </c>
      <c r="AU41" s="188" t="str">
        <f>IF(PORTEFEUILLE_AUTRE_COMPTABLE[[#This Row],[MALI AAC]]&lt;&gt;0,1,"")</f>
        <v/>
      </c>
      <c r="AV41" s="225">
        <f>IF(AP41&lt;&gt;"",IF((AP41*Paramètres!$H$4)-PORTEFEUILLE_AUTRE_COMPTABLE[[#This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€]]-(DELPHINE!AP43*Paramètres!$H$4),0),0)</f>
        <v>0</v>
      </c>
      <c r="AW41" s="225">
        <f>IF(AP41&lt;&gt;"",IF(((AP41*Paramètres!$H$4)-PORTEFEUILLE_AUTRE_COMPTABLE[[#This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1" s="190" t="str">
        <f>IF(PORTEFEUILLE_AUTRE_COMPTABLE[[#This Row],[BONI COMPTABLE]]&lt;&gt;0,1,"")</f>
        <v/>
      </c>
      <c r="AY41" s="190" t="str">
        <f>IF(PORTEFEUILLE_AUTRE_COMPTABLE[[#This Row],[MALI COMPTABLE]]&lt;&gt;0,1,"")</f>
        <v/>
      </c>
      <c r="AZ41" s="188"/>
      <c r="BA41" s="188"/>
      <c r="BB41" s="188"/>
      <c r="BC41" s="188"/>
      <c r="BD41" s="196"/>
      <c r="BE41" s="196"/>
      <c r="BF41" s="196"/>
      <c r="BG41" s="192"/>
      <c r="BH41" s="194"/>
      <c r="BI41" s="194"/>
      <c r="BJ41" s="195"/>
      <c r="BK41" s="194"/>
    </row>
    <row r="42" spans="1:63" x14ac:dyDescent="0.25">
      <c r="A42" s="172"/>
      <c r="B42" s="181"/>
      <c r="C42" s="165"/>
      <c r="D42" s="165"/>
      <c r="E42" s="189"/>
      <c r="F42" s="188"/>
      <c r="G42" s="189"/>
      <c r="H42" s="189"/>
      <c r="I42" s="189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3"/>
      <c r="T42" s="207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25">
        <f>SUM(PORTEFEUILLE_AUTRE_COMPTABLE[[#This Row],[PCR COMPTABLE €]:[MONTANT
RESPONSABLE RELATION CLIENT €]])-PORTEFEUILLE_AUTRE_COMPTABLE[[#This Row],[MONTANT TOTAL LETTRE DE MISION €]]</f>
        <v>0</v>
      </c>
      <c r="AI42" s="191"/>
      <c r="AJ42" s="188"/>
      <c r="AK42" s="188"/>
      <c r="AL42" s="188"/>
      <c r="AM42" s="188"/>
      <c r="AN42" s="188"/>
      <c r="AO42" s="188"/>
      <c r="AP42" s="188"/>
      <c r="AQ42" s="188"/>
      <c r="AR4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2" s="188" t="str">
        <f>IF(PORTEFEUILLE_AUTRE_COMPTABLE[[#This Row],[BONI AAC]]&lt;&gt;0,1,"")</f>
        <v/>
      </c>
      <c r="AU42" s="188" t="str">
        <f>IF(PORTEFEUILLE_AUTRE_COMPTABLE[[#This Row],[MALI AAC]]&lt;&gt;0,1,"")</f>
        <v/>
      </c>
      <c r="AV42" s="225">
        <f>IF(AP42&lt;&gt;"",IF((AP42*Paramètres!$H$4)-PORTEFEUILLE_AUTRE_COMPTABLE[[#This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€]]-(DELPHINE!AP44*Paramètres!$H$4),0),0)</f>
        <v>0</v>
      </c>
      <c r="AW42" s="225">
        <f>IF(AP42&lt;&gt;"",IF(((AP42*Paramètres!$H$4)-PORTEFEUILLE_AUTRE_COMPTABLE[[#This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2" s="190" t="str">
        <f>IF(PORTEFEUILLE_AUTRE_COMPTABLE[[#This Row],[BONI COMPTABLE]]&lt;&gt;0,1,"")</f>
        <v/>
      </c>
      <c r="AY42" s="190" t="str">
        <f>IF(PORTEFEUILLE_AUTRE_COMPTABLE[[#This Row],[MALI COMPTABLE]]&lt;&gt;0,1,"")</f>
        <v/>
      </c>
      <c r="AZ42" s="188"/>
      <c r="BA42" s="188"/>
      <c r="BB42" s="188"/>
      <c r="BC42" s="188"/>
      <c r="BD42" s="188"/>
      <c r="BE42" s="188"/>
      <c r="BF42" s="188"/>
      <c r="BG42" s="192"/>
      <c r="BH42" s="194"/>
      <c r="BI42" s="194"/>
      <c r="BJ42" s="195"/>
      <c r="BK42" s="194"/>
    </row>
    <row r="43" spans="1:63" x14ac:dyDescent="0.25">
      <c r="A43" s="172"/>
      <c r="B43" s="181"/>
      <c r="C43" s="165"/>
      <c r="D43" s="171"/>
      <c r="E43" s="189"/>
      <c r="F43" s="188"/>
      <c r="G43" s="188"/>
      <c r="H43" s="189"/>
      <c r="I43" s="188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4"/>
      <c r="T43" s="208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19"/>
      <c r="AH43" s="225">
        <f>SUM(PORTEFEUILLE_AUTRE_COMPTABLE[[#This Row],[PCR COMPTABLE €]:[MONTANT
RESPONSABLE RELATION CLIENT €]])-PORTEFEUILLE_AUTRE_COMPTABLE[[#This Row],[MONTANT TOTAL LETTRE DE MISION €]]</f>
        <v>0</v>
      </c>
      <c r="AI43" s="191"/>
      <c r="AJ43" s="188"/>
      <c r="AK43" s="188"/>
      <c r="AL43" s="188"/>
      <c r="AM43" s="188"/>
      <c r="AN43" s="196"/>
      <c r="AO43" s="196"/>
      <c r="AP43" s="196"/>
      <c r="AQ43" s="196"/>
      <c r="AR4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3" s="188" t="str">
        <f>IF(PORTEFEUILLE_AUTRE_COMPTABLE[[#This Row],[BONI AAC]]&lt;&gt;0,1,"")</f>
        <v/>
      </c>
      <c r="AU43" s="188" t="str">
        <f>IF(PORTEFEUILLE_AUTRE_COMPTABLE[[#This Row],[MALI AAC]]&lt;&gt;0,1,"")</f>
        <v/>
      </c>
      <c r="AV43" s="225">
        <f>IF(AP43&lt;&gt;"",IF((AP43*Paramètres!$H$4)-PORTEFEUILLE_AUTRE_COMPTABLE[[#This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€]]-(DELPHINE!AP45*Paramètres!$H$4),0),0)</f>
        <v>0</v>
      </c>
      <c r="AW43" s="225">
        <f>IF(AP43&lt;&gt;"",IF(((AP43*Paramètres!$H$4)-PORTEFEUILLE_AUTRE_COMPTABLE[[#This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3" s="190" t="str">
        <f>IF(PORTEFEUILLE_AUTRE_COMPTABLE[[#This Row],[BONI COMPTABLE]]&lt;&gt;0,1,"")</f>
        <v/>
      </c>
      <c r="AY43" s="190" t="str">
        <f>IF(PORTEFEUILLE_AUTRE_COMPTABLE[[#This Row],[MALI COMPTABLE]]&lt;&gt;0,1,"")</f>
        <v/>
      </c>
      <c r="AZ43" s="196"/>
      <c r="BA43" s="188"/>
      <c r="BB43" s="188"/>
      <c r="BC43" s="188"/>
      <c r="BD43" s="188"/>
      <c r="BE43" s="188"/>
      <c r="BF43" s="188"/>
      <c r="BG43" s="192"/>
      <c r="BH43" s="194"/>
      <c r="BI43" s="194"/>
      <c r="BJ43" s="195"/>
      <c r="BK43" s="194"/>
    </row>
    <row r="44" spans="1:63" x14ac:dyDescent="0.25">
      <c r="A44" s="172"/>
      <c r="B44" s="181"/>
      <c r="C44" s="165"/>
      <c r="D44" s="171"/>
      <c r="E44" s="189"/>
      <c r="F44" s="188"/>
      <c r="G44" s="189"/>
      <c r="H44" s="189"/>
      <c r="I44" s="189"/>
      <c r="J44" s="18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SUM(PORTEFEUILLE_AUTRE_COMPTABLE[[#This Row],[PCR COMPTABLE €]:[MONTANT
RESPONSABLE RELATION CLIENT €]])-PORTEFEUILLE_AUTRE_COMPTABLE[[#This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188"/>
      <c r="AQ44" s="188"/>
      <c r="AR4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4" s="188" t="str">
        <f>IF(PORTEFEUILLE_AUTRE_COMPTABLE[[#This Row],[BONI AAC]]&lt;&gt;0,1,"")</f>
        <v/>
      </c>
      <c r="AU44" s="188" t="str">
        <f>IF(PORTEFEUILLE_AUTRE_COMPTABLE[[#This Row],[MALI AAC]]&lt;&gt;0,1,"")</f>
        <v/>
      </c>
      <c r="AV44" s="225">
        <f>IF(AP44&lt;&gt;"",IF((AP44*Paramètres!$H$4)-PORTEFEUILLE_AUTRE_COMPTABLE[[#This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€]]-(DELPHINE!AP46*Paramètres!$H$4),0),0)</f>
        <v>0</v>
      </c>
      <c r="AW44" s="225">
        <f>IF(AP44&lt;&gt;"",IF(((AP44*Paramètres!$H$4)-PORTEFEUILLE_AUTRE_COMPTABLE[[#This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4" s="190" t="str">
        <f>IF(PORTEFEUILLE_AUTRE_COMPTABLE[[#This Row],[BONI COMPTABLE]]&lt;&gt;0,1,"")</f>
        <v/>
      </c>
      <c r="AY44" s="190" t="str">
        <f>IF(PORTEFEUILLE_AUTRE_COMPTABLE[[#This Row],[MALI COMPTABLE]]&lt;&gt;0,1,"")</f>
        <v/>
      </c>
      <c r="AZ44" s="188"/>
      <c r="BA44" s="188"/>
      <c r="BB44" s="188"/>
      <c r="BC44" s="188"/>
      <c r="BD44" s="188"/>
      <c r="BE44" s="188"/>
      <c r="BF44" s="188"/>
      <c r="BG44" s="192"/>
      <c r="BH44" s="194"/>
      <c r="BI44" s="194"/>
      <c r="BJ44" s="195"/>
      <c r="BK44" s="194"/>
    </row>
    <row r="45" spans="1:63" x14ac:dyDescent="0.25">
      <c r="A45" s="172"/>
      <c r="B45" s="180"/>
      <c r="C45" s="165"/>
      <c r="D45" s="171"/>
      <c r="E45" s="189"/>
      <c r="F45" s="188"/>
      <c r="G45" s="188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4"/>
      <c r="T45" s="208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  <c r="AG45" s="219"/>
      <c r="AH45" s="225">
        <f>SUM(PORTEFEUILLE_AUTRE_COMPTABLE[[#This Row],[PCR COMPTABLE €]:[MONTANT
RESPONSABLE RELATION CLIENT €]])-PORTEFEUILLE_AUTRE_COMPTABLE[[#This Row],[MONTANT TOTAL LETTRE DE MISION €]]</f>
        <v>0</v>
      </c>
      <c r="AI45" s="191"/>
      <c r="AJ45" s="188"/>
      <c r="AK45" s="188"/>
      <c r="AL45" s="188"/>
      <c r="AM45" s="188"/>
      <c r="AN45" s="196"/>
      <c r="AO45" s="196"/>
      <c r="AP45" s="196"/>
      <c r="AQ45" s="196"/>
      <c r="AR4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5" s="188" t="str">
        <f>IF(PORTEFEUILLE_AUTRE_COMPTABLE[[#This Row],[BONI AAC]]&lt;&gt;0,1,"")</f>
        <v/>
      </c>
      <c r="AU45" s="188" t="str">
        <f>IF(PORTEFEUILLE_AUTRE_COMPTABLE[[#This Row],[MALI AAC]]&lt;&gt;0,1,"")</f>
        <v/>
      </c>
      <c r="AV45" s="225">
        <f>IF(AP45&lt;&gt;"",IF((AP45*Paramètres!$H$4)-PORTEFEUILLE_AUTRE_COMPTABLE[[#This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€]]-(DELPHINE!AP47*Paramètres!$H$4),0),0)</f>
        <v>0</v>
      </c>
      <c r="AW45" s="225">
        <f>IF(AP45&lt;&gt;"",IF(((AP45*Paramètres!$H$4)-PORTEFEUILLE_AUTRE_COMPTABLE[[#This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5" s="190" t="str">
        <f>IF(PORTEFEUILLE_AUTRE_COMPTABLE[[#This Row],[BONI COMPTABLE]]&lt;&gt;0,1,"")</f>
        <v/>
      </c>
      <c r="AY45" s="190" t="str">
        <f>IF(PORTEFEUILLE_AUTRE_COMPTABLE[[#This Row],[MALI COMPTABLE]]&lt;&gt;0,1,"")</f>
        <v/>
      </c>
      <c r="AZ45" s="196"/>
      <c r="BA45" s="188"/>
      <c r="BB45" s="188"/>
      <c r="BC45" s="188"/>
      <c r="BD45" s="188"/>
      <c r="BE45" s="188"/>
      <c r="BF45" s="188"/>
      <c r="BG45" s="192"/>
      <c r="BH45" s="194"/>
      <c r="BI45" s="194"/>
      <c r="BJ45" s="195"/>
      <c r="BK45" s="194"/>
    </row>
    <row r="46" spans="1:63" x14ac:dyDescent="0.25">
      <c r="A46" s="172"/>
      <c r="B46" s="180"/>
      <c r="C46" s="165"/>
      <c r="D46" s="171"/>
      <c r="E46" s="189"/>
      <c r="F46" s="188"/>
      <c r="G46" s="189"/>
      <c r="H46" s="189"/>
      <c r="I46" s="189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3"/>
      <c r="T46" s="207"/>
      <c r="U46" s="219"/>
      <c r="V46" s="219"/>
      <c r="W46" s="219"/>
      <c r="X46" s="219"/>
      <c r="Y46" s="219"/>
      <c r="Z46" s="219"/>
      <c r="AA46" s="219"/>
      <c r="AB46" s="219"/>
      <c r="AC46" s="219"/>
      <c r="AD46" s="219"/>
      <c r="AE46" s="219"/>
      <c r="AF46" s="219"/>
      <c r="AG46" s="219"/>
      <c r="AH46" s="225">
        <f>SUM(PORTEFEUILLE_AUTRE_COMPTABLE[[#This Row],[PCR COMPTABLE €]:[MONTANT
RESPONSABLE RELATION CLIENT €]])-PORTEFEUILLE_AUTRE_COMPTABLE[[#This Row],[MONTANT TOTAL LETTRE DE MISION €]]</f>
        <v>0</v>
      </c>
      <c r="AI46" s="191"/>
      <c r="AJ46" s="188"/>
      <c r="AK46" s="188"/>
      <c r="AL46" s="188"/>
      <c r="AM46" s="188"/>
      <c r="AN46" s="188"/>
      <c r="AO46" s="188"/>
      <c r="AP46" s="188"/>
      <c r="AQ46" s="188"/>
      <c r="AR4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6" s="188" t="str">
        <f>IF(PORTEFEUILLE_AUTRE_COMPTABLE[[#This Row],[BONI AAC]]&lt;&gt;0,1,"")</f>
        <v/>
      </c>
      <c r="AU46" s="188" t="str">
        <f>IF(PORTEFEUILLE_AUTRE_COMPTABLE[[#This Row],[MALI AAC]]&lt;&gt;0,1,"")</f>
        <v/>
      </c>
      <c r="AV46" s="225">
        <f>IF(AP46&lt;&gt;"",IF((AP46*Paramètres!$H$4)-PORTEFEUILLE_AUTRE_COMPTABLE[[#This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€]]-(DELPHINE!AP48*Paramètres!$H$4),0),0)</f>
        <v>0</v>
      </c>
      <c r="AW46" s="225">
        <f>IF(AP46&lt;&gt;"",IF(((AP46*Paramètres!$H$4)-PORTEFEUILLE_AUTRE_COMPTABLE[[#This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6" s="190" t="str">
        <f>IF(PORTEFEUILLE_AUTRE_COMPTABLE[[#This Row],[BONI COMPTABLE]]&lt;&gt;0,1,"")</f>
        <v/>
      </c>
      <c r="AY46" s="190" t="str">
        <f>IF(PORTEFEUILLE_AUTRE_COMPTABLE[[#This Row],[MALI COMPTABLE]]&lt;&gt;0,1,"")</f>
        <v/>
      </c>
      <c r="AZ46" s="188"/>
      <c r="BA46" s="188"/>
      <c r="BB46" s="188"/>
      <c r="BC46" s="188"/>
      <c r="BD46" s="196"/>
      <c r="BE46" s="188"/>
      <c r="BF46" s="188"/>
      <c r="BG46" s="192"/>
      <c r="BH46" s="194"/>
      <c r="BI46" s="194"/>
      <c r="BJ46" s="195"/>
      <c r="BK46" s="194"/>
    </row>
    <row r="47" spans="1:63" x14ac:dyDescent="0.25">
      <c r="A47" s="172"/>
      <c r="B47" s="170"/>
      <c r="C47" s="165"/>
      <c r="D47" s="171"/>
      <c r="E47" s="189"/>
      <c r="F47" s="188"/>
      <c r="G47" s="188"/>
      <c r="H47" s="189"/>
      <c r="I47" s="188"/>
      <c r="J47" s="188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4"/>
      <c r="T47" s="208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  <c r="AG47" s="219"/>
      <c r="AH47" s="225">
        <f>SUM(PORTEFEUILLE_AUTRE_COMPTABLE[[#This Row],[PCR COMPTABLE €]:[MONTANT
RESPONSABLE RELATION CLIENT €]])-PORTEFEUILLE_AUTRE_COMPTABLE[[#This Row],[MONTANT TOTAL LETTRE DE MISION €]]</f>
        <v>0</v>
      </c>
      <c r="AI47" s="191"/>
      <c r="AJ47" s="188"/>
      <c r="AK47" s="188"/>
      <c r="AL47" s="188"/>
      <c r="AM47" s="188"/>
      <c r="AN47" s="196"/>
      <c r="AO47" s="196"/>
      <c r="AP47" s="196"/>
      <c r="AQ47" s="196"/>
      <c r="AR4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7" s="188" t="str">
        <f>IF(PORTEFEUILLE_AUTRE_COMPTABLE[[#This Row],[BONI AAC]]&lt;&gt;0,1,"")</f>
        <v/>
      </c>
      <c r="AU47" s="188" t="str">
        <f>IF(PORTEFEUILLE_AUTRE_COMPTABLE[[#This Row],[MALI AAC]]&lt;&gt;0,1,"")</f>
        <v/>
      </c>
      <c r="AV47" s="225">
        <f>IF(AP47&lt;&gt;"",IF((AP47*Paramètres!$H$4)-PORTEFEUILLE_AUTRE_COMPTABLE[[#This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€]]-(DELPHINE!AP49*Paramètres!$H$4),0),0)</f>
        <v>0</v>
      </c>
      <c r="AW47" s="225">
        <f>IF(AP47&lt;&gt;"",IF(((AP47*Paramètres!$H$4)-PORTEFEUILLE_AUTRE_COMPTABLE[[#This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7" s="190" t="str">
        <f>IF(PORTEFEUILLE_AUTRE_COMPTABLE[[#This Row],[BONI COMPTABLE]]&lt;&gt;0,1,"")</f>
        <v/>
      </c>
      <c r="AY47" s="190" t="str">
        <f>IF(PORTEFEUILLE_AUTRE_COMPTABLE[[#This Row],[MALI COMPTABLE]]&lt;&gt;0,1,"")</f>
        <v/>
      </c>
      <c r="AZ47" s="196"/>
      <c r="BA47" s="188"/>
      <c r="BB47" s="188"/>
      <c r="BC47" s="188"/>
      <c r="BD47" s="196"/>
      <c r="BE47" s="196"/>
      <c r="BF47" s="196"/>
      <c r="BG47" s="192"/>
      <c r="BH47" s="194"/>
      <c r="BI47" s="194"/>
      <c r="BJ47" s="195"/>
      <c r="BK47" s="194"/>
    </row>
    <row r="48" spans="1:63" x14ac:dyDescent="0.25">
      <c r="A48" s="172"/>
      <c r="B48" s="170"/>
      <c r="C48" s="165"/>
      <c r="D48" s="171"/>
      <c r="E48" s="189"/>
      <c r="F48" s="188"/>
      <c r="G48" s="188"/>
      <c r="H48" s="189"/>
      <c r="I48" s="188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SUM(PORTEFEUILLE_AUTRE_COMPTABLE[[#This Row],[PCR COMPTABLE €]:[MONTANT
RESPONSABLE RELATION CLIENT €]])-PORTEFEUILLE_AUTRE_COMPTABLE[[#This Row],[MONTANT TOTAL LETTRE DE MISION €]]</f>
        <v>0</v>
      </c>
      <c r="AI48" s="191"/>
      <c r="AJ48" s="188"/>
      <c r="AK48" s="188"/>
      <c r="AL48" s="188"/>
      <c r="AM48" s="188"/>
      <c r="AN48" s="196"/>
      <c r="AO48" s="196"/>
      <c r="AP48" s="196"/>
      <c r="AQ48" s="196"/>
      <c r="AR4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8" s="188" t="str">
        <f>IF(PORTEFEUILLE_AUTRE_COMPTABLE[[#This Row],[BONI AAC]]&lt;&gt;0,1,"")</f>
        <v/>
      </c>
      <c r="AU48" s="188" t="str">
        <f>IF(PORTEFEUILLE_AUTRE_COMPTABLE[[#This Row],[MALI AAC]]&lt;&gt;0,1,"")</f>
        <v/>
      </c>
      <c r="AV48" s="225">
        <f>IF(AP48&lt;&gt;"",IF((AP48*Paramètres!$H$4)-PORTEFEUILLE_AUTRE_COMPTABLE[[#This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€]]-(DELPHINE!AP50*Paramètres!$H$4),0),0)</f>
        <v>0</v>
      </c>
      <c r="AW48" s="225">
        <f>IF(AP48&lt;&gt;"",IF(((AP48*Paramètres!$H$4)-PORTEFEUILLE_AUTRE_COMPTABLE[[#This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8" s="190" t="str">
        <f>IF(PORTEFEUILLE_AUTRE_COMPTABLE[[#This Row],[BONI COMPTABLE]]&lt;&gt;0,1,"")</f>
        <v/>
      </c>
      <c r="AY48" s="190" t="str">
        <f>IF(PORTEFEUILLE_AUTRE_COMPTABLE[[#This Row],[MALI COMPTABLE]]&lt;&gt;0,1,"")</f>
        <v/>
      </c>
      <c r="AZ48" s="196"/>
      <c r="BA48" s="188"/>
      <c r="BB48" s="188"/>
      <c r="BC48" s="188"/>
      <c r="BD48" s="196"/>
      <c r="BE48" s="196"/>
      <c r="BF48" s="196"/>
      <c r="BG48" s="192"/>
      <c r="BH48" s="194"/>
      <c r="BI48" s="194"/>
      <c r="BJ48" s="195"/>
      <c r="BK48" s="194"/>
    </row>
    <row r="49" spans="1:63" x14ac:dyDescent="0.25">
      <c r="A49" s="172"/>
      <c r="B49" s="170"/>
      <c r="C49" s="165"/>
      <c r="D49" s="171"/>
      <c r="E49" s="189"/>
      <c r="F49" s="188"/>
      <c r="G49" s="188"/>
      <c r="H49" s="189"/>
      <c r="I49" s="188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4"/>
      <c r="T49" s="208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  <c r="AG49" s="219"/>
      <c r="AH49" s="225">
        <f>SUM(PORTEFEUILLE_AUTRE_COMPTABLE[[#This Row],[PCR COMPTABLE €]:[MONTANT
RESPONSABLE RELATION CLIENT €]])-PORTEFEUILLE_AUTRE_COMPTABLE[[#This Row],[MONTANT TOTAL LETTRE DE MISION €]]</f>
        <v>0</v>
      </c>
      <c r="AI49" s="191"/>
      <c r="AJ49" s="188"/>
      <c r="AK49" s="188"/>
      <c r="AL49" s="188"/>
      <c r="AM49" s="188"/>
      <c r="AN49" s="196"/>
      <c r="AO49" s="196"/>
      <c r="AP49" s="196"/>
      <c r="AQ49" s="196"/>
      <c r="AR4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4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49" s="188" t="str">
        <f>IF(PORTEFEUILLE_AUTRE_COMPTABLE[[#This Row],[BONI AAC]]&lt;&gt;0,1,"")</f>
        <v/>
      </c>
      <c r="AU49" s="188" t="str">
        <f>IF(PORTEFEUILLE_AUTRE_COMPTABLE[[#This Row],[MALI AAC]]&lt;&gt;0,1,"")</f>
        <v/>
      </c>
      <c r="AV49" s="225">
        <f>IF(AP49&lt;&gt;"",IF((AP49*Paramètres!$H$4)-PORTEFEUILLE_AUTRE_COMPTABLE[[#This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€]]-(DELPHINE!AP51*Paramètres!$H$4),0),0)</f>
        <v>0</v>
      </c>
      <c r="AW49" s="225">
        <f>IF(AP49&lt;&gt;"",IF(((AP49*Paramètres!$H$4)-PORTEFEUILLE_AUTRE_COMPTABLE[[#This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49" s="190" t="str">
        <f>IF(PORTEFEUILLE_AUTRE_COMPTABLE[[#This Row],[BONI COMPTABLE]]&lt;&gt;0,1,"")</f>
        <v/>
      </c>
      <c r="AY49" s="190" t="str">
        <f>IF(PORTEFEUILLE_AUTRE_COMPTABLE[[#This Row],[MALI COMPTABLE]]&lt;&gt;0,1,"")</f>
        <v/>
      </c>
      <c r="AZ49" s="196"/>
      <c r="BA49" s="188"/>
      <c r="BB49" s="188"/>
      <c r="BC49" s="188"/>
      <c r="BD49" s="196"/>
      <c r="BE49" s="196"/>
      <c r="BF49" s="196"/>
      <c r="BG49" s="192"/>
      <c r="BH49" s="194"/>
      <c r="BI49" s="194"/>
      <c r="BJ49" s="195"/>
      <c r="BK49" s="194"/>
    </row>
    <row r="50" spans="1:63" x14ac:dyDescent="0.25">
      <c r="A50" s="172"/>
      <c r="B50" s="182"/>
      <c r="C50" s="183"/>
      <c r="D50" s="184"/>
      <c r="E50" s="200"/>
      <c r="F50" s="201"/>
      <c r="G50" s="201"/>
      <c r="H50" s="189"/>
      <c r="I50" s="201"/>
      <c r="J50" s="201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6"/>
      <c r="T50" s="210"/>
      <c r="U50" s="222"/>
      <c r="V50" s="222"/>
      <c r="W50" s="222"/>
      <c r="X50" s="222"/>
      <c r="Y50" s="222"/>
      <c r="Z50" s="222"/>
      <c r="AA50" s="222"/>
      <c r="AB50" s="222"/>
      <c r="AC50" s="222"/>
      <c r="AD50" s="222"/>
      <c r="AE50" s="222"/>
      <c r="AF50" s="222"/>
      <c r="AG50" s="219"/>
      <c r="AH50" s="225">
        <f>SUM(PORTEFEUILLE_AUTRE_COMPTABLE[[#This Row],[PCR COMPTABLE €]:[MONTANT
RESPONSABLE RELATION CLIENT €]])-PORTEFEUILLE_AUTRE_COMPTABLE[[#This Row],[MONTANT TOTAL LETTRE DE MISION €]]</f>
        <v>0</v>
      </c>
      <c r="AI50" s="191"/>
      <c r="AJ50" s="188"/>
      <c r="AK50" s="201"/>
      <c r="AL50" s="201"/>
      <c r="AM50" s="201"/>
      <c r="AN50" s="202"/>
      <c r="AO50" s="202"/>
      <c r="AP50" s="202"/>
      <c r="AQ50" s="202"/>
      <c r="AR5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0" s="188" t="str">
        <f>IF(PORTEFEUILLE_AUTRE_COMPTABLE[[#This Row],[BONI AAC]]&lt;&gt;0,1,"")</f>
        <v/>
      </c>
      <c r="AU50" s="188" t="str">
        <f>IF(PORTEFEUILLE_AUTRE_COMPTABLE[[#This Row],[MALI AAC]]&lt;&gt;0,1,"")</f>
        <v/>
      </c>
      <c r="AV50" s="225">
        <f>IF(AP50&lt;&gt;"",IF((AP50*Paramètres!$H$4)-PORTEFEUILLE_AUTRE_COMPTABLE[[#This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€]]-(DELPHINE!AP52*Paramètres!$H$4),0),0)</f>
        <v>0</v>
      </c>
      <c r="AW50" s="225">
        <f>IF(AP50&lt;&gt;"",IF(((AP50*Paramètres!$H$4)-PORTEFEUILLE_AUTRE_COMPTABLE[[#This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0" s="190" t="str">
        <f>IF(PORTEFEUILLE_AUTRE_COMPTABLE[[#This Row],[BONI COMPTABLE]]&lt;&gt;0,1,"")</f>
        <v/>
      </c>
      <c r="AY50" s="190" t="str">
        <f>IF(PORTEFEUILLE_AUTRE_COMPTABLE[[#This Row],[MALI COMPTABLE]]&lt;&gt;0,1,"")</f>
        <v/>
      </c>
      <c r="AZ50" s="202"/>
      <c r="BA50" s="188"/>
      <c r="BB50" s="188"/>
      <c r="BC50" s="188"/>
      <c r="BD50" s="202"/>
      <c r="BE50" s="202"/>
      <c r="BF50" s="202"/>
      <c r="BG50" s="192"/>
      <c r="BH50" s="194"/>
      <c r="BI50" s="194"/>
      <c r="BJ50" s="195"/>
      <c r="BK50" s="194"/>
    </row>
    <row r="51" spans="1:63" x14ac:dyDescent="0.25">
      <c r="A51" s="172"/>
      <c r="B51" s="185"/>
      <c r="C51" s="172"/>
      <c r="D51" s="172"/>
      <c r="E51" s="203"/>
      <c r="F51" s="194"/>
      <c r="G51" s="194"/>
      <c r="H51" s="189"/>
      <c r="I51" s="194"/>
      <c r="J51" s="194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7"/>
      <c r="T51" s="211"/>
      <c r="U51" s="223"/>
      <c r="V51" s="223"/>
      <c r="W51" s="223"/>
      <c r="X51" s="223"/>
      <c r="Y51" s="223"/>
      <c r="Z51" s="223"/>
      <c r="AA51" s="223"/>
      <c r="AB51" s="223"/>
      <c r="AC51" s="223"/>
      <c r="AD51" s="223"/>
      <c r="AE51" s="223"/>
      <c r="AF51" s="223"/>
      <c r="AG51" s="219"/>
      <c r="AH51" s="225">
        <f>SUM(PORTEFEUILLE_AUTRE_COMPTABLE[[#This Row],[PCR COMPTABLE €]:[MONTANT
RESPONSABLE RELATION CLIENT €]])-PORTEFEUILLE_AUTRE_COMPTABLE[[#This Row],[MONTANT TOTAL LETTRE DE MISION €]]</f>
        <v>0</v>
      </c>
      <c r="AI51" s="191"/>
      <c r="AJ51" s="188"/>
      <c r="AK51" s="188"/>
      <c r="AL51" s="188"/>
      <c r="AM51" s="188"/>
      <c r="AN51" s="194"/>
      <c r="AO51" s="194"/>
      <c r="AP51" s="194"/>
      <c r="AQ51" s="194"/>
      <c r="AR5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1" s="188" t="str">
        <f>IF(PORTEFEUILLE_AUTRE_COMPTABLE[[#This Row],[BONI AAC]]&lt;&gt;0,1,"")</f>
        <v/>
      </c>
      <c r="AU51" s="188" t="str">
        <f>IF(PORTEFEUILLE_AUTRE_COMPTABLE[[#This Row],[MALI AAC]]&lt;&gt;0,1,"")</f>
        <v/>
      </c>
      <c r="AV51" s="225">
        <f>IF(AP51&lt;&gt;"",IF((AP51*Paramètres!$H$4)-PORTEFEUILLE_AUTRE_COMPTABLE[[#This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€]]-(DELPHINE!AP53*Paramètres!$H$4),0),0)</f>
        <v>0</v>
      </c>
      <c r="AW51" s="225">
        <f>IF(AP51&lt;&gt;"",IF(((AP51*Paramètres!$H$4)-PORTEFEUILLE_AUTRE_COMPTABLE[[#This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1" s="190" t="str">
        <f>IF(PORTEFEUILLE_AUTRE_COMPTABLE[[#This Row],[BONI COMPTABLE]]&lt;&gt;0,1,"")</f>
        <v/>
      </c>
      <c r="AY51" s="190" t="str">
        <f>IF(PORTEFEUILLE_AUTRE_COMPTABLE[[#This Row],[MALI COMPTABLE]]&lt;&gt;0,1,"")</f>
        <v/>
      </c>
      <c r="AZ51" s="194"/>
      <c r="BA51" s="188"/>
      <c r="BB51" s="188"/>
      <c r="BC51" s="188"/>
      <c r="BD51" s="194"/>
      <c r="BE51" s="194"/>
      <c r="BF51" s="194"/>
      <c r="BG51" s="192"/>
      <c r="BH51" s="194"/>
      <c r="BI51" s="194"/>
      <c r="BJ51" s="195"/>
      <c r="BK51" s="194"/>
    </row>
    <row r="52" spans="1:63" x14ac:dyDescent="0.25">
      <c r="A52" s="172"/>
      <c r="B52" s="185"/>
      <c r="C52" s="172"/>
      <c r="D52" s="172"/>
      <c r="E52" s="203"/>
      <c r="F52" s="194"/>
      <c r="G52" s="194"/>
      <c r="H52" s="189"/>
      <c r="I52" s="194"/>
      <c r="J52" s="194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7"/>
      <c r="T52" s="211"/>
      <c r="U52" s="223"/>
      <c r="V52" s="223"/>
      <c r="W52" s="223"/>
      <c r="X52" s="223"/>
      <c r="Y52" s="223"/>
      <c r="Z52" s="223"/>
      <c r="AA52" s="223"/>
      <c r="AB52" s="223"/>
      <c r="AC52" s="223"/>
      <c r="AD52" s="223"/>
      <c r="AE52" s="223"/>
      <c r="AF52" s="223"/>
      <c r="AG52" s="219"/>
      <c r="AH52" s="225">
        <f>SUM(PORTEFEUILLE_AUTRE_COMPTABLE[[#This Row],[PCR COMPTABLE €]:[MONTANT
RESPONSABLE RELATION CLIENT €]])-PORTEFEUILLE_AUTRE_COMPTABLE[[#This Row],[MONTANT TOTAL LETTRE DE MISION €]]</f>
        <v>0</v>
      </c>
      <c r="AI52" s="191"/>
      <c r="AJ52" s="188"/>
      <c r="AK52" s="188"/>
      <c r="AL52" s="188"/>
      <c r="AM52" s="188"/>
      <c r="AN52" s="194"/>
      <c r="AO52" s="194"/>
      <c r="AP52" s="194"/>
      <c r="AQ52" s="194"/>
      <c r="AR5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2" s="188" t="str">
        <f>IF(PORTEFEUILLE_AUTRE_COMPTABLE[[#This Row],[BONI AAC]]&lt;&gt;0,1,"")</f>
        <v/>
      </c>
      <c r="AU52" s="188" t="str">
        <f>IF(PORTEFEUILLE_AUTRE_COMPTABLE[[#This Row],[MALI AAC]]&lt;&gt;0,1,"")</f>
        <v/>
      </c>
      <c r="AV52" s="225">
        <f>IF(AP52&lt;&gt;"",IF((AP52*Paramètres!$H$4)-PORTEFEUILLE_AUTRE_COMPTABLE[[#This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€]]-(DELPHINE!AP54*Paramètres!$H$4),0),0)</f>
        <v>0</v>
      </c>
      <c r="AW52" s="225">
        <f>IF(AP52&lt;&gt;"",IF(((AP52*Paramètres!$H$4)-PORTEFEUILLE_AUTRE_COMPTABLE[[#This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2" s="190" t="str">
        <f>IF(PORTEFEUILLE_AUTRE_COMPTABLE[[#This Row],[BONI COMPTABLE]]&lt;&gt;0,1,"")</f>
        <v/>
      </c>
      <c r="AY52" s="190" t="str">
        <f>IF(PORTEFEUILLE_AUTRE_COMPTABLE[[#This Row],[MALI COMPTABLE]]&lt;&gt;0,1,"")</f>
        <v/>
      </c>
      <c r="AZ52" s="194"/>
      <c r="BA52" s="188"/>
      <c r="BB52" s="188"/>
      <c r="BC52" s="188"/>
      <c r="BD52" s="194"/>
      <c r="BE52" s="194"/>
      <c r="BF52" s="194"/>
      <c r="BG52" s="192"/>
      <c r="BH52" s="194"/>
      <c r="BI52" s="194"/>
      <c r="BJ52" s="195"/>
      <c r="BK52" s="194"/>
    </row>
    <row r="53" spans="1:63" x14ac:dyDescent="0.25">
      <c r="A53" s="172"/>
      <c r="B53" s="185"/>
      <c r="C53" s="172"/>
      <c r="D53" s="172"/>
      <c r="E53" s="203"/>
      <c r="F53" s="194"/>
      <c r="G53" s="194"/>
      <c r="H53" s="189"/>
      <c r="I53" s="194"/>
      <c r="J53" s="194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7"/>
      <c r="T53" s="211"/>
      <c r="U53" s="223"/>
      <c r="V53" s="223"/>
      <c r="W53" s="223"/>
      <c r="X53" s="223"/>
      <c r="Y53" s="223"/>
      <c r="Z53" s="223"/>
      <c r="AA53" s="223"/>
      <c r="AB53" s="223"/>
      <c r="AC53" s="223"/>
      <c r="AD53" s="223"/>
      <c r="AE53" s="223"/>
      <c r="AF53" s="223"/>
      <c r="AG53" s="219"/>
      <c r="AH53" s="225">
        <f>SUM(PORTEFEUILLE_AUTRE_COMPTABLE[[#This Row],[PCR COMPTABLE €]:[MONTANT
RESPONSABLE RELATION CLIENT €]])-PORTEFEUILLE_AUTRE_COMPTABLE[[#This Row],[MONTANT TOTAL LETTRE DE MISION €]]</f>
        <v>0</v>
      </c>
      <c r="AI53" s="191"/>
      <c r="AJ53" s="188"/>
      <c r="AK53" s="188"/>
      <c r="AL53" s="188"/>
      <c r="AM53" s="188"/>
      <c r="AN53" s="194"/>
      <c r="AO53" s="194"/>
      <c r="AP53" s="194"/>
      <c r="AQ53" s="194"/>
      <c r="AR5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3" s="188" t="str">
        <f>IF(PORTEFEUILLE_AUTRE_COMPTABLE[[#This Row],[BONI AAC]]&lt;&gt;0,1,"")</f>
        <v/>
      </c>
      <c r="AU53" s="188" t="str">
        <f>IF(PORTEFEUILLE_AUTRE_COMPTABLE[[#This Row],[MALI AAC]]&lt;&gt;0,1,"")</f>
        <v/>
      </c>
      <c r="AV53" s="225">
        <f>IF(AP53&lt;&gt;"",IF((AP53*Paramètres!$H$4)-PORTEFEUILLE_AUTRE_COMPTABLE[[#This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€]]-(DELPHINE!AP55*Paramètres!$H$4),0),0)</f>
        <v>0</v>
      </c>
      <c r="AW53" s="225">
        <f>IF(AP53&lt;&gt;"",IF(((AP53*Paramètres!$H$4)-PORTEFEUILLE_AUTRE_COMPTABLE[[#This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3" s="190" t="str">
        <f>IF(PORTEFEUILLE_AUTRE_COMPTABLE[[#This Row],[BONI COMPTABLE]]&lt;&gt;0,1,"")</f>
        <v/>
      </c>
      <c r="AY53" s="190" t="str">
        <f>IF(PORTEFEUILLE_AUTRE_COMPTABLE[[#This Row],[MALI COMPTABLE]]&lt;&gt;0,1,"")</f>
        <v/>
      </c>
      <c r="AZ53" s="194"/>
      <c r="BA53" s="188"/>
      <c r="BB53" s="188"/>
      <c r="BC53" s="188"/>
      <c r="BD53" s="194"/>
      <c r="BE53" s="194"/>
      <c r="BF53" s="194"/>
      <c r="BG53" s="192"/>
      <c r="BH53" s="194"/>
      <c r="BI53" s="194"/>
      <c r="BJ53" s="195"/>
      <c r="BK53" s="194"/>
    </row>
    <row r="54" spans="1:63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SUM(PORTEFEUILLE_AUTRE_COMPTABLE[[#This Row],[PCR COMPTABLE €]:[MONTANT
RESPONSABLE RELATION CLIENT €]])-PORTEFEUILLE_AUTRE_COMPTABLE[[#This Row],[MONTANT TOTAL LETTRE DE MISION €]]</f>
        <v>0</v>
      </c>
      <c r="AI54" s="191"/>
      <c r="AJ54" s="188"/>
      <c r="AK54" s="188"/>
      <c r="AL54" s="188"/>
      <c r="AM54" s="188"/>
      <c r="AN54" s="194"/>
      <c r="AO54" s="194"/>
      <c r="AP54" s="194"/>
      <c r="AQ54" s="194"/>
      <c r="AR5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4" s="188" t="str">
        <f>IF(PORTEFEUILLE_AUTRE_COMPTABLE[[#This Row],[BONI AAC]]&lt;&gt;0,1,"")</f>
        <v/>
      </c>
      <c r="AU54" s="188" t="str">
        <f>IF(PORTEFEUILLE_AUTRE_COMPTABLE[[#This Row],[MALI AAC]]&lt;&gt;0,1,"")</f>
        <v/>
      </c>
      <c r="AV54" s="225">
        <f>IF(AP54&lt;&gt;"",IF((AP54*Paramètres!$H$4)-PORTEFEUILLE_AUTRE_COMPTABLE[[#This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€]]-(DELPHINE!AP56*Paramètres!$H$4),0),0)</f>
        <v>0</v>
      </c>
      <c r="AW54" s="225">
        <f>IF(AP54&lt;&gt;"",IF(((AP54*Paramètres!$H$4)-PORTEFEUILLE_AUTRE_COMPTABLE[[#This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4" s="190" t="str">
        <f>IF(PORTEFEUILLE_AUTRE_COMPTABLE[[#This Row],[BONI COMPTABLE]]&lt;&gt;0,1,"")</f>
        <v/>
      </c>
      <c r="AY54" s="190" t="str">
        <f>IF(PORTEFEUILLE_AUTRE_COMPTABLE[[#This Row],[MALI COMPTABLE]]&lt;&gt;0,1,"")</f>
        <v/>
      </c>
      <c r="AZ54" s="194"/>
      <c r="BA54" s="188"/>
      <c r="BB54" s="188"/>
      <c r="BC54" s="188"/>
      <c r="BD54" s="194"/>
      <c r="BE54" s="194"/>
      <c r="BF54" s="194"/>
      <c r="BG54" s="192"/>
      <c r="BH54" s="194"/>
      <c r="BI54" s="194"/>
      <c r="BJ54" s="195"/>
      <c r="BK54" s="194"/>
    </row>
    <row r="55" spans="1:63" x14ac:dyDescent="0.25">
      <c r="A55" s="172"/>
      <c r="B55" s="179"/>
      <c r="C55" s="176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SUM(PORTEFEUILLE_AUTRE_COMPTABLE[[#This Row],[PCR COMPTABLE €]:[MONTANT
RESPONSABLE RELATION CLIENT €]])-PORTEFEUILLE_AUTRE_COMPTABLE[[#This Row],[MONTANT TOTAL LETTRE DE MISION €]]</f>
        <v>0</v>
      </c>
      <c r="AI55" s="191"/>
      <c r="AJ55" s="188"/>
      <c r="AK55" s="188"/>
      <c r="AL55" s="188"/>
      <c r="AM55" s="188"/>
      <c r="AN55" s="194"/>
      <c r="AO55" s="194"/>
      <c r="AP55" s="194"/>
      <c r="AQ55" s="194"/>
      <c r="AR5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5" s="188" t="str">
        <f>IF(PORTEFEUILLE_AUTRE_COMPTABLE[[#This Row],[BONI AAC]]&lt;&gt;0,1,"")</f>
        <v/>
      </c>
      <c r="AU55" s="188" t="str">
        <f>IF(PORTEFEUILLE_AUTRE_COMPTABLE[[#This Row],[MALI AAC]]&lt;&gt;0,1,"")</f>
        <v/>
      </c>
      <c r="AV55" s="225">
        <f>IF(AP55&lt;&gt;"",IF((AP55*Paramètres!$H$4)-PORTEFEUILLE_AUTRE_COMPTABLE[[#This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€]]-(DELPHINE!AP57*Paramètres!$H$4),0),0)</f>
        <v>0</v>
      </c>
      <c r="AW55" s="225">
        <f>IF(AP55&lt;&gt;"",IF(((AP55*Paramètres!$H$4)-PORTEFEUILLE_AUTRE_COMPTABLE[[#This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5" s="190" t="str">
        <f>IF(PORTEFEUILLE_AUTRE_COMPTABLE[[#This Row],[BONI COMPTABLE]]&lt;&gt;0,1,"")</f>
        <v/>
      </c>
      <c r="AY55" s="190" t="str">
        <f>IF(PORTEFEUILLE_AUTRE_COMPTABLE[[#This Row],[MALI COMPTABLE]]&lt;&gt;0,1,"")</f>
        <v/>
      </c>
      <c r="AZ55" s="194"/>
      <c r="BA55" s="188"/>
      <c r="BB55" s="188"/>
      <c r="BC55" s="188"/>
      <c r="BD55" s="194"/>
      <c r="BE55" s="194"/>
      <c r="BF55" s="194"/>
      <c r="BG55" s="192"/>
      <c r="BH55" s="194"/>
      <c r="BI55" s="194"/>
      <c r="BJ55" s="195"/>
      <c r="BK55" s="194"/>
    </row>
    <row r="56" spans="1:63" x14ac:dyDescent="0.25">
      <c r="A56" s="172"/>
      <c r="B56" s="179"/>
      <c r="C56" s="176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SUM(PORTEFEUILLE_AUTRE_COMPTABLE[[#This Row],[PCR COMPTABLE €]:[MONTANT
RESPONSABLE RELATION CLIENT €]])-PORTEFEUILLE_AUTRE_COMPTABLE[[#This Row],[MONTANT TOTAL LETTRE DE MISION €]]</f>
        <v>0</v>
      </c>
      <c r="AI56" s="191"/>
      <c r="AJ56" s="188"/>
      <c r="AK56" s="188"/>
      <c r="AL56" s="188"/>
      <c r="AM56" s="188"/>
      <c r="AN56" s="194"/>
      <c r="AO56" s="194"/>
      <c r="AP56" s="194"/>
      <c r="AQ56" s="194"/>
      <c r="AR5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6" s="188" t="str">
        <f>IF(PORTEFEUILLE_AUTRE_COMPTABLE[[#This Row],[BONI AAC]]&lt;&gt;0,1,"")</f>
        <v/>
      </c>
      <c r="AU56" s="188" t="str">
        <f>IF(PORTEFEUILLE_AUTRE_COMPTABLE[[#This Row],[MALI AAC]]&lt;&gt;0,1,"")</f>
        <v/>
      </c>
      <c r="AV56" s="225">
        <f>IF(AP56&lt;&gt;"",IF((AP56*Paramètres!$H$4)-PORTEFEUILLE_AUTRE_COMPTABLE[[#This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€]]-(DELPHINE!AP58*Paramètres!$H$4),0),0)</f>
        <v>0</v>
      </c>
      <c r="AW56" s="225">
        <f>IF(AP56&lt;&gt;"",IF(((AP56*Paramètres!$H$4)-PORTEFEUILLE_AUTRE_COMPTABLE[[#This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6" s="190" t="str">
        <f>IF(PORTEFEUILLE_AUTRE_COMPTABLE[[#This Row],[BONI COMPTABLE]]&lt;&gt;0,1,"")</f>
        <v/>
      </c>
      <c r="AY56" s="190" t="str">
        <f>IF(PORTEFEUILLE_AUTRE_COMPTABLE[[#This Row],[MALI COMPTABLE]]&lt;&gt;0,1,"")</f>
        <v/>
      </c>
      <c r="AZ56" s="194"/>
      <c r="BA56" s="188"/>
      <c r="BB56" s="188"/>
      <c r="BC56" s="188"/>
      <c r="BD56" s="194"/>
      <c r="BE56" s="194"/>
      <c r="BF56" s="194"/>
      <c r="BG56" s="192"/>
      <c r="BH56" s="194"/>
      <c r="BI56" s="194"/>
      <c r="BJ56" s="195"/>
      <c r="BK56" s="194"/>
    </row>
    <row r="57" spans="1:63" x14ac:dyDescent="0.25">
      <c r="A57" s="186"/>
      <c r="B57" s="187"/>
      <c r="C57" s="186"/>
      <c r="D57" s="186"/>
      <c r="E57" s="204"/>
      <c r="F57" s="205"/>
      <c r="G57" s="205"/>
      <c r="H57" s="189"/>
      <c r="I57" s="205"/>
      <c r="J57" s="205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8"/>
      <c r="T57" s="212"/>
      <c r="U57" s="224"/>
      <c r="V57" s="224"/>
      <c r="W57" s="224"/>
      <c r="X57" s="224"/>
      <c r="Y57" s="224"/>
      <c r="Z57" s="224"/>
      <c r="AA57" s="224"/>
      <c r="AB57" s="224"/>
      <c r="AC57" s="224"/>
      <c r="AD57" s="224"/>
      <c r="AE57" s="224"/>
      <c r="AF57" s="224"/>
      <c r="AG57" s="219"/>
      <c r="AH57" s="225">
        <f>SUM(PORTEFEUILLE_AUTRE_COMPTABLE[[#This Row],[PCR COMPTABLE €]:[MONTANT
RESPONSABLE RELATION CLIENT €]])-PORTEFEUILLE_AUTRE_COMPTABLE[[#This Row],[MONTANT TOTAL LETTRE DE MISION €]]</f>
        <v>0</v>
      </c>
      <c r="AI57" s="191"/>
      <c r="AJ57" s="188"/>
      <c r="AK57" s="201"/>
      <c r="AL57" s="201"/>
      <c r="AM57" s="201"/>
      <c r="AN57" s="205"/>
      <c r="AO57" s="205"/>
      <c r="AP57" s="205"/>
      <c r="AQ57" s="205"/>
      <c r="AR5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S5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T57" s="188" t="str">
        <f>IF(PORTEFEUILLE_AUTRE_COMPTABLE[[#This Row],[BONI AAC]]&lt;&gt;0,1,"")</f>
        <v/>
      </c>
      <c r="AU57" s="188" t="str">
        <f>IF(PORTEFEUILLE_AUTRE_COMPTABLE[[#This Row],[MALI AAC]]&lt;&gt;0,1,"")</f>
        <v/>
      </c>
      <c r="AV57" s="225">
        <f>IF(AP57&lt;&gt;"",IF((AP57*Paramètres!$H$4)-PORTEFEUILLE_AUTRE_COMPTABLE[[#This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€]]-(DELPHINE!AP59*Paramètres!$H$4),0),0)</f>
        <v>0</v>
      </c>
      <c r="AW57" s="225">
        <f>IF(AP57&lt;&gt;"",IF(((AP57*Paramètres!$H$4)-PORTEFEUILLE_AUTRE_COMPTABLE[[#This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€]])&gt;0,(AP57*Paramètres!$H$4)-PORTEFEUILLE_AUTRE_COMPTABLE[[#This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X57" s="190" t="str">
        <f>IF(PORTEFEUILLE_AUTRE_COMPTABLE[[#This Row],[BONI COMPTABLE]]&lt;&gt;0,1,"")</f>
        <v/>
      </c>
      <c r="AY57" s="190" t="str">
        <f>IF(PORTEFEUILLE_AUTRE_COMPTABLE[[#This Row],[MALI COMPTABLE]]&lt;&gt;0,1,"")</f>
        <v/>
      </c>
      <c r="AZ57" s="205"/>
      <c r="BA57" s="188"/>
      <c r="BB57" s="188"/>
      <c r="BC57" s="188"/>
      <c r="BD57" s="205"/>
      <c r="BE57" s="205"/>
      <c r="BF57" s="205"/>
      <c r="BG57" s="192"/>
      <c r="BH57" s="205"/>
      <c r="BI57" s="205"/>
      <c r="BJ57" s="206"/>
      <c r="BK57" s="205"/>
    </row>
    <row r="60" spans="1:63" x14ac:dyDescent="0.25">
      <c r="B60" s="89" t="s">
        <v>120</v>
      </c>
    </row>
    <row r="62" spans="1:63" x14ac:dyDescent="0.25">
      <c r="B62" s="279" t="s">
        <v>120</v>
      </c>
      <c r="C62" s="122"/>
      <c r="D62" s="122"/>
      <c r="E62" s="125" t="s">
        <v>112</v>
      </c>
      <c r="F62" s="121" t="s">
        <v>115</v>
      </c>
      <c r="G62" s="126" t="s">
        <v>118</v>
      </c>
      <c r="H62" s="127" t="s">
        <v>116</v>
      </c>
      <c r="I62" s="127" t="s">
        <v>136</v>
      </c>
      <c r="J62" s="128" t="s">
        <v>125</v>
      </c>
      <c r="K62" s="128" t="s">
        <v>110</v>
      </c>
      <c r="L62" s="128" t="s">
        <v>119</v>
      </c>
      <c r="M62" s="128" t="s">
        <v>126</v>
      </c>
      <c r="N62" s="128" t="s">
        <v>127</v>
      </c>
      <c r="O62" s="128" t="s">
        <v>128</v>
      </c>
      <c r="P62" s="128" t="s">
        <v>129</v>
      </c>
      <c r="Q62" s="128" t="s">
        <v>130</v>
      </c>
      <c r="R62" s="128" t="s">
        <v>137</v>
      </c>
      <c r="S62" s="128"/>
      <c r="T62" s="121"/>
      <c r="U62" s="164"/>
      <c r="V62" s="164"/>
      <c r="W62" s="164"/>
      <c r="X62" s="164"/>
      <c r="Y62" s="164"/>
      <c r="Z62" s="164"/>
      <c r="AA62" s="164"/>
      <c r="AB62" s="164"/>
      <c r="AC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164"/>
      <c r="AW62" s="164"/>
      <c r="AX62" s="164"/>
      <c r="AY62" s="164"/>
      <c r="AZ62" s="164"/>
    </row>
    <row r="63" spans="1:63" x14ac:dyDescent="0.25">
      <c r="B63" s="280"/>
      <c r="C63" s="120" t="s">
        <v>109</v>
      </c>
      <c r="D63" s="122">
        <f>COUNTIF($D$3:$D$57,"ACS")</f>
        <v>0</v>
      </c>
      <c r="E63" s="129">
        <f>+COUNTIF($F$3:$F$57,"SARL")</f>
        <v>0</v>
      </c>
      <c r="F63" s="121">
        <f>+COUNTIF($F$3:$F$57,"EURL")</f>
        <v>0</v>
      </c>
      <c r="G63" s="124">
        <f>COUNTIFS($F$3:$F$57,"SAS",$D$3:$D$57,"ACS")</f>
        <v>0</v>
      </c>
      <c r="H63" s="122">
        <f>COUNTIFS($F$3:$F$57,"INDIVIDUEL",$D$3:$D$57,"ACS")</f>
        <v>0</v>
      </c>
      <c r="I63" s="122">
        <f>COUNTIF($F$3:$F$57,"ASSOCIATION")</f>
        <v>0</v>
      </c>
      <c r="J63" s="122"/>
      <c r="K63" s="122">
        <f>COUNTIF($F$3:$F$57,"SNC")</f>
        <v>0</v>
      </c>
      <c r="L63" s="122">
        <f>+COUNTIF($F$3:$F$57,"SCI")</f>
        <v>0</v>
      </c>
      <c r="M63" s="130"/>
      <c r="N63" s="131"/>
      <c r="O63" s="132"/>
      <c r="P63" s="122">
        <f>+COUNTIF($F$3:$F$57,"GROUPEMENT")</f>
        <v>0</v>
      </c>
      <c r="Q63" s="121">
        <f>COUNTIF($F$3:$F$57,"EIRL")</f>
        <v>0</v>
      </c>
      <c r="R63" s="121">
        <f>COUNTIF($F$3:$F$57,"AUTRE")</f>
        <v>0</v>
      </c>
      <c r="S63" s="121"/>
      <c r="T63" s="122">
        <f>+SUM(E63:P63)</f>
        <v>0</v>
      </c>
      <c r="U63" s="164"/>
      <c r="V63" s="164"/>
      <c r="W63" s="164"/>
      <c r="X63" s="164"/>
      <c r="Y63" s="164"/>
      <c r="Z63" s="164"/>
      <c r="AA63" s="164"/>
      <c r="AB63" s="164"/>
      <c r="AC63" s="164"/>
      <c r="AE63" s="164"/>
      <c r="AF63" s="164"/>
      <c r="AG63" s="164"/>
      <c r="AH63" s="164"/>
      <c r="AI63" s="164"/>
      <c r="AJ63" s="164"/>
      <c r="AK63" s="164"/>
      <c r="AL63" s="164"/>
      <c r="AM63" s="164"/>
      <c r="AN63" s="164"/>
      <c r="AO63" s="164"/>
      <c r="AP63" s="164"/>
      <c r="AQ63" s="164"/>
      <c r="AR63" s="164"/>
      <c r="AS63" s="164"/>
      <c r="AT63" s="164"/>
      <c r="AU63" s="164"/>
      <c r="AV63" s="164"/>
      <c r="AW63" s="164"/>
      <c r="AX63" s="164"/>
      <c r="AY63" s="164"/>
      <c r="AZ63" s="164"/>
    </row>
    <row r="64" spans="1:63" x14ac:dyDescent="0.25">
      <c r="B64" s="280"/>
      <c r="C64" s="120" t="s">
        <v>121</v>
      </c>
      <c r="D64" s="122">
        <f>COUNTIF($D$3:$D$57,"BNC")</f>
        <v>0</v>
      </c>
      <c r="E64" s="133"/>
      <c r="F64" s="121"/>
      <c r="G64" s="134"/>
      <c r="H64" s="135"/>
      <c r="I64" s="132"/>
      <c r="J64" s="122">
        <f>+COUNTIF($F$3:$F$57,"PROFESSION LIBERALE")</f>
        <v>0</v>
      </c>
      <c r="K64" s="122"/>
      <c r="L64" s="122"/>
      <c r="M64" s="122"/>
      <c r="N64" s="122"/>
      <c r="O64" s="122"/>
      <c r="P64" s="122"/>
      <c r="Q64" s="121"/>
      <c r="R64" s="121"/>
      <c r="S64" s="121"/>
      <c r="T64" s="122">
        <f>+SUM(E64:P64)</f>
        <v>0</v>
      </c>
      <c r="U64" s="164"/>
      <c r="V64" s="164"/>
      <c r="W64" s="164"/>
      <c r="X64" s="164"/>
      <c r="Y64" s="164"/>
      <c r="Z64" s="164"/>
      <c r="AA64" s="164"/>
      <c r="AB64" s="164"/>
      <c r="AC64" s="164"/>
      <c r="AE64" s="164"/>
      <c r="AF64" s="164"/>
      <c r="AG64" s="164"/>
      <c r="AH64" s="164"/>
      <c r="AI64" s="164"/>
      <c r="AJ64" s="164"/>
      <c r="AK64" s="164"/>
      <c r="AL64" s="164"/>
      <c r="AM64" s="164"/>
      <c r="AN64" s="164"/>
      <c r="AO64" s="164"/>
      <c r="AP64" s="164"/>
      <c r="AQ64" s="164"/>
      <c r="AR64" s="164"/>
      <c r="AS64" s="164"/>
      <c r="AT64" s="164"/>
      <c r="AU64" s="164"/>
      <c r="AV64" s="164"/>
      <c r="AW64" s="164"/>
      <c r="AX64" s="164"/>
      <c r="AY64" s="164"/>
      <c r="AZ64" s="164"/>
    </row>
    <row r="65" spans="2:52" x14ac:dyDescent="0.25">
      <c r="B65" s="281"/>
      <c r="C65" s="122" t="s">
        <v>122</v>
      </c>
      <c r="D65" s="122">
        <f>COUNTIF($D$3:$D$57,"AGRI")</f>
        <v>0</v>
      </c>
      <c r="E65" s="129"/>
      <c r="F65" s="121"/>
      <c r="G65" s="124">
        <f>COUNTIFS($F$3:$F$57,"SAS",$D$3:$D$57,"AGRI")</f>
        <v>0</v>
      </c>
      <c r="H65" s="122">
        <f>COUNTIFS($F$3:$F$57,"INDIVIDUEL",$D$3:$D$57,"AGRI")</f>
        <v>0</v>
      </c>
      <c r="I65" s="122"/>
      <c r="J65" s="122"/>
      <c r="K65" s="122"/>
      <c r="L65" s="122"/>
      <c r="M65" s="122">
        <f>COUNTIF($F$3:$F$59,"EARL")</f>
        <v>0</v>
      </c>
      <c r="N65" s="122">
        <f>COUNTIF($F$3:$F$59,"ETA")</f>
        <v>0</v>
      </c>
      <c r="O65" s="122">
        <f>COUNTIF($F$3:$F$59,"SCEA")</f>
        <v>0</v>
      </c>
      <c r="P65" s="122"/>
      <c r="Q65" s="121"/>
      <c r="R65" s="121"/>
      <c r="S65" s="121"/>
      <c r="T65" s="122">
        <f>+SUM(E65:P65)</f>
        <v>0</v>
      </c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  <c r="AZ65" s="164"/>
    </row>
    <row r="66" spans="2:52" x14ac:dyDescent="0.25">
      <c r="B66" s="275" t="s">
        <v>123</v>
      </c>
      <c r="C66" s="275"/>
      <c r="D66" s="122">
        <f>+SUM(D63:D65)</f>
        <v>0</v>
      </c>
      <c r="E66" s="129">
        <f>+SUM(E63:E65)</f>
        <v>0</v>
      </c>
      <c r="F66" s="129">
        <f t="shared" ref="F66:R66" si="2">+SUM(F63:F65)</f>
        <v>0</v>
      </c>
      <c r="G66" s="129">
        <f t="shared" si="2"/>
        <v>0</v>
      </c>
      <c r="H66" s="129">
        <f t="shared" si="2"/>
        <v>0</v>
      </c>
      <c r="I66" s="129">
        <f t="shared" si="2"/>
        <v>0</v>
      </c>
      <c r="J66" s="129">
        <f t="shared" si="2"/>
        <v>0</v>
      </c>
      <c r="K66" s="129">
        <f t="shared" si="2"/>
        <v>0</v>
      </c>
      <c r="L66" s="129">
        <f t="shared" si="2"/>
        <v>0</v>
      </c>
      <c r="M66" s="129">
        <f t="shared" si="2"/>
        <v>0</v>
      </c>
      <c r="N66" s="129">
        <f t="shared" si="2"/>
        <v>0</v>
      </c>
      <c r="O66" s="129">
        <f t="shared" si="2"/>
        <v>0</v>
      </c>
      <c r="P66" s="129">
        <f t="shared" si="2"/>
        <v>0</v>
      </c>
      <c r="Q66" s="129">
        <f t="shared" si="2"/>
        <v>0</v>
      </c>
      <c r="R66" s="129">
        <f t="shared" si="2"/>
        <v>0</v>
      </c>
      <c r="S66" s="129"/>
      <c r="T66" s="122">
        <f>+SUM(T63:T65)</f>
        <v>0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  <c r="AZ66" s="164"/>
    </row>
    <row r="67" spans="2:52" x14ac:dyDescent="0.25">
      <c r="B67" s="90"/>
      <c r="C67" s="90"/>
      <c r="D67" s="90"/>
      <c r="E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T67" s="90"/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  <c r="AZ67" s="164"/>
    </row>
    <row r="68" spans="2:52" x14ac:dyDescent="0.25">
      <c r="B68" s="282">
        <v>44196</v>
      </c>
      <c r="C68" s="122"/>
      <c r="D68" s="122"/>
      <c r="E68" s="125" t="str">
        <f t="shared" ref="E68:R68" si="3">E62</f>
        <v>SARL</v>
      </c>
      <c r="F68" s="122" t="str">
        <f t="shared" si="3"/>
        <v>EURL</v>
      </c>
      <c r="G68" s="126" t="str">
        <f t="shared" si="3"/>
        <v>SAS</v>
      </c>
      <c r="H68" s="127" t="str">
        <f t="shared" si="3"/>
        <v>INDIVIDUEL</v>
      </c>
      <c r="I68" s="127" t="str">
        <f t="shared" si="3"/>
        <v>ASSOCIATION</v>
      </c>
      <c r="J68" s="128" t="str">
        <f t="shared" si="3"/>
        <v>PROFESSION LIBERALE</v>
      </c>
      <c r="K68" s="128" t="str">
        <f t="shared" si="3"/>
        <v>SNC</v>
      </c>
      <c r="L68" s="128" t="str">
        <f t="shared" si="3"/>
        <v>SCI</v>
      </c>
      <c r="M68" s="128" t="str">
        <f t="shared" si="3"/>
        <v>EARL</v>
      </c>
      <c r="N68" s="128" t="str">
        <f t="shared" si="3"/>
        <v>ETA</v>
      </c>
      <c r="O68" s="128" t="str">
        <f t="shared" si="3"/>
        <v>SCEA</v>
      </c>
      <c r="P68" s="128" t="str">
        <f t="shared" si="3"/>
        <v>GROUPEMENT</v>
      </c>
      <c r="Q68" s="122" t="str">
        <f t="shared" si="3"/>
        <v>EIRL</v>
      </c>
      <c r="R68" s="122" t="str">
        <f t="shared" si="3"/>
        <v>AUTRES</v>
      </c>
      <c r="S68" s="122"/>
      <c r="T68" s="128" t="s">
        <v>86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  <c r="AZ68" s="164"/>
    </row>
    <row r="69" spans="2:52" x14ac:dyDescent="0.25">
      <c r="B69" s="280"/>
      <c r="C69" s="120" t="s">
        <v>109</v>
      </c>
      <c r="D69" s="122">
        <f>COUNTIFS($E$3:$E$57,DATE(Paramètres!A4,Paramètres!D15,Paramètres!C15),$D$3:$D$57,"ACS")</f>
        <v>0</v>
      </c>
      <c r="E69" s="129">
        <f>COUNTIFS($E$3:$E$57,DATE(Paramètres!A4,Paramètres!D15,Paramètres!C15),$F$3:$F$57,"SARL")</f>
        <v>0</v>
      </c>
      <c r="F69" s="122">
        <f>+COUNTIFS($E$3:$E$57,DATE(Paramètres!A4,Paramètres!D15,Paramètres!C15),$F$3:$F$57,"EURL")</f>
        <v>0</v>
      </c>
      <c r="G69" s="124">
        <f>COUNTIFS($E$3:$E$57,DATE(Paramètres!A4,Paramètres!D15,Paramètres!C15),$F$3:$F$57,"SAS",$D$3:$D$57,"ACS")</f>
        <v>0</v>
      </c>
      <c r="H69" s="122">
        <f>COUNTIFS($E$3:$E$57,DATE(Paramètres!A4,Paramètres!D15,Paramètres!C15),$F$3:$F$57,"INDIVIDUEL",$D$3:$D$57,"ACS")</f>
        <v>0</v>
      </c>
      <c r="I69" s="122">
        <f>+COUNTIFS($E$3:$E$57,DATE(Paramètres!A4,Paramètres!D15,Paramètres!C15),$F$3:$F$57,"ASSOCIATION")</f>
        <v>0</v>
      </c>
      <c r="J69" s="122"/>
      <c r="K69" s="122">
        <f>COUNTIFS($E$3:$E$57,DATE(Paramètres!A4,Paramètres!D15,Paramètres!C15),$F$3:$F$57,"SNC")</f>
        <v>0</v>
      </c>
      <c r="L69" s="122">
        <f>COUNTIFS($E$3:$E$57,DATE(Paramètres!A4,Paramètres!D15,Paramètres!C15),$F$3:$F$57,"SCI")</f>
        <v>0</v>
      </c>
      <c r="M69" s="130"/>
      <c r="N69" s="131"/>
      <c r="O69" s="132"/>
      <c r="P69" s="122">
        <f>COUNTIFS($E$3:$E$57,DATE(Paramètres!A4,Paramètres!D15,Paramètres!C15),$F$3:$F$57,"GROUPEMENT")</f>
        <v>0</v>
      </c>
      <c r="Q69" s="122">
        <f>+COUNTIFS($E$3:$E$57,DATE(Paramètres!A4,Paramètres!D15,Paramètres!C15),$F$3:$F$57,"EIRL")</f>
        <v>0</v>
      </c>
      <c r="R69" s="122">
        <f>+COUNTIFS($E$3:$E$57,DATE(Paramètres!B4,Paramètres!E15,Paramètres!D15),$F$3:$F$57,"AUTRES")</f>
        <v>0</v>
      </c>
      <c r="S69" s="122"/>
      <c r="T69" s="122">
        <f>+SUM(E69:P69)</f>
        <v>0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  <c r="AZ69" s="164"/>
    </row>
    <row r="70" spans="2:52" x14ac:dyDescent="0.25">
      <c r="B70" s="280"/>
      <c r="C70" s="120" t="s">
        <v>121</v>
      </c>
      <c r="D70" s="122">
        <f>COUNTIFS($E$3:$E$57,DATE(Paramètres!A4,Paramètres!D15,Paramètres!C15),$D$3:$D$57,"BNC")</f>
        <v>0</v>
      </c>
      <c r="E70" s="133"/>
      <c r="F70" s="122"/>
      <c r="G70" s="134"/>
      <c r="H70" s="135"/>
      <c r="I70" s="132"/>
      <c r="J70" s="122">
        <f>COUNTIFS($E$3:$E$57,DATE(Paramètres!A4,Paramètres!D15,Paramètres!C15),$D$3:$D$57,"BNC")</f>
        <v>0</v>
      </c>
      <c r="K70" s="130"/>
      <c r="L70" s="131"/>
      <c r="M70" s="131"/>
      <c r="N70" s="131"/>
      <c r="O70" s="131"/>
      <c r="P70" s="132"/>
      <c r="Q70" s="122"/>
      <c r="R70" s="122"/>
      <c r="S70" s="122"/>
      <c r="T70" s="122">
        <f>+SUM(E70:P70)</f>
        <v>0</v>
      </c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  <c r="AZ70" s="164"/>
    </row>
    <row r="71" spans="2:52" x14ac:dyDescent="0.25">
      <c r="B71" s="281"/>
      <c r="C71" s="122" t="s">
        <v>122</v>
      </c>
      <c r="D71" s="122">
        <f>COUNTIFS($E$3:$E$57,DATE(Paramètres!A4,Paramètres!D15,Paramètres!C15),$D$3:$D$57,"AGRI")</f>
        <v>0</v>
      </c>
      <c r="E71" s="133"/>
      <c r="F71" s="122"/>
      <c r="G71" s="134">
        <f>COUNTIFS($E$3:$E$57,DATE(Paramètres!A4,Paramètres!D15,Paramètres!C15),$F$3:$F$57,"SAS",$D$3:$D$57,"AGRI")</f>
        <v>0</v>
      </c>
      <c r="H71" s="122">
        <f>COUNTIFS($E$3:$E$57,DATE(Paramètres!A4,Paramètres!D15,Paramètres!C15),$F$3:$F$57,"INDIVIDUEL",$D$3:$D$57,"AGRI")</f>
        <v>0</v>
      </c>
      <c r="I71" s="136"/>
      <c r="J71" s="131"/>
      <c r="K71" s="131"/>
      <c r="L71" s="132"/>
      <c r="M71" s="122">
        <f>COUNTIFS($E$3:$E$57,DATE(Paramètres!A4,Paramètres!D15,Paramètres!C15),$F$3:$F$57,"EARL")</f>
        <v>0</v>
      </c>
      <c r="N71" s="122">
        <f>COUNTIFS($E$3:$E$57,DATE(Paramètres!A4,Paramètres!D15,Paramètres!C15),$F$3:$F$57,"ETA")</f>
        <v>0</v>
      </c>
      <c r="O71" s="122">
        <f>COUNTIFS($E$3:$E$57,DATE(Paramètres!A4,Paramètres!D15,Paramètres!C15),$F$3:$F$57,"SCEA")</f>
        <v>0</v>
      </c>
      <c r="P71" s="122"/>
      <c r="Q71" s="122"/>
      <c r="R71" s="122"/>
      <c r="S71" s="122"/>
      <c r="T71" s="122">
        <f>+SUM(E71:P71)</f>
        <v>0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  <c r="AZ71" s="164"/>
    </row>
    <row r="72" spans="2:52" x14ac:dyDescent="0.25">
      <c r="B72" s="275" t="s">
        <v>123</v>
      </c>
      <c r="C72" s="275"/>
      <c r="D72" s="122">
        <f>+SUM(D69:D71)</f>
        <v>0</v>
      </c>
      <c r="E72" s="129">
        <f>+SUM(E69:E71)</f>
        <v>0</v>
      </c>
      <c r="F72" s="129">
        <f>+SUM(F69:F71)</f>
        <v>0</v>
      </c>
      <c r="G72" s="124">
        <f>+SUM(G69:G71)</f>
        <v>0</v>
      </c>
      <c r="H72" s="122">
        <f>+SUM(H69:H71)</f>
        <v>0</v>
      </c>
      <c r="I72" s="122">
        <f t="shared" ref="I72:R72" si="4">+SUM(I69:I71)</f>
        <v>0</v>
      </c>
      <c r="J72" s="122">
        <f t="shared" si="4"/>
        <v>0</v>
      </c>
      <c r="K72" s="122">
        <f t="shared" si="4"/>
        <v>0</v>
      </c>
      <c r="L72" s="122">
        <f t="shared" si="4"/>
        <v>0</v>
      </c>
      <c r="M72" s="122">
        <f t="shared" si="4"/>
        <v>0</v>
      </c>
      <c r="N72" s="122">
        <f t="shared" si="4"/>
        <v>0</v>
      </c>
      <c r="O72" s="122">
        <f t="shared" si="4"/>
        <v>0</v>
      </c>
      <c r="P72" s="122">
        <f t="shared" si="4"/>
        <v>0</v>
      </c>
      <c r="Q72" s="122">
        <f t="shared" si="4"/>
        <v>0</v>
      </c>
      <c r="R72" s="122">
        <f t="shared" si="4"/>
        <v>0</v>
      </c>
      <c r="S72" s="122"/>
      <c r="T72" s="122">
        <f>+SUM(E72:R72)</f>
        <v>0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</row>
    <row r="73" spans="2:52" x14ac:dyDescent="0.25">
      <c r="B73" s="90"/>
      <c r="C73" s="90"/>
      <c r="D73" s="90"/>
      <c r="E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T73" s="90"/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  <c r="AZ73" s="164"/>
    </row>
    <row r="74" spans="2:52" x14ac:dyDescent="0.25">
      <c r="B74" s="282" t="s">
        <v>40</v>
      </c>
      <c r="C74" s="122"/>
      <c r="D74" s="122"/>
      <c r="E74" s="125" t="s">
        <v>112</v>
      </c>
      <c r="F74" s="121" t="s">
        <v>115</v>
      </c>
      <c r="G74" s="126" t="s">
        <v>118</v>
      </c>
      <c r="H74" s="127" t="s">
        <v>116</v>
      </c>
      <c r="I74" s="127" t="s">
        <v>124</v>
      </c>
      <c r="J74" s="128" t="s">
        <v>125</v>
      </c>
      <c r="K74" s="128" t="s">
        <v>110</v>
      </c>
      <c r="L74" s="128" t="s">
        <v>119</v>
      </c>
      <c r="M74" s="128" t="s">
        <v>126</v>
      </c>
      <c r="N74" s="128" t="s">
        <v>127</v>
      </c>
      <c r="O74" s="128" t="s">
        <v>128</v>
      </c>
      <c r="P74" s="128" t="s">
        <v>129</v>
      </c>
      <c r="Q74" s="128" t="s">
        <v>130</v>
      </c>
      <c r="R74" s="128" t="s">
        <v>131</v>
      </c>
      <c r="S74" s="128"/>
      <c r="T74" s="128" t="s">
        <v>86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  <c r="AZ74" s="164"/>
    </row>
    <row r="75" spans="2:52" x14ac:dyDescent="0.25">
      <c r="B75" s="280"/>
      <c r="C75" s="120" t="s">
        <v>109</v>
      </c>
      <c r="D75" s="122">
        <f>+D63-D69</f>
        <v>0</v>
      </c>
      <c r="E75" s="122">
        <f>+E63-E69</f>
        <v>0</v>
      </c>
      <c r="F75" s="122">
        <f t="shared" ref="F75:R75" si="5">+F63-F69</f>
        <v>0</v>
      </c>
      <c r="G75" s="122">
        <f t="shared" si="5"/>
        <v>0</v>
      </c>
      <c r="H75" s="122">
        <f t="shared" si="5"/>
        <v>0</v>
      </c>
      <c r="I75" s="122">
        <f t="shared" si="5"/>
        <v>0</v>
      </c>
      <c r="J75" s="122">
        <f t="shared" si="5"/>
        <v>0</v>
      </c>
      <c r="K75" s="122">
        <f t="shared" si="5"/>
        <v>0</v>
      </c>
      <c r="L75" s="122">
        <f t="shared" si="5"/>
        <v>0</v>
      </c>
      <c r="M75" s="122">
        <f t="shared" si="5"/>
        <v>0</v>
      </c>
      <c r="N75" s="122">
        <f t="shared" si="5"/>
        <v>0</v>
      </c>
      <c r="O75" s="122">
        <f t="shared" si="5"/>
        <v>0</v>
      </c>
      <c r="P75" s="122">
        <f t="shared" si="5"/>
        <v>0</v>
      </c>
      <c r="Q75" s="122">
        <f t="shared" si="5"/>
        <v>0</v>
      </c>
      <c r="R75" s="122">
        <f t="shared" si="5"/>
        <v>0</v>
      </c>
      <c r="S75" s="122"/>
      <c r="T75" s="122">
        <f>+SUM(E75:P75)</f>
        <v>0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  <c r="AZ75" s="164"/>
    </row>
    <row r="76" spans="2:52" x14ac:dyDescent="0.25">
      <c r="B76" s="280"/>
      <c r="C76" s="120" t="s">
        <v>121</v>
      </c>
      <c r="D76" s="122">
        <f>+D64-D70</f>
        <v>0</v>
      </c>
      <c r="E76" s="122">
        <f t="shared" ref="E76:R78" si="6">+E64-E70</f>
        <v>0</v>
      </c>
      <c r="F76" s="122">
        <f t="shared" si="6"/>
        <v>0</v>
      </c>
      <c r="G76" s="122">
        <f t="shared" si="6"/>
        <v>0</v>
      </c>
      <c r="H76" s="122">
        <f t="shared" si="6"/>
        <v>0</v>
      </c>
      <c r="I76" s="122">
        <f t="shared" si="6"/>
        <v>0</v>
      </c>
      <c r="J76" s="122">
        <f t="shared" si="6"/>
        <v>0</v>
      </c>
      <c r="K76" s="122">
        <f t="shared" si="6"/>
        <v>0</v>
      </c>
      <c r="L76" s="122">
        <f t="shared" si="6"/>
        <v>0</v>
      </c>
      <c r="M76" s="122">
        <f t="shared" si="6"/>
        <v>0</v>
      </c>
      <c r="N76" s="122">
        <f t="shared" si="6"/>
        <v>0</v>
      </c>
      <c r="O76" s="122">
        <f t="shared" si="6"/>
        <v>0</v>
      </c>
      <c r="P76" s="122">
        <f t="shared" si="6"/>
        <v>0</v>
      </c>
      <c r="Q76" s="122">
        <f t="shared" si="6"/>
        <v>0</v>
      </c>
      <c r="R76" s="122">
        <f t="shared" si="6"/>
        <v>0</v>
      </c>
      <c r="S76" s="122"/>
      <c r="T76" s="122">
        <f>+SUM(E76:P76)</f>
        <v>0</v>
      </c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  <c r="AZ76" s="164"/>
    </row>
    <row r="77" spans="2:52" x14ac:dyDescent="0.25">
      <c r="B77" s="281"/>
      <c r="C77" s="122" t="s">
        <v>122</v>
      </c>
      <c r="D77" s="122">
        <f>+D65-D71</f>
        <v>0</v>
      </c>
      <c r="E77" s="122">
        <f t="shared" si="6"/>
        <v>0</v>
      </c>
      <c r="F77" s="122">
        <f t="shared" si="6"/>
        <v>0</v>
      </c>
      <c r="G77" s="122">
        <f t="shared" si="6"/>
        <v>0</v>
      </c>
      <c r="H77" s="122">
        <f t="shared" si="6"/>
        <v>0</v>
      </c>
      <c r="I77" s="122">
        <f t="shared" si="6"/>
        <v>0</v>
      </c>
      <c r="J77" s="122">
        <f t="shared" si="6"/>
        <v>0</v>
      </c>
      <c r="K77" s="122">
        <f t="shared" si="6"/>
        <v>0</v>
      </c>
      <c r="L77" s="122">
        <f t="shared" si="6"/>
        <v>0</v>
      </c>
      <c r="M77" s="122">
        <f t="shared" si="6"/>
        <v>0</v>
      </c>
      <c r="N77" s="122">
        <f t="shared" si="6"/>
        <v>0</v>
      </c>
      <c r="O77" s="122">
        <f t="shared" si="6"/>
        <v>0</v>
      </c>
      <c r="P77" s="122">
        <f t="shared" si="6"/>
        <v>0</v>
      </c>
      <c r="Q77" s="122">
        <f t="shared" si="6"/>
        <v>0</v>
      </c>
      <c r="R77" s="122">
        <f t="shared" si="6"/>
        <v>0</v>
      </c>
      <c r="S77" s="122"/>
      <c r="T77" s="122">
        <f>+SUM(E77:P77)</f>
        <v>0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</row>
    <row r="78" spans="2:52" x14ac:dyDescent="0.25">
      <c r="B78" s="275" t="s">
        <v>123</v>
      </c>
      <c r="C78" s="275"/>
      <c r="D78" s="122">
        <f>+D66-D72</f>
        <v>0</v>
      </c>
      <c r="E78" s="122">
        <f t="shared" si="6"/>
        <v>0</v>
      </c>
      <c r="F78" s="122">
        <f t="shared" si="6"/>
        <v>0</v>
      </c>
      <c r="G78" s="122">
        <f t="shared" si="6"/>
        <v>0</v>
      </c>
      <c r="H78" s="122">
        <f t="shared" si="6"/>
        <v>0</v>
      </c>
      <c r="I78" s="122">
        <f t="shared" si="6"/>
        <v>0</v>
      </c>
      <c r="J78" s="122">
        <f t="shared" si="6"/>
        <v>0</v>
      </c>
      <c r="K78" s="122">
        <f t="shared" si="6"/>
        <v>0</v>
      </c>
      <c r="L78" s="122">
        <f t="shared" si="6"/>
        <v>0</v>
      </c>
      <c r="M78" s="122">
        <f t="shared" si="6"/>
        <v>0</v>
      </c>
      <c r="N78" s="122">
        <f t="shared" si="6"/>
        <v>0</v>
      </c>
      <c r="O78" s="122">
        <f t="shared" si="6"/>
        <v>0</v>
      </c>
      <c r="P78" s="122">
        <f t="shared" si="6"/>
        <v>0</v>
      </c>
      <c r="Q78" s="122">
        <f t="shared" si="6"/>
        <v>0</v>
      </c>
      <c r="R78" s="122">
        <f t="shared" si="6"/>
        <v>0</v>
      </c>
      <c r="S78" s="122"/>
      <c r="T78" s="122">
        <f>+SUM(T75:T77)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  <c r="AZ78" s="164"/>
    </row>
    <row r="79" spans="2:52" x14ac:dyDescent="0.25"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  <c r="AZ79" s="164"/>
    </row>
    <row r="80" spans="2:52" x14ac:dyDescent="0.25">
      <c r="B80" s="137" t="s">
        <v>132</v>
      </c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8"/>
      <c r="S80" s="139"/>
      <c r="T80" s="137"/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  <c r="AZ80" s="164"/>
    </row>
    <row r="81" spans="2:52" x14ac:dyDescent="0.25">
      <c r="B81" s="276" t="s">
        <v>120</v>
      </c>
      <c r="C81" s="138"/>
      <c r="D81" s="138"/>
      <c r="E81" s="140" t="str">
        <f t="shared" ref="E81:R81" si="7">E62</f>
        <v>SARL</v>
      </c>
      <c r="F81" s="138" t="str">
        <f t="shared" si="7"/>
        <v>EURL</v>
      </c>
      <c r="G81" s="141" t="str">
        <f t="shared" si="7"/>
        <v>SAS</v>
      </c>
      <c r="H81" s="142" t="str">
        <f t="shared" si="7"/>
        <v>INDIVIDUEL</v>
      </c>
      <c r="I81" s="142" t="str">
        <f t="shared" si="7"/>
        <v>ASSOCIATION</v>
      </c>
      <c r="J81" s="240" t="str">
        <f t="shared" si="7"/>
        <v>PROFESSION LIBERALE</v>
      </c>
      <c r="K81" s="240" t="str">
        <f t="shared" si="7"/>
        <v>SNC</v>
      </c>
      <c r="L81" s="240" t="str">
        <f t="shared" si="7"/>
        <v>SCI</v>
      </c>
      <c r="M81" s="240" t="str">
        <f t="shared" si="7"/>
        <v>EARL</v>
      </c>
      <c r="N81" s="240" t="str">
        <f t="shared" si="7"/>
        <v>ETA</v>
      </c>
      <c r="O81" s="240" t="str">
        <f t="shared" si="7"/>
        <v>SCEA</v>
      </c>
      <c r="P81" s="240" t="str">
        <f t="shared" si="7"/>
        <v>GROUPEMENT</v>
      </c>
      <c r="Q81" s="240" t="str">
        <f t="shared" si="7"/>
        <v>EIRL</v>
      </c>
      <c r="R81" s="240" t="str">
        <f t="shared" si="7"/>
        <v>AUTRES</v>
      </c>
      <c r="S81" s="144"/>
      <c r="T81" s="145" t="s">
        <v>86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</row>
    <row r="82" spans="2:52" x14ac:dyDescent="0.25">
      <c r="B82" s="277"/>
      <c r="C82" s="146" t="s">
        <v>109</v>
      </c>
      <c r="D82" s="138">
        <f>COUNTIFS($I$3:$I$57,"&lt;&gt;",$D$3:$D$57,"ACS")</f>
        <v>0</v>
      </c>
      <c r="E82" s="147">
        <f>+COUNTIFS($I$3:$I$57,"&lt;&gt;",$F$3:$F$57,"SARL")</f>
        <v>0</v>
      </c>
      <c r="F82" s="138">
        <f>+COUNTIFS($I3:$I57,"&lt;&gt;",$F$3:$F$57,"EURL")</f>
        <v>0</v>
      </c>
      <c r="G82" s="148">
        <f>COUNTIFS($I$3:$I$57,"&lt;&gt;",$F$3:$F$57,"SAS",$D$3:$D$57,"ACS")</f>
        <v>0</v>
      </c>
      <c r="H82" s="138">
        <f>COUNTIFS($I$3:$I$57,"&lt;&gt;",$F$3:$F$57,"INDIVIDUEL",$D$3:$D$57,"ACS")</f>
        <v>0</v>
      </c>
      <c r="I82" s="138">
        <f>COUNTIFS($I$3:$I$57,"&lt;&gt;",$F$3:$F$57,"ASSOCIATION")</f>
        <v>0</v>
      </c>
      <c r="J82" s="138"/>
      <c r="K82" s="138">
        <f>COUNTIFS($I$3:$I$57,"&lt;&gt;",$F$3:$F$57,"SNC")</f>
        <v>0</v>
      </c>
      <c r="L82" s="138">
        <f>COUNTIFS($I$3:$I$57,"&lt;&gt;",$F$3:$F$57,"SCI")</f>
        <v>0</v>
      </c>
      <c r="M82" s="149"/>
      <c r="N82" s="150"/>
      <c r="O82" s="151"/>
      <c r="P82" s="138">
        <f>COUNTIFS($I$3:$I$57,"&lt;&gt;",$F$3:$F$57,"GROUPEMENT")</f>
        <v>0</v>
      </c>
      <c r="Q82" s="152">
        <f>COUNTIFS($I$3:$I$57,"&lt;&gt;",$F$3:$F$57,"EIRL")</f>
        <v>0</v>
      </c>
      <c r="R82" s="138">
        <f>COUNTIFS($I$3:$I$57,"&lt;&gt;",$F$3:$F$57,"AUTRES")</f>
        <v>0</v>
      </c>
      <c r="S82" s="148"/>
      <c r="T82" s="148">
        <f>+SUM(E82:P82)</f>
        <v>0</v>
      </c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  <c r="AZ82" s="164"/>
    </row>
    <row r="83" spans="2:52" x14ac:dyDescent="0.25">
      <c r="B83" s="277"/>
      <c r="C83" s="146" t="s">
        <v>121</v>
      </c>
      <c r="D83" s="138">
        <f>COUNTIFS($I$3:$I$57,"&lt;&gt;",$D$3:$D$57,"BNC")</f>
        <v>0</v>
      </c>
      <c r="E83" s="153"/>
      <c r="F83" s="138"/>
      <c r="G83" s="154"/>
      <c r="H83" s="155"/>
      <c r="I83" s="151"/>
      <c r="J83" s="138">
        <f>COUNTIFS($I$3:$I$57,"&lt;&gt;",$D$3:$D$57,"BNC")</f>
        <v>0</v>
      </c>
      <c r="K83" s="138"/>
      <c r="L83" s="138"/>
      <c r="M83" s="138"/>
      <c r="N83" s="138"/>
      <c r="O83" s="138"/>
      <c r="P83" s="138"/>
      <c r="Q83" s="152"/>
      <c r="R83" s="138"/>
      <c r="S83" s="148"/>
      <c r="T83" s="148">
        <f>+SUM(E83:P83)</f>
        <v>0</v>
      </c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  <c r="AZ83" s="164"/>
    </row>
    <row r="84" spans="2:52" x14ac:dyDescent="0.25">
      <c r="B84" s="277"/>
      <c r="C84" s="138" t="s">
        <v>122</v>
      </c>
      <c r="D84" s="138">
        <f>COUNTIFS($I$3:$I$57,"&lt;&gt;",$D$3:$D$57,"AGRI")</f>
        <v>0</v>
      </c>
      <c r="E84" s="152"/>
      <c r="F84" s="138"/>
      <c r="G84" s="148">
        <f>COUNTIFS($I$3:$I$57,"&lt;&gt;",$F$3:$F$57,"SAS",$D$3:$D$57,"AGRI")</f>
        <v>0</v>
      </c>
      <c r="H84" s="138">
        <f>COUNTIFS($F$3:$F$57,"INDIVIDUEL",$D$3:$D$57,"AGRI",$I3:$I$57,"&lt;&gt;")</f>
        <v>0</v>
      </c>
      <c r="I84" s="138"/>
      <c r="J84" s="138"/>
      <c r="K84" s="138"/>
      <c r="L84" s="138"/>
      <c r="M84" s="138" t="e">
        <f>COUNTIFS($I$3:$I$57,"&lt;&gt;",$F$3:$F$59,"EARL")</f>
        <v>#VALUE!</v>
      </c>
      <c r="N84" s="138" t="e">
        <f>COUNTIFS($I$3:$I$57,"&lt;&gt;",$F$3:$F$59,"ETA")</f>
        <v>#VALUE!</v>
      </c>
      <c r="O84" s="138" t="e">
        <f>COUNTIFS($I$3:$I$57,"&lt;&gt;",$F$3:$F$59,"SCEA")</f>
        <v>#VALUE!</v>
      </c>
      <c r="P84" s="138"/>
      <c r="Q84" s="152"/>
      <c r="R84" s="138"/>
      <c r="S84" s="148"/>
      <c r="T84" s="148" t="e">
        <f>+SUM(E84:P84)</f>
        <v>#VALUE!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  <c r="AZ84" s="164"/>
    </row>
    <row r="85" spans="2:52" x14ac:dyDescent="0.25">
      <c r="B85" s="277" t="s">
        <v>123</v>
      </c>
      <c r="C85" s="277"/>
      <c r="D85" s="138">
        <f t="shared" ref="D85:R85" si="8">+SUM(D82:D84)</f>
        <v>0</v>
      </c>
      <c r="E85" s="152">
        <f t="shared" si="8"/>
        <v>0</v>
      </c>
      <c r="F85" s="152">
        <f t="shared" si="8"/>
        <v>0</v>
      </c>
      <c r="G85" s="152">
        <f t="shared" si="8"/>
        <v>0</v>
      </c>
      <c r="H85" s="152">
        <f t="shared" si="8"/>
        <v>0</v>
      </c>
      <c r="I85" s="152">
        <f t="shared" si="8"/>
        <v>0</v>
      </c>
      <c r="J85" s="152">
        <f t="shared" si="8"/>
        <v>0</v>
      </c>
      <c r="K85" s="152">
        <f t="shared" si="8"/>
        <v>0</v>
      </c>
      <c r="L85" s="152">
        <f t="shared" si="8"/>
        <v>0</v>
      </c>
      <c r="M85" s="152" t="e">
        <f t="shared" si="8"/>
        <v>#VALUE!</v>
      </c>
      <c r="N85" s="152" t="e">
        <f t="shared" si="8"/>
        <v>#VALUE!</v>
      </c>
      <c r="O85" s="152" t="e">
        <f t="shared" si="8"/>
        <v>#VALUE!</v>
      </c>
      <c r="P85" s="152">
        <f t="shared" si="8"/>
        <v>0</v>
      </c>
      <c r="Q85" s="152">
        <f t="shared" si="8"/>
        <v>0</v>
      </c>
      <c r="R85" s="152">
        <f t="shared" si="8"/>
        <v>0</v>
      </c>
      <c r="S85" s="156"/>
      <c r="T85" s="148" t="e">
        <f>+SUM(T82:T84)</f>
        <v>#VALUE!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  <c r="AZ85" s="164"/>
    </row>
    <row r="86" spans="2:52" x14ac:dyDescent="0.25"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  <c r="AZ86" s="164"/>
    </row>
    <row r="87" spans="2:52" x14ac:dyDescent="0.25">
      <c r="B87" s="278">
        <v>44196</v>
      </c>
      <c r="C87" s="138"/>
      <c r="D87" s="138"/>
      <c r="E87" s="140" t="str">
        <f t="shared" ref="E87:R87" si="9">E62</f>
        <v>SARL</v>
      </c>
      <c r="F87" s="138" t="str">
        <f t="shared" si="9"/>
        <v>EURL</v>
      </c>
      <c r="G87" s="141" t="str">
        <f t="shared" si="9"/>
        <v>SAS</v>
      </c>
      <c r="H87" s="142" t="str">
        <f t="shared" si="9"/>
        <v>INDIVIDUEL</v>
      </c>
      <c r="I87" s="142" t="str">
        <f t="shared" si="9"/>
        <v>ASSOCIATION</v>
      </c>
      <c r="J87" s="240" t="str">
        <f t="shared" si="9"/>
        <v>PROFESSION LIBERALE</v>
      </c>
      <c r="K87" s="240" t="str">
        <f t="shared" si="9"/>
        <v>SNC</v>
      </c>
      <c r="L87" s="240" t="str">
        <f t="shared" si="9"/>
        <v>SCI</v>
      </c>
      <c r="M87" s="240" t="str">
        <f t="shared" si="9"/>
        <v>EARL</v>
      </c>
      <c r="N87" s="240" t="str">
        <f t="shared" si="9"/>
        <v>ETA</v>
      </c>
      <c r="O87" s="240" t="str">
        <f t="shared" si="9"/>
        <v>SCEA</v>
      </c>
      <c r="P87" s="240" t="str">
        <f t="shared" si="9"/>
        <v>GROUPEMENT</v>
      </c>
      <c r="Q87" s="138" t="str">
        <f t="shared" si="9"/>
        <v>EIRL</v>
      </c>
      <c r="R87" s="138" t="str">
        <f t="shared" si="9"/>
        <v>AUTRES</v>
      </c>
      <c r="S87" s="138"/>
      <c r="T87" s="240" t="s">
        <v>86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  <c r="AZ87" s="164"/>
    </row>
    <row r="88" spans="2:52" x14ac:dyDescent="0.25">
      <c r="B88" s="277"/>
      <c r="C88" s="146" t="s">
        <v>109</v>
      </c>
      <c r="D88" s="138">
        <f>COUNTIFS($I$3:$I$57,"&lt;&gt;",$E$3:$E$57,DATE(Paramètres!A4,Paramètres!D15,Paramètres!C15),$D$3:$D$57,"ACS")</f>
        <v>0</v>
      </c>
      <c r="E88" s="147">
        <f>COUNTIFS($I$3:$I$57,"&lt;&gt;",$E$3:$E$57,DATE(Paramètres!A4,Paramètres!D15,Paramètres!C15),$F$3:$F$57,"SARL")</f>
        <v>0</v>
      </c>
      <c r="F88" s="138">
        <f>+COUNTIFS($I$3:$I$57,"&lt;&gt;",$E$3:$E$57,DATE(Paramètres!A4,Paramètres!D15,Paramètres!C15),$F$3:$F$57,"EURL")</f>
        <v>0</v>
      </c>
      <c r="G88" s="148">
        <f>COUNTIFS($I$3:$I$57,"&lt;&gt;",$E$3:$E$57,DATE(Paramètres!A4,Paramètres!D15,Paramètres!C15),$F$3:$F$57,"SAS",$D$3:$D$57,"ACS")</f>
        <v>0</v>
      </c>
      <c r="H88" s="138">
        <f>COUNTIFS($I$3:$I$57,"&lt;&gt;",$E$3:$E$57,DATE(Paramètres!A4,Paramètres!D15,Paramètres!C15),$F$3:$F$57,"INDIVIDUEL",$D$3:$D$57,"ACS")</f>
        <v>0</v>
      </c>
      <c r="I88" s="138">
        <f>+COUNTIFS($I$3:$I$57,"&lt;&gt;",$E$3:$E$57,DATE(Paramètres!A4,Paramètres!D15,Paramètres!C15),$F$3:$F$57,"ASSOCIATION")</f>
        <v>0</v>
      </c>
      <c r="J88" s="138"/>
      <c r="K88" s="138">
        <f>COUNTIFS($I$3:$I$57,"&lt;&gt;",$E$3:$E$57,DATE(Paramètres!A4,Paramètres!D15,Paramètres!C15),$F$3:$F$57,"SNC")</f>
        <v>0</v>
      </c>
      <c r="L88" s="138">
        <f>COUNTIFS($I$3:$I$57,"&lt;&gt;",$E$3:$E$57,DATE(Paramètres!A4,Paramètres!D15,Paramètres!C15),$F$3:$F$57,"SCI")</f>
        <v>0</v>
      </c>
      <c r="M88" s="149"/>
      <c r="N88" s="150"/>
      <c r="O88" s="151"/>
      <c r="P88" s="138">
        <f>COUNTIFS($I$3:$I$57,"&lt;&gt;",$E$3:$E$57,DATE(Paramètres!A4,Paramètres!D15,Paramètres!C15),$F$3:$F$57,"GROUPEMENT")</f>
        <v>0</v>
      </c>
      <c r="Q88" s="138">
        <f>COUNTIFS($I$3:$I$57,"&lt;&gt;",$E$3:$E$57,DATE(Paramètres!A4,Paramètres!D15,Paramètres!C15),$F$3:$F$57,"EIRL")</f>
        <v>0</v>
      </c>
      <c r="R88" s="138">
        <f>COUNTIFS($I$3:$I$57,"&lt;&gt;",$E$3:$E$57,DATE(Paramètres!A4,Paramètres!D15,Paramètres!C15),$F$3:$F$57,"AUTRES")</f>
        <v>0</v>
      </c>
      <c r="S88" s="138"/>
      <c r="T88" s="138">
        <f>+SUM(E88:P88)</f>
        <v>0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  <c r="AZ88" s="164"/>
    </row>
    <row r="89" spans="2:52" x14ac:dyDescent="0.25">
      <c r="B89" s="277"/>
      <c r="C89" s="146" t="s">
        <v>121</v>
      </c>
      <c r="D89" s="138">
        <f>COUNTIFS($I$3:$I$57,"&lt;&gt;",$E$3:$E$57,DATE(Paramètres!A4,Paramètres!D15,Paramètres!C15),$D$3:$D$57,"BNC")</f>
        <v>0</v>
      </c>
      <c r="E89" s="153"/>
      <c r="F89" s="138"/>
      <c r="G89" s="154"/>
      <c r="H89" s="155"/>
      <c r="I89" s="151"/>
      <c r="J89" s="138">
        <f>COUNTIFS($I$3:$I$57,"&lt;&gt;",$E$3:$E$57,DATE(Paramètres!A4,Paramètres!D15,Paramètres!C15),$D$3:$D$57,"BNC")</f>
        <v>0</v>
      </c>
      <c r="K89" s="149"/>
      <c r="L89" s="150"/>
      <c r="M89" s="150"/>
      <c r="N89" s="150"/>
      <c r="O89" s="150"/>
      <c r="P89" s="151"/>
      <c r="Q89" s="138"/>
      <c r="R89" s="138"/>
      <c r="S89" s="138"/>
      <c r="T89" s="138">
        <f>+SUM(E89:P89)</f>
        <v>0</v>
      </c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  <c r="AZ89" s="164"/>
    </row>
    <row r="90" spans="2:52" x14ac:dyDescent="0.25">
      <c r="B90" s="277"/>
      <c r="C90" s="138" t="s">
        <v>122</v>
      </c>
      <c r="D90" s="138">
        <f>COUNTIFS($I$3:$I$57,"&lt;&gt;",$E$3:$E$57,DATE(Paramètres!A4,Paramètres!D15,Paramètres!C15),$D$3:$D$57,"AGRI")</f>
        <v>0</v>
      </c>
      <c r="E90" s="153"/>
      <c r="F90" s="138"/>
      <c r="G90" s="154">
        <f>COUNTIFS($I$3:$I$57,"&lt;&gt;",$E$3:$E$57,DATE(Paramètres!A4,Paramètres!D15,Paramètres!C15),$F$3:$F$57,"SAS",$D$3:$D$57,"AGRI")</f>
        <v>0</v>
      </c>
      <c r="H90" s="138">
        <f>COUNTIFS($I$3:$I$57,"&lt;&gt;",$E$3:$E$57,DATE(Paramètres!A4,Paramètres!D15,Paramètres!C15),$F$3:$F$57,"INDIVIDUEL",$D$3:$D$57,"AGRI")</f>
        <v>0</v>
      </c>
      <c r="I90" s="152"/>
      <c r="J90" s="149"/>
      <c r="K90" s="150"/>
      <c r="L90" s="151"/>
      <c r="M90" s="138">
        <f>COUNTIFS($I$3:$I$57,"&lt;&gt;",$BB$3:$BB$57,"X",$E$3:$E$57,DATE(Paramètres!A4,Paramètres!D15,Paramètres!C15),$F$3:$F$57,"EARL")</f>
        <v>0</v>
      </c>
      <c r="N90" s="138">
        <f>COUNTIFS($I$3:$I$57,"&lt;&gt;",$E$3:$E$57,DATE(Paramètres!A4,Paramètres!D15,Paramètres!C15),$F$3:$F$57,"ETA")</f>
        <v>0</v>
      </c>
      <c r="O90" s="138">
        <f>COUNTIFS($I$3:$I$57,"&lt;&gt;",$E$3:$E$57,DATE(Paramètres!A4,Paramètres!D15,Paramètres!C15),$F$3:$F$57,"SCEA")</f>
        <v>0</v>
      </c>
      <c r="P90" s="138"/>
      <c r="Q90" s="138"/>
      <c r="R90" s="138"/>
      <c r="S90" s="138"/>
      <c r="T90" s="138">
        <f>+SUM(E90:P90)</f>
        <v>0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  <c r="AZ90" s="164"/>
    </row>
    <row r="91" spans="2:52" x14ac:dyDescent="0.25">
      <c r="B91" s="277" t="s">
        <v>123</v>
      </c>
      <c r="C91" s="277"/>
      <c r="D91" s="138">
        <f t="shared" ref="D91:R91" si="10">+SUM(D88:D90)</f>
        <v>0</v>
      </c>
      <c r="E91" s="152">
        <f t="shared" si="10"/>
        <v>0</v>
      </c>
      <c r="F91" s="152">
        <f t="shared" si="10"/>
        <v>0</v>
      </c>
      <c r="G91" s="152">
        <f t="shared" si="10"/>
        <v>0</v>
      </c>
      <c r="H91" s="152">
        <f t="shared" si="10"/>
        <v>0</v>
      </c>
      <c r="I91" s="152">
        <f t="shared" si="10"/>
        <v>0</v>
      </c>
      <c r="J91" s="152">
        <f t="shared" si="10"/>
        <v>0</v>
      </c>
      <c r="K91" s="152">
        <f t="shared" si="10"/>
        <v>0</v>
      </c>
      <c r="L91" s="152">
        <f t="shared" si="10"/>
        <v>0</v>
      </c>
      <c r="M91" s="152">
        <f t="shared" si="10"/>
        <v>0</v>
      </c>
      <c r="N91" s="152">
        <f t="shared" si="10"/>
        <v>0</v>
      </c>
      <c r="O91" s="152">
        <f t="shared" si="10"/>
        <v>0</v>
      </c>
      <c r="P91" s="152">
        <f t="shared" si="10"/>
        <v>0</v>
      </c>
      <c r="Q91" s="152">
        <f t="shared" si="10"/>
        <v>0</v>
      </c>
      <c r="R91" s="152">
        <f t="shared" si="10"/>
        <v>0</v>
      </c>
      <c r="S91" s="152"/>
      <c r="T91" s="138">
        <f>+SUM(T88:T90)</f>
        <v>0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  <c r="AZ91" s="164"/>
    </row>
    <row r="92" spans="2:52" x14ac:dyDescent="0.25">
      <c r="B92" s="137"/>
      <c r="C92" s="137"/>
      <c r="D92" s="137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  <c r="AZ92" s="164"/>
    </row>
    <row r="93" spans="2:52" x14ac:dyDescent="0.25">
      <c r="B93" s="277" t="s">
        <v>40</v>
      </c>
      <c r="C93" s="138"/>
      <c r="D93" s="138"/>
      <c r="E93" s="140" t="str">
        <f t="shared" ref="E93:R93" si="11">E62</f>
        <v>SARL</v>
      </c>
      <c r="F93" s="138" t="str">
        <f t="shared" si="11"/>
        <v>EURL</v>
      </c>
      <c r="G93" s="141" t="str">
        <f t="shared" si="11"/>
        <v>SAS</v>
      </c>
      <c r="H93" s="142" t="str">
        <f t="shared" si="11"/>
        <v>INDIVIDUEL</v>
      </c>
      <c r="I93" s="142" t="str">
        <f t="shared" si="11"/>
        <v>ASSOCIATION</v>
      </c>
      <c r="J93" s="240" t="str">
        <f t="shared" si="11"/>
        <v>PROFESSION LIBERALE</v>
      </c>
      <c r="K93" s="240" t="str">
        <f t="shared" si="11"/>
        <v>SNC</v>
      </c>
      <c r="L93" s="240" t="str">
        <f t="shared" si="11"/>
        <v>SCI</v>
      </c>
      <c r="M93" s="240" t="str">
        <f t="shared" si="11"/>
        <v>EARL</v>
      </c>
      <c r="N93" s="240" t="str">
        <f t="shared" si="11"/>
        <v>ETA</v>
      </c>
      <c r="O93" s="240" t="str">
        <f t="shared" si="11"/>
        <v>SCEA</v>
      </c>
      <c r="P93" s="240" t="str">
        <f t="shared" si="11"/>
        <v>GROUPEMENT</v>
      </c>
      <c r="Q93" s="138" t="str">
        <f t="shared" si="11"/>
        <v>EIRL</v>
      </c>
      <c r="R93" s="138" t="str">
        <f t="shared" si="11"/>
        <v>AUTRES</v>
      </c>
      <c r="S93" s="138"/>
      <c r="T93" s="240" t="s">
        <v>86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  <c r="AZ93" s="164"/>
    </row>
    <row r="94" spans="2:52" x14ac:dyDescent="0.25">
      <c r="B94" s="277"/>
      <c r="C94" s="146" t="s">
        <v>109</v>
      </c>
      <c r="D94" s="138">
        <f>+D82-D88</f>
        <v>0</v>
      </c>
      <c r="E94" s="152">
        <f>+E82-E88</f>
        <v>0</v>
      </c>
      <c r="F94" s="152">
        <f t="shared" ref="F94:R94" si="12">+F82-F88</f>
        <v>0</v>
      </c>
      <c r="G94" s="152">
        <f t="shared" si="12"/>
        <v>0</v>
      </c>
      <c r="H94" s="152">
        <f t="shared" si="12"/>
        <v>0</v>
      </c>
      <c r="I94" s="152">
        <f t="shared" si="12"/>
        <v>0</v>
      </c>
      <c r="J94" s="152">
        <f t="shared" si="12"/>
        <v>0</v>
      </c>
      <c r="K94" s="152">
        <f t="shared" si="12"/>
        <v>0</v>
      </c>
      <c r="L94" s="152">
        <f t="shared" si="12"/>
        <v>0</v>
      </c>
      <c r="M94" s="152">
        <f t="shared" si="12"/>
        <v>0</v>
      </c>
      <c r="N94" s="152">
        <f t="shared" si="12"/>
        <v>0</v>
      </c>
      <c r="O94" s="152">
        <f t="shared" si="12"/>
        <v>0</v>
      </c>
      <c r="P94" s="152">
        <f t="shared" si="12"/>
        <v>0</v>
      </c>
      <c r="Q94" s="152">
        <f t="shared" si="12"/>
        <v>0</v>
      </c>
      <c r="R94" s="152">
        <f t="shared" si="12"/>
        <v>0</v>
      </c>
      <c r="S94" s="152"/>
      <c r="T94" s="138">
        <f>+SUM(E94:P94)</f>
        <v>0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</row>
    <row r="95" spans="2:52" x14ac:dyDescent="0.25">
      <c r="B95" s="277"/>
      <c r="C95" s="146" t="s">
        <v>121</v>
      </c>
      <c r="D95" s="138">
        <f>+D83-D89</f>
        <v>0</v>
      </c>
      <c r="E95" s="138">
        <f t="shared" ref="E95:R97" si="13">+E83-E89</f>
        <v>0</v>
      </c>
      <c r="F95" s="138">
        <f t="shared" si="13"/>
        <v>0</v>
      </c>
      <c r="G95" s="138">
        <f t="shared" si="13"/>
        <v>0</v>
      </c>
      <c r="H95" s="138">
        <f t="shared" si="13"/>
        <v>0</v>
      </c>
      <c r="I95" s="138">
        <f t="shared" si="13"/>
        <v>0</v>
      </c>
      <c r="J95" s="138">
        <f t="shared" si="13"/>
        <v>0</v>
      </c>
      <c r="K95" s="138">
        <f t="shared" si="13"/>
        <v>0</v>
      </c>
      <c r="L95" s="138">
        <f t="shared" si="13"/>
        <v>0</v>
      </c>
      <c r="M95" s="138">
        <f t="shared" si="13"/>
        <v>0</v>
      </c>
      <c r="N95" s="138">
        <f t="shared" si="13"/>
        <v>0</v>
      </c>
      <c r="O95" s="138">
        <f t="shared" si="13"/>
        <v>0</v>
      </c>
      <c r="P95" s="138">
        <f t="shared" si="13"/>
        <v>0</v>
      </c>
      <c r="Q95" s="138">
        <f t="shared" si="13"/>
        <v>0</v>
      </c>
      <c r="R95" s="138">
        <f t="shared" si="13"/>
        <v>0</v>
      </c>
      <c r="S95" s="138"/>
      <c r="T95" s="138">
        <f>+SUM(E95:P95)</f>
        <v>0</v>
      </c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  <c r="AZ95" s="164"/>
    </row>
    <row r="96" spans="2:52" x14ac:dyDescent="0.25">
      <c r="B96" s="277"/>
      <c r="C96" s="138" t="s">
        <v>122</v>
      </c>
      <c r="D96" s="138">
        <f>+D84-D90</f>
        <v>0</v>
      </c>
      <c r="E96" s="138">
        <f t="shared" si="13"/>
        <v>0</v>
      </c>
      <c r="F96" s="138">
        <f t="shared" si="13"/>
        <v>0</v>
      </c>
      <c r="G96" s="138">
        <f t="shared" si="13"/>
        <v>0</v>
      </c>
      <c r="H96" s="138">
        <f t="shared" si="13"/>
        <v>0</v>
      </c>
      <c r="I96" s="138">
        <f t="shared" si="13"/>
        <v>0</v>
      </c>
      <c r="J96" s="138">
        <f t="shared" si="13"/>
        <v>0</v>
      </c>
      <c r="K96" s="138">
        <f t="shared" si="13"/>
        <v>0</v>
      </c>
      <c r="L96" s="138">
        <f t="shared" si="13"/>
        <v>0</v>
      </c>
      <c r="M96" s="138" t="e">
        <f t="shared" si="13"/>
        <v>#VALUE!</v>
      </c>
      <c r="N96" s="138" t="e">
        <f t="shared" si="13"/>
        <v>#VALUE!</v>
      </c>
      <c r="O96" s="138" t="e">
        <f t="shared" si="13"/>
        <v>#VALUE!</v>
      </c>
      <c r="P96" s="138">
        <f t="shared" si="13"/>
        <v>0</v>
      </c>
      <c r="Q96" s="138">
        <f t="shared" si="13"/>
        <v>0</v>
      </c>
      <c r="R96" s="138">
        <f t="shared" si="13"/>
        <v>0</v>
      </c>
      <c r="S96" s="138"/>
      <c r="T96" s="138" t="e">
        <f>+SUM(E96:P96)</f>
        <v>#VALUE!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  <c r="AZ96" s="164"/>
    </row>
    <row r="97" spans="2:52" x14ac:dyDescent="0.25">
      <c r="B97" s="277" t="s">
        <v>123</v>
      </c>
      <c r="C97" s="277"/>
      <c r="D97" s="138">
        <f>+D85-D91</f>
        <v>0</v>
      </c>
      <c r="E97" s="138">
        <f t="shared" si="13"/>
        <v>0</v>
      </c>
      <c r="F97" s="138">
        <f t="shared" si="13"/>
        <v>0</v>
      </c>
      <c r="G97" s="138">
        <f t="shared" si="13"/>
        <v>0</v>
      </c>
      <c r="H97" s="138">
        <f t="shared" si="13"/>
        <v>0</v>
      </c>
      <c r="I97" s="138">
        <f t="shared" si="13"/>
        <v>0</v>
      </c>
      <c r="J97" s="138">
        <f t="shared" si="13"/>
        <v>0</v>
      </c>
      <c r="K97" s="138">
        <f t="shared" si="13"/>
        <v>0</v>
      </c>
      <c r="L97" s="138">
        <f t="shared" si="13"/>
        <v>0</v>
      </c>
      <c r="M97" s="138" t="e">
        <f t="shared" si="13"/>
        <v>#VALUE!</v>
      </c>
      <c r="N97" s="138" t="e">
        <f t="shared" si="13"/>
        <v>#VALUE!</v>
      </c>
      <c r="O97" s="138" t="e">
        <f t="shared" si="13"/>
        <v>#VALUE!</v>
      </c>
      <c r="P97" s="138">
        <f t="shared" si="13"/>
        <v>0</v>
      </c>
      <c r="Q97" s="138">
        <f t="shared" si="13"/>
        <v>0</v>
      </c>
      <c r="R97" s="138">
        <f t="shared" si="13"/>
        <v>0</v>
      </c>
      <c r="S97" s="138"/>
      <c r="T97" s="138" t="e">
        <f>+SUM(T94:T96)</f>
        <v>#VALUE!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  <c r="AZ97" s="164"/>
    </row>
    <row r="98" spans="2:52" x14ac:dyDescent="0.25"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4"/>
    </row>
    <row r="99" spans="2:52" x14ac:dyDescent="0.25">
      <c r="B99" s="89" t="s">
        <v>133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  <c r="AZ99" s="164"/>
    </row>
    <row r="100" spans="2:52" x14ac:dyDescent="0.25"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  <c r="AZ100" s="164"/>
    </row>
    <row r="101" spans="2:52" x14ac:dyDescent="0.25">
      <c r="B101" s="279" t="s">
        <v>120</v>
      </c>
      <c r="C101" s="122"/>
      <c r="D101" s="122"/>
      <c r="E101" s="157" t="str">
        <f t="shared" ref="E101:R101" si="14">E62</f>
        <v>SARL</v>
      </c>
      <c r="F101" s="121" t="str">
        <f t="shared" si="14"/>
        <v>EURL</v>
      </c>
      <c r="G101" s="158" t="str">
        <f t="shared" si="14"/>
        <v>SAS</v>
      </c>
      <c r="H101" s="158" t="str">
        <f t="shared" si="14"/>
        <v>INDIVIDUEL</v>
      </c>
      <c r="I101" s="158" t="str">
        <f t="shared" si="14"/>
        <v>ASSOCIATION</v>
      </c>
      <c r="J101" s="157" t="str">
        <f t="shared" si="14"/>
        <v>PROFESSION LIBERALE</v>
      </c>
      <c r="K101" s="157" t="str">
        <f t="shared" si="14"/>
        <v>SNC</v>
      </c>
      <c r="L101" s="157" t="str">
        <f t="shared" si="14"/>
        <v>SCI</v>
      </c>
      <c r="M101" s="157" t="str">
        <f t="shared" si="14"/>
        <v>EARL</v>
      </c>
      <c r="N101" s="157" t="str">
        <f t="shared" si="14"/>
        <v>ETA</v>
      </c>
      <c r="O101" s="157" t="str">
        <f t="shared" si="14"/>
        <v>SCEA</v>
      </c>
      <c r="P101" s="157" t="str">
        <f t="shared" si="14"/>
        <v>GROUPEMENT</v>
      </c>
      <c r="Q101" s="121" t="str">
        <f t="shared" si="14"/>
        <v>EIRL</v>
      </c>
      <c r="R101" s="121" t="str">
        <f t="shared" si="14"/>
        <v>AUTRES</v>
      </c>
      <c r="S101" s="121"/>
      <c r="T101" s="157" t="s">
        <v>86</v>
      </c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  <c r="AZ101" s="164"/>
    </row>
    <row r="102" spans="2:52" x14ac:dyDescent="0.25">
      <c r="B102" s="280"/>
      <c r="C102" s="120" t="s">
        <v>109</v>
      </c>
      <c r="D102" s="122">
        <f>+D63-D82</f>
        <v>0</v>
      </c>
      <c r="E102" s="122">
        <f t="shared" ref="E102:R104" si="15">+E63-E82</f>
        <v>0</v>
      </c>
      <c r="F102" s="122">
        <f t="shared" si="15"/>
        <v>0</v>
      </c>
      <c r="G102" s="122">
        <f t="shared" si="15"/>
        <v>0</v>
      </c>
      <c r="H102" s="122">
        <f t="shared" si="15"/>
        <v>0</v>
      </c>
      <c r="I102" s="122">
        <f t="shared" si="15"/>
        <v>0</v>
      </c>
      <c r="J102" s="122">
        <f t="shared" si="15"/>
        <v>0</v>
      </c>
      <c r="K102" s="122">
        <f t="shared" si="15"/>
        <v>0</v>
      </c>
      <c r="L102" s="122">
        <f t="shared" si="15"/>
        <v>0</v>
      </c>
      <c r="M102" s="122">
        <f t="shared" si="15"/>
        <v>0</v>
      </c>
      <c r="N102" s="122">
        <f t="shared" si="15"/>
        <v>0</v>
      </c>
      <c r="O102" s="122">
        <f t="shared" si="15"/>
        <v>0</v>
      </c>
      <c r="P102" s="122">
        <f t="shared" si="15"/>
        <v>0</v>
      </c>
      <c r="Q102" s="122">
        <f t="shared" si="15"/>
        <v>0</v>
      </c>
      <c r="R102" s="122">
        <f t="shared" si="15"/>
        <v>0</v>
      </c>
      <c r="S102" s="122"/>
      <c r="T102" s="122">
        <f>+SUM(E102:P102)</f>
        <v>0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  <c r="AZ102" s="164"/>
    </row>
    <row r="103" spans="2:52" x14ac:dyDescent="0.25">
      <c r="B103" s="280"/>
      <c r="C103" s="120" t="s">
        <v>121</v>
      </c>
      <c r="D103" s="122">
        <f>+D64-D83</f>
        <v>0</v>
      </c>
      <c r="E103" s="122">
        <f t="shared" si="15"/>
        <v>0</v>
      </c>
      <c r="F103" s="122">
        <f t="shared" si="15"/>
        <v>0</v>
      </c>
      <c r="G103" s="122">
        <f t="shared" si="15"/>
        <v>0</v>
      </c>
      <c r="H103" s="122">
        <f t="shared" si="15"/>
        <v>0</v>
      </c>
      <c r="I103" s="122">
        <f t="shared" si="15"/>
        <v>0</v>
      </c>
      <c r="J103" s="122">
        <f t="shared" si="15"/>
        <v>0</v>
      </c>
      <c r="K103" s="122">
        <f t="shared" si="15"/>
        <v>0</v>
      </c>
      <c r="L103" s="122">
        <f t="shared" si="15"/>
        <v>0</v>
      </c>
      <c r="M103" s="122">
        <f t="shared" si="15"/>
        <v>0</v>
      </c>
      <c r="N103" s="122">
        <f t="shared" si="15"/>
        <v>0</v>
      </c>
      <c r="O103" s="122">
        <f t="shared" si="15"/>
        <v>0</v>
      </c>
      <c r="P103" s="122">
        <f t="shared" si="15"/>
        <v>0</v>
      </c>
      <c r="Q103" s="122">
        <f t="shared" si="15"/>
        <v>0</v>
      </c>
      <c r="R103" s="122">
        <f t="shared" si="15"/>
        <v>0</v>
      </c>
      <c r="S103" s="122"/>
      <c r="T103" s="122">
        <f>+SUM(E103:P103)</f>
        <v>0</v>
      </c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  <c r="AZ103" s="164"/>
    </row>
    <row r="104" spans="2:52" x14ac:dyDescent="0.25">
      <c r="B104" s="281"/>
      <c r="C104" s="122" t="s">
        <v>122</v>
      </c>
      <c r="D104" s="122">
        <f>+D65-D84</f>
        <v>0</v>
      </c>
      <c r="E104" s="122">
        <f t="shared" si="15"/>
        <v>0</v>
      </c>
      <c r="F104" s="122">
        <f t="shared" si="15"/>
        <v>0</v>
      </c>
      <c r="G104" s="122">
        <f t="shared" si="15"/>
        <v>0</v>
      </c>
      <c r="H104" s="122">
        <f t="shared" si="15"/>
        <v>0</v>
      </c>
      <c r="I104" s="122">
        <f t="shared" si="15"/>
        <v>0</v>
      </c>
      <c r="J104" s="122">
        <f t="shared" si="15"/>
        <v>0</v>
      </c>
      <c r="K104" s="122">
        <f t="shared" si="15"/>
        <v>0</v>
      </c>
      <c r="L104" s="122">
        <f t="shared" si="15"/>
        <v>0</v>
      </c>
      <c r="M104" s="122" t="e">
        <f t="shared" si="15"/>
        <v>#VALUE!</v>
      </c>
      <c r="N104" s="122" t="e">
        <f t="shared" si="15"/>
        <v>#VALUE!</v>
      </c>
      <c r="O104" s="122" t="e">
        <f t="shared" si="15"/>
        <v>#VALUE!</v>
      </c>
      <c r="P104" s="122">
        <f t="shared" si="15"/>
        <v>0</v>
      </c>
      <c r="Q104" s="122">
        <f t="shared" si="15"/>
        <v>0</v>
      </c>
      <c r="R104" s="122">
        <f t="shared" si="15"/>
        <v>0</v>
      </c>
      <c r="S104" s="122"/>
      <c r="T104" s="122" t="e">
        <f>+SUM(E104:P104)</f>
        <v>#VALUE!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  <c r="AZ104" s="164"/>
    </row>
    <row r="105" spans="2:52" x14ac:dyDescent="0.25">
      <c r="B105" s="275" t="s">
        <v>123</v>
      </c>
      <c r="C105" s="275"/>
      <c r="D105" s="122">
        <f t="shared" ref="D105:R105" si="16">+SUM(D102:D104)</f>
        <v>0</v>
      </c>
      <c r="E105" s="122">
        <f t="shared" si="16"/>
        <v>0</v>
      </c>
      <c r="F105" s="122">
        <f t="shared" si="16"/>
        <v>0</v>
      </c>
      <c r="G105" s="122">
        <f t="shared" si="16"/>
        <v>0</v>
      </c>
      <c r="H105" s="122">
        <f t="shared" si="16"/>
        <v>0</v>
      </c>
      <c r="I105" s="122">
        <f t="shared" si="16"/>
        <v>0</v>
      </c>
      <c r="J105" s="122">
        <f t="shared" si="16"/>
        <v>0</v>
      </c>
      <c r="K105" s="122">
        <f t="shared" si="16"/>
        <v>0</v>
      </c>
      <c r="L105" s="122">
        <f t="shared" si="16"/>
        <v>0</v>
      </c>
      <c r="M105" s="122" t="e">
        <f t="shared" si="16"/>
        <v>#VALUE!</v>
      </c>
      <c r="N105" s="122" t="e">
        <f t="shared" si="16"/>
        <v>#VALUE!</v>
      </c>
      <c r="O105" s="122" t="e">
        <f t="shared" si="16"/>
        <v>#VALUE!</v>
      </c>
      <c r="P105" s="122">
        <f t="shared" si="16"/>
        <v>0</v>
      </c>
      <c r="Q105" s="122">
        <f t="shared" si="16"/>
        <v>0</v>
      </c>
      <c r="R105" s="122">
        <f t="shared" si="16"/>
        <v>0</v>
      </c>
      <c r="S105" s="122"/>
      <c r="T105" s="122" t="e">
        <f>+SUM(T102:T104)</f>
        <v>#VALUE!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  <c r="AZ105" s="164"/>
    </row>
    <row r="106" spans="2:52" x14ac:dyDescent="0.25">
      <c r="B106" s="90"/>
      <c r="C106" s="90"/>
      <c r="D106" s="90"/>
      <c r="E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T106" s="90"/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  <c r="AZ106" s="164"/>
    </row>
    <row r="107" spans="2:52" x14ac:dyDescent="0.25">
      <c r="B107" s="282">
        <v>44196</v>
      </c>
      <c r="C107" s="122"/>
      <c r="D107" s="122"/>
      <c r="E107" s="128" t="str">
        <f t="shared" ref="E107:R107" si="17">E62</f>
        <v>SARL</v>
      </c>
      <c r="F107" s="121" t="str">
        <f t="shared" si="17"/>
        <v>EURL</v>
      </c>
      <c r="G107" s="127" t="str">
        <f t="shared" si="17"/>
        <v>SAS</v>
      </c>
      <c r="H107" s="127" t="str">
        <f t="shared" si="17"/>
        <v>INDIVIDUEL</v>
      </c>
      <c r="I107" s="127" t="str">
        <f t="shared" si="17"/>
        <v>ASSOCIATION</v>
      </c>
      <c r="J107" s="128" t="str">
        <f t="shared" si="17"/>
        <v>PROFESSION LIBERALE</v>
      </c>
      <c r="K107" s="128" t="str">
        <f t="shared" si="17"/>
        <v>SNC</v>
      </c>
      <c r="L107" s="128" t="str">
        <f t="shared" si="17"/>
        <v>SCI</v>
      </c>
      <c r="M107" s="128" t="str">
        <f t="shared" si="17"/>
        <v>EARL</v>
      </c>
      <c r="N107" s="128" t="str">
        <f t="shared" si="17"/>
        <v>ETA</v>
      </c>
      <c r="O107" s="128" t="str">
        <f t="shared" si="17"/>
        <v>SCEA</v>
      </c>
      <c r="P107" s="128" t="str">
        <f t="shared" si="17"/>
        <v>GROUPEMENT</v>
      </c>
      <c r="Q107" s="128" t="str">
        <f t="shared" si="17"/>
        <v>EIRL</v>
      </c>
      <c r="R107" s="121" t="str">
        <f t="shared" si="17"/>
        <v>AUTRES</v>
      </c>
      <c r="S107" s="121"/>
      <c r="T107" s="128" t="s">
        <v>86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  <c r="AZ107" s="164"/>
    </row>
    <row r="108" spans="2:52" x14ac:dyDescent="0.25">
      <c r="B108" s="280"/>
      <c r="C108" s="120" t="s">
        <v>109</v>
      </c>
      <c r="D108" s="122">
        <f>+D69-D88</f>
        <v>0</v>
      </c>
      <c r="E108" s="122">
        <f t="shared" ref="E108:R110" si="18">+E69-E88</f>
        <v>0</v>
      </c>
      <c r="F108" s="122">
        <f t="shared" si="18"/>
        <v>0</v>
      </c>
      <c r="G108" s="122">
        <f t="shared" si="18"/>
        <v>0</v>
      </c>
      <c r="H108" s="122">
        <f t="shared" si="18"/>
        <v>0</v>
      </c>
      <c r="I108" s="122">
        <f t="shared" si="18"/>
        <v>0</v>
      </c>
      <c r="J108" s="122">
        <f t="shared" si="18"/>
        <v>0</v>
      </c>
      <c r="K108" s="122">
        <f t="shared" si="18"/>
        <v>0</v>
      </c>
      <c r="L108" s="122">
        <f t="shared" si="18"/>
        <v>0</v>
      </c>
      <c r="M108" s="122">
        <f t="shared" si="18"/>
        <v>0</v>
      </c>
      <c r="N108" s="122">
        <f t="shared" si="18"/>
        <v>0</v>
      </c>
      <c r="O108" s="122">
        <f t="shared" si="18"/>
        <v>0</v>
      </c>
      <c r="P108" s="122">
        <f t="shared" si="18"/>
        <v>0</v>
      </c>
      <c r="Q108" s="122">
        <f t="shared" si="18"/>
        <v>0</v>
      </c>
      <c r="R108" s="122">
        <f t="shared" si="18"/>
        <v>0</v>
      </c>
      <c r="S108" s="122"/>
      <c r="T108" s="122">
        <f>+SUM(E108:P108)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  <c r="AZ108" s="164"/>
    </row>
    <row r="109" spans="2:52" x14ac:dyDescent="0.25">
      <c r="B109" s="280"/>
      <c r="C109" s="120" t="s">
        <v>121</v>
      </c>
      <c r="D109" s="122">
        <f>+D70-D89</f>
        <v>0</v>
      </c>
      <c r="E109" s="122">
        <f t="shared" si="18"/>
        <v>0</v>
      </c>
      <c r="F109" s="122">
        <f t="shared" si="18"/>
        <v>0</v>
      </c>
      <c r="G109" s="122">
        <f t="shared" si="18"/>
        <v>0</v>
      </c>
      <c r="H109" s="122">
        <f t="shared" si="18"/>
        <v>0</v>
      </c>
      <c r="I109" s="122">
        <f t="shared" si="18"/>
        <v>0</v>
      </c>
      <c r="J109" s="122">
        <f t="shared" si="18"/>
        <v>0</v>
      </c>
      <c r="K109" s="122">
        <f t="shared" si="18"/>
        <v>0</v>
      </c>
      <c r="L109" s="122">
        <f t="shared" si="18"/>
        <v>0</v>
      </c>
      <c r="M109" s="122">
        <f t="shared" si="18"/>
        <v>0</v>
      </c>
      <c r="N109" s="122">
        <f t="shared" si="18"/>
        <v>0</v>
      </c>
      <c r="O109" s="122">
        <f t="shared" si="18"/>
        <v>0</v>
      </c>
      <c r="P109" s="122">
        <f t="shared" si="18"/>
        <v>0</v>
      </c>
      <c r="Q109" s="122">
        <f t="shared" si="18"/>
        <v>0</v>
      </c>
      <c r="R109" s="122">
        <f t="shared" si="18"/>
        <v>0</v>
      </c>
      <c r="S109" s="122"/>
      <c r="T109" s="122">
        <f>+SUM(E109:P109)</f>
        <v>0</v>
      </c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  <c r="AZ109" s="164"/>
    </row>
    <row r="110" spans="2:52" x14ac:dyDescent="0.25">
      <c r="B110" s="281"/>
      <c r="C110" s="122" t="s">
        <v>122</v>
      </c>
      <c r="D110" s="122">
        <f>+D71-D90</f>
        <v>0</v>
      </c>
      <c r="E110" s="122">
        <f t="shared" si="18"/>
        <v>0</v>
      </c>
      <c r="F110" s="122">
        <f t="shared" si="18"/>
        <v>0</v>
      </c>
      <c r="G110" s="122">
        <f t="shared" si="18"/>
        <v>0</v>
      </c>
      <c r="H110" s="122">
        <f t="shared" si="18"/>
        <v>0</v>
      </c>
      <c r="I110" s="122">
        <f t="shared" si="18"/>
        <v>0</v>
      </c>
      <c r="J110" s="122">
        <f t="shared" si="18"/>
        <v>0</v>
      </c>
      <c r="K110" s="122">
        <f t="shared" si="18"/>
        <v>0</v>
      </c>
      <c r="L110" s="122">
        <f t="shared" si="18"/>
        <v>0</v>
      </c>
      <c r="M110" s="122">
        <f t="shared" si="18"/>
        <v>0</v>
      </c>
      <c r="N110" s="122">
        <f t="shared" si="18"/>
        <v>0</v>
      </c>
      <c r="O110" s="122">
        <f t="shared" si="18"/>
        <v>0</v>
      </c>
      <c r="P110" s="122">
        <f t="shared" si="18"/>
        <v>0</v>
      </c>
      <c r="Q110" s="122">
        <f t="shared" si="18"/>
        <v>0</v>
      </c>
      <c r="R110" s="122">
        <f t="shared" si="18"/>
        <v>0</v>
      </c>
      <c r="S110" s="122"/>
      <c r="T110" s="122">
        <f>+SUM(E110:P110)</f>
        <v>0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  <c r="AZ110" s="164"/>
    </row>
    <row r="111" spans="2:52" x14ac:dyDescent="0.25">
      <c r="B111" s="275" t="s">
        <v>123</v>
      </c>
      <c r="C111" s="275"/>
      <c r="D111" s="122">
        <f t="shared" ref="D111:R111" si="19">+SUM(D108:D110)</f>
        <v>0</v>
      </c>
      <c r="E111" s="122">
        <f t="shared" si="19"/>
        <v>0</v>
      </c>
      <c r="F111" s="122">
        <f t="shared" si="19"/>
        <v>0</v>
      </c>
      <c r="G111" s="122">
        <f t="shared" si="19"/>
        <v>0</v>
      </c>
      <c r="H111" s="122">
        <f t="shared" si="19"/>
        <v>0</v>
      </c>
      <c r="I111" s="122">
        <f t="shared" si="19"/>
        <v>0</v>
      </c>
      <c r="J111" s="122">
        <f t="shared" si="19"/>
        <v>0</v>
      </c>
      <c r="K111" s="122">
        <f t="shared" si="19"/>
        <v>0</v>
      </c>
      <c r="L111" s="122">
        <f t="shared" si="19"/>
        <v>0</v>
      </c>
      <c r="M111" s="122">
        <f t="shared" si="19"/>
        <v>0</v>
      </c>
      <c r="N111" s="122">
        <f t="shared" si="19"/>
        <v>0</v>
      </c>
      <c r="O111" s="122">
        <f t="shared" si="19"/>
        <v>0</v>
      </c>
      <c r="P111" s="122">
        <f t="shared" si="19"/>
        <v>0</v>
      </c>
      <c r="Q111" s="122">
        <f t="shared" si="19"/>
        <v>0</v>
      </c>
      <c r="R111" s="122">
        <f t="shared" si="19"/>
        <v>0</v>
      </c>
      <c r="S111" s="122"/>
      <c r="T111" s="122">
        <f>+SUM(T108:T110)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  <c r="AZ111" s="164"/>
    </row>
    <row r="112" spans="2:52" x14ac:dyDescent="0.25">
      <c r="B112" s="90"/>
      <c r="C112" s="90"/>
      <c r="D112" s="90"/>
      <c r="E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T112" s="90"/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  <c r="AZ112" s="164"/>
    </row>
    <row r="113" spans="2:52" x14ac:dyDescent="0.25">
      <c r="B113" s="282" t="s">
        <v>40</v>
      </c>
      <c r="C113" s="122"/>
      <c r="D113" s="122"/>
      <c r="E113" s="125" t="str">
        <f t="shared" ref="E113:R113" si="20">E62</f>
        <v>SARL</v>
      </c>
      <c r="F113" s="121" t="str">
        <f t="shared" si="20"/>
        <v>EURL</v>
      </c>
      <c r="G113" s="126" t="str">
        <f t="shared" si="20"/>
        <v>SAS</v>
      </c>
      <c r="H113" s="127" t="str">
        <f t="shared" si="20"/>
        <v>INDIVIDUEL</v>
      </c>
      <c r="I113" s="127" t="str">
        <f t="shared" si="20"/>
        <v>ASSOCIATION</v>
      </c>
      <c r="J113" s="128" t="str">
        <f t="shared" si="20"/>
        <v>PROFESSION LIBERALE</v>
      </c>
      <c r="K113" s="128" t="str">
        <f t="shared" si="20"/>
        <v>SNC</v>
      </c>
      <c r="L113" s="128" t="str">
        <f t="shared" si="20"/>
        <v>SCI</v>
      </c>
      <c r="M113" s="128" t="str">
        <f t="shared" si="20"/>
        <v>EARL</v>
      </c>
      <c r="N113" s="128" t="str">
        <f t="shared" si="20"/>
        <v>ETA</v>
      </c>
      <c r="O113" s="128" t="str">
        <f t="shared" si="20"/>
        <v>SCEA</v>
      </c>
      <c r="P113" s="128" t="str">
        <f t="shared" si="20"/>
        <v>GROUPEMENT</v>
      </c>
      <c r="Q113" s="128" t="str">
        <f t="shared" si="20"/>
        <v>EIRL</v>
      </c>
      <c r="R113" s="121" t="str">
        <f t="shared" si="20"/>
        <v>AUTRES</v>
      </c>
      <c r="S113" s="121"/>
      <c r="T113" s="128" t="s">
        <v>86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  <c r="AZ113" s="164"/>
    </row>
    <row r="114" spans="2:52" x14ac:dyDescent="0.25">
      <c r="B114" s="280"/>
      <c r="C114" s="120" t="s">
        <v>109</v>
      </c>
      <c r="D114" s="122">
        <f>+D102-D108</f>
        <v>0</v>
      </c>
      <c r="E114" s="122">
        <f t="shared" ref="E114:R117" si="21">+E102-E108</f>
        <v>0</v>
      </c>
      <c r="F114" s="122">
        <f t="shared" si="21"/>
        <v>0</v>
      </c>
      <c r="G114" s="122">
        <f t="shared" si="21"/>
        <v>0</v>
      </c>
      <c r="H114" s="122">
        <f t="shared" si="21"/>
        <v>0</v>
      </c>
      <c r="I114" s="122">
        <f t="shared" si="21"/>
        <v>0</v>
      </c>
      <c r="J114" s="122">
        <f t="shared" si="21"/>
        <v>0</v>
      </c>
      <c r="K114" s="122">
        <f t="shared" si="21"/>
        <v>0</v>
      </c>
      <c r="L114" s="122">
        <f t="shared" si="21"/>
        <v>0</v>
      </c>
      <c r="M114" s="122">
        <f t="shared" si="21"/>
        <v>0</v>
      </c>
      <c r="N114" s="122">
        <f t="shared" si="21"/>
        <v>0</v>
      </c>
      <c r="O114" s="122">
        <f t="shared" si="21"/>
        <v>0</v>
      </c>
      <c r="P114" s="122">
        <f t="shared" si="21"/>
        <v>0</v>
      </c>
      <c r="Q114" s="122">
        <f t="shared" si="21"/>
        <v>0</v>
      </c>
      <c r="R114" s="122">
        <f t="shared" si="21"/>
        <v>0</v>
      </c>
      <c r="S114" s="122"/>
      <c r="T114" s="122">
        <f>+SUM(E114:P114)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  <c r="AZ114" s="164"/>
    </row>
    <row r="115" spans="2:52" x14ac:dyDescent="0.25">
      <c r="B115" s="280"/>
      <c r="C115" s="120" t="s">
        <v>121</v>
      </c>
      <c r="D115" s="122">
        <f>+D103-D109</f>
        <v>0</v>
      </c>
      <c r="E115" s="122">
        <f t="shared" si="21"/>
        <v>0</v>
      </c>
      <c r="F115" s="122">
        <f t="shared" si="21"/>
        <v>0</v>
      </c>
      <c r="G115" s="122">
        <f t="shared" si="21"/>
        <v>0</v>
      </c>
      <c r="H115" s="122">
        <f t="shared" si="21"/>
        <v>0</v>
      </c>
      <c r="I115" s="122">
        <f t="shared" si="21"/>
        <v>0</v>
      </c>
      <c r="J115" s="122">
        <f t="shared" si="21"/>
        <v>0</v>
      </c>
      <c r="K115" s="122">
        <f t="shared" si="21"/>
        <v>0</v>
      </c>
      <c r="L115" s="122">
        <f t="shared" si="21"/>
        <v>0</v>
      </c>
      <c r="M115" s="122">
        <f t="shared" si="21"/>
        <v>0</v>
      </c>
      <c r="N115" s="122">
        <f t="shared" si="21"/>
        <v>0</v>
      </c>
      <c r="O115" s="122">
        <f t="shared" si="21"/>
        <v>0</v>
      </c>
      <c r="P115" s="122">
        <f t="shared" si="21"/>
        <v>0</v>
      </c>
      <c r="Q115" s="122">
        <f t="shared" si="21"/>
        <v>0</v>
      </c>
      <c r="R115" s="122">
        <f t="shared" si="21"/>
        <v>0</v>
      </c>
      <c r="S115" s="122"/>
      <c r="T115" s="122">
        <f>+SUM(E115:P115)</f>
        <v>0</v>
      </c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  <c r="AZ115" s="164"/>
    </row>
    <row r="116" spans="2:52" x14ac:dyDescent="0.25">
      <c r="B116" s="281"/>
      <c r="C116" s="122" t="s">
        <v>122</v>
      </c>
      <c r="D116" s="122">
        <f>+D104-D110</f>
        <v>0</v>
      </c>
      <c r="E116" s="122">
        <f t="shared" si="21"/>
        <v>0</v>
      </c>
      <c r="F116" s="122">
        <f t="shared" si="21"/>
        <v>0</v>
      </c>
      <c r="G116" s="122">
        <f t="shared" si="21"/>
        <v>0</v>
      </c>
      <c r="H116" s="122">
        <f t="shared" si="21"/>
        <v>0</v>
      </c>
      <c r="I116" s="122">
        <f t="shared" si="21"/>
        <v>0</v>
      </c>
      <c r="J116" s="122">
        <f t="shared" si="21"/>
        <v>0</v>
      </c>
      <c r="K116" s="122">
        <f t="shared" si="21"/>
        <v>0</v>
      </c>
      <c r="L116" s="122">
        <f t="shared" si="21"/>
        <v>0</v>
      </c>
      <c r="M116" s="122" t="e">
        <f t="shared" si="21"/>
        <v>#VALUE!</v>
      </c>
      <c r="N116" s="122" t="e">
        <f t="shared" si="21"/>
        <v>#VALUE!</v>
      </c>
      <c r="O116" s="122" t="e">
        <f t="shared" si="21"/>
        <v>#VALUE!</v>
      </c>
      <c r="P116" s="122">
        <f t="shared" si="21"/>
        <v>0</v>
      </c>
      <c r="Q116" s="122">
        <f t="shared" si="21"/>
        <v>0</v>
      </c>
      <c r="R116" s="122">
        <f t="shared" si="21"/>
        <v>0</v>
      </c>
      <c r="S116" s="122"/>
      <c r="T116" s="122" t="e">
        <f>+SUM(E116:P116)</f>
        <v>#VALUE!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</row>
    <row r="117" spans="2:52" x14ac:dyDescent="0.25">
      <c r="B117" s="275" t="s">
        <v>123</v>
      </c>
      <c r="C117" s="275"/>
      <c r="D117" s="122">
        <f>+D105-D111</f>
        <v>0</v>
      </c>
      <c r="E117" s="122">
        <f t="shared" si="21"/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 t="e">
        <f t="shared" si="21"/>
        <v>#VALUE!</v>
      </c>
      <c r="N117" s="122" t="e">
        <f t="shared" si="21"/>
        <v>#VALUE!</v>
      </c>
      <c r="O117" s="122" t="e">
        <f t="shared" si="21"/>
        <v>#VALUE!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 t="e">
        <f>+SUM(T114:T116)</f>
        <v>#VALUE!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  <c r="AZ117" s="164"/>
    </row>
    <row r="118" spans="2:52" x14ac:dyDescent="0.25"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</row>
    <row r="119" spans="2:52" x14ac:dyDescent="0.25"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  <c r="AZ119" s="164"/>
    </row>
    <row r="120" spans="2:52" x14ac:dyDescent="0.25"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  <c r="AZ120" s="164"/>
    </row>
    <row r="121" spans="2:52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  <c r="AZ121" s="164"/>
    </row>
    <row r="122" spans="2:52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  <c r="AZ122" s="164"/>
    </row>
    <row r="123" spans="2:52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  <c r="AZ123" s="164"/>
    </row>
    <row r="124" spans="2:52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  <c r="AZ124" s="164"/>
    </row>
    <row r="125" spans="2:52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  <c r="AZ125" s="164"/>
    </row>
    <row r="126" spans="2:52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  <c r="AZ126" s="164"/>
    </row>
    <row r="127" spans="2:52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  <c r="AZ127" s="164"/>
    </row>
    <row r="128" spans="2:52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  <c r="AZ128" s="164"/>
    </row>
    <row r="129" spans="21:52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  <c r="AZ129" s="164"/>
    </row>
    <row r="130" spans="21:52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  <c r="AZ130" s="164"/>
    </row>
    <row r="131" spans="21:52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  <c r="AZ131" s="164"/>
    </row>
    <row r="132" spans="21:52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  <c r="AZ132" s="164"/>
    </row>
    <row r="133" spans="21:52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  <c r="AZ133" s="164"/>
    </row>
    <row r="134" spans="21:52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  <c r="AZ134" s="164"/>
    </row>
    <row r="135" spans="21:52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  <c r="AZ135" s="164"/>
    </row>
    <row r="136" spans="21:52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  <c r="AZ136" s="164"/>
    </row>
    <row r="137" spans="21:52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  <c r="AZ137" s="164"/>
    </row>
    <row r="138" spans="21:52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</row>
    <row r="139" spans="21:52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  <c r="AZ139" s="164"/>
    </row>
    <row r="140" spans="21:52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  <c r="AZ140" s="164"/>
    </row>
    <row r="141" spans="21:52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  <c r="AZ141" s="164"/>
    </row>
    <row r="142" spans="21:52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  <c r="AZ142" s="164"/>
    </row>
    <row r="143" spans="21:52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  <c r="AZ143" s="164"/>
    </row>
    <row r="144" spans="21:52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  <c r="AZ144" s="164"/>
    </row>
    <row r="145" spans="21:52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  <c r="AZ145" s="164"/>
    </row>
    <row r="146" spans="21:52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  <c r="AZ146" s="164"/>
    </row>
    <row r="147" spans="21:52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  <c r="AZ147" s="164"/>
    </row>
    <row r="148" spans="21:52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  <c r="AZ148" s="164"/>
    </row>
    <row r="149" spans="21:52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  <c r="AZ149" s="164"/>
    </row>
    <row r="150" spans="21:52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  <c r="AZ150" s="164"/>
    </row>
    <row r="151" spans="21:52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  <c r="AZ151" s="164"/>
    </row>
    <row r="152" spans="21:52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  <c r="AZ152" s="164"/>
    </row>
    <row r="153" spans="21:52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  <c r="AZ153" s="164"/>
    </row>
    <row r="154" spans="21:52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  <c r="AZ154" s="164"/>
    </row>
    <row r="155" spans="21:52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  <c r="AZ155" s="164"/>
    </row>
    <row r="156" spans="21:52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  <c r="AZ156" s="164"/>
    </row>
    <row r="157" spans="21:52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  <c r="AZ157" s="164"/>
    </row>
    <row r="158" spans="21:52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  <c r="AZ158" s="164"/>
    </row>
    <row r="159" spans="21:52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  <c r="AZ159" s="164"/>
    </row>
    <row r="160" spans="21:52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</row>
    <row r="161" spans="21:52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  <c r="AZ161" s="164"/>
    </row>
    <row r="162" spans="21:52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  <c r="AZ162" s="164"/>
    </row>
    <row r="163" spans="21:52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  <c r="AZ163" s="164"/>
    </row>
    <row r="164" spans="21:52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  <c r="AZ164" s="164"/>
    </row>
    <row r="165" spans="21:52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  <c r="AZ165" s="164"/>
    </row>
    <row r="166" spans="21:52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  <c r="AZ166" s="164"/>
    </row>
    <row r="167" spans="21:52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  <c r="AZ167" s="164"/>
    </row>
    <row r="168" spans="21:52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  <c r="AZ168" s="164"/>
    </row>
    <row r="169" spans="21:52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  <c r="AZ169" s="164"/>
    </row>
    <row r="170" spans="21:52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  <c r="AZ170" s="164"/>
    </row>
    <row r="171" spans="21:52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  <c r="AZ171" s="164"/>
    </row>
    <row r="172" spans="21:52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  <c r="AZ172" s="164"/>
    </row>
    <row r="173" spans="21:52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  <c r="AZ173" s="164"/>
    </row>
    <row r="174" spans="21:52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  <c r="AZ174" s="164"/>
    </row>
    <row r="175" spans="21:52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  <c r="AZ175" s="164"/>
    </row>
    <row r="176" spans="21:52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  <c r="AZ176" s="164"/>
    </row>
    <row r="177" spans="21:52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  <c r="AZ177" s="164"/>
    </row>
    <row r="178" spans="21:52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  <c r="AZ178" s="164"/>
    </row>
    <row r="179" spans="21:52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  <c r="AZ179" s="164"/>
    </row>
    <row r="180" spans="21:52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  <c r="AZ180" s="164"/>
    </row>
  </sheetData>
  <sheetProtection formatColumns="0" deleteColumns="0" deleteRows="0" selectLockedCells="1"/>
  <mergeCells count="18">
    <mergeCell ref="B117:C117"/>
    <mergeCell ref="B81:B84"/>
    <mergeCell ref="B85:C85"/>
    <mergeCell ref="B87:B90"/>
    <mergeCell ref="B91:C91"/>
    <mergeCell ref="B93:B96"/>
    <mergeCell ref="B97:C97"/>
    <mergeCell ref="B101:B104"/>
    <mergeCell ref="B105:C105"/>
    <mergeCell ref="B107:B110"/>
    <mergeCell ref="B111:C111"/>
    <mergeCell ref="B113:B116"/>
    <mergeCell ref="B78:C78"/>
    <mergeCell ref="B62:B65"/>
    <mergeCell ref="B66:C66"/>
    <mergeCell ref="B68:B71"/>
    <mergeCell ref="B72:C72"/>
    <mergeCell ref="B74:B77"/>
  </mergeCells>
  <conditionalFormatting sqref="P3:P57">
    <cfRule type="expression" dxfId="71" priority="2">
      <formula>AND(P3&lt;&gt;"",P3&lt;&gt;"OUI")</formula>
    </cfRule>
  </conditionalFormatting>
  <conditionalFormatting sqref="AN3:AO57 S3:AH57">
    <cfRule type="expression" dxfId="70" priority="1" stopIfTrue="1">
      <formula>$AH3&lt;&gt;0</formula>
    </cfRule>
  </conditionalFormatting>
  <conditionalFormatting sqref="A3:E57">
    <cfRule type="expression" dxfId="69" priority="3" stopIfTrue="1">
      <formula>AND($I3&lt;&gt;"",AND($J3="",AND($BA3="",$BB3="")))</formula>
    </cfRule>
    <cfRule type="expression" dxfId="68" priority="4" stopIfTrue="1">
      <formula>AND($J3&lt;&gt;"",AND($BA3="",$BB3=""))</formula>
    </cfRule>
    <cfRule type="expression" dxfId="67" priority="5" stopIfTrue="1">
      <formula>AND($BA3&lt;&gt;"",$BB3="")</formula>
    </cfRule>
    <cfRule type="expression" dxfId="66" priority="6" stopIfTrue="1">
      <formula>$BB3="X"</formula>
    </cfRule>
  </conditionalFormatting>
  <dataValidations count="12">
    <dataValidation type="list" allowBlank="1" showInputMessage="1" showErrorMessage="1" sqref="G65536:G65593 JX65536:JX65593 TT65536:TT65593 ADP65536:ADP65593 ANL65536:ANL65593 AXH65536:AXH65593 BHD65536:BHD65593 BQZ65536:BQZ65593 CAV65536:CAV65593 CKR65536:CKR65593 CUN65536:CUN65593 DEJ65536:DEJ65593 DOF65536:DOF65593 DYB65536:DYB65593 EHX65536:EHX65593 ERT65536:ERT65593 FBP65536:FBP65593 FLL65536:FLL65593 FVH65536:FVH65593 GFD65536:GFD65593 GOZ65536:GOZ65593 GYV65536:GYV65593 HIR65536:HIR65593 HSN65536:HSN65593 ICJ65536:ICJ65593 IMF65536:IMF65593 IWB65536:IWB65593 JFX65536:JFX65593 JPT65536:JPT65593 JZP65536:JZP65593 KJL65536:KJL65593 KTH65536:KTH65593 LDD65536:LDD65593 LMZ65536:LMZ65593 LWV65536:LWV65593 MGR65536:MGR65593 MQN65536:MQN65593 NAJ65536:NAJ65593 NKF65536:NKF65593 NUB65536:NUB65593 ODX65536:ODX65593 ONT65536:ONT65593 OXP65536:OXP65593 PHL65536:PHL65593 PRH65536:PRH65593 QBD65536:QBD65593 QKZ65536:QKZ65593 QUV65536:QUV65593 RER65536:RER65593 RON65536:RON65593 RYJ65536:RYJ65593 SIF65536:SIF65593 SSB65536:SSB65593 TBX65536:TBX65593 TLT65536:TLT65593 TVP65536:TVP65593 UFL65536:UFL65593 UPH65536:UPH65593 UZD65536:UZD65593 VIZ65536:VIZ65593 VSV65536:VSV65593 WCR65536:WCR65593 WMN65536:WMN65593 WWJ65536:WWJ65593 G131072:G131129 JX131072:JX131129 TT131072:TT131129 ADP131072:ADP131129 ANL131072:ANL131129 AXH131072:AXH131129 BHD131072:BHD131129 BQZ131072:BQZ131129 CAV131072:CAV131129 CKR131072:CKR131129 CUN131072:CUN131129 DEJ131072:DEJ131129 DOF131072:DOF131129 DYB131072:DYB131129 EHX131072:EHX131129 ERT131072:ERT131129 FBP131072:FBP131129 FLL131072:FLL131129 FVH131072:FVH131129 GFD131072:GFD131129 GOZ131072:GOZ131129 GYV131072:GYV131129 HIR131072:HIR131129 HSN131072:HSN131129 ICJ131072:ICJ131129 IMF131072:IMF131129 IWB131072:IWB131129 JFX131072:JFX131129 JPT131072:JPT131129 JZP131072:JZP131129 KJL131072:KJL131129 KTH131072:KTH131129 LDD131072:LDD131129 LMZ131072:LMZ131129 LWV131072:LWV131129 MGR131072:MGR131129 MQN131072:MQN131129 NAJ131072:NAJ131129 NKF131072:NKF131129 NUB131072:NUB131129 ODX131072:ODX131129 ONT131072:ONT131129 OXP131072:OXP131129 PHL131072:PHL131129 PRH131072:PRH131129 QBD131072:QBD131129 QKZ131072:QKZ131129 QUV131072:QUV131129 RER131072:RER131129 RON131072:RON131129 RYJ131072:RYJ131129 SIF131072:SIF131129 SSB131072:SSB131129 TBX131072:TBX131129 TLT131072:TLT131129 TVP131072:TVP131129 UFL131072:UFL131129 UPH131072:UPH131129 UZD131072:UZD131129 VIZ131072:VIZ131129 VSV131072:VSV131129 WCR131072:WCR131129 WMN131072:WMN131129 WWJ131072:WWJ131129 G196608:G196665 JX196608:JX196665 TT196608:TT196665 ADP196608:ADP196665 ANL196608:ANL196665 AXH196608:AXH196665 BHD196608:BHD196665 BQZ196608:BQZ196665 CAV196608:CAV196665 CKR196608:CKR196665 CUN196608:CUN196665 DEJ196608:DEJ196665 DOF196608:DOF196665 DYB196608:DYB196665 EHX196608:EHX196665 ERT196608:ERT196665 FBP196608:FBP196665 FLL196608:FLL196665 FVH196608:FVH196665 GFD196608:GFD196665 GOZ196608:GOZ196665 GYV196608:GYV196665 HIR196608:HIR196665 HSN196608:HSN196665 ICJ196608:ICJ196665 IMF196608:IMF196665 IWB196608:IWB196665 JFX196608:JFX196665 JPT196608:JPT196665 JZP196608:JZP196665 KJL196608:KJL196665 KTH196608:KTH196665 LDD196608:LDD196665 LMZ196608:LMZ196665 LWV196608:LWV196665 MGR196608:MGR196665 MQN196608:MQN196665 NAJ196608:NAJ196665 NKF196608:NKF196665 NUB196608:NUB196665 ODX196608:ODX196665 ONT196608:ONT196665 OXP196608:OXP196665 PHL196608:PHL196665 PRH196608:PRH196665 QBD196608:QBD196665 QKZ196608:QKZ196665 QUV196608:QUV196665 RER196608:RER196665 RON196608:RON196665 RYJ196608:RYJ196665 SIF196608:SIF196665 SSB196608:SSB196665 TBX196608:TBX196665 TLT196608:TLT196665 TVP196608:TVP196665 UFL196608:UFL196665 UPH196608:UPH196665 UZD196608:UZD196665 VIZ196608:VIZ196665 VSV196608:VSV196665 WCR196608:WCR196665 WMN196608:WMN196665 WWJ196608:WWJ196665 G262144:G262201 JX262144:JX262201 TT262144:TT262201 ADP262144:ADP262201 ANL262144:ANL262201 AXH262144:AXH262201 BHD262144:BHD262201 BQZ262144:BQZ262201 CAV262144:CAV262201 CKR262144:CKR262201 CUN262144:CUN262201 DEJ262144:DEJ262201 DOF262144:DOF262201 DYB262144:DYB262201 EHX262144:EHX262201 ERT262144:ERT262201 FBP262144:FBP262201 FLL262144:FLL262201 FVH262144:FVH262201 GFD262144:GFD262201 GOZ262144:GOZ262201 GYV262144:GYV262201 HIR262144:HIR262201 HSN262144:HSN262201 ICJ262144:ICJ262201 IMF262144:IMF262201 IWB262144:IWB262201 JFX262144:JFX262201 JPT262144:JPT262201 JZP262144:JZP262201 KJL262144:KJL262201 KTH262144:KTH262201 LDD262144:LDD262201 LMZ262144:LMZ262201 LWV262144:LWV262201 MGR262144:MGR262201 MQN262144:MQN262201 NAJ262144:NAJ262201 NKF262144:NKF262201 NUB262144:NUB262201 ODX262144:ODX262201 ONT262144:ONT262201 OXP262144:OXP262201 PHL262144:PHL262201 PRH262144:PRH262201 QBD262144:QBD262201 QKZ262144:QKZ262201 QUV262144:QUV262201 RER262144:RER262201 RON262144:RON262201 RYJ262144:RYJ262201 SIF262144:SIF262201 SSB262144:SSB262201 TBX262144:TBX262201 TLT262144:TLT262201 TVP262144:TVP262201 UFL262144:UFL262201 UPH262144:UPH262201 UZD262144:UZD262201 VIZ262144:VIZ262201 VSV262144:VSV262201 WCR262144:WCR262201 WMN262144:WMN262201 WWJ262144:WWJ262201 G327680:G327737 JX327680:JX327737 TT327680:TT327737 ADP327680:ADP327737 ANL327680:ANL327737 AXH327680:AXH327737 BHD327680:BHD327737 BQZ327680:BQZ327737 CAV327680:CAV327737 CKR327680:CKR327737 CUN327680:CUN327737 DEJ327680:DEJ327737 DOF327680:DOF327737 DYB327680:DYB327737 EHX327680:EHX327737 ERT327680:ERT327737 FBP327680:FBP327737 FLL327680:FLL327737 FVH327680:FVH327737 GFD327680:GFD327737 GOZ327680:GOZ327737 GYV327680:GYV327737 HIR327680:HIR327737 HSN327680:HSN327737 ICJ327680:ICJ327737 IMF327680:IMF327737 IWB327680:IWB327737 JFX327680:JFX327737 JPT327680:JPT327737 JZP327680:JZP327737 KJL327680:KJL327737 KTH327680:KTH327737 LDD327680:LDD327737 LMZ327680:LMZ327737 LWV327680:LWV327737 MGR327680:MGR327737 MQN327680:MQN327737 NAJ327680:NAJ327737 NKF327680:NKF327737 NUB327680:NUB327737 ODX327680:ODX327737 ONT327680:ONT327737 OXP327680:OXP327737 PHL327680:PHL327737 PRH327680:PRH327737 QBD327680:QBD327737 QKZ327680:QKZ327737 QUV327680:QUV327737 RER327680:RER327737 RON327680:RON327737 RYJ327680:RYJ327737 SIF327680:SIF327737 SSB327680:SSB327737 TBX327680:TBX327737 TLT327680:TLT327737 TVP327680:TVP327737 UFL327680:UFL327737 UPH327680:UPH327737 UZD327680:UZD327737 VIZ327680:VIZ327737 VSV327680:VSV327737 WCR327680:WCR327737 WMN327680:WMN327737 WWJ327680:WWJ327737 G393216:G393273 JX393216:JX393273 TT393216:TT393273 ADP393216:ADP393273 ANL393216:ANL393273 AXH393216:AXH393273 BHD393216:BHD393273 BQZ393216:BQZ393273 CAV393216:CAV393273 CKR393216:CKR393273 CUN393216:CUN393273 DEJ393216:DEJ393273 DOF393216:DOF393273 DYB393216:DYB393273 EHX393216:EHX393273 ERT393216:ERT393273 FBP393216:FBP393273 FLL393216:FLL393273 FVH393216:FVH393273 GFD393216:GFD393273 GOZ393216:GOZ393273 GYV393216:GYV393273 HIR393216:HIR393273 HSN393216:HSN393273 ICJ393216:ICJ393273 IMF393216:IMF393273 IWB393216:IWB393273 JFX393216:JFX393273 JPT393216:JPT393273 JZP393216:JZP393273 KJL393216:KJL393273 KTH393216:KTH393273 LDD393216:LDD393273 LMZ393216:LMZ393273 LWV393216:LWV393273 MGR393216:MGR393273 MQN393216:MQN393273 NAJ393216:NAJ393273 NKF393216:NKF393273 NUB393216:NUB393273 ODX393216:ODX393273 ONT393216:ONT393273 OXP393216:OXP393273 PHL393216:PHL393273 PRH393216:PRH393273 QBD393216:QBD393273 QKZ393216:QKZ393273 QUV393216:QUV393273 RER393216:RER393273 RON393216:RON393273 RYJ393216:RYJ393273 SIF393216:SIF393273 SSB393216:SSB393273 TBX393216:TBX393273 TLT393216:TLT393273 TVP393216:TVP393273 UFL393216:UFL393273 UPH393216:UPH393273 UZD393216:UZD393273 VIZ393216:VIZ393273 VSV393216:VSV393273 WCR393216:WCR393273 WMN393216:WMN393273 WWJ393216:WWJ393273 G458752:G458809 JX458752:JX458809 TT458752:TT458809 ADP458752:ADP458809 ANL458752:ANL458809 AXH458752:AXH458809 BHD458752:BHD458809 BQZ458752:BQZ458809 CAV458752:CAV458809 CKR458752:CKR458809 CUN458752:CUN458809 DEJ458752:DEJ458809 DOF458752:DOF458809 DYB458752:DYB458809 EHX458752:EHX458809 ERT458752:ERT458809 FBP458752:FBP458809 FLL458752:FLL458809 FVH458752:FVH458809 GFD458752:GFD458809 GOZ458752:GOZ458809 GYV458752:GYV458809 HIR458752:HIR458809 HSN458752:HSN458809 ICJ458752:ICJ458809 IMF458752:IMF458809 IWB458752:IWB458809 JFX458752:JFX458809 JPT458752:JPT458809 JZP458752:JZP458809 KJL458752:KJL458809 KTH458752:KTH458809 LDD458752:LDD458809 LMZ458752:LMZ458809 LWV458752:LWV458809 MGR458752:MGR458809 MQN458752:MQN458809 NAJ458752:NAJ458809 NKF458752:NKF458809 NUB458752:NUB458809 ODX458752:ODX458809 ONT458752:ONT458809 OXP458752:OXP458809 PHL458752:PHL458809 PRH458752:PRH458809 QBD458752:QBD458809 QKZ458752:QKZ458809 QUV458752:QUV458809 RER458752:RER458809 RON458752:RON458809 RYJ458752:RYJ458809 SIF458752:SIF458809 SSB458752:SSB458809 TBX458752:TBX458809 TLT458752:TLT458809 TVP458752:TVP458809 UFL458752:UFL458809 UPH458752:UPH458809 UZD458752:UZD458809 VIZ458752:VIZ458809 VSV458752:VSV458809 WCR458752:WCR458809 WMN458752:WMN458809 WWJ458752:WWJ458809 G524288:G524345 JX524288:JX524345 TT524288:TT524345 ADP524288:ADP524345 ANL524288:ANL524345 AXH524288:AXH524345 BHD524288:BHD524345 BQZ524288:BQZ524345 CAV524288:CAV524345 CKR524288:CKR524345 CUN524288:CUN524345 DEJ524288:DEJ524345 DOF524288:DOF524345 DYB524288:DYB524345 EHX524288:EHX524345 ERT524288:ERT524345 FBP524288:FBP524345 FLL524288:FLL524345 FVH524288:FVH524345 GFD524288:GFD524345 GOZ524288:GOZ524345 GYV524288:GYV524345 HIR524288:HIR524345 HSN524288:HSN524345 ICJ524288:ICJ524345 IMF524288:IMF524345 IWB524288:IWB524345 JFX524288:JFX524345 JPT524288:JPT524345 JZP524288:JZP524345 KJL524288:KJL524345 KTH524288:KTH524345 LDD524288:LDD524345 LMZ524288:LMZ524345 LWV524288:LWV524345 MGR524288:MGR524345 MQN524288:MQN524345 NAJ524288:NAJ524345 NKF524288:NKF524345 NUB524288:NUB524345 ODX524288:ODX524345 ONT524288:ONT524345 OXP524288:OXP524345 PHL524288:PHL524345 PRH524288:PRH524345 QBD524288:QBD524345 QKZ524288:QKZ524345 QUV524288:QUV524345 RER524288:RER524345 RON524288:RON524345 RYJ524288:RYJ524345 SIF524288:SIF524345 SSB524288:SSB524345 TBX524288:TBX524345 TLT524288:TLT524345 TVP524288:TVP524345 UFL524288:UFL524345 UPH524288:UPH524345 UZD524288:UZD524345 VIZ524288:VIZ524345 VSV524288:VSV524345 WCR524288:WCR524345 WMN524288:WMN524345 WWJ524288:WWJ524345 G589824:G589881 JX589824:JX589881 TT589824:TT589881 ADP589824:ADP589881 ANL589824:ANL589881 AXH589824:AXH589881 BHD589824:BHD589881 BQZ589824:BQZ589881 CAV589824:CAV589881 CKR589824:CKR589881 CUN589824:CUN589881 DEJ589824:DEJ589881 DOF589824:DOF589881 DYB589824:DYB589881 EHX589824:EHX589881 ERT589824:ERT589881 FBP589824:FBP589881 FLL589824:FLL589881 FVH589824:FVH589881 GFD589824:GFD589881 GOZ589824:GOZ589881 GYV589824:GYV589881 HIR589824:HIR589881 HSN589824:HSN589881 ICJ589824:ICJ589881 IMF589824:IMF589881 IWB589824:IWB589881 JFX589824:JFX589881 JPT589824:JPT589881 JZP589824:JZP589881 KJL589824:KJL589881 KTH589824:KTH589881 LDD589824:LDD589881 LMZ589824:LMZ589881 LWV589824:LWV589881 MGR589824:MGR589881 MQN589824:MQN589881 NAJ589824:NAJ589881 NKF589824:NKF589881 NUB589824:NUB589881 ODX589824:ODX589881 ONT589824:ONT589881 OXP589824:OXP589881 PHL589824:PHL589881 PRH589824:PRH589881 QBD589824:QBD589881 QKZ589824:QKZ589881 QUV589824:QUV589881 RER589824:RER589881 RON589824:RON589881 RYJ589824:RYJ589881 SIF589824:SIF589881 SSB589824:SSB589881 TBX589824:TBX589881 TLT589824:TLT589881 TVP589824:TVP589881 UFL589824:UFL589881 UPH589824:UPH589881 UZD589824:UZD589881 VIZ589824:VIZ589881 VSV589824:VSV589881 WCR589824:WCR589881 WMN589824:WMN589881 WWJ589824:WWJ589881 G655360:G655417 JX655360:JX655417 TT655360:TT655417 ADP655360:ADP655417 ANL655360:ANL655417 AXH655360:AXH655417 BHD655360:BHD655417 BQZ655360:BQZ655417 CAV655360:CAV655417 CKR655360:CKR655417 CUN655360:CUN655417 DEJ655360:DEJ655417 DOF655360:DOF655417 DYB655360:DYB655417 EHX655360:EHX655417 ERT655360:ERT655417 FBP655360:FBP655417 FLL655360:FLL655417 FVH655360:FVH655417 GFD655360:GFD655417 GOZ655360:GOZ655417 GYV655360:GYV655417 HIR655360:HIR655417 HSN655360:HSN655417 ICJ655360:ICJ655417 IMF655360:IMF655417 IWB655360:IWB655417 JFX655360:JFX655417 JPT655360:JPT655417 JZP655360:JZP655417 KJL655360:KJL655417 KTH655360:KTH655417 LDD655360:LDD655417 LMZ655360:LMZ655417 LWV655360:LWV655417 MGR655360:MGR655417 MQN655360:MQN655417 NAJ655360:NAJ655417 NKF655360:NKF655417 NUB655360:NUB655417 ODX655360:ODX655417 ONT655360:ONT655417 OXP655360:OXP655417 PHL655360:PHL655417 PRH655360:PRH655417 QBD655360:QBD655417 QKZ655360:QKZ655417 QUV655360:QUV655417 RER655360:RER655417 RON655360:RON655417 RYJ655360:RYJ655417 SIF655360:SIF655417 SSB655360:SSB655417 TBX655360:TBX655417 TLT655360:TLT655417 TVP655360:TVP655417 UFL655360:UFL655417 UPH655360:UPH655417 UZD655360:UZD655417 VIZ655360:VIZ655417 VSV655360:VSV655417 WCR655360:WCR655417 WMN655360:WMN655417 WWJ655360:WWJ655417 G720896:G720953 JX720896:JX720953 TT720896:TT720953 ADP720896:ADP720953 ANL720896:ANL720953 AXH720896:AXH720953 BHD720896:BHD720953 BQZ720896:BQZ720953 CAV720896:CAV720953 CKR720896:CKR720953 CUN720896:CUN720953 DEJ720896:DEJ720953 DOF720896:DOF720953 DYB720896:DYB720953 EHX720896:EHX720953 ERT720896:ERT720953 FBP720896:FBP720953 FLL720896:FLL720953 FVH720896:FVH720953 GFD720896:GFD720953 GOZ720896:GOZ720953 GYV720896:GYV720953 HIR720896:HIR720953 HSN720896:HSN720953 ICJ720896:ICJ720953 IMF720896:IMF720953 IWB720896:IWB720953 JFX720896:JFX720953 JPT720896:JPT720953 JZP720896:JZP720953 KJL720896:KJL720953 KTH720896:KTH720953 LDD720896:LDD720953 LMZ720896:LMZ720953 LWV720896:LWV720953 MGR720896:MGR720953 MQN720896:MQN720953 NAJ720896:NAJ720953 NKF720896:NKF720953 NUB720896:NUB720953 ODX720896:ODX720953 ONT720896:ONT720953 OXP720896:OXP720953 PHL720896:PHL720953 PRH720896:PRH720953 QBD720896:QBD720953 QKZ720896:QKZ720953 QUV720896:QUV720953 RER720896:RER720953 RON720896:RON720953 RYJ720896:RYJ720953 SIF720896:SIF720953 SSB720896:SSB720953 TBX720896:TBX720953 TLT720896:TLT720953 TVP720896:TVP720953 UFL720896:UFL720953 UPH720896:UPH720953 UZD720896:UZD720953 VIZ720896:VIZ720953 VSV720896:VSV720953 WCR720896:WCR720953 WMN720896:WMN720953 WWJ720896:WWJ720953 G786432:G786489 JX786432:JX786489 TT786432:TT786489 ADP786432:ADP786489 ANL786432:ANL786489 AXH786432:AXH786489 BHD786432:BHD786489 BQZ786432:BQZ786489 CAV786432:CAV786489 CKR786432:CKR786489 CUN786432:CUN786489 DEJ786432:DEJ786489 DOF786432:DOF786489 DYB786432:DYB786489 EHX786432:EHX786489 ERT786432:ERT786489 FBP786432:FBP786489 FLL786432:FLL786489 FVH786432:FVH786489 GFD786432:GFD786489 GOZ786432:GOZ786489 GYV786432:GYV786489 HIR786432:HIR786489 HSN786432:HSN786489 ICJ786432:ICJ786489 IMF786432:IMF786489 IWB786432:IWB786489 JFX786432:JFX786489 JPT786432:JPT786489 JZP786432:JZP786489 KJL786432:KJL786489 KTH786432:KTH786489 LDD786432:LDD786489 LMZ786432:LMZ786489 LWV786432:LWV786489 MGR786432:MGR786489 MQN786432:MQN786489 NAJ786432:NAJ786489 NKF786432:NKF786489 NUB786432:NUB786489 ODX786432:ODX786489 ONT786432:ONT786489 OXP786432:OXP786489 PHL786432:PHL786489 PRH786432:PRH786489 QBD786432:QBD786489 QKZ786432:QKZ786489 QUV786432:QUV786489 RER786432:RER786489 RON786432:RON786489 RYJ786432:RYJ786489 SIF786432:SIF786489 SSB786432:SSB786489 TBX786432:TBX786489 TLT786432:TLT786489 TVP786432:TVP786489 UFL786432:UFL786489 UPH786432:UPH786489 UZD786432:UZD786489 VIZ786432:VIZ786489 VSV786432:VSV786489 WCR786432:WCR786489 WMN786432:WMN786489 WWJ786432:WWJ786489 G851968:G852025 JX851968:JX852025 TT851968:TT852025 ADP851968:ADP852025 ANL851968:ANL852025 AXH851968:AXH852025 BHD851968:BHD852025 BQZ851968:BQZ852025 CAV851968:CAV852025 CKR851968:CKR852025 CUN851968:CUN852025 DEJ851968:DEJ852025 DOF851968:DOF852025 DYB851968:DYB852025 EHX851968:EHX852025 ERT851968:ERT852025 FBP851968:FBP852025 FLL851968:FLL852025 FVH851968:FVH852025 GFD851968:GFD852025 GOZ851968:GOZ852025 GYV851968:GYV852025 HIR851968:HIR852025 HSN851968:HSN852025 ICJ851968:ICJ852025 IMF851968:IMF852025 IWB851968:IWB852025 JFX851968:JFX852025 JPT851968:JPT852025 JZP851968:JZP852025 KJL851968:KJL852025 KTH851968:KTH852025 LDD851968:LDD852025 LMZ851968:LMZ852025 LWV851968:LWV852025 MGR851968:MGR852025 MQN851968:MQN852025 NAJ851968:NAJ852025 NKF851968:NKF852025 NUB851968:NUB852025 ODX851968:ODX852025 ONT851968:ONT852025 OXP851968:OXP852025 PHL851968:PHL852025 PRH851968:PRH852025 QBD851968:QBD852025 QKZ851968:QKZ852025 QUV851968:QUV852025 RER851968:RER852025 RON851968:RON852025 RYJ851968:RYJ852025 SIF851968:SIF852025 SSB851968:SSB852025 TBX851968:TBX852025 TLT851968:TLT852025 TVP851968:TVP852025 UFL851968:UFL852025 UPH851968:UPH852025 UZD851968:UZD852025 VIZ851968:VIZ852025 VSV851968:VSV852025 WCR851968:WCR852025 WMN851968:WMN852025 WWJ851968:WWJ852025 G917504:G917561 JX917504:JX917561 TT917504:TT917561 ADP917504:ADP917561 ANL917504:ANL917561 AXH917504:AXH917561 BHD917504:BHD917561 BQZ917504:BQZ917561 CAV917504:CAV917561 CKR917504:CKR917561 CUN917504:CUN917561 DEJ917504:DEJ917561 DOF917504:DOF917561 DYB917504:DYB917561 EHX917504:EHX917561 ERT917504:ERT917561 FBP917504:FBP917561 FLL917504:FLL917561 FVH917504:FVH917561 GFD917504:GFD917561 GOZ917504:GOZ917561 GYV917504:GYV917561 HIR917504:HIR917561 HSN917504:HSN917561 ICJ917504:ICJ917561 IMF917504:IMF917561 IWB917504:IWB917561 JFX917504:JFX917561 JPT917504:JPT917561 JZP917504:JZP917561 KJL917504:KJL917561 KTH917504:KTH917561 LDD917504:LDD917561 LMZ917504:LMZ917561 LWV917504:LWV917561 MGR917504:MGR917561 MQN917504:MQN917561 NAJ917504:NAJ917561 NKF917504:NKF917561 NUB917504:NUB917561 ODX917504:ODX917561 ONT917504:ONT917561 OXP917504:OXP917561 PHL917504:PHL917561 PRH917504:PRH917561 QBD917504:QBD917561 QKZ917504:QKZ917561 QUV917504:QUV917561 RER917504:RER917561 RON917504:RON917561 RYJ917504:RYJ917561 SIF917504:SIF917561 SSB917504:SSB917561 TBX917504:TBX917561 TLT917504:TLT917561 TVP917504:TVP917561 UFL917504:UFL917561 UPH917504:UPH917561 UZD917504:UZD917561 VIZ917504:VIZ917561 VSV917504:VSV917561 WCR917504:WCR917561 WMN917504:WMN917561 WWJ917504:WWJ917561 G983040:G983097 JX983040:JX983097 TT983040:TT983097 ADP983040:ADP983097 ANL983040:ANL983097 AXH983040:AXH983097 BHD983040:BHD983097 BQZ983040:BQZ983097 CAV983040:CAV983097 CKR983040:CKR983097 CUN983040:CUN983097 DEJ983040:DEJ983097 DOF983040:DOF983097 DYB983040:DYB983097 EHX983040:EHX983097 ERT983040:ERT983097 FBP983040:FBP983097 FLL983040:FLL983097 FVH983040:FVH983097 GFD983040:GFD983097 GOZ983040:GOZ983097 GYV983040:GYV983097 HIR983040:HIR983097 HSN983040:HSN983097 ICJ983040:ICJ983097 IMF983040:IMF983097 IWB983040:IWB983097 JFX983040:JFX983097 JPT983040:JPT983097 JZP983040:JZP983097 KJL983040:KJL983097 KTH983040:KTH983097 LDD983040:LDD983097 LMZ983040:LMZ983097 LWV983040:LWV983097 MGR983040:MGR983097 MQN983040:MQN983097 NAJ983040:NAJ983097 NKF983040:NKF983097 NUB983040:NUB983097 ODX983040:ODX983097 ONT983040:ONT983097 OXP983040:OXP983097 PHL983040:PHL983097 PRH983040:PRH983097 QBD983040:QBD983097 QKZ983040:QKZ983097 QUV983040:QUV983097 RER983040:RER983097 RON983040:RON983097 RYJ983040:RYJ983097 SIF983040:SIF983097 SSB983040:SSB983097 TBX983040:TBX983097 TLT983040:TLT983097 TVP983040:TVP983097 UFL983040:UFL983097 UPH983040:UPH983097 UZD983040:UZD983097 VIZ983040:VIZ983097 VSV983040:VSV983097 WCR983040:WCR983097 WMN983040:WMN983097 WWJ983040:WWJ983097 G3:G57 WWK3:WWK57 WMO3:WMO57 WCS3:WCS57 VSW3:VSW57 VJA3:VJA57 UZE3:UZE57 UPI3:UPI57 UFM3:UFM57 TVQ3:TVQ57 TLU3:TLU57 TBY3:TBY57 SSC3:SSC57 SIG3:SIG57 RYK3:RYK57 ROO3:ROO57 RES3:RES57 QUW3:QUW57 QLA3:QLA57 QBE3:QBE57 PRI3:PRI57 PHM3:PHM57 OXQ3:OXQ57 ONU3:ONU57 ODY3:ODY57 NUC3:NUC57 NKG3:NKG57 NAK3:NAK57 MQO3:MQO57 MGS3:MGS57 LWW3:LWW57 LNA3:LNA57 LDE3:LDE57 KTI3:KTI57 KJM3:KJM57 JZQ3:JZQ57 JPU3:JPU57 JFY3:JFY57 IWC3:IWC57 IMG3:IMG57 ICK3:ICK57 HSO3:HSO57 HIS3:HIS57 GYW3:GYW57 GPA3:GPA57 GFE3:GFE57 FVI3:FVI57 FLM3:FLM57 FBQ3:FBQ57 ERU3:ERU57 EHY3:EHY57 DYC3:DYC57 DOG3:DOG57 DEK3:DEK57 CUO3:CUO57 CKS3:CKS57 CAW3:CAW57 BRA3:BRA57 BHE3:BHE57 AXI3:AXI57 ANM3:ANM57 ADQ3:ADQ57 TU3:TU57 JY3:JY57">
      <formula1>"IS,IR,"</formula1>
    </dataValidation>
    <dataValidation type="list" allowBlank="1" showInputMessage="1" showErrorMessage="1" sqref="D65536:D65593 JU65536:JU65593 TQ65536:TQ65593 ADM65536:ADM65593 ANI65536:ANI65593 AXE65536:AXE65593 BHA65536:BHA65593 BQW65536:BQW65593 CAS65536:CAS65593 CKO65536:CKO65593 CUK65536:CUK65593 DEG65536:DEG65593 DOC65536:DOC65593 DXY65536:DXY65593 EHU65536:EHU65593 ERQ65536:ERQ65593 FBM65536:FBM65593 FLI65536:FLI65593 FVE65536:FVE65593 GFA65536:GFA65593 GOW65536:GOW65593 GYS65536:GYS65593 HIO65536:HIO65593 HSK65536:HSK65593 ICG65536:ICG65593 IMC65536:IMC65593 IVY65536:IVY65593 JFU65536:JFU65593 JPQ65536:JPQ65593 JZM65536:JZM65593 KJI65536:KJI65593 KTE65536:KTE65593 LDA65536:LDA65593 LMW65536:LMW65593 LWS65536:LWS65593 MGO65536:MGO65593 MQK65536:MQK65593 NAG65536:NAG65593 NKC65536:NKC65593 NTY65536:NTY65593 ODU65536:ODU65593 ONQ65536:ONQ65593 OXM65536:OXM65593 PHI65536:PHI65593 PRE65536:PRE65593 QBA65536:QBA65593 QKW65536:QKW65593 QUS65536:QUS65593 REO65536:REO65593 ROK65536:ROK65593 RYG65536:RYG65593 SIC65536:SIC65593 SRY65536:SRY65593 TBU65536:TBU65593 TLQ65536:TLQ65593 TVM65536:TVM65593 UFI65536:UFI65593 UPE65536:UPE65593 UZA65536:UZA65593 VIW65536:VIW65593 VSS65536:VSS65593 WCO65536:WCO65593 WMK65536:WMK65593 WWG65536:WWG65593 D131072:D131129 JU131072:JU131129 TQ131072:TQ131129 ADM131072:ADM131129 ANI131072:ANI131129 AXE131072:AXE131129 BHA131072:BHA131129 BQW131072:BQW131129 CAS131072:CAS131129 CKO131072:CKO131129 CUK131072:CUK131129 DEG131072:DEG131129 DOC131072:DOC131129 DXY131072:DXY131129 EHU131072:EHU131129 ERQ131072:ERQ131129 FBM131072:FBM131129 FLI131072:FLI131129 FVE131072:FVE131129 GFA131072:GFA131129 GOW131072:GOW131129 GYS131072:GYS131129 HIO131072:HIO131129 HSK131072:HSK131129 ICG131072:ICG131129 IMC131072:IMC131129 IVY131072:IVY131129 JFU131072:JFU131129 JPQ131072:JPQ131129 JZM131072:JZM131129 KJI131072:KJI131129 KTE131072:KTE131129 LDA131072:LDA131129 LMW131072:LMW131129 LWS131072:LWS131129 MGO131072:MGO131129 MQK131072:MQK131129 NAG131072:NAG131129 NKC131072:NKC131129 NTY131072:NTY131129 ODU131072:ODU131129 ONQ131072:ONQ131129 OXM131072:OXM131129 PHI131072:PHI131129 PRE131072:PRE131129 QBA131072:QBA131129 QKW131072:QKW131129 QUS131072:QUS131129 REO131072:REO131129 ROK131072:ROK131129 RYG131072:RYG131129 SIC131072:SIC131129 SRY131072:SRY131129 TBU131072:TBU131129 TLQ131072:TLQ131129 TVM131072:TVM131129 UFI131072:UFI131129 UPE131072:UPE131129 UZA131072:UZA131129 VIW131072:VIW131129 VSS131072:VSS131129 WCO131072:WCO131129 WMK131072:WMK131129 WWG131072:WWG131129 D196608:D196665 JU196608:JU196665 TQ196608:TQ196665 ADM196608:ADM196665 ANI196608:ANI196665 AXE196608:AXE196665 BHA196608:BHA196665 BQW196608:BQW196665 CAS196608:CAS196665 CKO196608:CKO196665 CUK196608:CUK196665 DEG196608:DEG196665 DOC196608:DOC196665 DXY196608:DXY196665 EHU196608:EHU196665 ERQ196608:ERQ196665 FBM196608:FBM196665 FLI196608:FLI196665 FVE196608:FVE196665 GFA196608:GFA196665 GOW196608:GOW196665 GYS196608:GYS196665 HIO196608:HIO196665 HSK196608:HSK196665 ICG196608:ICG196665 IMC196608:IMC196665 IVY196608:IVY196665 JFU196608:JFU196665 JPQ196608:JPQ196665 JZM196608:JZM196665 KJI196608:KJI196665 KTE196608:KTE196665 LDA196608:LDA196665 LMW196608:LMW196665 LWS196608:LWS196665 MGO196608:MGO196665 MQK196608:MQK196665 NAG196608:NAG196665 NKC196608:NKC196665 NTY196608:NTY196665 ODU196608:ODU196665 ONQ196608:ONQ196665 OXM196608:OXM196665 PHI196608:PHI196665 PRE196608:PRE196665 QBA196608:QBA196665 QKW196608:QKW196665 QUS196608:QUS196665 REO196608:REO196665 ROK196608:ROK196665 RYG196608:RYG196665 SIC196608:SIC196665 SRY196608:SRY196665 TBU196608:TBU196665 TLQ196608:TLQ196665 TVM196608:TVM196665 UFI196608:UFI196665 UPE196608:UPE196665 UZA196608:UZA196665 VIW196608:VIW196665 VSS196608:VSS196665 WCO196608:WCO196665 WMK196608:WMK196665 WWG196608:WWG196665 D262144:D262201 JU262144:JU262201 TQ262144:TQ262201 ADM262144:ADM262201 ANI262144:ANI262201 AXE262144:AXE262201 BHA262144:BHA262201 BQW262144:BQW262201 CAS262144:CAS262201 CKO262144:CKO262201 CUK262144:CUK262201 DEG262144:DEG262201 DOC262144:DOC262201 DXY262144:DXY262201 EHU262144:EHU262201 ERQ262144:ERQ262201 FBM262144:FBM262201 FLI262144:FLI262201 FVE262144:FVE262201 GFA262144:GFA262201 GOW262144:GOW262201 GYS262144:GYS262201 HIO262144:HIO262201 HSK262144:HSK262201 ICG262144:ICG262201 IMC262144:IMC262201 IVY262144:IVY262201 JFU262144:JFU262201 JPQ262144:JPQ262201 JZM262144:JZM262201 KJI262144:KJI262201 KTE262144:KTE262201 LDA262144:LDA262201 LMW262144:LMW262201 LWS262144:LWS262201 MGO262144:MGO262201 MQK262144:MQK262201 NAG262144:NAG262201 NKC262144:NKC262201 NTY262144:NTY262201 ODU262144:ODU262201 ONQ262144:ONQ262201 OXM262144:OXM262201 PHI262144:PHI262201 PRE262144:PRE262201 QBA262144:QBA262201 QKW262144:QKW262201 QUS262144:QUS262201 REO262144:REO262201 ROK262144:ROK262201 RYG262144:RYG262201 SIC262144:SIC262201 SRY262144:SRY262201 TBU262144:TBU262201 TLQ262144:TLQ262201 TVM262144:TVM262201 UFI262144:UFI262201 UPE262144:UPE262201 UZA262144:UZA262201 VIW262144:VIW262201 VSS262144:VSS262201 WCO262144:WCO262201 WMK262144:WMK262201 WWG262144:WWG262201 D327680:D327737 JU327680:JU327737 TQ327680:TQ327737 ADM327680:ADM327737 ANI327680:ANI327737 AXE327680:AXE327737 BHA327680:BHA327737 BQW327680:BQW327737 CAS327680:CAS327737 CKO327680:CKO327737 CUK327680:CUK327737 DEG327680:DEG327737 DOC327680:DOC327737 DXY327680:DXY327737 EHU327680:EHU327737 ERQ327680:ERQ327737 FBM327680:FBM327737 FLI327680:FLI327737 FVE327680:FVE327737 GFA327680:GFA327737 GOW327680:GOW327737 GYS327680:GYS327737 HIO327680:HIO327737 HSK327680:HSK327737 ICG327680:ICG327737 IMC327680:IMC327737 IVY327680:IVY327737 JFU327680:JFU327737 JPQ327680:JPQ327737 JZM327680:JZM327737 KJI327680:KJI327737 KTE327680:KTE327737 LDA327680:LDA327737 LMW327680:LMW327737 LWS327680:LWS327737 MGO327680:MGO327737 MQK327680:MQK327737 NAG327680:NAG327737 NKC327680:NKC327737 NTY327680:NTY327737 ODU327680:ODU327737 ONQ327680:ONQ327737 OXM327680:OXM327737 PHI327680:PHI327737 PRE327680:PRE327737 QBA327680:QBA327737 QKW327680:QKW327737 QUS327680:QUS327737 REO327680:REO327737 ROK327680:ROK327737 RYG327680:RYG327737 SIC327680:SIC327737 SRY327680:SRY327737 TBU327680:TBU327737 TLQ327680:TLQ327737 TVM327680:TVM327737 UFI327680:UFI327737 UPE327680:UPE327737 UZA327680:UZA327737 VIW327680:VIW327737 VSS327680:VSS327737 WCO327680:WCO327737 WMK327680:WMK327737 WWG327680:WWG327737 D393216:D393273 JU393216:JU393273 TQ393216:TQ393273 ADM393216:ADM393273 ANI393216:ANI393273 AXE393216:AXE393273 BHA393216:BHA393273 BQW393216:BQW393273 CAS393216:CAS393273 CKO393216:CKO393273 CUK393216:CUK393273 DEG393216:DEG393273 DOC393216:DOC393273 DXY393216:DXY393273 EHU393216:EHU393273 ERQ393216:ERQ393273 FBM393216:FBM393273 FLI393216:FLI393273 FVE393216:FVE393273 GFA393216:GFA393273 GOW393216:GOW393273 GYS393216:GYS393273 HIO393216:HIO393273 HSK393216:HSK393273 ICG393216:ICG393273 IMC393216:IMC393273 IVY393216:IVY393273 JFU393216:JFU393273 JPQ393216:JPQ393273 JZM393216:JZM393273 KJI393216:KJI393273 KTE393216:KTE393273 LDA393216:LDA393273 LMW393216:LMW393273 LWS393216:LWS393273 MGO393216:MGO393273 MQK393216:MQK393273 NAG393216:NAG393273 NKC393216:NKC393273 NTY393216:NTY393273 ODU393216:ODU393273 ONQ393216:ONQ393273 OXM393216:OXM393273 PHI393216:PHI393273 PRE393216:PRE393273 QBA393216:QBA393273 QKW393216:QKW393273 QUS393216:QUS393273 REO393216:REO393273 ROK393216:ROK393273 RYG393216:RYG393273 SIC393216:SIC393273 SRY393216:SRY393273 TBU393216:TBU393273 TLQ393216:TLQ393273 TVM393216:TVM393273 UFI393216:UFI393273 UPE393216:UPE393273 UZA393216:UZA393273 VIW393216:VIW393273 VSS393216:VSS393273 WCO393216:WCO393273 WMK393216:WMK393273 WWG393216:WWG393273 D458752:D458809 JU458752:JU458809 TQ458752:TQ458809 ADM458752:ADM458809 ANI458752:ANI458809 AXE458752:AXE458809 BHA458752:BHA458809 BQW458752:BQW458809 CAS458752:CAS458809 CKO458752:CKO458809 CUK458752:CUK458809 DEG458752:DEG458809 DOC458752:DOC458809 DXY458752:DXY458809 EHU458752:EHU458809 ERQ458752:ERQ458809 FBM458752:FBM458809 FLI458752:FLI458809 FVE458752:FVE458809 GFA458752:GFA458809 GOW458752:GOW458809 GYS458752:GYS458809 HIO458752:HIO458809 HSK458752:HSK458809 ICG458752:ICG458809 IMC458752:IMC458809 IVY458752:IVY458809 JFU458752:JFU458809 JPQ458752:JPQ458809 JZM458752:JZM458809 KJI458752:KJI458809 KTE458752:KTE458809 LDA458752:LDA458809 LMW458752:LMW458809 LWS458752:LWS458809 MGO458752:MGO458809 MQK458752:MQK458809 NAG458752:NAG458809 NKC458752:NKC458809 NTY458752:NTY458809 ODU458752:ODU458809 ONQ458752:ONQ458809 OXM458752:OXM458809 PHI458752:PHI458809 PRE458752:PRE458809 QBA458752:QBA458809 QKW458752:QKW458809 QUS458752:QUS458809 REO458752:REO458809 ROK458752:ROK458809 RYG458752:RYG458809 SIC458752:SIC458809 SRY458752:SRY458809 TBU458752:TBU458809 TLQ458752:TLQ458809 TVM458752:TVM458809 UFI458752:UFI458809 UPE458752:UPE458809 UZA458752:UZA458809 VIW458752:VIW458809 VSS458752:VSS458809 WCO458752:WCO458809 WMK458752:WMK458809 WWG458752:WWG458809 D524288:D524345 JU524288:JU524345 TQ524288:TQ524345 ADM524288:ADM524345 ANI524288:ANI524345 AXE524288:AXE524345 BHA524288:BHA524345 BQW524288:BQW524345 CAS524288:CAS524345 CKO524288:CKO524345 CUK524288:CUK524345 DEG524288:DEG524345 DOC524288:DOC524345 DXY524288:DXY524345 EHU524288:EHU524345 ERQ524288:ERQ524345 FBM524288:FBM524345 FLI524288:FLI524345 FVE524288:FVE524345 GFA524288:GFA524345 GOW524288:GOW524345 GYS524288:GYS524345 HIO524288:HIO524345 HSK524288:HSK524345 ICG524288:ICG524345 IMC524288:IMC524345 IVY524288:IVY524345 JFU524288:JFU524345 JPQ524288:JPQ524345 JZM524288:JZM524345 KJI524288:KJI524345 KTE524288:KTE524345 LDA524288:LDA524345 LMW524288:LMW524345 LWS524288:LWS524345 MGO524288:MGO524345 MQK524288:MQK524345 NAG524288:NAG524345 NKC524288:NKC524345 NTY524288:NTY524345 ODU524288:ODU524345 ONQ524288:ONQ524345 OXM524288:OXM524345 PHI524288:PHI524345 PRE524288:PRE524345 QBA524288:QBA524345 QKW524288:QKW524345 QUS524288:QUS524345 REO524288:REO524345 ROK524288:ROK524345 RYG524288:RYG524345 SIC524288:SIC524345 SRY524288:SRY524345 TBU524288:TBU524345 TLQ524288:TLQ524345 TVM524288:TVM524345 UFI524288:UFI524345 UPE524288:UPE524345 UZA524288:UZA524345 VIW524288:VIW524345 VSS524288:VSS524345 WCO524288:WCO524345 WMK524288:WMK524345 WWG524288:WWG524345 D589824:D589881 JU589824:JU589881 TQ589824:TQ589881 ADM589824:ADM589881 ANI589824:ANI589881 AXE589824:AXE589881 BHA589824:BHA589881 BQW589824:BQW589881 CAS589824:CAS589881 CKO589824:CKO589881 CUK589824:CUK589881 DEG589824:DEG589881 DOC589824:DOC589881 DXY589824:DXY589881 EHU589824:EHU589881 ERQ589824:ERQ589881 FBM589824:FBM589881 FLI589824:FLI589881 FVE589824:FVE589881 GFA589824:GFA589881 GOW589824:GOW589881 GYS589824:GYS589881 HIO589824:HIO589881 HSK589824:HSK589881 ICG589824:ICG589881 IMC589824:IMC589881 IVY589824:IVY589881 JFU589824:JFU589881 JPQ589824:JPQ589881 JZM589824:JZM589881 KJI589824:KJI589881 KTE589824:KTE589881 LDA589824:LDA589881 LMW589824:LMW589881 LWS589824:LWS589881 MGO589824:MGO589881 MQK589824:MQK589881 NAG589824:NAG589881 NKC589824:NKC589881 NTY589824:NTY589881 ODU589824:ODU589881 ONQ589824:ONQ589881 OXM589824:OXM589881 PHI589824:PHI589881 PRE589824:PRE589881 QBA589824:QBA589881 QKW589824:QKW589881 QUS589824:QUS589881 REO589824:REO589881 ROK589824:ROK589881 RYG589824:RYG589881 SIC589824:SIC589881 SRY589824:SRY589881 TBU589824:TBU589881 TLQ589824:TLQ589881 TVM589824:TVM589881 UFI589824:UFI589881 UPE589824:UPE589881 UZA589824:UZA589881 VIW589824:VIW589881 VSS589824:VSS589881 WCO589824:WCO589881 WMK589824:WMK589881 WWG589824:WWG589881 D655360:D655417 JU655360:JU655417 TQ655360:TQ655417 ADM655360:ADM655417 ANI655360:ANI655417 AXE655360:AXE655417 BHA655360:BHA655417 BQW655360:BQW655417 CAS655360:CAS655417 CKO655360:CKO655417 CUK655360:CUK655417 DEG655360:DEG655417 DOC655360:DOC655417 DXY655360:DXY655417 EHU655360:EHU655417 ERQ655360:ERQ655417 FBM655360:FBM655417 FLI655360:FLI655417 FVE655360:FVE655417 GFA655360:GFA655417 GOW655360:GOW655417 GYS655360:GYS655417 HIO655360:HIO655417 HSK655360:HSK655417 ICG655360:ICG655417 IMC655360:IMC655417 IVY655360:IVY655417 JFU655360:JFU655417 JPQ655360:JPQ655417 JZM655360:JZM655417 KJI655360:KJI655417 KTE655360:KTE655417 LDA655360:LDA655417 LMW655360:LMW655417 LWS655360:LWS655417 MGO655360:MGO655417 MQK655360:MQK655417 NAG655360:NAG655417 NKC655360:NKC655417 NTY655360:NTY655417 ODU655360:ODU655417 ONQ655360:ONQ655417 OXM655360:OXM655417 PHI655360:PHI655417 PRE655360:PRE655417 QBA655360:QBA655417 QKW655360:QKW655417 QUS655360:QUS655417 REO655360:REO655417 ROK655360:ROK655417 RYG655360:RYG655417 SIC655360:SIC655417 SRY655360:SRY655417 TBU655360:TBU655417 TLQ655360:TLQ655417 TVM655360:TVM655417 UFI655360:UFI655417 UPE655360:UPE655417 UZA655360:UZA655417 VIW655360:VIW655417 VSS655360:VSS655417 WCO655360:WCO655417 WMK655360:WMK655417 WWG655360:WWG655417 D720896:D720953 JU720896:JU720953 TQ720896:TQ720953 ADM720896:ADM720953 ANI720896:ANI720953 AXE720896:AXE720953 BHA720896:BHA720953 BQW720896:BQW720953 CAS720896:CAS720953 CKO720896:CKO720953 CUK720896:CUK720953 DEG720896:DEG720953 DOC720896:DOC720953 DXY720896:DXY720953 EHU720896:EHU720953 ERQ720896:ERQ720953 FBM720896:FBM720953 FLI720896:FLI720953 FVE720896:FVE720953 GFA720896:GFA720953 GOW720896:GOW720953 GYS720896:GYS720953 HIO720896:HIO720953 HSK720896:HSK720953 ICG720896:ICG720953 IMC720896:IMC720953 IVY720896:IVY720953 JFU720896:JFU720953 JPQ720896:JPQ720953 JZM720896:JZM720953 KJI720896:KJI720953 KTE720896:KTE720953 LDA720896:LDA720953 LMW720896:LMW720953 LWS720896:LWS720953 MGO720896:MGO720953 MQK720896:MQK720953 NAG720896:NAG720953 NKC720896:NKC720953 NTY720896:NTY720953 ODU720896:ODU720953 ONQ720896:ONQ720953 OXM720896:OXM720953 PHI720896:PHI720953 PRE720896:PRE720953 QBA720896:QBA720953 QKW720896:QKW720953 QUS720896:QUS720953 REO720896:REO720953 ROK720896:ROK720953 RYG720896:RYG720953 SIC720896:SIC720953 SRY720896:SRY720953 TBU720896:TBU720953 TLQ720896:TLQ720953 TVM720896:TVM720953 UFI720896:UFI720953 UPE720896:UPE720953 UZA720896:UZA720953 VIW720896:VIW720953 VSS720896:VSS720953 WCO720896:WCO720953 WMK720896:WMK720953 WWG720896:WWG720953 D786432:D786489 JU786432:JU786489 TQ786432:TQ786489 ADM786432:ADM786489 ANI786432:ANI786489 AXE786432:AXE786489 BHA786432:BHA786489 BQW786432:BQW786489 CAS786432:CAS786489 CKO786432:CKO786489 CUK786432:CUK786489 DEG786432:DEG786489 DOC786432:DOC786489 DXY786432:DXY786489 EHU786432:EHU786489 ERQ786432:ERQ786489 FBM786432:FBM786489 FLI786432:FLI786489 FVE786432:FVE786489 GFA786432:GFA786489 GOW786432:GOW786489 GYS786432:GYS786489 HIO786432:HIO786489 HSK786432:HSK786489 ICG786432:ICG786489 IMC786432:IMC786489 IVY786432:IVY786489 JFU786432:JFU786489 JPQ786432:JPQ786489 JZM786432:JZM786489 KJI786432:KJI786489 KTE786432:KTE786489 LDA786432:LDA786489 LMW786432:LMW786489 LWS786432:LWS786489 MGO786432:MGO786489 MQK786432:MQK786489 NAG786432:NAG786489 NKC786432:NKC786489 NTY786432:NTY786489 ODU786432:ODU786489 ONQ786432:ONQ786489 OXM786432:OXM786489 PHI786432:PHI786489 PRE786432:PRE786489 QBA786432:QBA786489 QKW786432:QKW786489 QUS786432:QUS786489 REO786432:REO786489 ROK786432:ROK786489 RYG786432:RYG786489 SIC786432:SIC786489 SRY786432:SRY786489 TBU786432:TBU786489 TLQ786432:TLQ786489 TVM786432:TVM786489 UFI786432:UFI786489 UPE786432:UPE786489 UZA786432:UZA786489 VIW786432:VIW786489 VSS786432:VSS786489 WCO786432:WCO786489 WMK786432:WMK786489 WWG786432:WWG786489 D851968:D852025 JU851968:JU852025 TQ851968:TQ852025 ADM851968:ADM852025 ANI851968:ANI852025 AXE851968:AXE852025 BHA851968:BHA852025 BQW851968:BQW852025 CAS851968:CAS852025 CKO851968:CKO852025 CUK851968:CUK852025 DEG851968:DEG852025 DOC851968:DOC852025 DXY851968:DXY852025 EHU851968:EHU852025 ERQ851968:ERQ852025 FBM851968:FBM852025 FLI851968:FLI852025 FVE851968:FVE852025 GFA851968:GFA852025 GOW851968:GOW852025 GYS851968:GYS852025 HIO851968:HIO852025 HSK851968:HSK852025 ICG851968:ICG852025 IMC851968:IMC852025 IVY851968:IVY852025 JFU851968:JFU852025 JPQ851968:JPQ852025 JZM851968:JZM852025 KJI851968:KJI852025 KTE851968:KTE852025 LDA851968:LDA852025 LMW851968:LMW852025 LWS851968:LWS852025 MGO851968:MGO852025 MQK851968:MQK852025 NAG851968:NAG852025 NKC851968:NKC852025 NTY851968:NTY852025 ODU851968:ODU852025 ONQ851968:ONQ852025 OXM851968:OXM852025 PHI851968:PHI852025 PRE851968:PRE852025 QBA851968:QBA852025 QKW851968:QKW852025 QUS851968:QUS852025 REO851968:REO852025 ROK851968:ROK852025 RYG851968:RYG852025 SIC851968:SIC852025 SRY851968:SRY852025 TBU851968:TBU852025 TLQ851968:TLQ852025 TVM851968:TVM852025 UFI851968:UFI852025 UPE851968:UPE852025 UZA851968:UZA852025 VIW851968:VIW852025 VSS851968:VSS852025 WCO851968:WCO852025 WMK851968:WMK852025 WWG851968:WWG852025 D917504:D917561 JU917504:JU917561 TQ917504:TQ917561 ADM917504:ADM917561 ANI917504:ANI917561 AXE917504:AXE917561 BHA917504:BHA917561 BQW917504:BQW917561 CAS917504:CAS917561 CKO917504:CKO917561 CUK917504:CUK917561 DEG917504:DEG917561 DOC917504:DOC917561 DXY917504:DXY917561 EHU917504:EHU917561 ERQ917504:ERQ917561 FBM917504:FBM917561 FLI917504:FLI917561 FVE917504:FVE917561 GFA917504:GFA917561 GOW917504:GOW917561 GYS917504:GYS917561 HIO917504:HIO917561 HSK917504:HSK917561 ICG917504:ICG917561 IMC917504:IMC917561 IVY917504:IVY917561 JFU917504:JFU917561 JPQ917504:JPQ917561 JZM917504:JZM917561 KJI917504:KJI917561 KTE917504:KTE917561 LDA917504:LDA917561 LMW917504:LMW917561 LWS917504:LWS917561 MGO917504:MGO917561 MQK917504:MQK917561 NAG917504:NAG917561 NKC917504:NKC917561 NTY917504:NTY917561 ODU917504:ODU917561 ONQ917504:ONQ917561 OXM917504:OXM917561 PHI917504:PHI917561 PRE917504:PRE917561 QBA917504:QBA917561 QKW917504:QKW917561 QUS917504:QUS917561 REO917504:REO917561 ROK917504:ROK917561 RYG917504:RYG917561 SIC917504:SIC917561 SRY917504:SRY917561 TBU917504:TBU917561 TLQ917504:TLQ917561 TVM917504:TVM917561 UFI917504:UFI917561 UPE917504:UPE917561 UZA917504:UZA917561 VIW917504:VIW917561 VSS917504:VSS917561 WCO917504:WCO917561 WMK917504:WMK917561 WWG917504:WWG917561 D983040:D983097 JU983040:JU983097 TQ983040:TQ983097 ADM983040:ADM983097 ANI983040:ANI983097 AXE983040:AXE983097 BHA983040:BHA983097 BQW983040:BQW983097 CAS983040:CAS983097 CKO983040:CKO983097 CUK983040:CUK983097 DEG983040:DEG983097 DOC983040:DOC983097 DXY983040:DXY983097 EHU983040:EHU983097 ERQ983040:ERQ983097 FBM983040:FBM983097 FLI983040:FLI983097 FVE983040:FVE983097 GFA983040:GFA983097 GOW983040:GOW983097 GYS983040:GYS983097 HIO983040:HIO983097 HSK983040:HSK983097 ICG983040:ICG983097 IMC983040:IMC983097 IVY983040:IVY983097 JFU983040:JFU983097 JPQ983040:JPQ983097 JZM983040:JZM983097 KJI983040:KJI983097 KTE983040:KTE983097 LDA983040:LDA983097 LMW983040:LMW983097 LWS983040:LWS983097 MGO983040:MGO983097 MQK983040:MQK983097 NAG983040:NAG983097 NKC983040:NKC983097 NTY983040:NTY983097 ODU983040:ODU983097 ONQ983040:ONQ983097 OXM983040:OXM983097 PHI983040:PHI983097 PRE983040:PRE983097 QBA983040:QBA983097 QKW983040:QKW983097 QUS983040:QUS983097 REO983040:REO983097 ROK983040:ROK983097 RYG983040:RYG983097 SIC983040:SIC983097 SRY983040:SRY983097 TBU983040:TBU983097 TLQ983040:TLQ983097 TVM983040:TVM983097 UFI983040:UFI983097 UPE983040:UPE983097 UZA983040:UZA983097 VIW983040:VIW983097 VSS983040:VSS983097 WCO983040:WCO983097 WMK983040:WMK983097 WWG983040:WWG983097 WWH3:WWH57 WML3:WML57 WCP3:WCP57 VST3:VST57 VIX3:VIX57 UZB3:UZB57 UPF3:UPF57 UFJ3:UFJ57 TVN3:TVN57 TLR3:TLR57 TBV3:TBV57 SRZ3:SRZ57 SID3:SID57 RYH3:RYH57 ROL3:ROL57 REP3:REP57 QUT3:QUT57 QKX3:QKX57 QBB3:QBB57 PRF3:PRF57 PHJ3:PHJ57 OXN3:OXN57 ONR3:ONR57 ODV3:ODV57 NTZ3:NTZ57 NKD3:NKD57 NAH3:NAH57 MQL3:MQL57 MGP3:MGP57 LWT3:LWT57 LMX3:LMX57 LDB3:LDB57 KTF3:KTF57 KJJ3:KJJ57 JZN3:JZN57 JPR3:JPR57 JFV3:JFV57 IVZ3:IVZ57 IMD3:IMD57 ICH3:ICH57 HSL3:HSL57 HIP3:HIP57 GYT3:GYT57 GOX3:GOX57 GFB3:GFB57 FVF3:FVF57 FLJ3:FLJ57 FBN3:FBN57 ERR3:ERR57 EHV3:EHV57 DXZ3:DXZ57 DOD3:DOD57 DEH3:DEH57 CUL3:CUL57 CKP3:CKP57 CAT3:CAT57 BQX3:BQX57 BHB3:BHB57 AXF3:AXF57 ANJ3:ANJ57 ADN3:ADN57 TR3:TR57 JV3:JV57 D3:D57">
      <formula1>"ACS,AGRI,BNC,"</formula1>
    </dataValidation>
    <dataValidation type="list" allowBlank="1" showInputMessage="1" showErrorMessage="1" sqref="H3:H57">
      <formula1>"MENSUELLE,TRIMESTRIELLE,EXERCICE,ANNUELLE"</formula1>
    </dataValidation>
    <dataValidation type="list" allowBlank="1" showInputMessage="1" showErrorMessage="1" sqref="BI3:BK57">
      <formula1>"OUI,NON,N/C"</formula1>
    </dataValidation>
    <dataValidation type="list" allowBlank="1" showInputMessage="1" showErrorMessage="1" sqref="AN3:AN57">
      <formula1>"ABONNE COURT,ABONNE LONG"</formula1>
    </dataValidation>
    <dataValidation type="list" allowBlank="1" showInputMessage="1" showErrorMessage="1" sqref="P3:P57">
      <formula1>"OUI,NON,A TERMINER,A FAIRE"</formula1>
    </dataValidation>
    <dataValidation type="list" allowBlank="1" showInputMessage="1" showErrorMessage="1" sqref="BA3:BC57">
      <formula1>"X"</formula1>
    </dataValidation>
    <dataValidation type="list" allowBlank="1" showInputMessage="1" showErrorMessage="1" sqref="R3:R57">
      <formula1>"OUI,NON,A FAIRE,N/A"</formula1>
    </dataValidation>
    <dataValidation type="list" allowBlank="1" showInputMessage="1" showErrorMessage="1" sqref="AO3:AO57 Q3:Q57">
      <formula1>"OUI,NON"</formula1>
    </dataValidation>
    <dataValidation type="list" allowBlank="1" showInputMessage="1" showErrorMessage="1" sqref="O3:O57">
      <formula1>"COMPTABLE,CONSEILLER"</formula1>
    </dataValidation>
    <dataValidation type="list" allowBlank="1" showInputMessage="1" showErrorMessage="1" sqref="M3:N57">
      <formula1>"OUI,NON,A FAIRE"</formula1>
    </dataValidation>
    <dataValidation type="list" allowBlank="1" showInputMessage="1" showErrorMessage="1" sqref="AL3:AL57">
      <formula1>réponsesouinon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Paramètres!$K$4:$K$8</xm:f>
          </x14:formula1>
          <xm:sqref>AJ3:AJ57</xm:sqref>
        </x14:dataValidation>
        <x14:dataValidation type="list" allowBlank="1" showInputMessage="1" showErrorMessage="1">
          <x14:formula1>
            <xm:f>Paramètres!$O$6:$O$16</xm:f>
          </x14:formula1>
          <xm:sqref>AK3:AK57</xm:sqref>
        </x14:dataValidation>
        <x14:dataValidation type="list" allowBlank="1" showInputMessage="1" showErrorMessage="1">
          <x14:formula1>
            <xm:f>Paramètres!$O$4:$O$16</xm:f>
          </x14:formula1>
          <xm:sqref>BH3:BH57</xm:sqref>
        </x14:dataValidation>
        <x14:dataValidation type="list" allowBlank="1" showInputMessage="1" showErrorMessage="1">
          <x14:formula1>
            <xm:f>Paramètres!$N$4:$N$13</xm:f>
          </x14:formula1>
          <xm:sqref>BG3:BG57</xm:sqref>
        </x14:dataValidation>
        <x14:dataValidation type="list" allowBlank="1" showInputMessage="1" showErrorMessage="1">
          <x14:formula1>
            <xm:f>Paramètres!$J$4:$J$7</xm:f>
          </x14:formula1>
          <xm:sqref>AI3:AI57</xm:sqref>
        </x14:dataValidation>
        <x14:dataValidation type="list" allowBlank="1" showInputMessage="1" showErrorMessage="1">
          <x14:formula1>
            <xm:f>Paramètres!$F$4:$F$17</xm:f>
          </x14:formula1>
          <xm:sqref>F3:F49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</vt:i4>
      </vt:variant>
    </vt:vector>
  </HeadingPairs>
  <TitlesOfParts>
    <vt:vector size="25" baseType="lpstr">
      <vt:lpstr>Agence Stats Budget</vt:lpstr>
      <vt:lpstr>Agence Stats Visas</vt:lpstr>
      <vt:lpstr>Paramètres</vt:lpstr>
      <vt:lpstr>Menu</vt:lpstr>
      <vt:lpstr>DELPHINE</vt:lpstr>
      <vt:lpstr>FREDERIQUE</vt:lpstr>
      <vt:lpstr>AURELIE_T</vt:lpstr>
      <vt:lpstr>ERIC</vt:lpstr>
      <vt:lpstr>MARIE_PIERRE</vt:lpstr>
      <vt:lpstr>GUILLAUME</vt:lpstr>
      <vt:lpstr>SEBASTIEN</vt:lpstr>
      <vt:lpstr>AUTRE COMPTABLE</vt:lpstr>
      <vt:lpstr>agoasigneeouinonafairena</vt:lpstr>
      <vt:lpstr>crfaitparlecomptableouinon</vt:lpstr>
      <vt:lpstr>crouinonaterminerafaire</vt:lpstr>
      <vt:lpstr>listedossierdelphine</vt:lpstr>
      <vt:lpstr>N°_DOSSIERDELPHINE</vt:lpstr>
      <vt:lpstr>pcrouinonafaire</vt:lpstr>
      <vt:lpstr>prénomsaac</vt:lpstr>
      <vt:lpstr>prenomscomptables</vt:lpstr>
      <vt:lpstr>prenomsconseillers</vt:lpstr>
      <vt:lpstr>quicomptableconseiller</vt:lpstr>
      <vt:lpstr>ranosouinonafaire</vt:lpstr>
      <vt:lpstr>reconductionouinon</vt:lpstr>
      <vt:lpstr>réponsesouinon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cp:lastPrinted>2020-04-26T06:26:39Z</cp:lastPrinted>
  <dcterms:created xsi:type="dcterms:W3CDTF">2020-04-09T11:31:02Z</dcterms:created>
  <dcterms:modified xsi:type="dcterms:W3CDTF">2020-04-26T12:22:27Z</dcterms:modified>
</cp:coreProperties>
</file>