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externalLinks/externalLink10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6295" windowHeight="9255" activeTab="1"/>
  </bookViews>
  <sheets>
    <sheet name="Interimaire Juin  2017" sheetId="1" r:id="rId1"/>
    <sheet name="Feuille Horaires" sheetId="3" r:id="rId2"/>
    <sheet name="Feuil2" sheetId="7" r:id="rId3"/>
    <sheet name="Feuil4" sheetId="4" state="hidden" r:id="rId4"/>
    <sheet name="Feuil1" sheetId="5" state="hidden" r:id="rId5"/>
    <sheet name="Archives" sheetId="6" r:id="rId6"/>
  </sheets>
  <externalReferences>
    <externalReference r:id="rId7"/>
    <externalReference r:id="rId8"/>
    <externalReference r:id="rId9"/>
    <externalReference r:id="rId10"/>
    <externalReference r:id="rId11"/>
    <externalReference r:id="rId12"/>
    <externalReference r:id="rId13"/>
    <externalReference r:id="rId14"/>
    <externalReference r:id="rId15"/>
    <externalReference r:id="rId16"/>
  </externalReferences>
  <definedNames>
    <definedName name="_xlnm._FilterDatabase" localSheetId="1" hidden="1">'Feuille Horaires'!$A$8:$G$300</definedName>
    <definedName name="_xlnm._FilterDatabase" localSheetId="0" hidden="1">'Interimaire Juin  2017'!$A$14:$V$56</definedName>
    <definedName name="AAA">Feuil4!$C$1</definedName>
    <definedName name="AAN">#REF!</definedName>
    <definedName name="AmendDate">#REF!</definedName>
    <definedName name="AmendExplain">#REF!</definedName>
    <definedName name="AmendNetProjBen">#REF!</definedName>
    <definedName name="AN">#REF!</definedName>
    <definedName name="Ann">'[1]Facturation Mensuelle'!$A$1</definedName>
    <definedName name="Annee">#REF!</definedName>
    <definedName name="Année">#REF!</definedName>
    <definedName name="AppCBBDate">#REF!</definedName>
    <definedName name="AppCBBName">#REF!</definedName>
    <definedName name="AppCCorpSCName">#REF!</definedName>
    <definedName name="AppCDeployChpDate">#REF!</definedName>
    <definedName name="AppCDeployChpName">#REF!</definedName>
    <definedName name="AppCFinCcpName">#REF!</definedName>
    <definedName name="AppCFInChpDate">#REF!</definedName>
    <definedName name="AppCPODate">#REF!</definedName>
    <definedName name="AppCPOName">#REF!</definedName>
    <definedName name="AppCSCDate">#REF!</definedName>
    <definedName name="AppCSSADate">#REF!</definedName>
    <definedName name="AppCSSANAme">#REF!</definedName>
    <definedName name="AppDeployChpDate">#REF!</definedName>
    <definedName name="AppFinChpDate">#REF!</definedName>
    <definedName name="AppFinChpName">#REF!</definedName>
    <definedName name="AppProcOwnDate">#REF!</definedName>
    <definedName name="ApproveBBDate">#REF!</definedName>
    <definedName name="ApproveBBName">#REF!</definedName>
    <definedName name="ApproveProcOwner">#REF!</definedName>
    <definedName name="AppSSADate">#REF!</definedName>
    <definedName name="AppSSANAme">#REF!</definedName>
    <definedName name="BaselinePeriod">#REF!</definedName>
    <definedName name="BaseRevEbitMarginPct">#REF!</definedName>
    <definedName name="BaseRevPriceInc">#REF!</definedName>
    <definedName name="BaseRevVolInc">#REF!</definedName>
    <definedName name="BBeMail">#REF!</definedName>
    <definedName name="BBName">#REF!</definedName>
    <definedName name="BBPhone">#REF!</definedName>
    <definedName name="Cellule_agence">[2]Table!$B$6:$D$89</definedName>
    <definedName name="CFActM10Y1">#REF!</definedName>
    <definedName name="CFActM10Y2">#REF!</definedName>
    <definedName name="CFActM11Y1">#REF!</definedName>
    <definedName name="CFActM11Y2">#REF!</definedName>
    <definedName name="CFActM12Y1">#REF!</definedName>
    <definedName name="CFActM12Y2">#REF!</definedName>
    <definedName name="CFActM1Y1">#REF!</definedName>
    <definedName name="CFActM1Y2">#REF!</definedName>
    <definedName name="CFActM2Y1">#REF!</definedName>
    <definedName name="CFActM2Y2">#REF!</definedName>
    <definedName name="CFActM3Y1">#REF!</definedName>
    <definedName name="CFActM3Y2">#REF!</definedName>
    <definedName name="CFActM4Y1">#REF!</definedName>
    <definedName name="CFActM4Y2">#REF!</definedName>
    <definedName name="CFActM5Y1">#REF!</definedName>
    <definedName name="CFActM5Y2">#REF!</definedName>
    <definedName name="CFActM6Y1">#REF!</definedName>
    <definedName name="CFActM6Y2">#REF!</definedName>
    <definedName name="CFActM7Y1">#REF!</definedName>
    <definedName name="CFActM7Y2">#REF!</definedName>
    <definedName name="CFActM8Y1">#REF!</definedName>
    <definedName name="CFActM8Y2">#REF!</definedName>
    <definedName name="CFActM9Y1">#REF!</definedName>
    <definedName name="CFActM9Y2">#REF!</definedName>
    <definedName name="CFFcstM10Y1">#REF!</definedName>
    <definedName name="CFFcstM10Y2">#REF!</definedName>
    <definedName name="CFFcstM11Y1">#REF!</definedName>
    <definedName name="CFFcstM11Y2">#REF!</definedName>
    <definedName name="CFFcstM12Y1">#REF!</definedName>
    <definedName name="CFFcstM12Y2">#REF!</definedName>
    <definedName name="CFFcstM1Y1">#REF!</definedName>
    <definedName name="CFFcstM1Y2">#REF!</definedName>
    <definedName name="CFFcstM2Y1">#REF!</definedName>
    <definedName name="CFFcstM2Y2">#REF!</definedName>
    <definedName name="CFFcstM3Y1">#REF!</definedName>
    <definedName name="CFFcstM3Y2">#REF!</definedName>
    <definedName name="CFFcstM4Y1">#REF!</definedName>
    <definedName name="CFFcstM4Y2">#REF!</definedName>
    <definedName name="CFFcstM5Y1">#REF!</definedName>
    <definedName name="CFFcstM5Y2">#REF!</definedName>
    <definedName name="CFFcstM6Y1">#REF!</definedName>
    <definedName name="CFFcstM6Y2">#REF!</definedName>
    <definedName name="CFFcstM7Y1">#REF!</definedName>
    <definedName name="CFFcstM7Y2">#REF!</definedName>
    <definedName name="CFFcstM8Y1">#REF!</definedName>
    <definedName name="CFFcstM8Y2">#REF!</definedName>
    <definedName name="CFFcstM9Y1">#REF!</definedName>
    <definedName name="CFFcstM9Y2">#REF!</definedName>
    <definedName name="code_projet">[3]PROJET!$B$2</definedName>
    <definedName name="COGSActM10Y1">#REF!</definedName>
    <definedName name="COGSActM10Y2">#REF!</definedName>
    <definedName name="COGSActM11Y1">#REF!</definedName>
    <definedName name="COGSActM11Y2">#REF!</definedName>
    <definedName name="COGSActM12Y1">#REF!</definedName>
    <definedName name="COGSActM12Y2">#REF!</definedName>
    <definedName name="COGSActM1Y1">#REF!</definedName>
    <definedName name="COGSActM1Y2">#REF!</definedName>
    <definedName name="COGSActM2Y1">#REF!</definedName>
    <definedName name="COGSActM2Y2">#REF!</definedName>
    <definedName name="COGSActM3Y1">#REF!</definedName>
    <definedName name="COGSActM4Y1">#REF!</definedName>
    <definedName name="COGSActM4Y2">#REF!</definedName>
    <definedName name="COGSActM5Y1">#REF!</definedName>
    <definedName name="COGSActM5Y2">#REF!</definedName>
    <definedName name="COGSActM6Y1">#REF!</definedName>
    <definedName name="COGSActM6Y2">#REF!</definedName>
    <definedName name="COGSActM7Y1">#REF!</definedName>
    <definedName name="COGSActM7Y2">#REF!</definedName>
    <definedName name="COGSActM8Y1">#REF!</definedName>
    <definedName name="COGSActM8Y2">#REF!</definedName>
    <definedName name="COGSActM9Y1">#REF!</definedName>
    <definedName name="COGSActM9Y2">#REF!</definedName>
    <definedName name="COGSFcstM10Y1">#REF!</definedName>
    <definedName name="COGSFcstM10Y2">#REF!</definedName>
    <definedName name="COGSFcstM11Y1">#REF!</definedName>
    <definedName name="COGSFcstM11Y2">#REF!</definedName>
    <definedName name="COGSFcstM12Y1">#REF!</definedName>
    <definedName name="COGSFcstM12Y2">#REF!</definedName>
    <definedName name="COGSFcstM1Y1">#REF!</definedName>
    <definedName name="COGSFcstM1Y2">#REF!</definedName>
    <definedName name="COGSFcstM2Y1">#REF!</definedName>
    <definedName name="COGSFcstM2Y2">#REF!</definedName>
    <definedName name="COGSFcstM3Y1">#REF!</definedName>
    <definedName name="COGSFcstM3Y2">#REF!</definedName>
    <definedName name="COGSFcstM4Y1">#REF!</definedName>
    <definedName name="COGSFcstM4Y2">#REF!</definedName>
    <definedName name="COGSFcstM5Y1">#REF!</definedName>
    <definedName name="COGSFcstM5Y2">#REF!</definedName>
    <definedName name="COGSFcstM6Y1">#REF!</definedName>
    <definedName name="COGSFcstM6Y2">#REF!</definedName>
    <definedName name="COGSFcstM7Y1">#REF!</definedName>
    <definedName name="COGSFcstM7Y2">#REF!</definedName>
    <definedName name="COGSFcstM8Y1">#REF!</definedName>
    <definedName name="COGSFcstM8Y2">#REF!</definedName>
    <definedName name="COGSFcstM9Y1">#REF!</definedName>
    <definedName name="COGSFcstM9Y2">#REF!</definedName>
    <definedName name="CompletionDate">#REF!</definedName>
    <definedName name="CostM10ActY1">#REF!</definedName>
    <definedName name="CostM10ActY2">#REF!</definedName>
    <definedName name="CostM10Fcst">#REF!</definedName>
    <definedName name="CostM10FcstY2">#REF!</definedName>
    <definedName name="CostM11ActY1">#REF!</definedName>
    <definedName name="CostM11ActY2">#REF!</definedName>
    <definedName name="CostM11Fcst">#REF!</definedName>
    <definedName name="CostM11FcstY2">#REF!</definedName>
    <definedName name="CostM12ActY1">#REF!</definedName>
    <definedName name="CostM12ActY2">#REF!</definedName>
    <definedName name="CostM12Fcst">#REF!</definedName>
    <definedName name="CostM12FcstY2">#REF!</definedName>
    <definedName name="CostM1ActY1">#REF!</definedName>
    <definedName name="CostM1ActY2">#REF!</definedName>
    <definedName name="CostM1Fcst">#REF!</definedName>
    <definedName name="CostM1FcstY2">#REF!</definedName>
    <definedName name="CostM2ActY1">#REF!</definedName>
    <definedName name="CostM2ActY2">#REF!</definedName>
    <definedName name="CostM2Fcst">#REF!</definedName>
    <definedName name="CostM2FcstY2">#REF!</definedName>
    <definedName name="CostM3ActY1">#REF!</definedName>
    <definedName name="CostM3ActY2">#REF!</definedName>
    <definedName name="CostM3Fcst">#REF!</definedName>
    <definedName name="CostM3FcstY2">#REF!</definedName>
    <definedName name="CostM4ActY1">#REF!</definedName>
    <definedName name="CostM4ActY2">#REF!</definedName>
    <definedName name="CostM4Fcst">#REF!</definedName>
    <definedName name="CostM4FcstY2">#REF!</definedName>
    <definedName name="CostM5ActY1">#REF!</definedName>
    <definedName name="CostM5ActY2">#REF!</definedName>
    <definedName name="CostM5Fcst">#REF!</definedName>
    <definedName name="CostM5FcstY2">#REF!</definedName>
    <definedName name="CostM6ActY1">#REF!</definedName>
    <definedName name="CostM6ActY2">#REF!</definedName>
    <definedName name="CostM6Fcst">#REF!</definedName>
    <definedName name="CostM6FcstY2">#REF!</definedName>
    <definedName name="CostM7ActY1">#REF!</definedName>
    <definedName name="CostM7ActY2">#REF!</definedName>
    <definedName name="CostM7Fcst">#REF!</definedName>
    <definedName name="CostM7FcstY2">#REF!</definedName>
    <definedName name="CostM8ActY1">#REF!</definedName>
    <definedName name="CostM8ActY2">#REF!</definedName>
    <definedName name="CostM8Fcst">#REF!</definedName>
    <definedName name="CostM8FcstY2">#REF!</definedName>
    <definedName name="CostM9ActY1">#REF!</definedName>
    <definedName name="CostM9ActY2">#REF!</definedName>
    <definedName name="CostM9Fcst">#REF!</definedName>
    <definedName name="CostM9FcstY2">#REF!</definedName>
    <definedName name="CostY1">#REF!</definedName>
    <definedName name="CostY2">#REF!</definedName>
    <definedName name="CurrentStatus">#REF!</definedName>
    <definedName name="DateDebut">[1]Planning!$E$2</definedName>
    <definedName name="DateFin">[1]Planning!$E$3</definedName>
    <definedName name="DefectDefinition">#REF!</definedName>
    <definedName name="DeployChampNAme">#REF!</definedName>
    <definedName name="DeployChampPhone">#REF!</definedName>
    <definedName name="designation">[4]DONNEE!$E$1:$E$65536</definedName>
    <definedName name="DIAGRAMME_A_45">#REF!</definedName>
    <definedName name="DivLoc">#REF!</definedName>
    <definedName name="DLabActY1">#REF!</definedName>
    <definedName name="DLabActY2">#REF!</definedName>
    <definedName name="DLabBaseline">#REF!</definedName>
    <definedName name="DLabFcstY1">#REF!</definedName>
    <definedName name="DLabFcstY2">#REF!</definedName>
    <definedName name="données_facture">[5]Formulaire!$A$21:$E$51,[5]Formulaire!$G$13,[5]Formulaire!$G$15,[5]Formulaire!$G$16</definedName>
    <definedName name="E_mail">[6]Fournisseurs!#REF!</definedName>
    <definedName name="EBITCFY1">#REF!</definedName>
    <definedName name="EBITCFY2">#REF!</definedName>
    <definedName name="EBITCostY1">#REF!</definedName>
    <definedName name="EBITCostY2">#REF!</definedName>
    <definedName name="EBITRevY1">#REF!</definedName>
    <definedName name="EBITRevY2">#REF!</definedName>
    <definedName name="Fax">[6]Fournisseurs!#REF!</definedName>
    <definedName name="FinAlyeMail">#REF!</definedName>
    <definedName name="FinAlyName">#REF!</definedName>
    <definedName name="FinAlyPhone">#REF!</definedName>
    <definedName name="GainFinancier">#REF!</definedName>
    <definedName name="GainsFinanciers">#REF!</definedName>
    <definedName name="ITeMail">#REF!</definedName>
    <definedName name="ITName">#REF!</definedName>
    <definedName name="ITPhone">#REF!</definedName>
    <definedName name="JoursFerie">'[1]Jours Fériés'!$A$3:$A$15</definedName>
    <definedName name="Leverage">#REF!</definedName>
    <definedName name="MatActY1">#REF!</definedName>
    <definedName name="MatActY2">#REF!</definedName>
    <definedName name="MatBaseline">#REF!</definedName>
    <definedName name="MatFcstY1">#REF!</definedName>
    <definedName name="MatFcstY2">#REF!</definedName>
    <definedName name="Matricederisque">[7]Matrix!$B$4:$K$13</definedName>
    <definedName name="MBBeMail">#REF!</definedName>
    <definedName name="MBBName">#REF!</definedName>
    <definedName name="MBBPhone">#REF!</definedName>
    <definedName name="MostRecNetProjBen">#REF!</definedName>
    <definedName name="motif">'[8]Effectif Moyen.'!$V$9:$V$15</definedName>
    <definedName name="nature">'[8]Effectif Moyen.'!$W$9:$W$11</definedName>
    <definedName name="NextSteps">#REF!</definedName>
    <definedName name="nom_projet">[3]PROJET!$B$1</definedName>
    <definedName name="OthCostActM10Y1">#REF!</definedName>
    <definedName name="OthCostActM10Y2">#REF!</definedName>
    <definedName name="OthCostActM11Y1">#REF!</definedName>
    <definedName name="OthCostActM11Y2">#REF!</definedName>
    <definedName name="OthCostActM12Y1">#REF!</definedName>
    <definedName name="OthCostActM12Y2">#REF!</definedName>
    <definedName name="OthCostActM1Y1">#REF!</definedName>
    <definedName name="OthCostActM1Y2">#REF!</definedName>
    <definedName name="OthCostActM2Y1">#REF!</definedName>
    <definedName name="OthCostActM2Y2">#REF!</definedName>
    <definedName name="OthCostActM3Y1">#REF!</definedName>
    <definedName name="OthCostActM3Y2">#REF!</definedName>
    <definedName name="OthCostActM4Y1">#REF!</definedName>
    <definedName name="OthCostActM4Y2">#REF!</definedName>
    <definedName name="OthCostActM5Y1">#REF!</definedName>
    <definedName name="OthCostActM5Y2">#REF!</definedName>
    <definedName name="OthCostActM6Y1">#REF!</definedName>
    <definedName name="OthCostActM6Y2">#REF!</definedName>
    <definedName name="OthCostActM7Y1">#REF!</definedName>
    <definedName name="OthCostActM7Y2">#REF!</definedName>
    <definedName name="OthCostActM8Y1">#REF!</definedName>
    <definedName name="OthCostActM8Y2">#REF!</definedName>
    <definedName name="OthCostActM9Y1">#REF!</definedName>
    <definedName name="OthCostActM9Y2">#REF!</definedName>
    <definedName name="OthCostFcstM10Y1">#REF!</definedName>
    <definedName name="OthCostFcstM10Y2">#REF!</definedName>
    <definedName name="OthCostFcstM11Y1">#REF!</definedName>
    <definedName name="OthCostFcstM11Y2">#REF!</definedName>
    <definedName name="OthCostFcstM12Y1">#REF!</definedName>
    <definedName name="OthCostFcstM12Y2">#REF!</definedName>
    <definedName name="OthCostFcstM1Y1">#REF!</definedName>
    <definedName name="OthCostFcstM1Y2">#REF!</definedName>
    <definedName name="OthCostFcstM2Y1">#REF!</definedName>
    <definedName name="OthCostFcstM2Y2">#REF!</definedName>
    <definedName name="OthCostFcstM3Y1">#REF!</definedName>
    <definedName name="OthCostFcstM3Y2">#REF!</definedName>
    <definedName name="OthCostFcstM4Y1">#REF!</definedName>
    <definedName name="OthCostFcstM4Y2">#REF!</definedName>
    <definedName name="OthCostFcstM5Y1">#REF!</definedName>
    <definedName name="OthCostFcstM5Y2">#REF!</definedName>
    <definedName name="OthCostFcstM6Y1">#REF!</definedName>
    <definedName name="OthCostFcstM6Y2">#REF!</definedName>
    <definedName name="OthCostFcstM7Y1">#REF!</definedName>
    <definedName name="OthCostFcstM7Y2">#REF!</definedName>
    <definedName name="OthCostFcstM8Y1">#REF!</definedName>
    <definedName name="OthCostFcstM8Y2">#REF!</definedName>
    <definedName name="OthCostFcstM9Y1">#REF!</definedName>
    <definedName name="OthCostFcstM9Y2">#REF!</definedName>
    <definedName name="ouinon">[9]Table!$D$1:$D$2</definedName>
    <definedName name="OvhdActY1">#REF!</definedName>
    <definedName name="OvhdActY2">#REF!</definedName>
    <definedName name="OvhdBaseline">#REF!</definedName>
    <definedName name="OvhdFcstY1">#REF!</definedName>
    <definedName name="OvhdFcstY2">#REF!</definedName>
    <definedName name="PctEBITImpactBaseline">#REF!</definedName>
    <definedName name="ProbStmt">#REF!</definedName>
    <definedName name="ProcOwnereMail">#REF!</definedName>
    <definedName name="ProcOwnerName">#REF!</definedName>
    <definedName name="PRocOwnerPhone">#REF!</definedName>
    <definedName name="ProjBen">#REF!</definedName>
    <definedName name="ProjChampeMail">#REF!</definedName>
    <definedName name="ProjChampName">#REF!</definedName>
    <definedName name="ProjChampPhone">#REF!</definedName>
    <definedName name="ProjCompletionDate">#REF!</definedName>
    <definedName name="ProjCompletionMonth">#REF!</definedName>
    <definedName name="ProjCompletionYear">#REF!</definedName>
    <definedName name="ProjDefineDate">#REF!</definedName>
    <definedName name="ProjectPhase">#REF!</definedName>
    <definedName name="ProjMetric">#REF!</definedName>
    <definedName name="ProjName">#REF!</definedName>
    <definedName name="ProjNo">#REF!</definedName>
    <definedName name="ProjObj">#REF!</definedName>
    <definedName name="RecentAccomplishments">#REF!</definedName>
    <definedName name="RevEBITActM10Y1">#REF!</definedName>
    <definedName name="RevEBITActM10Y2">#REF!</definedName>
    <definedName name="RevEBITActM11Y1">#REF!</definedName>
    <definedName name="RevEBITActM11Y2">#REF!</definedName>
    <definedName name="RevEBITActM12Y1">#REF!</definedName>
    <definedName name="RevEBITActM12Y2">#REF!</definedName>
    <definedName name="RevEBITActM1Y1">#REF!</definedName>
    <definedName name="RevEBITActM1Y2">#REF!</definedName>
    <definedName name="RevEBITActM2Y1">#REF!</definedName>
    <definedName name="RevEBITActM2Y2">#REF!</definedName>
    <definedName name="RevEBITActM3Y1">#REF!</definedName>
    <definedName name="RevEBITActM3Y2">#REF!</definedName>
    <definedName name="RevEBITActM4Y1">#REF!</definedName>
    <definedName name="RevEBITActM4Y2">#REF!</definedName>
    <definedName name="RevEBITActM5Y1">#REF!</definedName>
    <definedName name="RevEBITActM5Y2">#REF!</definedName>
    <definedName name="RevEBITActM6Y1">#REF!</definedName>
    <definedName name="RevEBITActM6Y2">#REF!</definedName>
    <definedName name="RevEBITActM7Y1">#REF!</definedName>
    <definedName name="RevEBITActM7Y2">#REF!</definedName>
    <definedName name="RevEBITActM8Y1">#REF!</definedName>
    <definedName name="RevEBITActM8Y2">#REF!</definedName>
    <definedName name="RevEBITActM9Y1">#REF!</definedName>
    <definedName name="RevEBITActM9Y2">#REF!</definedName>
    <definedName name="RevEBITFcstM10Y1">#REF!</definedName>
    <definedName name="RevEBITFcstM10Y2">#REF!</definedName>
    <definedName name="RevEBITFcstM11Y1">#REF!</definedName>
    <definedName name="RevEBITFcstM11Y2">#REF!</definedName>
    <definedName name="RevEBITFcstM12Y1">#REF!</definedName>
    <definedName name="RevEBITFcstM12Y2">#REF!</definedName>
    <definedName name="RevEBITFcstM1Y1">#REF!</definedName>
    <definedName name="RevEBITFcstM1Y2">#REF!</definedName>
    <definedName name="RevEBITFcstM2Y1">#REF!</definedName>
    <definedName name="RevEBITFcstM2Y2">#REF!</definedName>
    <definedName name="RevEBITFcstM3Y1">#REF!</definedName>
    <definedName name="RevEBITFcstM3Y2">#REF!</definedName>
    <definedName name="RevEBITFcstM4Y1">#REF!</definedName>
    <definedName name="RevEBITFcstM4Y2">#REF!</definedName>
    <definedName name="RevEBITFcstM5Y1">#REF!</definedName>
    <definedName name="RevEBITFcstM5Y2">#REF!</definedName>
    <definedName name="RevEBITFcstM6Y1">#REF!</definedName>
    <definedName name="RevEBITFcstM6Y2">#REF!</definedName>
    <definedName name="RevEBITFcstM7Y1">#REF!</definedName>
    <definedName name="RevEBITFcstM7Y2">#REF!</definedName>
    <definedName name="RevEBITFcstM8Y1">#REF!</definedName>
    <definedName name="RevEBITFcstM8Y2">#REF!</definedName>
    <definedName name="RevEBITFcstM9Y1">#REF!</definedName>
    <definedName name="RevEBITFcstM9Y2">#REF!</definedName>
    <definedName name="RiskMatrix">[10]Matrix!$B$4:$K$13</definedName>
    <definedName name="RoadBlocks">#REF!</definedName>
    <definedName name="ROIActY1">#REF!</definedName>
    <definedName name="ROIActY2">#REF!</definedName>
    <definedName name="ROIFcstY1">#REF!</definedName>
    <definedName name="ROIFcstY2">#REF!</definedName>
    <definedName name="SalActM10Y1">#REF!</definedName>
    <definedName name="SalActM10Y2">#REF!</definedName>
    <definedName name="SalActM11Y1">#REF!</definedName>
    <definedName name="SalActM11Y2">#REF!</definedName>
    <definedName name="SalActM12Y1">#REF!</definedName>
    <definedName name="SalActM12Y2">#REF!</definedName>
    <definedName name="SalActM1Y1">#REF!</definedName>
    <definedName name="SalActM1Y2">#REF!</definedName>
    <definedName name="SalActM2Y1">#REF!</definedName>
    <definedName name="SalActM2Y2">#REF!</definedName>
    <definedName name="SalActM3Y1">#REF!</definedName>
    <definedName name="SalActM3Y2">#REF!</definedName>
    <definedName name="SalActM4Y1">#REF!</definedName>
    <definedName name="SalActM4Y2">#REF!</definedName>
    <definedName name="SalActM5Y1">#REF!</definedName>
    <definedName name="SalActM5Y2">#REF!</definedName>
    <definedName name="SalActM6Y1">#REF!</definedName>
    <definedName name="SalActM6Y2">#REF!</definedName>
    <definedName name="SalActM7Y1">#REF!</definedName>
    <definedName name="SalActM7Y2">#REF!</definedName>
    <definedName name="SalActM8Y1">#REF!</definedName>
    <definedName name="SalActM8Y2">#REF!</definedName>
    <definedName name="SalActM9Y1">#REF!</definedName>
    <definedName name="SalActM9Y2">#REF!</definedName>
    <definedName name="SalFcstM10Y1">#REF!</definedName>
    <definedName name="SalFcstM10Y2">#REF!</definedName>
    <definedName name="SalFcstM11Y1">#REF!</definedName>
    <definedName name="SalFcstM11Y2">#REF!</definedName>
    <definedName name="SalFcstM12Y1">#REF!</definedName>
    <definedName name="SalFcstM12Y2">#REF!</definedName>
    <definedName name="SalFcstM1Y1">#REF!</definedName>
    <definedName name="SalFcstM1Y2">#REF!</definedName>
    <definedName name="SalFcstM2Y1">#REF!</definedName>
    <definedName name="SalFcstM2Y2">#REF!</definedName>
    <definedName name="SalFcstM3Y1">#REF!</definedName>
    <definedName name="SalFcstM3Y2">#REF!</definedName>
    <definedName name="SalFcstM4Y1">#REF!</definedName>
    <definedName name="SalFcstM4Y2">#REF!</definedName>
    <definedName name="SalFcstM5Y1">#REF!</definedName>
    <definedName name="SalFcstM5Y2">#REF!</definedName>
    <definedName name="SalFcstM6Y1">#REF!</definedName>
    <definedName name="SalFcstM6Y2">#REF!</definedName>
    <definedName name="SalFcstM7Y1">#REF!</definedName>
    <definedName name="SalFcstM7Y2">#REF!</definedName>
    <definedName name="SalFcstM8Y1">#REF!</definedName>
    <definedName name="SalFcstM8Y2">#REF!</definedName>
    <definedName name="SalFcstM9Y1">#REF!</definedName>
    <definedName name="SalFcstM9Y2">#REF!</definedName>
    <definedName name="semaine">[9]Table!$A$1:$B$7</definedName>
    <definedName name="SERVICE">#REF!</definedName>
    <definedName name="SERVICES">#REF!</definedName>
    <definedName name="SERVISE">#REF!</definedName>
    <definedName name="sexe">'[8]Effectif Moyen.'!$U$9:$U$10</definedName>
    <definedName name="soustotal">#REF!</definedName>
    <definedName name="StartDate">#REF!</definedName>
    <definedName name="StatusDate">#REF!</definedName>
    <definedName name="StatusReportNAme">#REF!</definedName>
    <definedName name="statut">'[8]Effectif Moyen.'!$X$9:$X$12</definedName>
    <definedName name="TotABITACTY2M5">#REF!</definedName>
    <definedName name="total_charges">[3]PROJET!$B$4</definedName>
    <definedName name="TotCogsActY1">#REF!</definedName>
    <definedName name="TotCogsActY2">#REF!</definedName>
    <definedName name="TotCogsBaseline">#REF!</definedName>
    <definedName name="TotCogsFcstY1">#REF!</definedName>
    <definedName name="TotCogsFcstY2">#REF!</definedName>
    <definedName name="TotEBITACTY1M1">#REF!</definedName>
    <definedName name="TotEBITACTY1M10">#REF!</definedName>
    <definedName name="TotEBITACTY1M11">#REF!</definedName>
    <definedName name="TotEBITACTY1M2">#REF!</definedName>
    <definedName name="TotEBITACTY1M3">#REF!</definedName>
    <definedName name="TotEBITACTY1M4">#REF!</definedName>
    <definedName name="TotEBITACTY1M5">#REF!</definedName>
    <definedName name="TotEBITACTY1M6">#REF!</definedName>
    <definedName name="TotEBITACTY1M7">#REF!</definedName>
    <definedName name="TotEBITACTY1M8">#REF!</definedName>
    <definedName name="TotEBITACTY1M9">#REF!</definedName>
    <definedName name="TotEBITACTY1Tot">#REF!</definedName>
    <definedName name="TotEBITACTY2M1">#REF!</definedName>
    <definedName name="TotEBITACTY2M10">#REF!</definedName>
    <definedName name="TotEBITACTY2M11">#REF!</definedName>
    <definedName name="TotEBITACTY2M12">#REF!</definedName>
    <definedName name="TotEBITACTY2M2">#REF!</definedName>
    <definedName name="TotEBITACTY2M3">#REF!</definedName>
    <definedName name="TotEBITACTY2M4">#REF!</definedName>
    <definedName name="TotEBITACTY2M6">#REF!</definedName>
    <definedName name="TotEBITACTY2M7">#REF!</definedName>
    <definedName name="TotEBITACTY2M8">#REF!</definedName>
    <definedName name="TotEBITACTY2M9">#REF!</definedName>
    <definedName name="TotEBITACTY2Tot">#REF!</definedName>
    <definedName name="TotEBITCFActY1">#REF!</definedName>
    <definedName name="TotEBITCFActY2">#REF!</definedName>
    <definedName name="TotEBITCFBaseline">#REF!</definedName>
    <definedName name="TotEBITCFFCSTY1">#REF!</definedName>
    <definedName name="TotEBITCFFcstY2">#REF!</definedName>
    <definedName name="TotEBITFcstY1M1">#REF!</definedName>
    <definedName name="TotEBITFCSTY1M10">#REF!</definedName>
    <definedName name="TotEBITFCSTY1M11">#REF!</definedName>
    <definedName name="TotEBITFCSTY1M12">#REF!</definedName>
    <definedName name="TotEBITFcstY1M2">#REF!</definedName>
    <definedName name="TotEBITFcstY1M3">#REF!</definedName>
    <definedName name="TotEBITFCSTY1M4">#REF!</definedName>
    <definedName name="TotEBITFCSTY1M5">#REF!</definedName>
    <definedName name="TotEBITFCSTY1M6">#REF!</definedName>
    <definedName name="TotEBITFCSTY1M7">#REF!</definedName>
    <definedName name="TotEBITFCSTY1M8">#REF!</definedName>
    <definedName name="TotEBITFCSTY1M9">#REF!</definedName>
    <definedName name="TotEBITFCSTY1Tot">#REF!</definedName>
    <definedName name="TotEBITFCSTY2M1">#REF!</definedName>
    <definedName name="TotEBITFCSTY2M10">#REF!</definedName>
    <definedName name="TotEBITFCSTY2M11">#REF!</definedName>
    <definedName name="TotEBITFCSTY2M12">#REF!</definedName>
    <definedName name="TotEBITFCSTY2M2">#REF!</definedName>
    <definedName name="TotEBITFCSTY2M3">#REF!</definedName>
    <definedName name="TotEBITFCSTY2M4">#REF!</definedName>
    <definedName name="TotEBITFCSTY2M5">#REF!</definedName>
    <definedName name="TotEBITFCSTY2M6">#REF!</definedName>
    <definedName name="TotEBITFCSTY2M7">#REF!</definedName>
    <definedName name="TotEBITFCSTY2M8">#REF!</definedName>
    <definedName name="TotEBITFCSTY2M9">#REF!</definedName>
    <definedName name="TotEBITFCSTY2TOT">#REF!</definedName>
    <definedName name="TOTEBITY1">#REF!</definedName>
    <definedName name="TOTEBITY2">#REF!</definedName>
    <definedName name="TotOthCostActY1">#REF!</definedName>
    <definedName name="TotOthCostActY2">#REF!</definedName>
    <definedName name="TotOthCostFcstY2">#REF!</definedName>
    <definedName name="TotOtherCostBaseline">#REF!</definedName>
    <definedName name="TotOtherCostFcstY1">#REF!</definedName>
    <definedName name="TotProductivityActY1">#REF!</definedName>
    <definedName name="TotProductivityActY2">#REF!</definedName>
    <definedName name="TotProductivityBaseline">#REF!</definedName>
    <definedName name="TotProductivityFcstY1">#REF!</definedName>
    <definedName name="TotProductivityFcstY2">#REF!</definedName>
    <definedName name="TotProjCostAct1Y2">#REF!</definedName>
    <definedName name="TotProjCostActY1">#REF!</definedName>
    <definedName name="TotProjCostActY2">#REF!</definedName>
    <definedName name="TotProjCostFcstY1">#REF!</definedName>
    <definedName name="TotProjCostFcstY2">#REF!</definedName>
    <definedName name="TotRevActY1">#REF!</definedName>
    <definedName name="TotRevActY2">#REF!</definedName>
    <definedName name="TotRevBaseline">#REF!</definedName>
    <definedName name="TotRevEBITActY1">#REF!</definedName>
    <definedName name="TotRevEBITActY2">#REF!</definedName>
    <definedName name="TotRevEBITBaseline">#REF!</definedName>
    <definedName name="TotRevEBITFcstY1">#REF!</definedName>
    <definedName name="TotRevEBITFcstY2">#REF!</definedName>
    <definedName name="TotRevFcstY1">#REF!</definedName>
    <definedName name="TotRevFcstY2">#REF!</definedName>
    <definedName name="TotSalActY1">#REF!</definedName>
    <definedName name="TotSalActY2">#REF!</definedName>
    <definedName name="TotSalBaseline">#REF!</definedName>
    <definedName name="TotSalFcstY1">#REF!</definedName>
    <definedName name="TotSalFcstY2">#REF!</definedName>
    <definedName name="TtoEBITACTY1M12">#REF!</definedName>
    <definedName name="_xlnm.Print_Area" localSheetId="1">'Feuille Horaires'!$A$1:$AR$34</definedName>
  </definedNames>
  <calcPr calcId="152511"/>
</workbook>
</file>

<file path=xl/calcChain.xml><?xml version="1.0" encoding="utf-8"?>
<calcChain xmlns="http://schemas.openxmlformats.org/spreadsheetml/2006/main">
  <c r="C10" i="3" l="1"/>
  <c r="D10" i="3"/>
  <c r="E10" i="3" s="1"/>
  <c r="C11" i="3"/>
  <c r="D11" i="3"/>
  <c r="E11" i="3" s="1"/>
  <c r="C12" i="3"/>
  <c r="D12" i="3"/>
  <c r="E12" i="3" s="1"/>
  <c r="C13" i="3"/>
  <c r="D13" i="3"/>
  <c r="E13" i="3" s="1"/>
  <c r="C14" i="3"/>
  <c r="D14" i="3"/>
  <c r="E14" i="3" s="1"/>
  <c r="C15" i="3"/>
  <c r="D15" i="3"/>
  <c r="E15" i="3" s="1"/>
  <c r="C16" i="3"/>
  <c r="D16" i="3"/>
  <c r="E16" i="3" s="1"/>
  <c r="C17" i="3"/>
  <c r="D17" i="3"/>
  <c r="E17" i="3" s="1"/>
  <c r="C18" i="3"/>
  <c r="D18" i="3"/>
  <c r="E18" i="3" s="1"/>
  <c r="C19" i="3"/>
  <c r="D19" i="3"/>
  <c r="E19" i="3" s="1"/>
  <c r="C20" i="3"/>
  <c r="D20" i="3"/>
  <c r="E20" i="3" s="1"/>
  <c r="C21" i="3"/>
  <c r="D21" i="3"/>
  <c r="E21" i="3" s="1"/>
  <c r="C22" i="3"/>
  <c r="D22" i="3"/>
  <c r="E22" i="3" s="1"/>
  <c r="C23" i="3"/>
  <c r="D23" i="3"/>
  <c r="E23" i="3" s="1"/>
  <c r="C24" i="3"/>
  <c r="D24" i="3"/>
  <c r="E24" i="3" s="1"/>
  <c r="C25" i="3"/>
  <c r="D25" i="3"/>
  <c r="E25" i="3" s="1"/>
  <c r="C26" i="3"/>
  <c r="D26" i="3"/>
  <c r="E26" i="3" s="1"/>
  <c r="C27" i="3"/>
  <c r="D27" i="3"/>
  <c r="E27" i="3" s="1"/>
  <c r="C28" i="3"/>
  <c r="D28" i="3"/>
  <c r="E28" i="3" s="1"/>
  <c r="C29" i="3"/>
  <c r="D29" i="3"/>
  <c r="E29" i="3" s="1"/>
  <c r="C30" i="3"/>
  <c r="D30" i="3"/>
  <c r="E30" i="3" s="1"/>
  <c r="C31" i="3"/>
  <c r="D31" i="3"/>
  <c r="E31" i="3" s="1"/>
  <c r="C32" i="3"/>
  <c r="D32" i="3"/>
  <c r="E32" i="3" s="1"/>
  <c r="C33" i="3"/>
  <c r="D33" i="3"/>
  <c r="E33" i="3" s="1"/>
  <c r="C34" i="3"/>
  <c r="D34" i="3"/>
  <c r="E34" i="3" s="1"/>
  <c r="C35" i="3"/>
  <c r="D35" i="3"/>
  <c r="E35" i="3" s="1"/>
  <c r="C36" i="3"/>
  <c r="D36" i="3"/>
  <c r="E36" i="3" s="1"/>
  <c r="C37" i="3"/>
  <c r="D37" i="3"/>
  <c r="E37" i="3" s="1"/>
  <c r="C38" i="3"/>
  <c r="D38" i="3"/>
  <c r="E38" i="3" s="1"/>
  <c r="C39" i="3"/>
  <c r="D39" i="3"/>
  <c r="E39" i="3" s="1"/>
  <c r="C40" i="3"/>
  <c r="D40" i="3"/>
  <c r="E40" i="3" s="1"/>
  <c r="C41" i="3"/>
  <c r="D41" i="3"/>
  <c r="E41" i="3" s="1"/>
  <c r="C42" i="3"/>
  <c r="D42" i="3"/>
  <c r="E42" i="3" s="1"/>
  <c r="C43" i="3"/>
  <c r="D43" i="3"/>
  <c r="E43" i="3" s="1"/>
  <c r="C44" i="3"/>
  <c r="D44" i="3"/>
  <c r="E44" i="3" s="1"/>
  <c r="C45" i="3"/>
  <c r="D45" i="3"/>
  <c r="E45" i="3" s="1"/>
  <c r="C46" i="3"/>
  <c r="D46" i="3"/>
  <c r="E46" i="3" s="1"/>
  <c r="C47" i="3"/>
  <c r="D47" i="3"/>
  <c r="E47" i="3" s="1"/>
  <c r="C48" i="3"/>
  <c r="D48" i="3"/>
  <c r="E48" i="3" s="1"/>
  <c r="C49" i="3"/>
  <c r="D49" i="3"/>
  <c r="E49" i="3" s="1"/>
  <c r="C50" i="3"/>
  <c r="D50" i="3"/>
  <c r="E50" i="3" s="1"/>
  <c r="C51" i="3"/>
  <c r="D51" i="3"/>
  <c r="E51" i="3" s="1"/>
  <c r="C52" i="3"/>
  <c r="D52" i="3"/>
  <c r="E52" i="3" s="1"/>
  <c r="C53" i="3"/>
  <c r="D53" i="3"/>
  <c r="E53" i="3" s="1"/>
  <c r="C54" i="3"/>
  <c r="D54" i="3"/>
  <c r="E54" i="3" s="1"/>
  <c r="C55" i="3"/>
  <c r="D55" i="3"/>
  <c r="E55" i="3" s="1"/>
  <c r="C56" i="3"/>
  <c r="D56" i="3"/>
  <c r="E56" i="3" s="1"/>
  <c r="C57" i="3"/>
  <c r="D57" i="3"/>
  <c r="E57" i="3" s="1"/>
  <c r="C58" i="3"/>
  <c r="D58" i="3"/>
  <c r="E58" i="3" s="1"/>
  <c r="C59" i="3"/>
  <c r="D59" i="3"/>
  <c r="E59" i="3" s="1"/>
  <c r="C60" i="3"/>
  <c r="D60" i="3"/>
  <c r="E60" i="3" s="1"/>
  <c r="C61" i="3"/>
  <c r="D61" i="3"/>
  <c r="E61" i="3" s="1"/>
  <c r="C62" i="3"/>
  <c r="D62" i="3"/>
  <c r="E62" i="3" s="1"/>
  <c r="C63" i="3"/>
  <c r="D63" i="3"/>
  <c r="E63" i="3" s="1"/>
  <c r="C64" i="3"/>
  <c r="D64" i="3"/>
  <c r="E64" i="3" s="1"/>
  <c r="C65" i="3"/>
  <c r="D65" i="3"/>
  <c r="E65" i="3" s="1"/>
  <c r="C66" i="3"/>
  <c r="D66" i="3"/>
  <c r="E66" i="3" s="1"/>
  <c r="C67" i="3"/>
  <c r="D67" i="3"/>
  <c r="E67" i="3" s="1"/>
  <c r="C68" i="3"/>
  <c r="D68" i="3"/>
  <c r="E68" i="3" s="1"/>
  <c r="C69" i="3"/>
  <c r="D69" i="3"/>
  <c r="E69" i="3" s="1"/>
  <c r="C70" i="3"/>
  <c r="D70" i="3"/>
  <c r="E70" i="3" s="1"/>
  <c r="C71" i="3"/>
  <c r="D71" i="3"/>
  <c r="E71" i="3" s="1"/>
  <c r="C72" i="3"/>
  <c r="D72" i="3"/>
  <c r="E72" i="3" s="1"/>
  <c r="C73" i="3"/>
  <c r="D73" i="3"/>
  <c r="E73" i="3" s="1"/>
  <c r="C74" i="3"/>
  <c r="D74" i="3"/>
  <c r="E74" i="3" s="1"/>
  <c r="C75" i="3"/>
  <c r="D75" i="3"/>
  <c r="E75" i="3" s="1"/>
  <c r="C76" i="3"/>
  <c r="D76" i="3"/>
  <c r="E76" i="3" s="1"/>
  <c r="C77" i="3"/>
  <c r="D77" i="3"/>
  <c r="E77" i="3" s="1"/>
  <c r="C78" i="3"/>
  <c r="D78" i="3"/>
  <c r="E78" i="3" s="1"/>
  <c r="C79" i="3"/>
  <c r="D79" i="3"/>
  <c r="E79" i="3" s="1"/>
  <c r="C80" i="3"/>
  <c r="D80" i="3"/>
  <c r="E80" i="3" s="1"/>
  <c r="C81" i="3"/>
  <c r="D81" i="3"/>
  <c r="E81" i="3" s="1"/>
  <c r="C82" i="3"/>
  <c r="D82" i="3"/>
  <c r="E82" i="3" s="1"/>
  <c r="C83" i="3"/>
  <c r="D83" i="3"/>
  <c r="E83" i="3" s="1"/>
  <c r="C84" i="3"/>
  <c r="D84" i="3"/>
  <c r="E84" i="3" s="1"/>
  <c r="C85" i="3"/>
  <c r="D85" i="3"/>
  <c r="E85" i="3" s="1"/>
  <c r="C86" i="3"/>
  <c r="D86" i="3"/>
  <c r="E86" i="3" s="1"/>
  <c r="C87" i="3"/>
  <c r="D87" i="3"/>
  <c r="E87" i="3" s="1"/>
  <c r="C88" i="3"/>
  <c r="D88" i="3"/>
  <c r="E88" i="3" s="1"/>
  <c r="C89" i="3"/>
  <c r="D89" i="3"/>
  <c r="E89" i="3" s="1"/>
  <c r="C90" i="3"/>
  <c r="D90" i="3"/>
  <c r="E90" i="3" s="1"/>
  <c r="C91" i="3"/>
  <c r="D91" i="3"/>
  <c r="E91" i="3" s="1"/>
  <c r="C92" i="3"/>
  <c r="D92" i="3"/>
  <c r="E92" i="3" s="1"/>
  <c r="C93" i="3"/>
  <c r="D93" i="3"/>
  <c r="E93" i="3" s="1"/>
  <c r="C94" i="3"/>
  <c r="D94" i="3"/>
  <c r="E94" i="3" s="1"/>
  <c r="C95" i="3"/>
  <c r="D95" i="3"/>
  <c r="E95" i="3" s="1"/>
  <c r="C96" i="3"/>
  <c r="D96" i="3"/>
  <c r="E96" i="3" s="1"/>
  <c r="C97" i="3"/>
  <c r="D97" i="3"/>
  <c r="E97" i="3" s="1"/>
  <c r="C98" i="3"/>
  <c r="D98" i="3"/>
  <c r="E98" i="3" s="1"/>
  <c r="C99" i="3"/>
  <c r="D99" i="3"/>
  <c r="E99" i="3" s="1"/>
  <c r="C100" i="3"/>
  <c r="D100" i="3"/>
  <c r="E100" i="3" s="1"/>
  <c r="C101" i="3"/>
  <c r="D101" i="3"/>
  <c r="E101" i="3" s="1"/>
  <c r="C102" i="3"/>
  <c r="D102" i="3"/>
  <c r="E102" i="3" s="1"/>
  <c r="C103" i="3"/>
  <c r="D103" i="3"/>
  <c r="E103" i="3" s="1"/>
  <c r="C104" i="3"/>
  <c r="D104" i="3"/>
  <c r="E104" i="3" s="1"/>
  <c r="C105" i="3"/>
  <c r="D105" i="3"/>
  <c r="E105" i="3" s="1"/>
  <c r="C106" i="3"/>
  <c r="D106" i="3"/>
  <c r="E106" i="3" s="1"/>
  <c r="C107" i="3"/>
  <c r="D107" i="3"/>
  <c r="E107" i="3" s="1"/>
  <c r="C108" i="3"/>
  <c r="D108" i="3"/>
  <c r="E108" i="3" s="1"/>
  <c r="C109" i="3"/>
  <c r="D109" i="3"/>
  <c r="E109" i="3" s="1"/>
  <c r="C110" i="3"/>
  <c r="D110" i="3"/>
  <c r="E110" i="3" s="1"/>
  <c r="C111" i="3"/>
  <c r="D111" i="3"/>
  <c r="E111" i="3" s="1"/>
  <c r="C112" i="3"/>
  <c r="D112" i="3"/>
  <c r="E112" i="3" s="1"/>
  <c r="C113" i="3"/>
  <c r="D113" i="3"/>
  <c r="E113" i="3" s="1"/>
  <c r="C114" i="3"/>
  <c r="D114" i="3"/>
  <c r="E114" i="3" s="1"/>
  <c r="C115" i="3"/>
  <c r="D115" i="3"/>
  <c r="E115" i="3" s="1"/>
  <c r="C116" i="3"/>
  <c r="D116" i="3"/>
  <c r="E116" i="3" s="1"/>
  <c r="C117" i="3"/>
  <c r="D117" i="3"/>
  <c r="E117" i="3" s="1"/>
  <c r="C118" i="3"/>
  <c r="D118" i="3"/>
  <c r="E118" i="3" s="1"/>
  <c r="C119" i="3"/>
  <c r="D119" i="3"/>
  <c r="E119" i="3" s="1"/>
  <c r="C120" i="3"/>
  <c r="D120" i="3"/>
  <c r="E120" i="3" s="1"/>
  <c r="C121" i="3"/>
  <c r="D121" i="3"/>
  <c r="E121" i="3" s="1"/>
  <c r="C122" i="3"/>
  <c r="D122" i="3"/>
  <c r="E122" i="3" s="1"/>
  <c r="C123" i="3"/>
  <c r="D123" i="3"/>
  <c r="E123" i="3" s="1"/>
  <c r="C124" i="3"/>
  <c r="D124" i="3"/>
  <c r="E124" i="3" s="1"/>
  <c r="C125" i="3"/>
  <c r="D125" i="3"/>
  <c r="E125" i="3" s="1"/>
  <c r="C126" i="3"/>
  <c r="D126" i="3"/>
  <c r="E126" i="3" s="1"/>
  <c r="C127" i="3"/>
  <c r="D127" i="3"/>
  <c r="E127" i="3" s="1"/>
  <c r="C128" i="3"/>
  <c r="D128" i="3"/>
  <c r="E128" i="3" s="1"/>
  <c r="C129" i="3"/>
  <c r="D129" i="3"/>
  <c r="E129" i="3" s="1"/>
  <c r="C130" i="3"/>
  <c r="D130" i="3"/>
  <c r="E130" i="3" s="1"/>
  <c r="C131" i="3"/>
  <c r="D131" i="3"/>
  <c r="E131" i="3" s="1"/>
  <c r="C132" i="3"/>
  <c r="D132" i="3"/>
  <c r="E132" i="3" s="1"/>
  <c r="C133" i="3"/>
  <c r="D133" i="3"/>
  <c r="E133" i="3" s="1"/>
  <c r="C134" i="3"/>
  <c r="D134" i="3"/>
  <c r="E134" i="3" s="1"/>
  <c r="C135" i="3"/>
  <c r="D135" i="3"/>
  <c r="E135" i="3" s="1"/>
  <c r="C136" i="3"/>
  <c r="D136" i="3"/>
  <c r="E136" i="3" s="1"/>
  <c r="C137" i="3"/>
  <c r="D137" i="3"/>
  <c r="E137" i="3" s="1"/>
  <c r="C138" i="3"/>
  <c r="D138" i="3"/>
  <c r="E138" i="3" s="1"/>
  <c r="C139" i="3"/>
  <c r="D139" i="3"/>
  <c r="E139" i="3" s="1"/>
  <c r="C140" i="3"/>
  <c r="D140" i="3"/>
  <c r="E140" i="3" s="1"/>
  <c r="C141" i="3"/>
  <c r="D141" i="3"/>
  <c r="E141" i="3" s="1"/>
  <c r="C142" i="3"/>
  <c r="D142" i="3"/>
  <c r="E142" i="3" s="1"/>
  <c r="C143" i="3"/>
  <c r="D143" i="3"/>
  <c r="E143" i="3" s="1"/>
  <c r="C144" i="3"/>
  <c r="D144" i="3"/>
  <c r="E144" i="3" s="1"/>
  <c r="C145" i="3"/>
  <c r="D145" i="3"/>
  <c r="E145" i="3" s="1"/>
  <c r="C146" i="3"/>
  <c r="D146" i="3"/>
  <c r="E146" i="3" s="1"/>
  <c r="C147" i="3"/>
  <c r="D147" i="3"/>
  <c r="E147" i="3" s="1"/>
  <c r="C148" i="3"/>
  <c r="D148" i="3"/>
  <c r="E148" i="3" s="1"/>
  <c r="C149" i="3"/>
  <c r="D149" i="3"/>
  <c r="E149" i="3" s="1"/>
  <c r="C150" i="3"/>
  <c r="D150" i="3"/>
  <c r="E150" i="3" s="1"/>
  <c r="C151" i="3"/>
  <c r="D151" i="3"/>
  <c r="E151" i="3" s="1"/>
  <c r="C152" i="3"/>
  <c r="D152" i="3"/>
  <c r="E152" i="3" s="1"/>
  <c r="C153" i="3"/>
  <c r="D153" i="3"/>
  <c r="E153" i="3" s="1"/>
  <c r="C154" i="3"/>
  <c r="D154" i="3"/>
  <c r="E154" i="3" s="1"/>
  <c r="C155" i="3"/>
  <c r="D155" i="3"/>
  <c r="E155" i="3" s="1"/>
  <c r="C156" i="3"/>
  <c r="D156" i="3"/>
  <c r="E156" i="3" s="1"/>
  <c r="C157" i="3"/>
  <c r="D157" i="3"/>
  <c r="E157" i="3" s="1"/>
  <c r="C158" i="3"/>
  <c r="D158" i="3"/>
  <c r="E158" i="3" s="1"/>
  <c r="C159" i="3"/>
  <c r="D159" i="3"/>
  <c r="E159" i="3" s="1"/>
  <c r="C160" i="3"/>
  <c r="D160" i="3"/>
  <c r="E160" i="3" s="1"/>
  <c r="C161" i="3"/>
  <c r="D161" i="3"/>
  <c r="E161" i="3" s="1"/>
  <c r="C162" i="3"/>
  <c r="D162" i="3"/>
  <c r="E162" i="3" s="1"/>
  <c r="C163" i="3"/>
  <c r="D163" i="3"/>
  <c r="E163" i="3" s="1"/>
  <c r="C164" i="3"/>
  <c r="D164" i="3"/>
  <c r="E164" i="3" s="1"/>
  <c r="C165" i="3"/>
  <c r="D165" i="3"/>
  <c r="E165" i="3" s="1"/>
  <c r="C166" i="3"/>
  <c r="D166" i="3"/>
  <c r="E166" i="3" s="1"/>
  <c r="C167" i="3"/>
  <c r="D167" i="3"/>
  <c r="E167" i="3" s="1"/>
  <c r="C168" i="3"/>
  <c r="D168" i="3"/>
  <c r="E168" i="3" s="1"/>
  <c r="C169" i="3"/>
  <c r="D169" i="3"/>
  <c r="E169" i="3" s="1"/>
  <c r="C170" i="3"/>
  <c r="D170" i="3"/>
  <c r="E170" i="3" s="1"/>
  <c r="C171" i="3"/>
  <c r="D171" i="3"/>
  <c r="E171" i="3" s="1"/>
  <c r="C172" i="3"/>
  <c r="D172" i="3"/>
  <c r="E172" i="3" s="1"/>
  <c r="C173" i="3"/>
  <c r="D173" i="3"/>
  <c r="E173" i="3" s="1"/>
  <c r="C174" i="3"/>
  <c r="D174" i="3"/>
  <c r="E174" i="3" s="1"/>
  <c r="C175" i="3"/>
  <c r="D175" i="3"/>
  <c r="E175" i="3" s="1"/>
  <c r="C176" i="3"/>
  <c r="D176" i="3"/>
  <c r="E176" i="3" s="1"/>
  <c r="C177" i="3"/>
  <c r="D177" i="3"/>
  <c r="E177" i="3" s="1"/>
  <c r="C178" i="3"/>
  <c r="D178" i="3"/>
  <c r="E178" i="3" s="1"/>
  <c r="C179" i="3"/>
  <c r="D179" i="3"/>
  <c r="E179" i="3" s="1"/>
  <c r="C180" i="3"/>
  <c r="D180" i="3"/>
  <c r="E180" i="3" s="1"/>
  <c r="C181" i="3"/>
  <c r="D181" i="3"/>
  <c r="E181" i="3" s="1"/>
  <c r="C182" i="3"/>
  <c r="D182" i="3"/>
  <c r="E182" i="3" s="1"/>
  <c r="C183" i="3"/>
  <c r="D183" i="3"/>
  <c r="E183" i="3" s="1"/>
  <c r="C184" i="3"/>
  <c r="D184" i="3"/>
  <c r="E184" i="3" s="1"/>
  <c r="C185" i="3"/>
  <c r="D185" i="3"/>
  <c r="E185" i="3" s="1"/>
  <c r="C186" i="3"/>
  <c r="D186" i="3"/>
  <c r="E186" i="3" s="1"/>
  <c r="C187" i="3"/>
  <c r="D187" i="3"/>
  <c r="E187" i="3" s="1"/>
  <c r="C188" i="3"/>
  <c r="D188" i="3"/>
  <c r="E188" i="3" s="1"/>
  <c r="C189" i="3"/>
  <c r="D189" i="3"/>
  <c r="E189" i="3" s="1"/>
  <c r="C190" i="3"/>
  <c r="D190" i="3"/>
  <c r="E190" i="3" s="1"/>
  <c r="C191" i="3"/>
  <c r="D191" i="3"/>
  <c r="E191" i="3" s="1"/>
  <c r="C192" i="3"/>
  <c r="D192" i="3"/>
  <c r="E192" i="3" s="1"/>
  <c r="C193" i="3"/>
  <c r="D193" i="3"/>
  <c r="E193" i="3" s="1"/>
  <c r="C194" i="3"/>
  <c r="D194" i="3"/>
  <c r="E194" i="3" s="1"/>
  <c r="C195" i="3"/>
  <c r="D195" i="3"/>
  <c r="E195" i="3" s="1"/>
  <c r="C196" i="3"/>
  <c r="D196" i="3"/>
  <c r="E196" i="3" s="1"/>
  <c r="C197" i="3"/>
  <c r="D197" i="3"/>
  <c r="E197" i="3" s="1"/>
  <c r="C198" i="3"/>
  <c r="D198" i="3"/>
  <c r="E198" i="3" s="1"/>
  <c r="C199" i="3"/>
  <c r="D199" i="3"/>
  <c r="E199" i="3" s="1"/>
  <c r="C200" i="3"/>
  <c r="D200" i="3"/>
  <c r="E200" i="3" s="1"/>
  <c r="C201" i="3"/>
  <c r="D201" i="3"/>
  <c r="E201" i="3" s="1"/>
  <c r="C202" i="3"/>
  <c r="D202" i="3"/>
  <c r="E202" i="3" s="1"/>
  <c r="C203" i="3"/>
  <c r="D203" i="3"/>
  <c r="E203" i="3" s="1"/>
  <c r="C204" i="3"/>
  <c r="D204" i="3"/>
  <c r="E204" i="3" s="1"/>
  <c r="C205" i="3"/>
  <c r="D205" i="3"/>
  <c r="E205" i="3" s="1"/>
  <c r="C206" i="3"/>
  <c r="D206" i="3"/>
  <c r="E206" i="3" s="1"/>
  <c r="C207" i="3"/>
  <c r="D207" i="3"/>
  <c r="E207" i="3" s="1"/>
  <c r="C208" i="3"/>
  <c r="D208" i="3"/>
  <c r="E208" i="3" s="1"/>
  <c r="C209" i="3"/>
  <c r="D209" i="3"/>
  <c r="E209" i="3" s="1"/>
  <c r="C210" i="3"/>
  <c r="D210" i="3"/>
  <c r="E210" i="3" s="1"/>
  <c r="C211" i="3"/>
  <c r="D211" i="3"/>
  <c r="E211" i="3" s="1"/>
  <c r="C212" i="3"/>
  <c r="D212" i="3"/>
  <c r="E212" i="3" s="1"/>
  <c r="C213" i="3"/>
  <c r="D213" i="3"/>
  <c r="E213" i="3" s="1"/>
  <c r="C214" i="3"/>
  <c r="D214" i="3"/>
  <c r="E214" i="3" s="1"/>
  <c r="C215" i="3"/>
  <c r="D215" i="3"/>
  <c r="E215" i="3" s="1"/>
  <c r="C216" i="3"/>
  <c r="D216" i="3"/>
  <c r="E216" i="3" s="1"/>
  <c r="C217" i="3"/>
  <c r="D217" i="3"/>
  <c r="E217" i="3" s="1"/>
  <c r="C218" i="3"/>
  <c r="D218" i="3"/>
  <c r="E218" i="3" s="1"/>
  <c r="C219" i="3"/>
  <c r="D219" i="3"/>
  <c r="E219" i="3" s="1"/>
  <c r="C220" i="3"/>
  <c r="D220" i="3"/>
  <c r="E220" i="3" s="1"/>
  <c r="C221" i="3"/>
  <c r="D221" i="3"/>
  <c r="E221" i="3" s="1"/>
  <c r="C222" i="3"/>
  <c r="D222" i="3"/>
  <c r="E222" i="3" s="1"/>
  <c r="C223" i="3"/>
  <c r="D223" i="3"/>
  <c r="E223" i="3" s="1"/>
  <c r="C224" i="3"/>
  <c r="D224" i="3"/>
  <c r="E224" i="3" s="1"/>
  <c r="C225" i="3"/>
  <c r="D225" i="3"/>
  <c r="E225" i="3" s="1"/>
  <c r="C226" i="3"/>
  <c r="D226" i="3"/>
  <c r="E226" i="3" s="1"/>
  <c r="C227" i="3"/>
  <c r="D227" i="3"/>
  <c r="E227" i="3" s="1"/>
  <c r="C228" i="3"/>
  <c r="D228" i="3"/>
  <c r="E228" i="3" s="1"/>
  <c r="C229" i="3"/>
  <c r="D229" i="3"/>
  <c r="E229" i="3" s="1"/>
  <c r="C230" i="3"/>
  <c r="D230" i="3"/>
  <c r="E230" i="3" s="1"/>
  <c r="C231" i="3"/>
  <c r="D231" i="3"/>
  <c r="E231" i="3" s="1"/>
  <c r="C232" i="3"/>
  <c r="D232" i="3"/>
  <c r="E232" i="3" s="1"/>
  <c r="C233" i="3"/>
  <c r="D233" i="3"/>
  <c r="E233" i="3" s="1"/>
  <c r="C234" i="3"/>
  <c r="D234" i="3"/>
  <c r="E234" i="3" s="1"/>
  <c r="C235" i="3"/>
  <c r="D235" i="3"/>
  <c r="E235" i="3" s="1"/>
  <c r="C236" i="3"/>
  <c r="D236" i="3"/>
  <c r="E236" i="3" s="1"/>
  <c r="C237" i="3"/>
  <c r="D237" i="3"/>
  <c r="E237" i="3" s="1"/>
  <c r="C238" i="3"/>
  <c r="D238" i="3"/>
  <c r="E238" i="3" s="1"/>
  <c r="C239" i="3"/>
  <c r="D239" i="3"/>
  <c r="E239" i="3" s="1"/>
  <c r="C240" i="3"/>
  <c r="D240" i="3"/>
  <c r="E240" i="3" s="1"/>
  <c r="C241" i="3"/>
  <c r="D241" i="3"/>
  <c r="E241" i="3" s="1"/>
  <c r="C242" i="3"/>
  <c r="D242" i="3"/>
  <c r="E242" i="3" s="1"/>
  <c r="C243" i="3"/>
  <c r="D243" i="3"/>
  <c r="E243" i="3" s="1"/>
  <c r="C244" i="3"/>
  <c r="D244" i="3"/>
  <c r="E244" i="3" s="1"/>
  <c r="C245" i="3"/>
  <c r="D245" i="3"/>
  <c r="E245" i="3" s="1"/>
  <c r="C246" i="3"/>
  <c r="D246" i="3"/>
  <c r="E246" i="3" s="1"/>
  <c r="C247" i="3"/>
  <c r="D247" i="3"/>
  <c r="E247" i="3" s="1"/>
  <c r="C248" i="3"/>
  <c r="D248" i="3"/>
  <c r="E248" i="3" s="1"/>
  <c r="C249" i="3"/>
  <c r="D249" i="3"/>
  <c r="E249" i="3" s="1"/>
  <c r="C250" i="3"/>
  <c r="D250" i="3"/>
  <c r="E250" i="3" s="1"/>
  <c r="C251" i="3"/>
  <c r="D251" i="3"/>
  <c r="E251" i="3" s="1"/>
  <c r="C252" i="3"/>
  <c r="D252" i="3"/>
  <c r="E252" i="3" s="1"/>
  <c r="C253" i="3"/>
  <c r="D253" i="3"/>
  <c r="E253" i="3" s="1"/>
  <c r="C254" i="3"/>
  <c r="D254" i="3"/>
  <c r="E254" i="3" s="1"/>
  <c r="C255" i="3"/>
  <c r="D255" i="3"/>
  <c r="E255" i="3" s="1"/>
  <c r="C256" i="3"/>
  <c r="D256" i="3"/>
  <c r="E256" i="3" s="1"/>
  <c r="C257" i="3"/>
  <c r="D257" i="3"/>
  <c r="E257" i="3" s="1"/>
  <c r="C258" i="3"/>
  <c r="D258" i="3"/>
  <c r="E258" i="3" s="1"/>
  <c r="C259" i="3"/>
  <c r="D259" i="3"/>
  <c r="E259" i="3" s="1"/>
  <c r="C260" i="3"/>
  <c r="D260" i="3"/>
  <c r="E260" i="3" s="1"/>
  <c r="C261" i="3"/>
  <c r="D261" i="3"/>
  <c r="E261" i="3" s="1"/>
  <c r="C262" i="3"/>
  <c r="D262" i="3"/>
  <c r="E262" i="3" s="1"/>
  <c r="C263" i="3"/>
  <c r="D263" i="3"/>
  <c r="E263" i="3" s="1"/>
  <c r="C264" i="3"/>
  <c r="D264" i="3"/>
  <c r="E264" i="3" s="1"/>
  <c r="C265" i="3"/>
  <c r="D265" i="3"/>
  <c r="E265" i="3" s="1"/>
  <c r="C266" i="3"/>
  <c r="D266" i="3"/>
  <c r="E266" i="3" s="1"/>
  <c r="C267" i="3"/>
  <c r="D267" i="3"/>
  <c r="E267" i="3" s="1"/>
  <c r="C268" i="3"/>
  <c r="D268" i="3"/>
  <c r="E268" i="3" s="1"/>
  <c r="C269" i="3"/>
  <c r="D269" i="3"/>
  <c r="E269" i="3" s="1"/>
  <c r="C270" i="3"/>
  <c r="D270" i="3"/>
  <c r="E270" i="3" s="1"/>
  <c r="C271" i="3"/>
  <c r="D271" i="3"/>
  <c r="E271" i="3" s="1"/>
  <c r="C272" i="3"/>
  <c r="D272" i="3"/>
  <c r="E272" i="3" s="1"/>
  <c r="C273" i="3"/>
  <c r="D273" i="3"/>
  <c r="E273" i="3" s="1"/>
  <c r="C274" i="3"/>
  <c r="D274" i="3"/>
  <c r="E274" i="3" s="1"/>
  <c r="C275" i="3"/>
  <c r="D275" i="3"/>
  <c r="E275" i="3" s="1"/>
  <c r="C276" i="3"/>
  <c r="D276" i="3"/>
  <c r="E276" i="3" s="1"/>
  <c r="C277" i="3"/>
  <c r="D277" i="3"/>
  <c r="E277" i="3" s="1"/>
  <c r="C278" i="3"/>
  <c r="D278" i="3"/>
  <c r="E278" i="3" s="1"/>
  <c r="C279" i="3"/>
  <c r="D279" i="3"/>
  <c r="E279" i="3" s="1"/>
  <c r="C280" i="3"/>
  <c r="D280" i="3"/>
  <c r="E280" i="3" s="1"/>
  <c r="C281" i="3"/>
  <c r="D281" i="3"/>
  <c r="E281" i="3" s="1"/>
  <c r="C282" i="3"/>
  <c r="D282" i="3"/>
  <c r="E282" i="3" s="1"/>
  <c r="C283" i="3"/>
  <c r="D283" i="3"/>
  <c r="E283" i="3" s="1"/>
  <c r="C284" i="3"/>
  <c r="D284" i="3"/>
  <c r="E284" i="3" s="1"/>
  <c r="C285" i="3"/>
  <c r="D285" i="3"/>
  <c r="E285" i="3" s="1"/>
  <c r="C286" i="3"/>
  <c r="D286" i="3"/>
  <c r="E286" i="3" s="1"/>
  <c r="C287" i="3"/>
  <c r="D287" i="3"/>
  <c r="E287" i="3" s="1"/>
  <c r="C288" i="3"/>
  <c r="D288" i="3"/>
  <c r="E288" i="3" s="1"/>
  <c r="C289" i="3"/>
  <c r="D289" i="3"/>
  <c r="E289" i="3" s="1"/>
  <c r="C290" i="3"/>
  <c r="D290" i="3"/>
  <c r="E290" i="3" s="1"/>
  <c r="C291" i="3"/>
  <c r="D291" i="3"/>
  <c r="E291" i="3" s="1"/>
  <c r="C292" i="3"/>
  <c r="D292" i="3"/>
  <c r="E292" i="3" s="1"/>
  <c r="C293" i="3"/>
  <c r="D293" i="3"/>
  <c r="E293" i="3" s="1"/>
  <c r="C294" i="3"/>
  <c r="D294" i="3"/>
  <c r="E294" i="3" s="1"/>
  <c r="C295" i="3"/>
  <c r="D295" i="3"/>
  <c r="E295" i="3" s="1"/>
  <c r="C296" i="3"/>
  <c r="D296" i="3"/>
  <c r="E296" i="3" s="1"/>
  <c r="C297" i="3"/>
  <c r="D297" i="3"/>
  <c r="E297" i="3" s="1"/>
  <c r="C298" i="3"/>
  <c r="D298" i="3"/>
  <c r="E298" i="3" s="1"/>
  <c r="C299" i="3"/>
  <c r="D299" i="3"/>
  <c r="E299" i="3" s="1"/>
  <c r="C300" i="3"/>
  <c r="D300" i="3"/>
  <c r="E300" i="3" s="1"/>
  <c r="D9" i="3"/>
  <c r="C9" i="3"/>
  <c r="AL10" i="3" l="1"/>
  <c r="AM10" i="3"/>
  <c r="AL11" i="3"/>
  <c r="AM11" i="3"/>
  <c r="AL12" i="3"/>
  <c r="AM12" i="3"/>
  <c r="AL13" i="3"/>
  <c r="AM13" i="3"/>
  <c r="AL14" i="3"/>
  <c r="AM14" i="3"/>
  <c r="AL15" i="3"/>
  <c r="AM15" i="3"/>
  <c r="AL16" i="3"/>
  <c r="AM16" i="3"/>
  <c r="AL17" i="3"/>
  <c r="AM17" i="3"/>
  <c r="AL18" i="3"/>
  <c r="AM18" i="3"/>
  <c r="AL19" i="3"/>
  <c r="AM19" i="3"/>
  <c r="AL20" i="3"/>
  <c r="AM20" i="3"/>
  <c r="AL21" i="3"/>
  <c r="AM21" i="3"/>
  <c r="AL22" i="3"/>
  <c r="AM22" i="3"/>
  <c r="AL23" i="3"/>
  <c r="AM23" i="3"/>
  <c r="AL24" i="3"/>
  <c r="AM24" i="3"/>
  <c r="AL25" i="3"/>
  <c r="AM25" i="3"/>
  <c r="AL26" i="3"/>
  <c r="AM26" i="3"/>
  <c r="AL27" i="3"/>
  <c r="AM27" i="3"/>
  <c r="AL28" i="3"/>
  <c r="AM28" i="3"/>
  <c r="AL29" i="3"/>
  <c r="AM29" i="3"/>
  <c r="AL30" i="3"/>
  <c r="AM30" i="3"/>
  <c r="AL31" i="3"/>
  <c r="AM31" i="3"/>
  <c r="AL32" i="3"/>
  <c r="AM32" i="3"/>
  <c r="AL33" i="3"/>
  <c r="AM33" i="3"/>
  <c r="AL34" i="3"/>
  <c r="AM34" i="3"/>
  <c r="AL35" i="3"/>
  <c r="AM35" i="3"/>
  <c r="AL36" i="3"/>
  <c r="AM36" i="3"/>
  <c r="AL37" i="3"/>
  <c r="AM37" i="3"/>
  <c r="AL38" i="3"/>
  <c r="AM38" i="3"/>
  <c r="AL39" i="3"/>
  <c r="AM39" i="3"/>
  <c r="AL40" i="3"/>
  <c r="AM40" i="3"/>
  <c r="AL41" i="3"/>
  <c r="AM41" i="3"/>
  <c r="AL42" i="3"/>
  <c r="AM42" i="3"/>
  <c r="AL43" i="3"/>
  <c r="AM43" i="3"/>
  <c r="AL44" i="3"/>
  <c r="AM44" i="3"/>
  <c r="AL45" i="3"/>
  <c r="AM45" i="3"/>
  <c r="AL46" i="3"/>
  <c r="AM46" i="3"/>
  <c r="AL47" i="3"/>
  <c r="AM47" i="3"/>
  <c r="AL48" i="3"/>
  <c r="AM48" i="3"/>
  <c r="AL49" i="3"/>
  <c r="AM49" i="3"/>
  <c r="AL50" i="3"/>
  <c r="AM50" i="3"/>
  <c r="AL51" i="3"/>
  <c r="AM51" i="3"/>
  <c r="AL52" i="3"/>
  <c r="AM52" i="3"/>
  <c r="AL53" i="3"/>
  <c r="AM53" i="3"/>
  <c r="AL54" i="3"/>
  <c r="AM54" i="3"/>
  <c r="AL55" i="3"/>
  <c r="AM55" i="3"/>
  <c r="AL56" i="3"/>
  <c r="AM56" i="3"/>
  <c r="AL57" i="3"/>
  <c r="AM57" i="3"/>
  <c r="AL58" i="3"/>
  <c r="AM58" i="3"/>
  <c r="AL59" i="3"/>
  <c r="AM59" i="3"/>
  <c r="AL60" i="3"/>
  <c r="AM60" i="3"/>
  <c r="AL61" i="3"/>
  <c r="AM61" i="3"/>
  <c r="AL62" i="3"/>
  <c r="AM62" i="3"/>
  <c r="AL63" i="3"/>
  <c r="AM63" i="3"/>
  <c r="AL64" i="3"/>
  <c r="AM64" i="3"/>
  <c r="AL65" i="3"/>
  <c r="AM65" i="3"/>
  <c r="AL66" i="3"/>
  <c r="AM66" i="3"/>
  <c r="AL67" i="3"/>
  <c r="AM67" i="3"/>
  <c r="AL68" i="3"/>
  <c r="AM68" i="3"/>
  <c r="AL69" i="3"/>
  <c r="AM69" i="3"/>
  <c r="AL70" i="3"/>
  <c r="AM70" i="3"/>
  <c r="AL71" i="3"/>
  <c r="AM71" i="3"/>
  <c r="AL72" i="3"/>
  <c r="AM72" i="3"/>
  <c r="AL73" i="3"/>
  <c r="AM73" i="3"/>
  <c r="AL74" i="3"/>
  <c r="AM74" i="3"/>
  <c r="AL75" i="3"/>
  <c r="AM75" i="3"/>
  <c r="AL76" i="3"/>
  <c r="AM76" i="3"/>
  <c r="AL77" i="3"/>
  <c r="AM77" i="3"/>
  <c r="AL78" i="3"/>
  <c r="AM78" i="3"/>
  <c r="AL79" i="3"/>
  <c r="AM79" i="3"/>
  <c r="AL80" i="3"/>
  <c r="AM80" i="3"/>
  <c r="AL81" i="3"/>
  <c r="AM81" i="3"/>
  <c r="AL82" i="3"/>
  <c r="AM82" i="3"/>
  <c r="AL83" i="3"/>
  <c r="AM83" i="3"/>
  <c r="AL84" i="3"/>
  <c r="AM84" i="3"/>
  <c r="AL85" i="3"/>
  <c r="AM85" i="3"/>
  <c r="AL86" i="3"/>
  <c r="AM86" i="3"/>
  <c r="AL87" i="3"/>
  <c r="AM87" i="3"/>
  <c r="AL88" i="3"/>
  <c r="AM88" i="3"/>
  <c r="AL89" i="3"/>
  <c r="AM89" i="3"/>
  <c r="AL90" i="3"/>
  <c r="AM90" i="3"/>
  <c r="AL91" i="3"/>
  <c r="AM91" i="3"/>
  <c r="AL92" i="3"/>
  <c r="AM92" i="3"/>
  <c r="AL93" i="3"/>
  <c r="AM93" i="3"/>
  <c r="AL94" i="3"/>
  <c r="AM94" i="3"/>
  <c r="AL95" i="3"/>
  <c r="AM95" i="3"/>
  <c r="AL96" i="3"/>
  <c r="AM96" i="3"/>
  <c r="AL97" i="3"/>
  <c r="AM97" i="3"/>
  <c r="AL98" i="3"/>
  <c r="AM98" i="3"/>
  <c r="AL99" i="3"/>
  <c r="AM99" i="3"/>
  <c r="AL100" i="3"/>
  <c r="AM100" i="3"/>
  <c r="AL101" i="3"/>
  <c r="AM101" i="3"/>
  <c r="AL102" i="3"/>
  <c r="AM102" i="3"/>
  <c r="AL103" i="3"/>
  <c r="AM103" i="3"/>
  <c r="AL104" i="3"/>
  <c r="AM104" i="3"/>
  <c r="AL105" i="3"/>
  <c r="AM105" i="3"/>
  <c r="AL106" i="3"/>
  <c r="AM106" i="3"/>
  <c r="AL107" i="3"/>
  <c r="AM107" i="3"/>
  <c r="AL108" i="3"/>
  <c r="AM108" i="3"/>
  <c r="AL109" i="3"/>
  <c r="AM109" i="3"/>
  <c r="AL110" i="3"/>
  <c r="AM110" i="3"/>
  <c r="AL111" i="3"/>
  <c r="AM111" i="3"/>
  <c r="AL112" i="3"/>
  <c r="AM112" i="3"/>
  <c r="AL113" i="3"/>
  <c r="AM113" i="3"/>
  <c r="AL114" i="3"/>
  <c r="AM114" i="3"/>
  <c r="AL115" i="3"/>
  <c r="AM115" i="3"/>
  <c r="AL116" i="3"/>
  <c r="AM116" i="3"/>
  <c r="AL117" i="3"/>
  <c r="AM117" i="3"/>
  <c r="AL118" i="3"/>
  <c r="AM118" i="3"/>
  <c r="AL119" i="3"/>
  <c r="AM119" i="3"/>
  <c r="AL120" i="3"/>
  <c r="AM120" i="3"/>
  <c r="AL121" i="3"/>
  <c r="AM121" i="3"/>
  <c r="AL122" i="3"/>
  <c r="AM122" i="3"/>
  <c r="AL123" i="3"/>
  <c r="AM123" i="3"/>
  <c r="AL124" i="3"/>
  <c r="AM124" i="3"/>
  <c r="AL125" i="3"/>
  <c r="AM125" i="3"/>
  <c r="AL126" i="3"/>
  <c r="AM126" i="3"/>
  <c r="AL127" i="3"/>
  <c r="AM127" i="3"/>
  <c r="AL128" i="3"/>
  <c r="AM128" i="3"/>
  <c r="AL129" i="3"/>
  <c r="AM129" i="3"/>
  <c r="AL130" i="3"/>
  <c r="AM130" i="3"/>
  <c r="AL131" i="3"/>
  <c r="AM131" i="3"/>
  <c r="AL132" i="3"/>
  <c r="AM132" i="3"/>
  <c r="AL133" i="3"/>
  <c r="AM133" i="3"/>
  <c r="AL134" i="3"/>
  <c r="AM134" i="3"/>
  <c r="AL135" i="3"/>
  <c r="AM135" i="3"/>
  <c r="AL136" i="3"/>
  <c r="AM136" i="3"/>
  <c r="AL137" i="3"/>
  <c r="AM137" i="3"/>
  <c r="AL138" i="3"/>
  <c r="AM138" i="3"/>
  <c r="AL139" i="3"/>
  <c r="AM139" i="3"/>
  <c r="AL140" i="3"/>
  <c r="AM140" i="3"/>
  <c r="AL141" i="3"/>
  <c r="AM141" i="3"/>
  <c r="AL142" i="3"/>
  <c r="AM142" i="3"/>
  <c r="AL143" i="3"/>
  <c r="AM143" i="3"/>
  <c r="AL144" i="3"/>
  <c r="AM144" i="3"/>
  <c r="AL145" i="3"/>
  <c r="AM145" i="3"/>
  <c r="AL146" i="3"/>
  <c r="AM146" i="3"/>
  <c r="AL147" i="3"/>
  <c r="AM147" i="3"/>
  <c r="AL148" i="3"/>
  <c r="AM148" i="3"/>
  <c r="AL149" i="3"/>
  <c r="AM149" i="3"/>
  <c r="AL150" i="3"/>
  <c r="AM150" i="3"/>
  <c r="AL151" i="3"/>
  <c r="AM151" i="3"/>
  <c r="AL152" i="3"/>
  <c r="AM152" i="3"/>
  <c r="AL153" i="3"/>
  <c r="AM153" i="3"/>
  <c r="AL154" i="3"/>
  <c r="AM154" i="3"/>
  <c r="AL155" i="3"/>
  <c r="AM155" i="3"/>
  <c r="AL156" i="3"/>
  <c r="AM156" i="3"/>
  <c r="AL157" i="3"/>
  <c r="AM157" i="3"/>
  <c r="AL158" i="3"/>
  <c r="AM158" i="3"/>
  <c r="AL159" i="3"/>
  <c r="AM159" i="3"/>
  <c r="AL160" i="3"/>
  <c r="AM160" i="3"/>
  <c r="AL161" i="3"/>
  <c r="AM161" i="3"/>
  <c r="AL162" i="3"/>
  <c r="AM162" i="3"/>
  <c r="AL163" i="3"/>
  <c r="AM163" i="3"/>
  <c r="AL164" i="3"/>
  <c r="AM164" i="3"/>
  <c r="AL165" i="3"/>
  <c r="AM165" i="3"/>
  <c r="AL166" i="3"/>
  <c r="AM166" i="3"/>
  <c r="AL167" i="3"/>
  <c r="AM167" i="3"/>
  <c r="AL168" i="3"/>
  <c r="AM168" i="3"/>
  <c r="AL169" i="3"/>
  <c r="AM169" i="3"/>
  <c r="AL170" i="3"/>
  <c r="AM170" i="3"/>
  <c r="AL171" i="3"/>
  <c r="AM171" i="3"/>
  <c r="AL172" i="3"/>
  <c r="AM172" i="3"/>
  <c r="AL173" i="3"/>
  <c r="AM173" i="3"/>
  <c r="AL174" i="3"/>
  <c r="AM174" i="3"/>
  <c r="AL175" i="3"/>
  <c r="AM175" i="3"/>
  <c r="AL176" i="3"/>
  <c r="AM176" i="3"/>
  <c r="AL177" i="3"/>
  <c r="AM177" i="3"/>
  <c r="AL178" i="3"/>
  <c r="AM178" i="3"/>
  <c r="AL179" i="3"/>
  <c r="AM179" i="3"/>
  <c r="AL180" i="3"/>
  <c r="AM180" i="3"/>
  <c r="AL181" i="3"/>
  <c r="AM181" i="3"/>
  <c r="AL182" i="3"/>
  <c r="AM182" i="3"/>
  <c r="AL183" i="3"/>
  <c r="AM183" i="3"/>
  <c r="AL184" i="3"/>
  <c r="AM184" i="3"/>
  <c r="AL185" i="3"/>
  <c r="AM185" i="3"/>
  <c r="AL186" i="3"/>
  <c r="AM186" i="3"/>
  <c r="AL187" i="3"/>
  <c r="AM187" i="3"/>
  <c r="AL188" i="3"/>
  <c r="AM188" i="3"/>
  <c r="AL189" i="3"/>
  <c r="AM189" i="3"/>
  <c r="AL190" i="3"/>
  <c r="AM190" i="3"/>
  <c r="AL191" i="3"/>
  <c r="AM191" i="3"/>
  <c r="AL192" i="3"/>
  <c r="AM192" i="3"/>
  <c r="AL193" i="3"/>
  <c r="AM193" i="3"/>
  <c r="AL194" i="3"/>
  <c r="AM194" i="3"/>
  <c r="AL195" i="3"/>
  <c r="AM195" i="3"/>
  <c r="AL196" i="3"/>
  <c r="AM196" i="3"/>
  <c r="AL197" i="3"/>
  <c r="AM197" i="3"/>
  <c r="AL198" i="3"/>
  <c r="AM198" i="3"/>
  <c r="AL199" i="3"/>
  <c r="AM199" i="3"/>
  <c r="AL200" i="3"/>
  <c r="AM200" i="3"/>
  <c r="AL201" i="3"/>
  <c r="AM201" i="3"/>
  <c r="AL202" i="3"/>
  <c r="AM202" i="3"/>
  <c r="AL203" i="3"/>
  <c r="AM203" i="3"/>
  <c r="AL204" i="3"/>
  <c r="AM204" i="3"/>
  <c r="AL205" i="3"/>
  <c r="AM205" i="3"/>
  <c r="AL206" i="3"/>
  <c r="AM206" i="3"/>
  <c r="AL207" i="3"/>
  <c r="AM207" i="3"/>
  <c r="AL208" i="3"/>
  <c r="AM208" i="3"/>
  <c r="AL209" i="3"/>
  <c r="AM209" i="3"/>
  <c r="AL210" i="3"/>
  <c r="AM210" i="3"/>
  <c r="AL211" i="3"/>
  <c r="AM211" i="3"/>
  <c r="AL212" i="3"/>
  <c r="AM212" i="3"/>
  <c r="AL213" i="3"/>
  <c r="AM213" i="3"/>
  <c r="AL214" i="3"/>
  <c r="AM214" i="3"/>
  <c r="AL215" i="3"/>
  <c r="AM215" i="3"/>
  <c r="AL216" i="3"/>
  <c r="AM216" i="3"/>
  <c r="AL217" i="3"/>
  <c r="AM217" i="3"/>
  <c r="AL218" i="3"/>
  <c r="AM218" i="3"/>
  <c r="AL219" i="3"/>
  <c r="AM219" i="3"/>
  <c r="AL220" i="3"/>
  <c r="AM220" i="3"/>
  <c r="AL221" i="3"/>
  <c r="AM221" i="3"/>
  <c r="AL222" i="3"/>
  <c r="AM222" i="3"/>
  <c r="AL223" i="3"/>
  <c r="AM223" i="3"/>
  <c r="AL224" i="3"/>
  <c r="AM224" i="3"/>
  <c r="AL225" i="3"/>
  <c r="AM225" i="3"/>
  <c r="AL226" i="3"/>
  <c r="AM226" i="3"/>
  <c r="AL227" i="3"/>
  <c r="AM227" i="3"/>
  <c r="AL228" i="3"/>
  <c r="AM228" i="3"/>
  <c r="AL229" i="3"/>
  <c r="AM229" i="3"/>
  <c r="AL230" i="3"/>
  <c r="AM230" i="3"/>
  <c r="AL231" i="3"/>
  <c r="AM231" i="3"/>
  <c r="AL232" i="3"/>
  <c r="AM232" i="3"/>
  <c r="AL233" i="3"/>
  <c r="AM233" i="3"/>
  <c r="AL234" i="3"/>
  <c r="AM234" i="3"/>
  <c r="AL235" i="3"/>
  <c r="AM235" i="3"/>
  <c r="AL236" i="3"/>
  <c r="AM236" i="3"/>
  <c r="AL237" i="3"/>
  <c r="AM237" i="3"/>
  <c r="AL238" i="3"/>
  <c r="AM238" i="3"/>
  <c r="AL239" i="3"/>
  <c r="AM239" i="3"/>
  <c r="AL240" i="3"/>
  <c r="AM240" i="3"/>
  <c r="AL241" i="3"/>
  <c r="AM241" i="3"/>
  <c r="AL242" i="3"/>
  <c r="AM242" i="3"/>
  <c r="AL243" i="3"/>
  <c r="AM243" i="3"/>
  <c r="AL244" i="3"/>
  <c r="AM244" i="3"/>
  <c r="AL245" i="3"/>
  <c r="AM245" i="3"/>
  <c r="AL246" i="3"/>
  <c r="AM246" i="3"/>
  <c r="AL247" i="3"/>
  <c r="AM247" i="3"/>
  <c r="AL248" i="3"/>
  <c r="AM248" i="3"/>
  <c r="AL249" i="3"/>
  <c r="AM249" i="3"/>
  <c r="AL250" i="3"/>
  <c r="AM250" i="3"/>
  <c r="AL251" i="3"/>
  <c r="AM251" i="3"/>
  <c r="AL252" i="3"/>
  <c r="AM252" i="3"/>
  <c r="AL253" i="3"/>
  <c r="AM253" i="3"/>
  <c r="AL254" i="3"/>
  <c r="AM254" i="3"/>
  <c r="AL255" i="3"/>
  <c r="AM255" i="3"/>
  <c r="AL256" i="3"/>
  <c r="AM256" i="3"/>
  <c r="AL257" i="3"/>
  <c r="AM257" i="3"/>
  <c r="AL258" i="3"/>
  <c r="AM258" i="3"/>
  <c r="AL259" i="3"/>
  <c r="AM259" i="3"/>
  <c r="AL260" i="3"/>
  <c r="AM260" i="3"/>
  <c r="AL261" i="3"/>
  <c r="AM261" i="3"/>
  <c r="AL262" i="3"/>
  <c r="AM262" i="3"/>
  <c r="AL263" i="3"/>
  <c r="AM263" i="3"/>
  <c r="AL264" i="3"/>
  <c r="AM264" i="3"/>
  <c r="AL265" i="3"/>
  <c r="AM265" i="3"/>
  <c r="AL266" i="3"/>
  <c r="AM266" i="3"/>
  <c r="AL267" i="3"/>
  <c r="AM267" i="3"/>
  <c r="AL268" i="3"/>
  <c r="AM268" i="3"/>
  <c r="AL269" i="3"/>
  <c r="AM269" i="3"/>
  <c r="AL270" i="3"/>
  <c r="AM270" i="3"/>
  <c r="AL271" i="3"/>
  <c r="AM271" i="3"/>
  <c r="AL272" i="3"/>
  <c r="AM272" i="3"/>
  <c r="AL273" i="3"/>
  <c r="AM273" i="3"/>
  <c r="AL274" i="3"/>
  <c r="AM274" i="3"/>
  <c r="AL275" i="3"/>
  <c r="AM275" i="3"/>
  <c r="AL276" i="3"/>
  <c r="AM276" i="3"/>
  <c r="AL277" i="3"/>
  <c r="AM277" i="3"/>
  <c r="AL278" i="3"/>
  <c r="AM278" i="3"/>
  <c r="AL279" i="3"/>
  <c r="AM279" i="3"/>
  <c r="AL280" i="3"/>
  <c r="AM280" i="3"/>
  <c r="AL281" i="3"/>
  <c r="AM281" i="3"/>
  <c r="AL282" i="3"/>
  <c r="AM282" i="3"/>
  <c r="AL283" i="3"/>
  <c r="AM283" i="3"/>
  <c r="AL284" i="3"/>
  <c r="AM284" i="3"/>
  <c r="AL285" i="3"/>
  <c r="AM285" i="3"/>
  <c r="AL286" i="3"/>
  <c r="AM286" i="3"/>
  <c r="AL287" i="3"/>
  <c r="AM287" i="3"/>
  <c r="AL288" i="3"/>
  <c r="AM288" i="3"/>
  <c r="AL289" i="3"/>
  <c r="AM289" i="3"/>
  <c r="AL290" i="3"/>
  <c r="AM290" i="3"/>
  <c r="AL291" i="3"/>
  <c r="AM291" i="3"/>
  <c r="AL292" i="3"/>
  <c r="AM292" i="3"/>
  <c r="AL293" i="3"/>
  <c r="AM293" i="3"/>
  <c r="AL294" i="3"/>
  <c r="AM294" i="3"/>
  <c r="AL295" i="3"/>
  <c r="AM295" i="3"/>
  <c r="AL296" i="3"/>
  <c r="AM296" i="3"/>
  <c r="AL297" i="3"/>
  <c r="AM297" i="3"/>
  <c r="AL298" i="3"/>
  <c r="AM298" i="3"/>
  <c r="AL299" i="3"/>
  <c r="AM299" i="3"/>
  <c r="AL300" i="3"/>
  <c r="AM300" i="3"/>
  <c r="AM9" i="3"/>
  <c r="AL9" i="3"/>
  <c r="AC7" i="3" l="1"/>
  <c r="X7" i="3"/>
  <c r="S7" i="3"/>
  <c r="N7" i="3"/>
  <c r="I7" i="3"/>
  <c r="AD10" i="3" l="1"/>
  <c r="AD11" i="3"/>
  <c r="AD12" i="3"/>
  <c r="AD13" i="3"/>
  <c r="AD14" i="3"/>
  <c r="AD15" i="3"/>
  <c r="AD16" i="3"/>
  <c r="AD17" i="3"/>
  <c r="AD18" i="3"/>
  <c r="AD19" i="3"/>
  <c r="AD20" i="3"/>
  <c r="AD21" i="3"/>
  <c r="AD22" i="3"/>
  <c r="AD23" i="3"/>
  <c r="AD24" i="3"/>
  <c r="AD25" i="3"/>
  <c r="AD26" i="3"/>
  <c r="AD27" i="3"/>
  <c r="AD28" i="3"/>
  <c r="AD29" i="3"/>
  <c r="AD30" i="3"/>
  <c r="AD31" i="3"/>
  <c r="AD32" i="3"/>
  <c r="AD33" i="3"/>
  <c r="AD34" i="3"/>
  <c r="AD35" i="3"/>
  <c r="AD36" i="3"/>
  <c r="AD37" i="3"/>
  <c r="AD38" i="3"/>
  <c r="AD39" i="3"/>
  <c r="AD40" i="3"/>
  <c r="AD41" i="3"/>
  <c r="AD42" i="3"/>
  <c r="AD43" i="3"/>
  <c r="AD44" i="3"/>
  <c r="AD45" i="3"/>
  <c r="AD46" i="3"/>
  <c r="AD47" i="3"/>
  <c r="AD48" i="3"/>
  <c r="AD49" i="3"/>
  <c r="AD50" i="3"/>
  <c r="AD51" i="3"/>
  <c r="AD52" i="3"/>
  <c r="AD53" i="3"/>
  <c r="AD54" i="3"/>
  <c r="AD55" i="3"/>
  <c r="AD56" i="3"/>
  <c r="AD57" i="3"/>
  <c r="AD58" i="3"/>
  <c r="AD59" i="3"/>
  <c r="AD60" i="3"/>
  <c r="AD61" i="3"/>
  <c r="AD62" i="3"/>
  <c r="AD63" i="3"/>
  <c r="AD64" i="3"/>
  <c r="AD65" i="3"/>
  <c r="AD66" i="3"/>
  <c r="AD67" i="3"/>
  <c r="AD68" i="3"/>
  <c r="AD69" i="3"/>
  <c r="AD70" i="3"/>
  <c r="AD71" i="3"/>
  <c r="AD72" i="3"/>
  <c r="AD73" i="3"/>
  <c r="AD74" i="3"/>
  <c r="AD75" i="3"/>
  <c r="AD76" i="3"/>
  <c r="AD77" i="3"/>
  <c r="AD78" i="3"/>
  <c r="AD79" i="3"/>
  <c r="AD80" i="3"/>
  <c r="AD81" i="3"/>
  <c r="AD82" i="3"/>
  <c r="AD83" i="3"/>
  <c r="AD84" i="3"/>
  <c r="AD85" i="3"/>
  <c r="AD86" i="3"/>
  <c r="AD87" i="3"/>
  <c r="AD88" i="3"/>
  <c r="AD89" i="3"/>
  <c r="AD90" i="3"/>
  <c r="AD91" i="3"/>
  <c r="AD92" i="3"/>
  <c r="AD93" i="3"/>
  <c r="AD94" i="3"/>
  <c r="AD95" i="3"/>
  <c r="AD96" i="3"/>
  <c r="AD97" i="3"/>
  <c r="AD98" i="3"/>
  <c r="AD99" i="3"/>
  <c r="AD100" i="3"/>
  <c r="AD101" i="3"/>
  <c r="AD102" i="3"/>
  <c r="AD103" i="3"/>
  <c r="AD104" i="3"/>
  <c r="AD105" i="3"/>
  <c r="AD106" i="3"/>
  <c r="AD107" i="3"/>
  <c r="AD108" i="3"/>
  <c r="AD109" i="3"/>
  <c r="AD110" i="3"/>
  <c r="AD111" i="3"/>
  <c r="AD112" i="3"/>
  <c r="AD113" i="3"/>
  <c r="AD114" i="3"/>
  <c r="AD115" i="3"/>
  <c r="AD116" i="3"/>
  <c r="AD117" i="3"/>
  <c r="AD118" i="3"/>
  <c r="AD119" i="3"/>
  <c r="AD120" i="3"/>
  <c r="AD121" i="3"/>
  <c r="AD122" i="3"/>
  <c r="AD123" i="3"/>
  <c r="AD124" i="3"/>
  <c r="AD125" i="3"/>
  <c r="AD126" i="3"/>
  <c r="AD127" i="3"/>
  <c r="AD128" i="3"/>
  <c r="AD129" i="3"/>
  <c r="AD130" i="3"/>
  <c r="AD131" i="3"/>
  <c r="AD132" i="3"/>
  <c r="AD133" i="3"/>
  <c r="AD134" i="3"/>
  <c r="AD135" i="3"/>
  <c r="AD136" i="3"/>
  <c r="AD137" i="3"/>
  <c r="AD138" i="3"/>
  <c r="AD139" i="3"/>
  <c r="AD140" i="3"/>
  <c r="AD141" i="3"/>
  <c r="AD142" i="3"/>
  <c r="AD143" i="3"/>
  <c r="AD144" i="3"/>
  <c r="AD145" i="3"/>
  <c r="AD146" i="3"/>
  <c r="AD147" i="3"/>
  <c r="AD148" i="3"/>
  <c r="AD149" i="3"/>
  <c r="AD150" i="3"/>
  <c r="AD151" i="3"/>
  <c r="AD152" i="3"/>
  <c r="AD153" i="3"/>
  <c r="AD154" i="3"/>
  <c r="AD155" i="3"/>
  <c r="AD156" i="3"/>
  <c r="AD157" i="3"/>
  <c r="AD158" i="3"/>
  <c r="AD159" i="3"/>
  <c r="AD160" i="3"/>
  <c r="AD161" i="3"/>
  <c r="AD162" i="3"/>
  <c r="AD163" i="3"/>
  <c r="AD164" i="3"/>
  <c r="AD165" i="3"/>
  <c r="AD166" i="3"/>
  <c r="AD167" i="3"/>
  <c r="AD168" i="3"/>
  <c r="AD169" i="3"/>
  <c r="AD170" i="3"/>
  <c r="AD171" i="3"/>
  <c r="AD172" i="3"/>
  <c r="AD173" i="3"/>
  <c r="AD174" i="3"/>
  <c r="AD175" i="3"/>
  <c r="AD176" i="3"/>
  <c r="AD177" i="3"/>
  <c r="AD178" i="3"/>
  <c r="AD179" i="3"/>
  <c r="AD180" i="3"/>
  <c r="AD181" i="3"/>
  <c r="AD182" i="3"/>
  <c r="AD183" i="3"/>
  <c r="AD184" i="3"/>
  <c r="AD185" i="3"/>
  <c r="AD186" i="3"/>
  <c r="AD187" i="3"/>
  <c r="AD188" i="3"/>
  <c r="AD189" i="3"/>
  <c r="AD190" i="3"/>
  <c r="AD191" i="3"/>
  <c r="AD192" i="3"/>
  <c r="AD193" i="3"/>
  <c r="AD194" i="3"/>
  <c r="AD195" i="3"/>
  <c r="AD196" i="3"/>
  <c r="AD197" i="3"/>
  <c r="AD198" i="3"/>
  <c r="AD199" i="3"/>
  <c r="AD200" i="3"/>
  <c r="AD201" i="3"/>
  <c r="AD202" i="3"/>
  <c r="AD203" i="3"/>
  <c r="AD204" i="3"/>
  <c r="AD205" i="3"/>
  <c r="AD206" i="3"/>
  <c r="AD207" i="3"/>
  <c r="AD208" i="3"/>
  <c r="AD209" i="3"/>
  <c r="AD210" i="3"/>
  <c r="AD211" i="3"/>
  <c r="AD212" i="3"/>
  <c r="AD213" i="3"/>
  <c r="AD214" i="3"/>
  <c r="AD215" i="3"/>
  <c r="AD216" i="3"/>
  <c r="AD217" i="3"/>
  <c r="AD218" i="3"/>
  <c r="AD219" i="3"/>
  <c r="AD220" i="3"/>
  <c r="AD221" i="3"/>
  <c r="AD222" i="3"/>
  <c r="AD223" i="3"/>
  <c r="AD224" i="3"/>
  <c r="AD225" i="3"/>
  <c r="AD226" i="3"/>
  <c r="AD227" i="3"/>
  <c r="AD228" i="3"/>
  <c r="AD229" i="3"/>
  <c r="AD230" i="3"/>
  <c r="AD231" i="3"/>
  <c r="AD232" i="3"/>
  <c r="AD233" i="3"/>
  <c r="AD234" i="3"/>
  <c r="AD235" i="3"/>
  <c r="AD236" i="3"/>
  <c r="AD237" i="3"/>
  <c r="AD238" i="3"/>
  <c r="AD239" i="3"/>
  <c r="AD240" i="3"/>
  <c r="AD241" i="3"/>
  <c r="AD242" i="3"/>
  <c r="AD243" i="3"/>
  <c r="AD244" i="3"/>
  <c r="AD245" i="3"/>
  <c r="AD246" i="3"/>
  <c r="AD247" i="3"/>
  <c r="AD248" i="3"/>
  <c r="AD249" i="3"/>
  <c r="AD250" i="3"/>
  <c r="AD251" i="3"/>
  <c r="AD252" i="3"/>
  <c r="AD253" i="3"/>
  <c r="AD254" i="3"/>
  <c r="AD255" i="3"/>
  <c r="AD256" i="3"/>
  <c r="AD257" i="3"/>
  <c r="AD258" i="3"/>
  <c r="AD259" i="3"/>
  <c r="AD260" i="3"/>
  <c r="AD261" i="3"/>
  <c r="AD262" i="3"/>
  <c r="AD263" i="3"/>
  <c r="AD264" i="3"/>
  <c r="AD265" i="3"/>
  <c r="AD266" i="3"/>
  <c r="AD267" i="3"/>
  <c r="AD268" i="3"/>
  <c r="AD269" i="3"/>
  <c r="AD270" i="3"/>
  <c r="AD271" i="3"/>
  <c r="AD272" i="3"/>
  <c r="AD273" i="3"/>
  <c r="AD274" i="3"/>
  <c r="AD275" i="3"/>
  <c r="AD276" i="3"/>
  <c r="AD277" i="3"/>
  <c r="AD278" i="3"/>
  <c r="AD279" i="3"/>
  <c r="AD280" i="3"/>
  <c r="AD281" i="3"/>
  <c r="AD282" i="3"/>
  <c r="AD283" i="3"/>
  <c r="AD284" i="3"/>
  <c r="AD285" i="3"/>
  <c r="AD286" i="3"/>
  <c r="AD287" i="3"/>
  <c r="AD288" i="3"/>
  <c r="AD289" i="3"/>
  <c r="AD290" i="3"/>
  <c r="AD291" i="3"/>
  <c r="AD292" i="3"/>
  <c r="AD293" i="3"/>
  <c r="AD294" i="3"/>
  <c r="AD295" i="3"/>
  <c r="AD296" i="3"/>
  <c r="AD297" i="3"/>
  <c r="AD298" i="3"/>
  <c r="AD299" i="3"/>
  <c r="AD300" i="3"/>
  <c r="Y10" i="3"/>
  <c r="Y11" i="3"/>
  <c r="Y12" i="3"/>
  <c r="Y13" i="3"/>
  <c r="Y14" i="3"/>
  <c r="Y15" i="3"/>
  <c r="Y16" i="3"/>
  <c r="Y17" i="3"/>
  <c r="Y18" i="3"/>
  <c r="Y19" i="3"/>
  <c r="Y20" i="3"/>
  <c r="Y21" i="3"/>
  <c r="Y22" i="3"/>
  <c r="Y23" i="3"/>
  <c r="Y24" i="3"/>
  <c r="Y25" i="3"/>
  <c r="Y26" i="3"/>
  <c r="Y27" i="3"/>
  <c r="Y28" i="3"/>
  <c r="Y29" i="3"/>
  <c r="Y30" i="3"/>
  <c r="Y31" i="3"/>
  <c r="Y32" i="3"/>
  <c r="Y33" i="3"/>
  <c r="Y34" i="3"/>
  <c r="Y35" i="3"/>
  <c r="Y36" i="3"/>
  <c r="Y37" i="3"/>
  <c r="Y38" i="3"/>
  <c r="Y39" i="3"/>
  <c r="Y40" i="3"/>
  <c r="Y41" i="3"/>
  <c r="Y42" i="3"/>
  <c r="Y43" i="3"/>
  <c r="Y44" i="3"/>
  <c r="Y45" i="3"/>
  <c r="Y46" i="3"/>
  <c r="Y47" i="3"/>
  <c r="Y48" i="3"/>
  <c r="Y49" i="3"/>
  <c r="Y50" i="3"/>
  <c r="Y51" i="3"/>
  <c r="Y52" i="3"/>
  <c r="Y53" i="3"/>
  <c r="Y54" i="3"/>
  <c r="Y55" i="3"/>
  <c r="Y56" i="3"/>
  <c r="Y57" i="3"/>
  <c r="Y58" i="3"/>
  <c r="Y59" i="3"/>
  <c r="Y60" i="3"/>
  <c r="Y61" i="3"/>
  <c r="Y62" i="3"/>
  <c r="Y63" i="3"/>
  <c r="Y64" i="3"/>
  <c r="Y65" i="3"/>
  <c r="Y66" i="3"/>
  <c r="Y67" i="3"/>
  <c r="Y68" i="3"/>
  <c r="Y69" i="3"/>
  <c r="Y70" i="3"/>
  <c r="Y71" i="3"/>
  <c r="Y72" i="3"/>
  <c r="Y73" i="3"/>
  <c r="Y74" i="3"/>
  <c r="Y75" i="3"/>
  <c r="Y76" i="3"/>
  <c r="Y77" i="3"/>
  <c r="Y78" i="3"/>
  <c r="Y79" i="3"/>
  <c r="Y80" i="3"/>
  <c r="Y81" i="3"/>
  <c r="Y82" i="3"/>
  <c r="Y83" i="3"/>
  <c r="Y84" i="3"/>
  <c r="Y85" i="3"/>
  <c r="Y86" i="3"/>
  <c r="Y87" i="3"/>
  <c r="Y88" i="3"/>
  <c r="Y89" i="3"/>
  <c r="Y90" i="3"/>
  <c r="Y91" i="3"/>
  <c r="Y92" i="3"/>
  <c r="Y93" i="3"/>
  <c r="Y94" i="3"/>
  <c r="Y95" i="3"/>
  <c r="Y96" i="3"/>
  <c r="Y97" i="3"/>
  <c r="Y98" i="3"/>
  <c r="Y99" i="3"/>
  <c r="Y100" i="3"/>
  <c r="Y101" i="3"/>
  <c r="Y102" i="3"/>
  <c r="Y103" i="3"/>
  <c r="Y104" i="3"/>
  <c r="Y105" i="3"/>
  <c r="Y106" i="3"/>
  <c r="Y107" i="3"/>
  <c r="Y108" i="3"/>
  <c r="Y109" i="3"/>
  <c r="Y110" i="3"/>
  <c r="Y111" i="3"/>
  <c r="Y112" i="3"/>
  <c r="Y113" i="3"/>
  <c r="Y114" i="3"/>
  <c r="Y115" i="3"/>
  <c r="Y116" i="3"/>
  <c r="Y117" i="3"/>
  <c r="Y118" i="3"/>
  <c r="Y119" i="3"/>
  <c r="Y120" i="3"/>
  <c r="Y121" i="3"/>
  <c r="Y122" i="3"/>
  <c r="Y123" i="3"/>
  <c r="Y124" i="3"/>
  <c r="Y125" i="3"/>
  <c r="Y126" i="3"/>
  <c r="Y127" i="3"/>
  <c r="Y128" i="3"/>
  <c r="Y129" i="3"/>
  <c r="Y130" i="3"/>
  <c r="Y131" i="3"/>
  <c r="Y132" i="3"/>
  <c r="Y133" i="3"/>
  <c r="Y134" i="3"/>
  <c r="Y135" i="3"/>
  <c r="Y136" i="3"/>
  <c r="Y137" i="3"/>
  <c r="Y138" i="3"/>
  <c r="Y139" i="3"/>
  <c r="Y140" i="3"/>
  <c r="Y141" i="3"/>
  <c r="Y142" i="3"/>
  <c r="Y143" i="3"/>
  <c r="Y144" i="3"/>
  <c r="Y145" i="3"/>
  <c r="Y146" i="3"/>
  <c r="Y147" i="3"/>
  <c r="Y148" i="3"/>
  <c r="Y149" i="3"/>
  <c r="Y150" i="3"/>
  <c r="Y151" i="3"/>
  <c r="Y152" i="3"/>
  <c r="Y153" i="3"/>
  <c r="Y154" i="3"/>
  <c r="Y155" i="3"/>
  <c r="Y156" i="3"/>
  <c r="Y157" i="3"/>
  <c r="Y158" i="3"/>
  <c r="Y159" i="3"/>
  <c r="Y160" i="3"/>
  <c r="Y161" i="3"/>
  <c r="Y162" i="3"/>
  <c r="Y163" i="3"/>
  <c r="Y164" i="3"/>
  <c r="Y165" i="3"/>
  <c r="Y166" i="3"/>
  <c r="Y167" i="3"/>
  <c r="Y168" i="3"/>
  <c r="Y169" i="3"/>
  <c r="Y170" i="3"/>
  <c r="Y171" i="3"/>
  <c r="Y172" i="3"/>
  <c r="Y173" i="3"/>
  <c r="Y174" i="3"/>
  <c r="Y175" i="3"/>
  <c r="Y176" i="3"/>
  <c r="Y177" i="3"/>
  <c r="Y178" i="3"/>
  <c r="Y179" i="3"/>
  <c r="Y180" i="3"/>
  <c r="Y181" i="3"/>
  <c r="Y182" i="3"/>
  <c r="Y183" i="3"/>
  <c r="Y184" i="3"/>
  <c r="Y185" i="3"/>
  <c r="Y186" i="3"/>
  <c r="Y187" i="3"/>
  <c r="Y188" i="3"/>
  <c r="Y189" i="3"/>
  <c r="Y190" i="3"/>
  <c r="Y191" i="3"/>
  <c r="Y192" i="3"/>
  <c r="Y193" i="3"/>
  <c r="Y194" i="3"/>
  <c r="Y195" i="3"/>
  <c r="Y196" i="3"/>
  <c r="Y197" i="3"/>
  <c r="Y198" i="3"/>
  <c r="Y199" i="3"/>
  <c r="Y200" i="3"/>
  <c r="Y201" i="3"/>
  <c r="Y202" i="3"/>
  <c r="Y203" i="3"/>
  <c r="Y204" i="3"/>
  <c r="Y205" i="3"/>
  <c r="Y206" i="3"/>
  <c r="Y207" i="3"/>
  <c r="Y208" i="3"/>
  <c r="Y209" i="3"/>
  <c r="Y210" i="3"/>
  <c r="Y211" i="3"/>
  <c r="Y212" i="3"/>
  <c r="Y213" i="3"/>
  <c r="Y214" i="3"/>
  <c r="Y215" i="3"/>
  <c r="Y216" i="3"/>
  <c r="Y217" i="3"/>
  <c r="Y218" i="3"/>
  <c r="Y219" i="3"/>
  <c r="Y220" i="3"/>
  <c r="Y221" i="3"/>
  <c r="Y222" i="3"/>
  <c r="Y223" i="3"/>
  <c r="Y224" i="3"/>
  <c r="Y225" i="3"/>
  <c r="Y226" i="3"/>
  <c r="Y227" i="3"/>
  <c r="Y228" i="3"/>
  <c r="Y229" i="3"/>
  <c r="Y230" i="3"/>
  <c r="Y231" i="3"/>
  <c r="Y232" i="3"/>
  <c r="Y233" i="3"/>
  <c r="Y234" i="3"/>
  <c r="Y235" i="3"/>
  <c r="Y236" i="3"/>
  <c r="Y237" i="3"/>
  <c r="Y238" i="3"/>
  <c r="Y239" i="3"/>
  <c r="Y240" i="3"/>
  <c r="Y241" i="3"/>
  <c r="Y242" i="3"/>
  <c r="Y243" i="3"/>
  <c r="Y244" i="3"/>
  <c r="Y245" i="3"/>
  <c r="Y246" i="3"/>
  <c r="Y247" i="3"/>
  <c r="Y248" i="3"/>
  <c r="Y249" i="3"/>
  <c r="Y250" i="3"/>
  <c r="Y251" i="3"/>
  <c r="Y252" i="3"/>
  <c r="Y253" i="3"/>
  <c r="Y254" i="3"/>
  <c r="Y255" i="3"/>
  <c r="Y256" i="3"/>
  <c r="Y257" i="3"/>
  <c r="Y258" i="3"/>
  <c r="Y259" i="3"/>
  <c r="Y260" i="3"/>
  <c r="Y261" i="3"/>
  <c r="Y262" i="3"/>
  <c r="Y263" i="3"/>
  <c r="Y264" i="3"/>
  <c r="Y265" i="3"/>
  <c r="Y266" i="3"/>
  <c r="Y267" i="3"/>
  <c r="Y268" i="3"/>
  <c r="Y269" i="3"/>
  <c r="Y270" i="3"/>
  <c r="Y271" i="3"/>
  <c r="Y272" i="3"/>
  <c r="Y273" i="3"/>
  <c r="Y274" i="3"/>
  <c r="Y275" i="3"/>
  <c r="Y276" i="3"/>
  <c r="Y277" i="3"/>
  <c r="Y278" i="3"/>
  <c r="Y279" i="3"/>
  <c r="Y280" i="3"/>
  <c r="Y281" i="3"/>
  <c r="Y282" i="3"/>
  <c r="Y283" i="3"/>
  <c r="Y284" i="3"/>
  <c r="Y285" i="3"/>
  <c r="Y286" i="3"/>
  <c r="Y287" i="3"/>
  <c r="Y288" i="3"/>
  <c r="Y289" i="3"/>
  <c r="Y290" i="3"/>
  <c r="Y291" i="3"/>
  <c r="Y292" i="3"/>
  <c r="Y293" i="3"/>
  <c r="Y294" i="3"/>
  <c r="Y295" i="3"/>
  <c r="Y296" i="3"/>
  <c r="Y297" i="3"/>
  <c r="Y298" i="3"/>
  <c r="Y299" i="3"/>
  <c r="Y300" i="3"/>
  <c r="T10" i="3"/>
  <c r="T11" i="3"/>
  <c r="T12" i="3"/>
  <c r="T13" i="3"/>
  <c r="T14" i="3"/>
  <c r="T15" i="3"/>
  <c r="T16" i="3"/>
  <c r="T17" i="3"/>
  <c r="T18" i="3"/>
  <c r="T19" i="3"/>
  <c r="T20" i="3"/>
  <c r="T21" i="3"/>
  <c r="T22" i="3"/>
  <c r="T23" i="3"/>
  <c r="T24" i="3"/>
  <c r="T25" i="3"/>
  <c r="T26" i="3"/>
  <c r="T27" i="3"/>
  <c r="T28" i="3"/>
  <c r="T29" i="3"/>
  <c r="T30" i="3"/>
  <c r="T31" i="3"/>
  <c r="T32" i="3"/>
  <c r="T33" i="3"/>
  <c r="T34" i="3"/>
  <c r="T35" i="3"/>
  <c r="T36" i="3"/>
  <c r="T37" i="3"/>
  <c r="T38" i="3"/>
  <c r="T39" i="3"/>
  <c r="T40" i="3"/>
  <c r="T41" i="3"/>
  <c r="T42" i="3"/>
  <c r="T43" i="3"/>
  <c r="T44" i="3"/>
  <c r="T45" i="3"/>
  <c r="T46" i="3"/>
  <c r="T47" i="3"/>
  <c r="T48" i="3"/>
  <c r="T49" i="3"/>
  <c r="T50" i="3"/>
  <c r="T51" i="3"/>
  <c r="T52" i="3"/>
  <c r="T53" i="3"/>
  <c r="T54" i="3"/>
  <c r="T55" i="3"/>
  <c r="T56" i="3"/>
  <c r="T57" i="3"/>
  <c r="T58" i="3"/>
  <c r="T59" i="3"/>
  <c r="T60" i="3"/>
  <c r="T61" i="3"/>
  <c r="T62" i="3"/>
  <c r="T63" i="3"/>
  <c r="T64" i="3"/>
  <c r="T65" i="3"/>
  <c r="T66" i="3"/>
  <c r="T67" i="3"/>
  <c r="T68" i="3"/>
  <c r="T69" i="3"/>
  <c r="T70" i="3"/>
  <c r="T71" i="3"/>
  <c r="T72" i="3"/>
  <c r="T73" i="3"/>
  <c r="T74" i="3"/>
  <c r="T75" i="3"/>
  <c r="T76" i="3"/>
  <c r="T77" i="3"/>
  <c r="T78" i="3"/>
  <c r="T79" i="3"/>
  <c r="T80" i="3"/>
  <c r="T81" i="3"/>
  <c r="T82" i="3"/>
  <c r="T83" i="3"/>
  <c r="T84" i="3"/>
  <c r="T85" i="3"/>
  <c r="T86" i="3"/>
  <c r="T87" i="3"/>
  <c r="T88" i="3"/>
  <c r="T89" i="3"/>
  <c r="T90" i="3"/>
  <c r="T91" i="3"/>
  <c r="T92" i="3"/>
  <c r="T93" i="3"/>
  <c r="T94" i="3"/>
  <c r="T95" i="3"/>
  <c r="T96" i="3"/>
  <c r="T97" i="3"/>
  <c r="T98" i="3"/>
  <c r="T99" i="3"/>
  <c r="T100" i="3"/>
  <c r="T101" i="3"/>
  <c r="T102" i="3"/>
  <c r="T103" i="3"/>
  <c r="T104" i="3"/>
  <c r="T105" i="3"/>
  <c r="T106" i="3"/>
  <c r="T107" i="3"/>
  <c r="T108" i="3"/>
  <c r="T109" i="3"/>
  <c r="T110" i="3"/>
  <c r="T111" i="3"/>
  <c r="T112" i="3"/>
  <c r="T113" i="3"/>
  <c r="T114" i="3"/>
  <c r="T115" i="3"/>
  <c r="T116" i="3"/>
  <c r="T117" i="3"/>
  <c r="T118" i="3"/>
  <c r="T119" i="3"/>
  <c r="T120" i="3"/>
  <c r="T121" i="3"/>
  <c r="T122" i="3"/>
  <c r="T123" i="3"/>
  <c r="T124" i="3"/>
  <c r="T125" i="3"/>
  <c r="T126" i="3"/>
  <c r="T127" i="3"/>
  <c r="T128" i="3"/>
  <c r="T129" i="3"/>
  <c r="T130" i="3"/>
  <c r="T131" i="3"/>
  <c r="T132" i="3"/>
  <c r="T133" i="3"/>
  <c r="T134" i="3"/>
  <c r="T135" i="3"/>
  <c r="T136" i="3"/>
  <c r="T137" i="3"/>
  <c r="T138" i="3"/>
  <c r="T139" i="3"/>
  <c r="T140" i="3"/>
  <c r="T141" i="3"/>
  <c r="T142" i="3"/>
  <c r="T143" i="3"/>
  <c r="T144" i="3"/>
  <c r="T145" i="3"/>
  <c r="T146" i="3"/>
  <c r="T147" i="3"/>
  <c r="T148" i="3"/>
  <c r="T149" i="3"/>
  <c r="T150" i="3"/>
  <c r="T151" i="3"/>
  <c r="T152" i="3"/>
  <c r="T153" i="3"/>
  <c r="T154" i="3"/>
  <c r="T155" i="3"/>
  <c r="T156" i="3"/>
  <c r="T157" i="3"/>
  <c r="T158" i="3"/>
  <c r="T159" i="3"/>
  <c r="T160" i="3"/>
  <c r="T161" i="3"/>
  <c r="T162" i="3"/>
  <c r="T163" i="3"/>
  <c r="T164" i="3"/>
  <c r="T165" i="3"/>
  <c r="T166" i="3"/>
  <c r="T167" i="3"/>
  <c r="T168" i="3"/>
  <c r="T169" i="3"/>
  <c r="T170" i="3"/>
  <c r="T171" i="3"/>
  <c r="T172" i="3"/>
  <c r="T173" i="3"/>
  <c r="T174" i="3"/>
  <c r="T175" i="3"/>
  <c r="T176" i="3"/>
  <c r="T177" i="3"/>
  <c r="T178" i="3"/>
  <c r="T179" i="3"/>
  <c r="T180" i="3"/>
  <c r="T181" i="3"/>
  <c r="T182" i="3"/>
  <c r="T183" i="3"/>
  <c r="T184" i="3"/>
  <c r="T185" i="3"/>
  <c r="T186" i="3"/>
  <c r="T187" i="3"/>
  <c r="T188" i="3"/>
  <c r="T189" i="3"/>
  <c r="T190" i="3"/>
  <c r="T191" i="3"/>
  <c r="T192" i="3"/>
  <c r="T193" i="3"/>
  <c r="T194" i="3"/>
  <c r="T195" i="3"/>
  <c r="T196" i="3"/>
  <c r="T197" i="3"/>
  <c r="T198" i="3"/>
  <c r="T199" i="3"/>
  <c r="T200" i="3"/>
  <c r="T201" i="3"/>
  <c r="T202" i="3"/>
  <c r="T203" i="3"/>
  <c r="T204" i="3"/>
  <c r="T205" i="3"/>
  <c r="T206" i="3"/>
  <c r="T207" i="3"/>
  <c r="T208" i="3"/>
  <c r="T209" i="3"/>
  <c r="T210" i="3"/>
  <c r="T211" i="3"/>
  <c r="T212" i="3"/>
  <c r="T213" i="3"/>
  <c r="T214" i="3"/>
  <c r="T215" i="3"/>
  <c r="T216" i="3"/>
  <c r="T217" i="3"/>
  <c r="T218" i="3"/>
  <c r="T219" i="3"/>
  <c r="T220" i="3"/>
  <c r="T221" i="3"/>
  <c r="T222" i="3"/>
  <c r="T223" i="3"/>
  <c r="T224" i="3"/>
  <c r="T225" i="3"/>
  <c r="T226" i="3"/>
  <c r="T227" i="3"/>
  <c r="T228" i="3"/>
  <c r="T229" i="3"/>
  <c r="T230" i="3"/>
  <c r="T231" i="3"/>
  <c r="T232" i="3"/>
  <c r="T233" i="3"/>
  <c r="T234" i="3"/>
  <c r="T235" i="3"/>
  <c r="T236" i="3"/>
  <c r="T237" i="3"/>
  <c r="T238" i="3"/>
  <c r="T239" i="3"/>
  <c r="T240" i="3"/>
  <c r="T241" i="3"/>
  <c r="T242" i="3"/>
  <c r="T243" i="3"/>
  <c r="T244" i="3"/>
  <c r="T245" i="3"/>
  <c r="T246" i="3"/>
  <c r="T247" i="3"/>
  <c r="T248" i="3"/>
  <c r="T249" i="3"/>
  <c r="T250" i="3"/>
  <c r="T251" i="3"/>
  <c r="T252" i="3"/>
  <c r="T253" i="3"/>
  <c r="T254" i="3"/>
  <c r="T255" i="3"/>
  <c r="T256" i="3"/>
  <c r="T257" i="3"/>
  <c r="T258" i="3"/>
  <c r="T259" i="3"/>
  <c r="T260" i="3"/>
  <c r="T261" i="3"/>
  <c r="T262" i="3"/>
  <c r="T263" i="3"/>
  <c r="T264" i="3"/>
  <c r="T265" i="3"/>
  <c r="T266" i="3"/>
  <c r="T267" i="3"/>
  <c r="T268" i="3"/>
  <c r="T269" i="3"/>
  <c r="T270" i="3"/>
  <c r="T271" i="3"/>
  <c r="T272" i="3"/>
  <c r="T273" i="3"/>
  <c r="T274" i="3"/>
  <c r="T275" i="3"/>
  <c r="T276" i="3"/>
  <c r="T277" i="3"/>
  <c r="T278" i="3"/>
  <c r="T279" i="3"/>
  <c r="T280" i="3"/>
  <c r="T281" i="3"/>
  <c r="T282" i="3"/>
  <c r="T283" i="3"/>
  <c r="T284" i="3"/>
  <c r="T285" i="3"/>
  <c r="T286" i="3"/>
  <c r="T287" i="3"/>
  <c r="T288" i="3"/>
  <c r="T289" i="3"/>
  <c r="T290" i="3"/>
  <c r="T291" i="3"/>
  <c r="T292" i="3"/>
  <c r="T293" i="3"/>
  <c r="T294" i="3"/>
  <c r="T295" i="3"/>
  <c r="T296" i="3"/>
  <c r="T297" i="3"/>
  <c r="T298" i="3"/>
  <c r="T299" i="3"/>
  <c r="T300" i="3"/>
  <c r="O10" i="3"/>
  <c r="O11" i="3"/>
  <c r="O12" i="3"/>
  <c r="O13" i="3"/>
  <c r="O14" i="3"/>
  <c r="O15" i="3"/>
  <c r="O16" i="3"/>
  <c r="O17" i="3"/>
  <c r="O18" i="3"/>
  <c r="O19" i="3"/>
  <c r="O20" i="3"/>
  <c r="O21" i="3"/>
  <c r="O22" i="3"/>
  <c r="O23" i="3"/>
  <c r="O24" i="3"/>
  <c r="O25" i="3"/>
  <c r="O26" i="3"/>
  <c r="O27" i="3"/>
  <c r="O28" i="3"/>
  <c r="O29" i="3"/>
  <c r="O30" i="3"/>
  <c r="O31" i="3"/>
  <c r="O32" i="3"/>
  <c r="O33" i="3"/>
  <c r="O34" i="3"/>
  <c r="O35" i="3"/>
  <c r="O36" i="3"/>
  <c r="O37" i="3"/>
  <c r="O38" i="3"/>
  <c r="O39" i="3"/>
  <c r="O40" i="3"/>
  <c r="O41" i="3"/>
  <c r="O42" i="3"/>
  <c r="O43" i="3"/>
  <c r="O44" i="3"/>
  <c r="O45" i="3"/>
  <c r="O46" i="3"/>
  <c r="O47" i="3"/>
  <c r="O48" i="3"/>
  <c r="O49" i="3"/>
  <c r="O50" i="3"/>
  <c r="O51" i="3"/>
  <c r="O52" i="3"/>
  <c r="O53" i="3"/>
  <c r="O54" i="3"/>
  <c r="O55" i="3"/>
  <c r="O56" i="3"/>
  <c r="O57" i="3"/>
  <c r="O58" i="3"/>
  <c r="O59" i="3"/>
  <c r="O60" i="3"/>
  <c r="O61" i="3"/>
  <c r="O62" i="3"/>
  <c r="O63" i="3"/>
  <c r="O64" i="3"/>
  <c r="O65" i="3"/>
  <c r="O66" i="3"/>
  <c r="O67" i="3"/>
  <c r="O68" i="3"/>
  <c r="O69" i="3"/>
  <c r="O70" i="3"/>
  <c r="O71" i="3"/>
  <c r="O72" i="3"/>
  <c r="O73" i="3"/>
  <c r="O74" i="3"/>
  <c r="O75" i="3"/>
  <c r="O76" i="3"/>
  <c r="O77" i="3"/>
  <c r="O78" i="3"/>
  <c r="O79" i="3"/>
  <c r="O80" i="3"/>
  <c r="O81" i="3"/>
  <c r="O82" i="3"/>
  <c r="O83" i="3"/>
  <c r="O84" i="3"/>
  <c r="O85" i="3"/>
  <c r="O86" i="3"/>
  <c r="O87" i="3"/>
  <c r="O88" i="3"/>
  <c r="O89" i="3"/>
  <c r="O90" i="3"/>
  <c r="O91" i="3"/>
  <c r="O92" i="3"/>
  <c r="O93" i="3"/>
  <c r="O94" i="3"/>
  <c r="O95" i="3"/>
  <c r="O96" i="3"/>
  <c r="O97" i="3"/>
  <c r="O98" i="3"/>
  <c r="O99" i="3"/>
  <c r="O100" i="3"/>
  <c r="O101" i="3"/>
  <c r="O102" i="3"/>
  <c r="O103" i="3"/>
  <c r="O104" i="3"/>
  <c r="O105" i="3"/>
  <c r="O106" i="3"/>
  <c r="O107" i="3"/>
  <c r="O108" i="3"/>
  <c r="O109" i="3"/>
  <c r="O110" i="3"/>
  <c r="O111" i="3"/>
  <c r="O112" i="3"/>
  <c r="O113" i="3"/>
  <c r="O114" i="3"/>
  <c r="O115" i="3"/>
  <c r="O116" i="3"/>
  <c r="O117" i="3"/>
  <c r="O118" i="3"/>
  <c r="O119" i="3"/>
  <c r="O120" i="3"/>
  <c r="O121" i="3"/>
  <c r="O122" i="3"/>
  <c r="O123" i="3"/>
  <c r="O124" i="3"/>
  <c r="O125" i="3"/>
  <c r="O126" i="3"/>
  <c r="O127" i="3"/>
  <c r="O128" i="3"/>
  <c r="O129" i="3"/>
  <c r="O130" i="3"/>
  <c r="O131" i="3"/>
  <c r="O132" i="3"/>
  <c r="O133" i="3"/>
  <c r="O134" i="3"/>
  <c r="O135" i="3"/>
  <c r="O136" i="3"/>
  <c r="O137" i="3"/>
  <c r="O138" i="3"/>
  <c r="O139" i="3"/>
  <c r="O140" i="3"/>
  <c r="O141" i="3"/>
  <c r="O142" i="3"/>
  <c r="O143" i="3"/>
  <c r="O144" i="3"/>
  <c r="O145" i="3"/>
  <c r="O146" i="3"/>
  <c r="O147" i="3"/>
  <c r="O148" i="3"/>
  <c r="O149" i="3"/>
  <c r="O150" i="3"/>
  <c r="O151" i="3"/>
  <c r="O152" i="3"/>
  <c r="O153" i="3"/>
  <c r="O154" i="3"/>
  <c r="O155" i="3"/>
  <c r="O156" i="3"/>
  <c r="O157" i="3"/>
  <c r="O158" i="3"/>
  <c r="O159" i="3"/>
  <c r="O160" i="3"/>
  <c r="O161" i="3"/>
  <c r="O162" i="3"/>
  <c r="O163" i="3"/>
  <c r="O164" i="3"/>
  <c r="O165" i="3"/>
  <c r="O166" i="3"/>
  <c r="O167" i="3"/>
  <c r="O168" i="3"/>
  <c r="O169" i="3"/>
  <c r="O170" i="3"/>
  <c r="O171" i="3"/>
  <c r="O172" i="3"/>
  <c r="O173" i="3"/>
  <c r="O174" i="3"/>
  <c r="O175" i="3"/>
  <c r="O176" i="3"/>
  <c r="O177" i="3"/>
  <c r="O178" i="3"/>
  <c r="O179" i="3"/>
  <c r="O180" i="3"/>
  <c r="O181" i="3"/>
  <c r="O182" i="3"/>
  <c r="O183" i="3"/>
  <c r="O184" i="3"/>
  <c r="O185" i="3"/>
  <c r="O186" i="3"/>
  <c r="O187" i="3"/>
  <c r="O188" i="3"/>
  <c r="O189" i="3"/>
  <c r="O190" i="3"/>
  <c r="O191" i="3"/>
  <c r="O192" i="3"/>
  <c r="O193" i="3"/>
  <c r="O194" i="3"/>
  <c r="O195" i="3"/>
  <c r="O196" i="3"/>
  <c r="O197" i="3"/>
  <c r="O198" i="3"/>
  <c r="O199" i="3"/>
  <c r="O200" i="3"/>
  <c r="O201" i="3"/>
  <c r="O202" i="3"/>
  <c r="O203" i="3"/>
  <c r="O204" i="3"/>
  <c r="O205" i="3"/>
  <c r="O206" i="3"/>
  <c r="O207" i="3"/>
  <c r="O208" i="3"/>
  <c r="O209" i="3"/>
  <c r="O210" i="3"/>
  <c r="O211" i="3"/>
  <c r="O212" i="3"/>
  <c r="O213" i="3"/>
  <c r="O214" i="3"/>
  <c r="O215" i="3"/>
  <c r="O216" i="3"/>
  <c r="O217" i="3"/>
  <c r="O218" i="3"/>
  <c r="O219" i="3"/>
  <c r="O220" i="3"/>
  <c r="O221" i="3"/>
  <c r="O222" i="3"/>
  <c r="O223" i="3"/>
  <c r="O224" i="3"/>
  <c r="O225" i="3"/>
  <c r="O226" i="3"/>
  <c r="O227" i="3"/>
  <c r="O228" i="3"/>
  <c r="O229" i="3"/>
  <c r="O230" i="3"/>
  <c r="O231" i="3"/>
  <c r="O232" i="3"/>
  <c r="O233" i="3"/>
  <c r="O234" i="3"/>
  <c r="O235" i="3"/>
  <c r="O236" i="3"/>
  <c r="O237" i="3"/>
  <c r="O238" i="3"/>
  <c r="O239" i="3"/>
  <c r="O240" i="3"/>
  <c r="O241" i="3"/>
  <c r="O242" i="3"/>
  <c r="O243" i="3"/>
  <c r="O244" i="3"/>
  <c r="O245" i="3"/>
  <c r="O246" i="3"/>
  <c r="O247" i="3"/>
  <c r="O248" i="3"/>
  <c r="O249" i="3"/>
  <c r="O250" i="3"/>
  <c r="O251" i="3"/>
  <c r="O252" i="3"/>
  <c r="O253" i="3"/>
  <c r="O254" i="3"/>
  <c r="O255" i="3"/>
  <c r="O256" i="3"/>
  <c r="O257" i="3"/>
  <c r="O258" i="3"/>
  <c r="O259" i="3"/>
  <c r="O260" i="3"/>
  <c r="O261" i="3"/>
  <c r="O262" i="3"/>
  <c r="O263" i="3"/>
  <c r="O264" i="3"/>
  <c r="O265" i="3"/>
  <c r="O266" i="3"/>
  <c r="O267" i="3"/>
  <c r="O268" i="3"/>
  <c r="O269" i="3"/>
  <c r="O270" i="3"/>
  <c r="O271" i="3"/>
  <c r="O272" i="3"/>
  <c r="O273" i="3"/>
  <c r="O274" i="3"/>
  <c r="O275" i="3"/>
  <c r="O276" i="3"/>
  <c r="O277" i="3"/>
  <c r="O278" i="3"/>
  <c r="O279" i="3"/>
  <c r="O280" i="3"/>
  <c r="O281" i="3"/>
  <c r="O282" i="3"/>
  <c r="O283" i="3"/>
  <c r="O284" i="3"/>
  <c r="O285" i="3"/>
  <c r="O286" i="3"/>
  <c r="O287" i="3"/>
  <c r="O288" i="3"/>
  <c r="O289" i="3"/>
  <c r="O290" i="3"/>
  <c r="O291" i="3"/>
  <c r="O292" i="3"/>
  <c r="O293" i="3"/>
  <c r="O294" i="3"/>
  <c r="O295" i="3"/>
  <c r="O296" i="3"/>
  <c r="O297" i="3"/>
  <c r="O298" i="3"/>
  <c r="O299" i="3"/>
  <c r="O300" i="3"/>
  <c r="AD9" i="3"/>
  <c r="Y9" i="3"/>
  <c r="T9" i="3"/>
  <c r="O9" i="3"/>
  <c r="J10" i="3"/>
  <c r="J11" i="3"/>
  <c r="J12" i="3"/>
  <c r="J13" i="3"/>
  <c r="J14" i="3"/>
  <c r="J15" i="3"/>
  <c r="J16" i="3"/>
  <c r="J17" i="3"/>
  <c r="J18" i="3"/>
  <c r="J19" i="3"/>
  <c r="J20" i="3"/>
  <c r="J21" i="3"/>
  <c r="J22" i="3"/>
  <c r="J23" i="3"/>
  <c r="J24" i="3"/>
  <c r="J25" i="3"/>
  <c r="J26" i="3"/>
  <c r="J27" i="3"/>
  <c r="J28" i="3"/>
  <c r="J29" i="3"/>
  <c r="J30" i="3"/>
  <c r="J31" i="3"/>
  <c r="J32" i="3"/>
  <c r="J33" i="3"/>
  <c r="J34" i="3"/>
  <c r="J35" i="3"/>
  <c r="J36" i="3"/>
  <c r="J37" i="3"/>
  <c r="J38" i="3"/>
  <c r="J39" i="3"/>
  <c r="J40" i="3"/>
  <c r="J41" i="3"/>
  <c r="J42" i="3"/>
  <c r="J43" i="3"/>
  <c r="J44" i="3"/>
  <c r="J45" i="3"/>
  <c r="J46" i="3"/>
  <c r="J47" i="3"/>
  <c r="J48" i="3"/>
  <c r="J49" i="3"/>
  <c r="J50" i="3"/>
  <c r="J51" i="3"/>
  <c r="J52" i="3"/>
  <c r="J53" i="3"/>
  <c r="J54" i="3"/>
  <c r="J55" i="3"/>
  <c r="J56" i="3"/>
  <c r="J57" i="3"/>
  <c r="J58" i="3"/>
  <c r="J59" i="3"/>
  <c r="J60" i="3"/>
  <c r="J61" i="3"/>
  <c r="J62" i="3"/>
  <c r="J63" i="3"/>
  <c r="J64" i="3"/>
  <c r="J65" i="3"/>
  <c r="J66" i="3"/>
  <c r="J67" i="3"/>
  <c r="J68" i="3"/>
  <c r="J69" i="3"/>
  <c r="J70" i="3"/>
  <c r="J71" i="3"/>
  <c r="J72" i="3"/>
  <c r="J73" i="3"/>
  <c r="J74" i="3"/>
  <c r="J75" i="3"/>
  <c r="J76" i="3"/>
  <c r="J77" i="3"/>
  <c r="J78" i="3"/>
  <c r="J79" i="3"/>
  <c r="J80" i="3"/>
  <c r="J81" i="3"/>
  <c r="J82" i="3"/>
  <c r="J83" i="3"/>
  <c r="J84" i="3"/>
  <c r="J85" i="3"/>
  <c r="J86" i="3"/>
  <c r="J87" i="3"/>
  <c r="J88" i="3"/>
  <c r="J89" i="3"/>
  <c r="J90" i="3"/>
  <c r="J91" i="3"/>
  <c r="J92" i="3"/>
  <c r="J93" i="3"/>
  <c r="J94" i="3"/>
  <c r="J95" i="3"/>
  <c r="J96" i="3"/>
  <c r="J97" i="3"/>
  <c r="J98" i="3"/>
  <c r="J99" i="3"/>
  <c r="J100" i="3"/>
  <c r="J101" i="3"/>
  <c r="J102" i="3"/>
  <c r="J103" i="3"/>
  <c r="J104" i="3"/>
  <c r="J105" i="3"/>
  <c r="J106" i="3"/>
  <c r="J107" i="3"/>
  <c r="J108" i="3"/>
  <c r="J109" i="3"/>
  <c r="J110" i="3"/>
  <c r="J111" i="3"/>
  <c r="J112" i="3"/>
  <c r="J113" i="3"/>
  <c r="J114" i="3"/>
  <c r="J115" i="3"/>
  <c r="J116" i="3"/>
  <c r="J117" i="3"/>
  <c r="J118" i="3"/>
  <c r="J119" i="3"/>
  <c r="J120" i="3"/>
  <c r="J121" i="3"/>
  <c r="J122" i="3"/>
  <c r="J123" i="3"/>
  <c r="J124" i="3"/>
  <c r="J125" i="3"/>
  <c r="J126" i="3"/>
  <c r="J127" i="3"/>
  <c r="J128" i="3"/>
  <c r="J129" i="3"/>
  <c r="J130" i="3"/>
  <c r="J131" i="3"/>
  <c r="J132" i="3"/>
  <c r="J133" i="3"/>
  <c r="J134" i="3"/>
  <c r="J135" i="3"/>
  <c r="J136" i="3"/>
  <c r="J137" i="3"/>
  <c r="J138" i="3"/>
  <c r="J139" i="3"/>
  <c r="J140" i="3"/>
  <c r="J141" i="3"/>
  <c r="J142" i="3"/>
  <c r="J143" i="3"/>
  <c r="J144" i="3"/>
  <c r="J145" i="3"/>
  <c r="J146" i="3"/>
  <c r="J147" i="3"/>
  <c r="J148" i="3"/>
  <c r="J149" i="3"/>
  <c r="J150" i="3"/>
  <c r="J151" i="3"/>
  <c r="J152" i="3"/>
  <c r="J153" i="3"/>
  <c r="J154" i="3"/>
  <c r="J155" i="3"/>
  <c r="J156" i="3"/>
  <c r="J157" i="3"/>
  <c r="J158" i="3"/>
  <c r="J159" i="3"/>
  <c r="J160" i="3"/>
  <c r="J161" i="3"/>
  <c r="J162" i="3"/>
  <c r="J163" i="3"/>
  <c r="J164" i="3"/>
  <c r="J165" i="3"/>
  <c r="J166" i="3"/>
  <c r="J167" i="3"/>
  <c r="J168" i="3"/>
  <c r="J169" i="3"/>
  <c r="J170" i="3"/>
  <c r="J171" i="3"/>
  <c r="J172" i="3"/>
  <c r="J173" i="3"/>
  <c r="J174" i="3"/>
  <c r="J175" i="3"/>
  <c r="J176" i="3"/>
  <c r="J177" i="3"/>
  <c r="J178" i="3"/>
  <c r="J179" i="3"/>
  <c r="J180" i="3"/>
  <c r="J181" i="3"/>
  <c r="J182" i="3"/>
  <c r="J183" i="3"/>
  <c r="J184" i="3"/>
  <c r="J185" i="3"/>
  <c r="J186" i="3"/>
  <c r="J187" i="3"/>
  <c r="J188" i="3"/>
  <c r="J189" i="3"/>
  <c r="J190" i="3"/>
  <c r="J191" i="3"/>
  <c r="J192" i="3"/>
  <c r="J193" i="3"/>
  <c r="J194" i="3"/>
  <c r="J195" i="3"/>
  <c r="J196" i="3"/>
  <c r="J197" i="3"/>
  <c r="J198" i="3"/>
  <c r="J199" i="3"/>
  <c r="J200" i="3"/>
  <c r="J201" i="3"/>
  <c r="J202" i="3"/>
  <c r="J203" i="3"/>
  <c r="J204" i="3"/>
  <c r="J205" i="3"/>
  <c r="J206" i="3"/>
  <c r="J207" i="3"/>
  <c r="J208" i="3"/>
  <c r="J209" i="3"/>
  <c r="J210" i="3"/>
  <c r="J211" i="3"/>
  <c r="J212" i="3"/>
  <c r="J213" i="3"/>
  <c r="J214" i="3"/>
  <c r="J215" i="3"/>
  <c r="J216" i="3"/>
  <c r="J217" i="3"/>
  <c r="J218" i="3"/>
  <c r="J219" i="3"/>
  <c r="J220" i="3"/>
  <c r="J221" i="3"/>
  <c r="J222" i="3"/>
  <c r="J223" i="3"/>
  <c r="J224" i="3"/>
  <c r="J225" i="3"/>
  <c r="J226" i="3"/>
  <c r="J227" i="3"/>
  <c r="J228" i="3"/>
  <c r="J229" i="3"/>
  <c r="J230" i="3"/>
  <c r="J231" i="3"/>
  <c r="J232" i="3"/>
  <c r="J233" i="3"/>
  <c r="J234" i="3"/>
  <c r="J235" i="3"/>
  <c r="J236" i="3"/>
  <c r="J237" i="3"/>
  <c r="J238" i="3"/>
  <c r="J239" i="3"/>
  <c r="J240" i="3"/>
  <c r="J241" i="3"/>
  <c r="J242" i="3"/>
  <c r="J243" i="3"/>
  <c r="J244" i="3"/>
  <c r="J245" i="3"/>
  <c r="J246" i="3"/>
  <c r="J247" i="3"/>
  <c r="J248" i="3"/>
  <c r="J249" i="3"/>
  <c r="J250" i="3"/>
  <c r="J251" i="3"/>
  <c r="J252" i="3"/>
  <c r="J253" i="3"/>
  <c r="J254" i="3"/>
  <c r="J255" i="3"/>
  <c r="J256" i="3"/>
  <c r="J257" i="3"/>
  <c r="J258" i="3"/>
  <c r="J259" i="3"/>
  <c r="J260" i="3"/>
  <c r="J261" i="3"/>
  <c r="J262" i="3"/>
  <c r="J263" i="3"/>
  <c r="J264" i="3"/>
  <c r="J265" i="3"/>
  <c r="J266" i="3"/>
  <c r="J267" i="3"/>
  <c r="J268" i="3"/>
  <c r="J269" i="3"/>
  <c r="J270" i="3"/>
  <c r="J271" i="3"/>
  <c r="J272" i="3"/>
  <c r="J273" i="3"/>
  <c r="J274" i="3"/>
  <c r="J275" i="3"/>
  <c r="J276" i="3"/>
  <c r="J277" i="3"/>
  <c r="J278" i="3"/>
  <c r="J279" i="3"/>
  <c r="J280" i="3"/>
  <c r="J281" i="3"/>
  <c r="J282" i="3"/>
  <c r="J283" i="3"/>
  <c r="J284" i="3"/>
  <c r="J285" i="3"/>
  <c r="J286" i="3"/>
  <c r="J287" i="3"/>
  <c r="J288" i="3"/>
  <c r="J289" i="3"/>
  <c r="J290" i="3"/>
  <c r="J291" i="3"/>
  <c r="J292" i="3"/>
  <c r="J293" i="3"/>
  <c r="J294" i="3"/>
  <c r="J295" i="3"/>
  <c r="J296" i="3"/>
  <c r="J297" i="3"/>
  <c r="J298" i="3"/>
  <c r="J299" i="3"/>
  <c r="J300" i="3"/>
  <c r="J9" i="3"/>
  <c r="B4" i="3" l="1"/>
  <c r="B3" i="3"/>
  <c r="AG101" i="3"/>
  <c r="AG102" i="3"/>
  <c r="AG103" i="3"/>
  <c r="AG104" i="3"/>
  <c r="AG105" i="3"/>
  <c r="AG106" i="3"/>
  <c r="AG107" i="3"/>
  <c r="AG108" i="3"/>
  <c r="AG109" i="3"/>
  <c r="AG110" i="3"/>
  <c r="AG111" i="3"/>
  <c r="AG112" i="3"/>
  <c r="AG113" i="3"/>
  <c r="AG114" i="3"/>
  <c r="AG115" i="3"/>
  <c r="AG116" i="3"/>
  <c r="AG117" i="3"/>
  <c r="AG118" i="3"/>
  <c r="AG119" i="3"/>
  <c r="AG120" i="3"/>
  <c r="AG121" i="3"/>
  <c r="AG122" i="3"/>
  <c r="AG123" i="3"/>
  <c r="AG124" i="3"/>
  <c r="AG125" i="3"/>
  <c r="AG126" i="3"/>
  <c r="AG127" i="3"/>
  <c r="AG128" i="3"/>
  <c r="AG129" i="3"/>
  <c r="AG130" i="3"/>
  <c r="AG131" i="3"/>
  <c r="AG132" i="3"/>
  <c r="AG133" i="3"/>
  <c r="AG134" i="3"/>
  <c r="AG135" i="3"/>
  <c r="AG136" i="3"/>
  <c r="AG137" i="3"/>
  <c r="AG138" i="3"/>
  <c r="AG139" i="3"/>
  <c r="AG140" i="3"/>
  <c r="AG141" i="3"/>
  <c r="AG142" i="3"/>
  <c r="AG143" i="3"/>
  <c r="AG144" i="3"/>
  <c r="AG145" i="3"/>
  <c r="AG146" i="3"/>
  <c r="AG147" i="3"/>
  <c r="AG148" i="3"/>
  <c r="AG149" i="3"/>
  <c r="AG150" i="3"/>
  <c r="AG151" i="3"/>
  <c r="AG152" i="3"/>
  <c r="AG153" i="3"/>
  <c r="AG154" i="3"/>
  <c r="AG155" i="3"/>
  <c r="AG156" i="3"/>
  <c r="AG157" i="3"/>
  <c r="AG158" i="3"/>
  <c r="AG159" i="3"/>
  <c r="AG160" i="3"/>
  <c r="AG161" i="3"/>
  <c r="AG162" i="3"/>
  <c r="AG163" i="3"/>
  <c r="AG164" i="3"/>
  <c r="AG165" i="3"/>
  <c r="AG166" i="3"/>
  <c r="AG167" i="3"/>
  <c r="AG168" i="3"/>
  <c r="AG169" i="3"/>
  <c r="AG170" i="3"/>
  <c r="AG171" i="3"/>
  <c r="AG172" i="3"/>
  <c r="AG173" i="3"/>
  <c r="AG174" i="3"/>
  <c r="AG175" i="3"/>
  <c r="AG176" i="3"/>
  <c r="AG177" i="3"/>
  <c r="AG178" i="3"/>
  <c r="AG179" i="3"/>
  <c r="AG180" i="3"/>
  <c r="AG181" i="3"/>
  <c r="AG182" i="3"/>
  <c r="AG183" i="3"/>
  <c r="AG184" i="3"/>
  <c r="AG185" i="3"/>
  <c r="AG186" i="3"/>
  <c r="AG187" i="3"/>
  <c r="AG188" i="3"/>
  <c r="AG189" i="3"/>
  <c r="AG190" i="3"/>
  <c r="AG191" i="3"/>
  <c r="AG192" i="3"/>
  <c r="AG193" i="3"/>
  <c r="AG194" i="3"/>
  <c r="AG195" i="3"/>
  <c r="AG196" i="3"/>
  <c r="AG197" i="3"/>
  <c r="AG198" i="3"/>
  <c r="AG199" i="3"/>
  <c r="AG200" i="3"/>
  <c r="AG201" i="3"/>
  <c r="AG202" i="3"/>
  <c r="AG203" i="3"/>
  <c r="AG204" i="3"/>
  <c r="AG205" i="3"/>
  <c r="AG206" i="3"/>
  <c r="AG207" i="3"/>
  <c r="AG208" i="3"/>
  <c r="AG209" i="3"/>
  <c r="AG210" i="3"/>
  <c r="AG211" i="3"/>
  <c r="AG212" i="3"/>
  <c r="AG213" i="3"/>
  <c r="AG214" i="3"/>
  <c r="AG215" i="3"/>
  <c r="AG216" i="3"/>
  <c r="AG217" i="3"/>
  <c r="AG218" i="3"/>
  <c r="AG219" i="3"/>
  <c r="AG220" i="3"/>
  <c r="AG221" i="3"/>
  <c r="AG222" i="3"/>
  <c r="AG223" i="3"/>
  <c r="AG224" i="3"/>
  <c r="AG225" i="3"/>
  <c r="AG226" i="3"/>
  <c r="AG227" i="3"/>
  <c r="AG228" i="3"/>
  <c r="AG229" i="3"/>
  <c r="AG230" i="3"/>
  <c r="AG231" i="3"/>
  <c r="AG232" i="3"/>
  <c r="AG233" i="3"/>
  <c r="AG234" i="3"/>
  <c r="AG235" i="3"/>
  <c r="AG236" i="3"/>
  <c r="AG237" i="3"/>
  <c r="AG238" i="3"/>
  <c r="AG239" i="3"/>
  <c r="AG240" i="3"/>
  <c r="AG241" i="3"/>
  <c r="AG242" i="3"/>
  <c r="AG243" i="3"/>
  <c r="AG244" i="3"/>
  <c r="AG245" i="3"/>
  <c r="AG246" i="3"/>
  <c r="AG247" i="3"/>
  <c r="AG248" i="3"/>
  <c r="AG249" i="3"/>
  <c r="AG250" i="3"/>
  <c r="AG251" i="3"/>
  <c r="AG252" i="3"/>
  <c r="AG253" i="3"/>
  <c r="AG254" i="3"/>
  <c r="AG255" i="3"/>
  <c r="AG256" i="3"/>
  <c r="AG257" i="3"/>
  <c r="AG258" i="3"/>
  <c r="AG259" i="3"/>
  <c r="AG260" i="3"/>
  <c r="AG261" i="3"/>
  <c r="AG262" i="3"/>
  <c r="AG263" i="3"/>
  <c r="AG264" i="3"/>
  <c r="AG265" i="3"/>
  <c r="AG266" i="3"/>
  <c r="AG267" i="3"/>
  <c r="AG268" i="3"/>
  <c r="AG269" i="3"/>
  <c r="AG270" i="3"/>
  <c r="AG271" i="3"/>
  <c r="AG272" i="3"/>
  <c r="AG273" i="3"/>
  <c r="AG274" i="3"/>
  <c r="AG275" i="3"/>
  <c r="AG276" i="3"/>
  <c r="AG277" i="3"/>
  <c r="AG278" i="3"/>
  <c r="AG279" i="3"/>
  <c r="AG280" i="3"/>
  <c r="AG281" i="3"/>
  <c r="AG282" i="3"/>
  <c r="AG283" i="3"/>
  <c r="AG284" i="3"/>
  <c r="AG285" i="3"/>
  <c r="AG286" i="3"/>
  <c r="AG287" i="3"/>
  <c r="AG288" i="3"/>
  <c r="AG289" i="3"/>
  <c r="AG290" i="3"/>
  <c r="AG291" i="3"/>
  <c r="AG292" i="3"/>
  <c r="AG293" i="3"/>
  <c r="AG294" i="3"/>
  <c r="AG295" i="3"/>
  <c r="AG296" i="3"/>
  <c r="AG297" i="3"/>
  <c r="AG298" i="3"/>
  <c r="AG299" i="3"/>
  <c r="AG300" i="3"/>
  <c r="AB101" i="3"/>
  <c r="AB102" i="3"/>
  <c r="AB103" i="3"/>
  <c r="AB104" i="3"/>
  <c r="AB105" i="3"/>
  <c r="AB106" i="3"/>
  <c r="AB107" i="3"/>
  <c r="AB108" i="3"/>
  <c r="AB109" i="3"/>
  <c r="AB110" i="3"/>
  <c r="AB111" i="3"/>
  <c r="AB112" i="3"/>
  <c r="AB113" i="3"/>
  <c r="AB114" i="3"/>
  <c r="AB115" i="3"/>
  <c r="AB116" i="3"/>
  <c r="AB117" i="3"/>
  <c r="AB118" i="3"/>
  <c r="AB119" i="3"/>
  <c r="AB120" i="3"/>
  <c r="AB121" i="3"/>
  <c r="AB122" i="3"/>
  <c r="AB123" i="3"/>
  <c r="AB124" i="3"/>
  <c r="AB125" i="3"/>
  <c r="AB126" i="3"/>
  <c r="AB127" i="3"/>
  <c r="AB128" i="3"/>
  <c r="AB129" i="3"/>
  <c r="AB130" i="3"/>
  <c r="AB131" i="3"/>
  <c r="AB132" i="3"/>
  <c r="AB133" i="3"/>
  <c r="AB134" i="3"/>
  <c r="AB135" i="3"/>
  <c r="AB136" i="3"/>
  <c r="AB137" i="3"/>
  <c r="AB138" i="3"/>
  <c r="AB139" i="3"/>
  <c r="AB140" i="3"/>
  <c r="AB141" i="3"/>
  <c r="AB142" i="3"/>
  <c r="AB143" i="3"/>
  <c r="AB144" i="3"/>
  <c r="AB145" i="3"/>
  <c r="AB146" i="3"/>
  <c r="AB147" i="3"/>
  <c r="AB148" i="3"/>
  <c r="AB149" i="3"/>
  <c r="AB150" i="3"/>
  <c r="AB151" i="3"/>
  <c r="AB152" i="3"/>
  <c r="AB153" i="3"/>
  <c r="AB154" i="3"/>
  <c r="AB155" i="3"/>
  <c r="AB156" i="3"/>
  <c r="AB157" i="3"/>
  <c r="AB158" i="3"/>
  <c r="AB159" i="3"/>
  <c r="AB160" i="3"/>
  <c r="AB161" i="3"/>
  <c r="AB162" i="3"/>
  <c r="AB163" i="3"/>
  <c r="AB164" i="3"/>
  <c r="AB165" i="3"/>
  <c r="AB166" i="3"/>
  <c r="AB167" i="3"/>
  <c r="AB168" i="3"/>
  <c r="AB169" i="3"/>
  <c r="AB170" i="3"/>
  <c r="AB171" i="3"/>
  <c r="AB172" i="3"/>
  <c r="AB173" i="3"/>
  <c r="AB174" i="3"/>
  <c r="AB175" i="3"/>
  <c r="AB176" i="3"/>
  <c r="AB177" i="3"/>
  <c r="AB178" i="3"/>
  <c r="AB179" i="3"/>
  <c r="AB180" i="3"/>
  <c r="AB181" i="3"/>
  <c r="AB182" i="3"/>
  <c r="AB183" i="3"/>
  <c r="AB184" i="3"/>
  <c r="AB185" i="3"/>
  <c r="AB186" i="3"/>
  <c r="AB187" i="3"/>
  <c r="AB188" i="3"/>
  <c r="AB189" i="3"/>
  <c r="AB190" i="3"/>
  <c r="AB191" i="3"/>
  <c r="AB192" i="3"/>
  <c r="AB193" i="3"/>
  <c r="AB194" i="3"/>
  <c r="AB195" i="3"/>
  <c r="AB196" i="3"/>
  <c r="AB197" i="3"/>
  <c r="AB198" i="3"/>
  <c r="AB199" i="3"/>
  <c r="AB200" i="3"/>
  <c r="AB201" i="3"/>
  <c r="AB202" i="3"/>
  <c r="AB203" i="3"/>
  <c r="AB204" i="3"/>
  <c r="AB205" i="3"/>
  <c r="AB206" i="3"/>
  <c r="AB207" i="3"/>
  <c r="AB208" i="3"/>
  <c r="AB209" i="3"/>
  <c r="AB210" i="3"/>
  <c r="AB211" i="3"/>
  <c r="AB212" i="3"/>
  <c r="AB213" i="3"/>
  <c r="AB214" i="3"/>
  <c r="AB215" i="3"/>
  <c r="AB216" i="3"/>
  <c r="AB217" i="3"/>
  <c r="AB218" i="3"/>
  <c r="AB219" i="3"/>
  <c r="AB220" i="3"/>
  <c r="AB221" i="3"/>
  <c r="AB222" i="3"/>
  <c r="AB223" i="3"/>
  <c r="AB224" i="3"/>
  <c r="AB225" i="3"/>
  <c r="AB226" i="3"/>
  <c r="AB227" i="3"/>
  <c r="AB228" i="3"/>
  <c r="AB229" i="3"/>
  <c r="AB230" i="3"/>
  <c r="AB231" i="3"/>
  <c r="AB232" i="3"/>
  <c r="AB233" i="3"/>
  <c r="AB234" i="3"/>
  <c r="AB235" i="3"/>
  <c r="AB236" i="3"/>
  <c r="AB237" i="3"/>
  <c r="AB238" i="3"/>
  <c r="AB239" i="3"/>
  <c r="AB240" i="3"/>
  <c r="AB241" i="3"/>
  <c r="AB242" i="3"/>
  <c r="AB243" i="3"/>
  <c r="AB244" i="3"/>
  <c r="AB245" i="3"/>
  <c r="AB246" i="3"/>
  <c r="AB247" i="3"/>
  <c r="AB248" i="3"/>
  <c r="AB249" i="3"/>
  <c r="AB250" i="3"/>
  <c r="AB251" i="3"/>
  <c r="AB252" i="3"/>
  <c r="AB253" i="3"/>
  <c r="AB254" i="3"/>
  <c r="AB255" i="3"/>
  <c r="AB256" i="3"/>
  <c r="AB257" i="3"/>
  <c r="AB258" i="3"/>
  <c r="AB259" i="3"/>
  <c r="AB260" i="3"/>
  <c r="AB261" i="3"/>
  <c r="AB262" i="3"/>
  <c r="AB263" i="3"/>
  <c r="AB264" i="3"/>
  <c r="AB265" i="3"/>
  <c r="AB266" i="3"/>
  <c r="AB267" i="3"/>
  <c r="AB268" i="3"/>
  <c r="AB269" i="3"/>
  <c r="AB270" i="3"/>
  <c r="AB271" i="3"/>
  <c r="AB272" i="3"/>
  <c r="AB273" i="3"/>
  <c r="AB274" i="3"/>
  <c r="AB275" i="3"/>
  <c r="AB276" i="3"/>
  <c r="AB277" i="3"/>
  <c r="AB278" i="3"/>
  <c r="AB279" i="3"/>
  <c r="AB280" i="3"/>
  <c r="AB281" i="3"/>
  <c r="AB282" i="3"/>
  <c r="AB283" i="3"/>
  <c r="AB284" i="3"/>
  <c r="AB285" i="3"/>
  <c r="AB286" i="3"/>
  <c r="AB287" i="3"/>
  <c r="AB288" i="3"/>
  <c r="AB289" i="3"/>
  <c r="AB290" i="3"/>
  <c r="AB291" i="3"/>
  <c r="AB292" i="3"/>
  <c r="AB293" i="3"/>
  <c r="AB294" i="3"/>
  <c r="AB295" i="3"/>
  <c r="AB296" i="3"/>
  <c r="AB297" i="3"/>
  <c r="AB298" i="3"/>
  <c r="AB299" i="3"/>
  <c r="AB300" i="3"/>
  <c r="W101" i="3"/>
  <c r="W102" i="3"/>
  <c r="W103" i="3"/>
  <c r="W104" i="3"/>
  <c r="W105" i="3"/>
  <c r="W106" i="3"/>
  <c r="W107" i="3"/>
  <c r="W108" i="3"/>
  <c r="W109" i="3"/>
  <c r="W110" i="3"/>
  <c r="W111" i="3"/>
  <c r="W112" i="3"/>
  <c r="W113" i="3"/>
  <c r="W114" i="3"/>
  <c r="W115" i="3"/>
  <c r="W116" i="3"/>
  <c r="W117" i="3"/>
  <c r="W118" i="3"/>
  <c r="W119" i="3"/>
  <c r="W120" i="3"/>
  <c r="W121" i="3"/>
  <c r="W122" i="3"/>
  <c r="W123" i="3"/>
  <c r="W124" i="3"/>
  <c r="W125" i="3"/>
  <c r="W126" i="3"/>
  <c r="W127" i="3"/>
  <c r="W128" i="3"/>
  <c r="W129" i="3"/>
  <c r="W130" i="3"/>
  <c r="W131" i="3"/>
  <c r="W132" i="3"/>
  <c r="W133" i="3"/>
  <c r="W134" i="3"/>
  <c r="W135" i="3"/>
  <c r="W136" i="3"/>
  <c r="W137" i="3"/>
  <c r="W138" i="3"/>
  <c r="W139" i="3"/>
  <c r="W140" i="3"/>
  <c r="W141" i="3"/>
  <c r="W142" i="3"/>
  <c r="W143" i="3"/>
  <c r="W144" i="3"/>
  <c r="W145" i="3"/>
  <c r="W146" i="3"/>
  <c r="W147" i="3"/>
  <c r="W148" i="3"/>
  <c r="W149" i="3"/>
  <c r="W150" i="3"/>
  <c r="W151" i="3"/>
  <c r="W152" i="3"/>
  <c r="W153" i="3"/>
  <c r="W154" i="3"/>
  <c r="W155" i="3"/>
  <c r="W156" i="3"/>
  <c r="W157" i="3"/>
  <c r="W158" i="3"/>
  <c r="W159" i="3"/>
  <c r="W160" i="3"/>
  <c r="W161" i="3"/>
  <c r="W162" i="3"/>
  <c r="W163" i="3"/>
  <c r="W164" i="3"/>
  <c r="W165" i="3"/>
  <c r="W166" i="3"/>
  <c r="W167" i="3"/>
  <c r="W168" i="3"/>
  <c r="W169" i="3"/>
  <c r="W170" i="3"/>
  <c r="W171" i="3"/>
  <c r="W172" i="3"/>
  <c r="W173" i="3"/>
  <c r="W174" i="3"/>
  <c r="W175" i="3"/>
  <c r="W176" i="3"/>
  <c r="W177" i="3"/>
  <c r="W178" i="3"/>
  <c r="W179" i="3"/>
  <c r="W180" i="3"/>
  <c r="W181" i="3"/>
  <c r="W182" i="3"/>
  <c r="W183" i="3"/>
  <c r="W184" i="3"/>
  <c r="W185" i="3"/>
  <c r="W186" i="3"/>
  <c r="W187" i="3"/>
  <c r="W188" i="3"/>
  <c r="W189" i="3"/>
  <c r="W190" i="3"/>
  <c r="W191" i="3"/>
  <c r="W192" i="3"/>
  <c r="W193" i="3"/>
  <c r="W194" i="3"/>
  <c r="W195" i="3"/>
  <c r="W196" i="3"/>
  <c r="W197" i="3"/>
  <c r="W198" i="3"/>
  <c r="W199" i="3"/>
  <c r="W200" i="3"/>
  <c r="W201" i="3"/>
  <c r="W202" i="3"/>
  <c r="W203" i="3"/>
  <c r="W204" i="3"/>
  <c r="W205" i="3"/>
  <c r="W206" i="3"/>
  <c r="W207" i="3"/>
  <c r="W208" i="3"/>
  <c r="W209" i="3"/>
  <c r="W210" i="3"/>
  <c r="W211" i="3"/>
  <c r="W212" i="3"/>
  <c r="W213" i="3"/>
  <c r="W214" i="3"/>
  <c r="W215" i="3"/>
  <c r="W216" i="3"/>
  <c r="W217" i="3"/>
  <c r="W218" i="3"/>
  <c r="W219" i="3"/>
  <c r="W220" i="3"/>
  <c r="W221" i="3"/>
  <c r="W222" i="3"/>
  <c r="W223" i="3"/>
  <c r="W224" i="3"/>
  <c r="W225" i="3"/>
  <c r="W226" i="3"/>
  <c r="W227" i="3"/>
  <c r="W228" i="3"/>
  <c r="W229" i="3"/>
  <c r="W230" i="3"/>
  <c r="W231" i="3"/>
  <c r="W232" i="3"/>
  <c r="W233" i="3"/>
  <c r="W234" i="3"/>
  <c r="W235" i="3"/>
  <c r="W236" i="3"/>
  <c r="W237" i="3"/>
  <c r="W238" i="3"/>
  <c r="W239" i="3"/>
  <c r="W240" i="3"/>
  <c r="W241" i="3"/>
  <c r="W242" i="3"/>
  <c r="W243" i="3"/>
  <c r="W244" i="3"/>
  <c r="W245" i="3"/>
  <c r="W246" i="3"/>
  <c r="W247" i="3"/>
  <c r="W248" i="3"/>
  <c r="W249" i="3"/>
  <c r="W250" i="3"/>
  <c r="W251" i="3"/>
  <c r="W252" i="3"/>
  <c r="W253" i="3"/>
  <c r="W254" i="3"/>
  <c r="W255" i="3"/>
  <c r="W256" i="3"/>
  <c r="W257" i="3"/>
  <c r="W258" i="3"/>
  <c r="W259" i="3"/>
  <c r="W260" i="3"/>
  <c r="W261" i="3"/>
  <c r="W262" i="3"/>
  <c r="W263" i="3"/>
  <c r="W264" i="3"/>
  <c r="W265" i="3"/>
  <c r="W266" i="3"/>
  <c r="W267" i="3"/>
  <c r="W268" i="3"/>
  <c r="W269" i="3"/>
  <c r="W270" i="3"/>
  <c r="W271" i="3"/>
  <c r="W272" i="3"/>
  <c r="W273" i="3"/>
  <c r="W274" i="3"/>
  <c r="W275" i="3"/>
  <c r="W276" i="3"/>
  <c r="W277" i="3"/>
  <c r="W278" i="3"/>
  <c r="W279" i="3"/>
  <c r="W280" i="3"/>
  <c r="W281" i="3"/>
  <c r="W282" i="3"/>
  <c r="W283" i="3"/>
  <c r="W284" i="3"/>
  <c r="W285" i="3"/>
  <c r="W286" i="3"/>
  <c r="W287" i="3"/>
  <c r="W288" i="3"/>
  <c r="W289" i="3"/>
  <c r="W290" i="3"/>
  <c r="W291" i="3"/>
  <c r="W292" i="3"/>
  <c r="W293" i="3"/>
  <c r="W294" i="3"/>
  <c r="W295" i="3"/>
  <c r="W296" i="3"/>
  <c r="W297" i="3"/>
  <c r="W298" i="3"/>
  <c r="W299" i="3"/>
  <c r="W300" i="3"/>
  <c r="R101" i="3"/>
  <c r="R102" i="3"/>
  <c r="R103" i="3"/>
  <c r="R104" i="3"/>
  <c r="R105" i="3"/>
  <c r="R106" i="3"/>
  <c r="R107" i="3"/>
  <c r="R108" i="3"/>
  <c r="R109" i="3"/>
  <c r="R110" i="3"/>
  <c r="R111" i="3"/>
  <c r="R112" i="3"/>
  <c r="R113" i="3"/>
  <c r="R114" i="3"/>
  <c r="R115" i="3"/>
  <c r="R116" i="3"/>
  <c r="R117" i="3"/>
  <c r="R118" i="3"/>
  <c r="R119" i="3"/>
  <c r="R120" i="3"/>
  <c r="R121" i="3"/>
  <c r="R122" i="3"/>
  <c r="R123" i="3"/>
  <c r="R124" i="3"/>
  <c r="R125" i="3"/>
  <c r="R126" i="3"/>
  <c r="R127" i="3"/>
  <c r="R128" i="3"/>
  <c r="R129" i="3"/>
  <c r="R130" i="3"/>
  <c r="R131" i="3"/>
  <c r="R132" i="3"/>
  <c r="R133" i="3"/>
  <c r="R134" i="3"/>
  <c r="R135" i="3"/>
  <c r="R136" i="3"/>
  <c r="R137" i="3"/>
  <c r="R138" i="3"/>
  <c r="R139" i="3"/>
  <c r="R140" i="3"/>
  <c r="R141" i="3"/>
  <c r="R142" i="3"/>
  <c r="R143" i="3"/>
  <c r="R144" i="3"/>
  <c r="R145" i="3"/>
  <c r="R146" i="3"/>
  <c r="R147" i="3"/>
  <c r="R148" i="3"/>
  <c r="R149" i="3"/>
  <c r="R150" i="3"/>
  <c r="R151" i="3"/>
  <c r="R152" i="3"/>
  <c r="R153" i="3"/>
  <c r="R154" i="3"/>
  <c r="R155" i="3"/>
  <c r="R156" i="3"/>
  <c r="R157" i="3"/>
  <c r="R158" i="3"/>
  <c r="R159" i="3"/>
  <c r="R160" i="3"/>
  <c r="R161" i="3"/>
  <c r="R162" i="3"/>
  <c r="R163" i="3"/>
  <c r="R164" i="3"/>
  <c r="R165" i="3"/>
  <c r="R166" i="3"/>
  <c r="R167" i="3"/>
  <c r="R168" i="3"/>
  <c r="R169" i="3"/>
  <c r="R170" i="3"/>
  <c r="R171" i="3"/>
  <c r="R172" i="3"/>
  <c r="R173" i="3"/>
  <c r="R174" i="3"/>
  <c r="R175" i="3"/>
  <c r="R176" i="3"/>
  <c r="R177" i="3"/>
  <c r="R178" i="3"/>
  <c r="R179" i="3"/>
  <c r="R180" i="3"/>
  <c r="R181" i="3"/>
  <c r="R182" i="3"/>
  <c r="R183" i="3"/>
  <c r="R184" i="3"/>
  <c r="R185" i="3"/>
  <c r="R186" i="3"/>
  <c r="R187" i="3"/>
  <c r="R188" i="3"/>
  <c r="R189" i="3"/>
  <c r="R190" i="3"/>
  <c r="R191" i="3"/>
  <c r="R192" i="3"/>
  <c r="R193" i="3"/>
  <c r="R194" i="3"/>
  <c r="R195" i="3"/>
  <c r="R196" i="3"/>
  <c r="R197" i="3"/>
  <c r="R198" i="3"/>
  <c r="R199" i="3"/>
  <c r="R200" i="3"/>
  <c r="R201" i="3"/>
  <c r="R202" i="3"/>
  <c r="R203" i="3"/>
  <c r="R204" i="3"/>
  <c r="R205" i="3"/>
  <c r="R206" i="3"/>
  <c r="R207" i="3"/>
  <c r="R208" i="3"/>
  <c r="R209" i="3"/>
  <c r="R210" i="3"/>
  <c r="R211" i="3"/>
  <c r="R212" i="3"/>
  <c r="R213" i="3"/>
  <c r="R214" i="3"/>
  <c r="R215" i="3"/>
  <c r="R216" i="3"/>
  <c r="R217" i="3"/>
  <c r="R218" i="3"/>
  <c r="R219" i="3"/>
  <c r="R220" i="3"/>
  <c r="R221" i="3"/>
  <c r="R222" i="3"/>
  <c r="R223" i="3"/>
  <c r="R224" i="3"/>
  <c r="R225" i="3"/>
  <c r="R226" i="3"/>
  <c r="R227" i="3"/>
  <c r="R228" i="3"/>
  <c r="R229" i="3"/>
  <c r="R230" i="3"/>
  <c r="R231" i="3"/>
  <c r="R232" i="3"/>
  <c r="R233" i="3"/>
  <c r="R234" i="3"/>
  <c r="R235" i="3"/>
  <c r="R236" i="3"/>
  <c r="R237" i="3"/>
  <c r="R238" i="3"/>
  <c r="R239" i="3"/>
  <c r="R240" i="3"/>
  <c r="R241" i="3"/>
  <c r="R242" i="3"/>
  <c r="R243" i="3"/>
  <c r="R244" i="3"/>
  <c r="R245" i="3"/>
  <c r="R246" i="3"/>
  <c r="R247" i="3"/>
  <c r="R248" i="3"/>
  <c r="R249" i="3"/>
  <c r="R250" i="3"/>
  <c r="R251" i="3"/>
  <c r="R252" i="3"/>
  <c r="R253" i="3"/>
  <c r="R254" i="3"/>
  <c r="R255" i="3"/>
  <c r="R256" i="3"/>
  <c r="R257" i="3"/>
  <c r="R258" i="3"/>
  <c r="R259" i="3"/>
  <c r="R260" i="3"/>
  <c r="R261" i="3"/>
  <c r="R262" i="3"/>
  <c r="R263" i="3"/>
  <c r="R264" i="3"/>
  <c r="R265" i="3"/>
  <c r="R266" i="3"/>
  <c r="R267" i="3"/>
  <c r="R268" i="3"/>
  <c r="R269" i="3"/>
  <c r="R270" i="3"/>
  <c r="R271" i="3"/>
  <c r="R272" i="3"/>
  <c r="R273" i="3"/>
  <c r="R274" i="3"/>
  <c r="R275" i="3"/>
  <c r="R276" i="3"/>
  <c r="R277" i="3"/>
  <c r="R278" i="3"/>
  <c r="R279" i="3"/>
  <c r="R280" i="3"/>
  <c r="R281" i="3"/>
  <c r="R282" i="3"/>
  <c r="R283" i="3"/>
  <c r="R284" i="3"/>
  <c r="R285" i="3"/>
  <c r="R286" i="3"/>
  <c r="R287" i="3"/>
  <c r="R288" i="3"/>
  <c r="R289" i="3"/>
  <c r="R290" i="3"/>
  <c r="R291" i="3"/>
  <c r="R292" i="3"/>
  <c r="R293" i="3"/>
  <c r="R294" i="3"/>
  <c r="R295" i="3"/>
  <c r="R296" i="3"/>
  <c r="R297" i="3"/>
  <c r="R298" i="3"/>
  <c r="R299" i="3"/>
  <c r="R300" i="3"/>
  <c r="M101" i="3"/>
  <c r="M102" i="3"/>
  <c r="M103" i="3"/>
  <c r="M104" i="3"/>
  <c r="M105" i="3"/>
  <c r="M106" i="3"/>
  <c r="M107" i="3"/>
  <c r="M108" i="3"/>
  <c r="M109" i="3"/>
  <c r="M110" i="3"/>
  <c r="M111" i="3"/>
  <c r="M112" i="3"/>
  <c r="M113" i="3"/>
  <c r="M114" i="3"/>
  <c r="M115" i="3"/>
  <c r="M116" i="3"/>
  <c r="M117" i="3"/>
  <c r="M118" i="3"/>
  <c r="M119" i="3"/>
  <c r="M120" i="3"/>
  <c r="M121" i="3"/>
  <c r="M122" i="3"/>
  <c r="M123" i="3"/>
  <c r="M124" i="3"/>
  <c r="M125" i="3"/>
  <c r="M126" i="3"/>
  <c r="M127" i="3"/>
  <c r="M128" i="3"/>
  <c r="M129" i="3"/>
  <c r="M130" i="3"/>
  <c r="M131" i="3"/>
  <c r="M132" i="3"/>
  <c r="M133" i="3"/>
  <c r="M134" i="3"/>
  <c r="M135" i="3"/>
  <c r="M136" i="3"/>
  <c r="M137" i="3"/>
  <c r="M138" i="3"/>
  <c r="M139" i="3"/>
  <c r="M140" i="3"/>
  <c r="M141" i="3"/>
  <c r="M142" i="3"/>
  <c r="M143" i="3"/>
  <c r="M144" i="3"/>
  <c r="M145" i="3"/>
  <c r="M146" i="3"/>
  <c r="M147" i="3"/>
  <c r="M148" i="3"/>
  <c r="M149" i="3"/>
  <c r="M150" i="3"/>
  <c r="M151" i="3"/>
  <c r="M152" i="3"/>
  <c r="M153" i="3"/>
  <c r="M154" i="3"/>
  <c r="M155" i="3"/>
  <c r="M156" i="3"/>
  <c r="M157" i="3"/>
  <c r="M158" i="3"/>
  <c r="M159" i="3"/>
  <c r="M160" i="3"/>
  <c r="M161" i="3"/>
  <c r="M162" i="3"/>
  <c r="M163" i="3"/>
  <c r="M164" i="3"/>
  <c r="M165" i="3"/>
  <c r="M166" i="3"/>
  <c r="M167" i="3"/>
  <c r="M168" i="3"/>
  <c r="M169" i="3"/>
  <c r="M170" i="3"/>
  <c r="M171" i="3"/>
  <c r="M172" i="3"/>
  <c r="M173" i="3"/>
  <c r="M174" i="3"/>
  <c r="M175" i="3"/>
  <c r="M176" i="3"/>
  <c r="M177" i="3"/>
  <c r="M178" i="3"/>
  <c r="M179" i="3"/>
  <c r="M180" i="3"/>
  <c r="M181" i="3"/>
  <c r="M182" i="3"/>
  <c r="M183" i="3"/>
  <c r="M184" i="3"/>
  <c r="M185" i="3"/>
  <c r="M186" i="3"/>
  <c r="M187" i="3"/>
  <c r="M188" i="3"/>
  <c r="M189" i="3"/>
  <c r="M190" i="3"/>
  <c r="M191" i="3"/>
  <c r="M192" i="3"/>
  <c r="M193" i="3"/>
  <c r="M194" i="3"/>
  <c r="M195" i="3"/>
  <c r="M196" i="3"/>
  <c r="M197" i="3"/>
  <c r="M198" i="3"/>
  <c r="M199" i="3"/>
  <c r="M200" i="3"/>
  <c r="M201" i="3"/>
  <c r="M202" i="3"/>
  <c r="M203" i="3"/>
  <c r="M204" i="3"/>
  <c r="M205" i="3"/>
  <c r="M206" i="3"/>
  <c r="M207" i="3"/>
  <c r="M208" i="3"/>
  <c r="M209" i="3"/>
  <c r="M210" i="3"/>
  <c r="M211" i="3"/>
  <c r="M212" i="3"/>
  <c r="M213" i="3"/>
  <c r="M214" i="3"/>
  <c r="M215" i="3"/>
  <c r="M216" i="3"/>
  <c r="M217" i="3"/>
  <c r="M218" i="3"/>
  <c r="M219" i="3"/>
  <c r="M220" i="3"/>
  <c r="M221" i="3"/>
  <c r="M222" i="3"/>
  <c r="M223" i="3"/>
  <c r="M224" i="3"/>
  <c r="M225" i="3"/>
  <c r="M226" i="3"/>
  <c r="M227" i="3"/>
  <c r="M228" i="3"/>
  <c r="M229" i="3"/>
  <c r="M230" i="3"/>
  <c r="M231" i="3"/>
  <c r="M232" i="3"/>
  <c r="M233" i="3"/>
  <c r="M234" i="3"/>
  <c r="M235" i="3"/>
  <c r="M236" i="3"/>
  <c r="M237" i="3"/>
  <c r="M238" i="3"/>
  <c r="M239" i="3"/>
  <c r="M240" i="3"/>
  <c r="M241" i="3"/>
  <c r="M242" i="3"/>
  <c r="M243" i="3"/>
  <c r="M244" i="3"/>
  <c r="M245" i="3"/>
  <c r="M246" i="3"/>
  <c r="M247" i="3"/>
  <c r="M248" i="3"/>
  <c r="M249" i="3"/>
  <c r="M250" i="3"/>
  <c r="M251" i="3"/>
  <c r="M252" i="3"/>
  <c r="M253" i="3"/>
  <c r="M254" i="3"/>
  <c r="M255" i="3"/>
  <c r="M256" i="3"/>
  <c r="M257" i="3"/>
  <c r="M258" i="3"/>
  <c r="M259" i="3"/>
  <c r="M260" i="3"/>
  <c r="M261" i="3"/>
  <c r="M262" i="3"/>
  <c r="M263" i="3"/>
  <c r="M264" i="3"/>
  <c r="M265" i="3"/>
  <c r="M266" i="3"/>
  <c r="M267" i="3"/>
  <c r="M268" i="3"/>
  <c r="M269" i="3"/>
  <c r="M270" i="3"/>
  <c r="M271" i="3"/>
  <c r="M272" i="3"/>
  <c r="M273" i="3"/>
  <c r="M274" i="3"/>
  <c r="M275" i="3"/>
  <c r="M276" i="3"/>
  <c r="M277" i="3"/>
  <c r="M278" i="3"/>
  <c r="M279" i="3"/>
  <c r="M280" i="3"/>
  <c r="M281" i="3"/>
  <c r="M282" i="3"/>
  <c r="M283" i="3"/>
  <c r="M284" i="3"/>
  <c r="M285" i="3"/>
  <c r="M286" i="3"/>
  <c r="M287" i="3"/>
  <c r="M288" i="3"/>
  <c r="M289" i="3"/>
  <c r="M290" i="3"/>
  <c r="M291" i="3"/>
  <c r="M292" i="3"/>
  <c r="M293" i="3"/>
  <c r="M294" i="3"/>
  <c r="M295" i="3"/>
  <c r="M296" i="3"/>
  <c r="M297" i="3"/>
  <c r="M298" i="3"/>
  <c r="M299" i="3"/>
  <c r="M300" i="3"/>
  <c r="AH101" i="3"/>
  <c r="AI101" i="3" s="1"/>
  <c r="AJ101" i="3"/>
  <c r="AH102" i="3"/>
  <c r="AI102" i="3" s="1"/>
  <c r="AJ102" i="3"/>
  <c r="AH103" i="3"/>
  <c r="AI103" i="3" s="1"/>
  <c r="AJ103" i="3"/>
  <c r="AH104" i="3"/>
  <c r="AI104" i="3" s="1"/>
  <c r="AJ104" i="3"/>
  <c r="AH105" i="3"/>
  <c r="AI105" i="3" s="1"/>
  <c r="AJ105" i="3"/>
  <c r="AH106" i="3"/>
  <c r="AI106" i="3" s="1"/>
  <c r="AJ106" i="3"/>
  <c r="AH107" i="3"/>
  <c r="AI107" i="3" s="1"/>
  <c r="AJ107" i="3"/>
  <c r="AH108" i="3"/>
  <c r="AI108" i="3" s="1"/>
  <c r="AJ108" i="3"/>
  <c r="AH109" i="3"/>
  <c r="AI109" i="3" s="1"/>
  <c r="AJ109" i="3"/>
  <c r="AH110" i="3"/>
  <c r="AI110" i="3" s="1"/>
  <c r="AJ110" i="3"/>
  <c r="AH111" i="3"/>
  <c r="AI111" i="3" s="1"/>
  <c r="AJ111" i="3"/>
  <c r="AH112" i="3"/>
  <c r="AI112" i="3" s="1"/>
  <c r="AJ112" i="3"/>
  <c r="AH113" i="3"/>
  <c r="AI113" i="3" s="1"/>
  <c r="AJ113" i="3"/>
  <c r="AH114" i="3"/>
  <c r="AI114" i="3" s="1"/>
  <c r="AJ114" i="3"/>
  <c r="AH115" i="3"/>
  <c r="AI115" i="3" s="1"/>
  <c r="AJ115" i="3"/>
  <c r="AH116" i="3"/>
  <c r="AI116" i="3" s="1"/>
  <c r="AJ116" i="3"/>
  <c r="AH117" i="3"/>
  <c r="AI117" i="3" s="1"/>
  <c r="AJ117" i="3"/>
  <c r="AH118" i="3"/>
  <c r="AI118" i="3" s="1"/>
  <c r="AJ118" i="3"/>
  <c r="AH119" i="3"/>
  <c r="AI119" i="3" s="1"/>
  <c r="AJ119" i="3"/>
  <c r="AH120" i="3"/>
  <c r="AI120" i="3" s="1"/>
  <c r="AJ120" i="3"/>
  <c r="AH121" i="3"/>
  <c r="AI121" i="3" s="1"/>
  <c r="AJ121" i="3"/>
  <c r="AH122" i="3"/>
  <c r="AI122" i="3" s="1"/>
  <c r="AJ122" i="3"/>
  <c r="AH123" i="3"/>
  <c r="AI123" i="3" s="1"/>
  <c r="AJ123" i="3"/>
  <c r="AH124" i="3"/>
  <c r="AI124" i="3" s="1"/>
  <c r="AJ124" i="3"/>
  <c r="AH125" i="3"/>
  <c r="AI125" i="3" s="1"/>
  <c r="AJ125" i="3"/>
  <c r="AH126" i="3"/>
  <c r="AI126" i="3" s="1"/>
  <c r="AJ126" i="3"/>
  <c r="AH127" i="3"/>
  <c r="AI127" i="3" s="1"/>
  <c r="AJ127" i="3"/>
  <c r="AH128" i="3"/>
  <c r="AI128" i="3" s="1"/>
  <c r="AJ128" i="3"/>
  <c r="AH129" i="3"/>
  <c r="AI129" i="3" s="1"/>
  <c r="AJ129" i="3"/>
  <c r="AH130" i="3"/>
  <c r="AI130" i="3" s="1"/>
  <c r="AJ130" i="3"/>
  <c r="AH131" i="3"/>
  <c r="AI131" i="3" s="1"/>
  <c r="AJ131" i="3"/>
  <c r="AH132" i="3"/>
  <c r="AI132" i="3" s="1"/>
  <c r="AJ132" i="3"/>
  <c r="AH133" i="3"/>
  <c r="AI133" i="3" s="1"/>
  <c r="AJ133" i="3"/>
  <c r="AH134" i="3"/>
  <c r="AI134" i="3" s="1"/>
  <c r="AJ134" i="3"/>
  <c r="AH135" i="3"/>
  <c r="AI135" i="3" s="1"/>
  <c r="AJ135" i="3"/>
  <c r="AH136" i="3"/>
  <c r="AI136" i="3" s="1"/>
  <c r="AJ136" i="3"/>
  <c r="AH137" i="3"/>
  <c r="AI137" i="3" s="1"/>
  <c r="AJ137" i="3"/>
  <c r="AH138" i="3"/>
  <c r="AI138" i="3" s="1"/>
  <c r="AJ138" i="3"/>
  <c r="AH139" i="3"/>
  <c r="AI139" i="3" s="1"/>
  <c r="AJ139" i="3"/>
  <c r="AH140" i="3"/>
  <c r="AI140" i="3" s="1"/>
  <c r="AJ140" i="3"/>
  <c r="AH141" i="3"/>
  <c r="AI141" i="3" s="1"/>
  <c r="AJ141" i="3"/>
  <c r="AH142" i="3"/>
  <c r="AI142" i="3" s="1"/>
  <c r="AJ142" i="3"/>
  <c r="AH143" i="3"/>
  <c r="AI143" i="3" s="1"/>
  <c r="AJ143" i="3"/>
  <c r="AH144" i="3"/>
  <c r="AI144" i="3" s="1"/>
  <c r="AJ144" i="3"/>
  <c r="AH145" i="3"/>
  <c r="AI145" i="3" s="1"/>
  <c r="AJ145" i="3"/>
  <c r="AH146" i="3"/>
  <c r="AI146" i="3" s="1"/>
  <c r="AJ146" i="3"/>
  <c r="AH147" i="3"/>
  <c r="AI147" i="3" s="1"/>
  <c r="AJ147" i="3"/>
  <c r="AH148" i="3"/>
  <c r="AI148" i="3" s="1"/>
  <c r="AJ148" i="3"/>
  <c r="AH149" i="3"/>
  <c r="AI149" i="3" s="1"/>
  <c r="AJ149" i="3"/>
  <c r="AH150" i="3"/>
  <c r="AI150" i="3" s="1"/>
  <c r="AJ150" i="3"/>
  <c r="AH151" i="3"/>
  <c r="AI151" i="3" s="1"/>
  <c r="AJ151" i="3"/>
  <c r="AH152" i="3"/>
  <c r="AI152" i="3" s="1"/>
  <c r="AJ152" i="3"/>
  <c r="AH153" i="3"/>
  <c r="AI153" i="3" s="1"/>
  <c r="AJ153" i="3"/>
  <c r="AH154" i="3"/>
  <c r="AI154" i="3" s="1"/>
  <c r="AJ154" i="3"/>
  <c r="AH155" i="3"/>
  <c r="AI155" i="3" s="1"/>
  <c r="AJ155" i="3"/>
  <c r="AH156" i="3"/>
  <c r="AI156" i="3" s="1"/>
  <c r="AJ156" i="3"/>
  <c r="AH157" i="3"/>
  <c r="AI157" i="3" s="1"/>
  <c r="AJ157" i="3"/>
  <c r="AH158" i="3"/>
  <c r="AI158" i="3" s="1"/>
  <c r="AJ158" i="3"/>
  <c r="AH159" i="3"/>
  <c r="AI159" i="3" s="1"/>
  <c r="AJ159" i="3"/>
  <c r="AH160" i="3"/>
  <c r="AI160" i="3" s="1"/>
  <c r="AJ160" i="3"/>
  <c r="AH161" i="3"/>
  <c r="AI161" i="3" s="1"/>
  <c r="AJ161" i="3"/>
  <c r="AH162" i="3"/>
  <c r="AI162" i="3" s="1"/>
  <c r="AJ162" i="3"/>
  <c r="AH163" i="3"/>
  <c r="AI163" i="3" s="1"/>
  <c r="AJ163" i="3"/>
  <c r="AH164" i="3"/>
  <c r="AI164" i="3" s="1"/>
  <c r="AJ164" i="3"/>
  <c r="AH165" i="3"/>
  <c r="AI165" i="3" s="1"/>
  <c r="AJ165" i="3"/>
  <c r="AH166" i="3"/>
  <c r="AI166" i="3" s="1"/>
  <c r="AJ166" i="3"/>
  <c r="AH167" i="3"/>
  <c r="AI167" i="3" s="1"/>
  <c r="AJ167" i="3"/>
  <c r="AH168" i="3"/>
  <c r="AI168" i="3" s="1"/>
  <c r="AJ168" i="3"/>
  <c r="AH169" i="3"/>
  <c r="AI169" i="3" s="1"/>
  <c r="AJ169" i="3"/>
  <c r="AH170" i="3"/>
  <c r="AI170" i="3" s="1"/>
  <c r="AJ170" i="3"/>
  <c r="AH171" i="3"/>
  <c r="AI171" i="3" s="1"/>
  <c r="AJ171" i="3"/>
  <c r="AH172" i="3"/>
  <c r="AI172" i="3" s="1"/>
  <c r="AJ172" i="3"/>
  <c r="AH173" i="3"/>
  <c r="AI173" i="3" s="1"/>
  <c r="AJ173" i="3"/>
  <c r="AH174" i="3"/>
  <c r="AI174" i="3" s="1"/>
  <c r="AJ174" i="3"/>
  <c r="AH175" i="3"/>
  <c r="AI175" i="3" s="1"/>
  <c r="AJ175" i="3"/>
  <c r="AH176" i="3"/>
  <c r="AI176" i="3" s="1"/>
  <c r="AJ176" i="3"/>
  <c r="AH177" i="3"/>
  <c r="AI177" i="3" s="1"/>
  <c r="AJ177" i="3"/>
  <c r="AH178" i="3"/>
  <c r="AI178" i="3" s="1"/>
  <c r="AJ178" i="3"/>
  <c r="AH179" i="3"/>
  <c r="AI179" i="3" s="1"/>
  <c r="AJ179" i="3"/>
  <c r="AH180" i="3"/>
  <c r="AI180" i="3" s="1"/>
  <c r="AJ180" i="3"/>
  <c r="AH181" i="3"/>
  <c r="AI181" i="3" s="1"/>
  <c r="AJ181" i="3"/>
  <c r="AH182" i="3"/>
  <c r="AI182" i="3" s="1"/>
  <c r="AJ182" i="3"/>
  <c r="AH183" i="3"/>
  <c r="AI183" i="3" s="1"/>
  <c r="AJ183" i="3"/>
  <c r="AH184" i="3"/>
  <c r="AI184" i="3" s="1"/>
  <c r="AJ184" i="3"/>
  <c r="AH185" i="3"/>
  <c r="AI185" i="3" s="1"/>
  <c r="AJ185" i="3"/>
  <c r="AH186" i="3"/>
  <c r="AI186" i="3" s="1"/>
  <c r="AJ186" i="3"/>
  <c r="AH187" i="3"/>
  <c r="AI187" i="3" s="1"/>
  <c r="AJ187" i="3"/>
  <c r="AH188" i="3"/>
  <c r="AI188" i="3" s="1"/>
  <c r="AJ188" i="3"/>
  <c r="AH189" i="3"/>
  <c r="AI189" i="3" s="1"/>
  <c r="AJ189" i="3"/>
  <c r="AH190" i="3"/>
  <c r="AI190" i="3" s="1"/>
  <c r="AJ190" i="3"/>
  <c r="AH191" i="3"/>
  <c r="AI191" i="3" s="1"/>
  <c r="AJ191" i="3"/>
  <c r="AH192" i="3"/>
  <c r="AI192" i="3" s="1"/>
  <c r="AJ192" i="3"/>
  <c r="AH193" i="3"/>
  <c r="AI193" i="3" s="1"/>
  <c r="AJ193" i="3"/>
  <c r="AH194" i="3"/>
  <c r="AI194" i="3" s="1"/>
  <c r="AJ194" i="3"/>
  <c r="AH195" i="3"/>
  <c r="AI195" i="3" s="1"/>
  <c r="AJ195" i="3"/>
  <c r="AH196" i="3"/>
  <c r="AI196" i="3" s="1"/>
  <c r="AJ196" i="3"/>
  <c r="AH197" i="3"/>
  <c r="AI197" i="3" s="1"/>
  <c r="AJ197" i="3"/>
  <c r="AH198" i="3"/>
  <c r="AI198" i="3" s="1"/>
  <c r="AJ198" i="3"/>
  <c r="AH199" i="3"/>
  <c r="AI199" i="3" s="1"/>
  <c r="AJ199" i="3"/>
  <c r="AH200" i="3"/>
  <c r="AI200" i="3" s="1"/>
  <c r="AJ200" i="3"/>
  <c r="AH201" i="3"/>
  <c r="AI201" i="3" s="1"/>
  <c r="AJ201" i="3"/>
  <c r="AH202" i="3"/>
  <c r="AI202" i="3" s="1"/>
  <c r="AJ202" i="3"/>
  <c r="AH203" i="3"/>
  <c r="AI203" i="3" s="1"/>
  <c r="AJ203" i="3"/>
  <c r="AH204" i="3"/>
  <c r="AI204" i="3" s="1"/>
  <c r="AJ204" i="3"/>
  <c r="AH205" i="3"/>
  <c r="AI205" i="3" s="1"/>
  <c r="AJ205" i="3"/>
  <c r="AH206" i="3"/>
  <c r="AI206" i="3" s="1"/>
  <c r="AJ206" i="3"/>
  <c r="AH207" i="3"/>
  <c r="AI207" i="3" s="1"/>
  <c r="AJ207" i="3"/>
  <c r="AH208" i="3"/>
  <c r="AI208" i="3" s="1"/>
  <c r="AJ208" i="3"/>
  <c r="AH209" i="3"/>
  <c r="AI209" i="3" s="1"/>
  <c r="AJ209" i="3"/>
  <c r="AH210" i="3"/>
  <c r="AI210" i="3" s="1"/>
  <c r="AJ210" i="3"/>
  <c r="AH211" i="3"/>
  <c r="AI211" i="3" s="1"/>
  <c r="AJ211" i="3"/>
  <c r="AH212" i="3"/>
  <c r="AI212" i="3" s="1"/>
  <c r="AJ212" i="3"/>
  <c r="AH213" i="3"/>
  <c r="AI213" i="3" s="1"/>
  <c r="AJ213" i="3"/>
  <c r="AH214" i="3"/>
  <c r="AI214" i="3" s="1"/>
  <c r="AJ214" i="3"/>
  <c r="AH215" i="3"/>
  <c r="AI215" i="3" s="1"/>
  <c r="AJ215" i="3"/>
  <c r="AH216" i="3"/>
  <c r="AI216" i="3" s="1"/>
  <c r="AJ216" i="3"/>
  <c r="AH217" i="3"/>
  <c r="AI217" i="3" s="1"/>
  <c r="AJ217" i="3"/>
  <c r="AH218" i="3"/>
  <c r="AI218" i="3" s="1"/>
  <c r="AJ218" i="3"/>
  <c r="AH219" i="3"/>
  <c r="AI219" i="3" s="1"/>
  <c r="AJ219" i="3"/>
  <c r="AH220" i="3"/>
  <c r="AI220" i="3" s="1"/>
  <c r="AJ220" i="3"/>
  <c r="AH221" i="3"/>
  <c r="AI221" i="3" s="1"/>
  <c r="AJ221" i="3"/>
  <c r="AH222" i="3"/>
  <c r="AI222" i="3" s="1"/>
  <c r="AJ222" i="3"/>
  <c r="AH223" i="3"/>
  <c r="AI223" i="3" s="1"/>
  <c r="AJ223" i="3"/>
  <c r="AH224" i="3"/>
  <c r="AI224" i="3" s="1"/>
  <c r="AJ224" i="3"/>
  <c r="AH225" i="3"/>
  <c r="AI225" i="3" s="1"/>
  <c r="AJ225" i="3"/>
  <c r="AH226" i="3"/>
  <c r="AI226" i="3" s="1"/>
  <c r="AJ226" i="3"/>
  <c r="AH227" i="3"/>
  <c r="AI227" i="3" s="1"/>
  <c r="AJ227" i="3"/>
  <c r="AH228" i="3"/>
  <c r="AI228" i="3" s="1"/>
  <c r="AJ228" i="3"/>
  <c r="AH229" i="3"/>
  <c r="AI229" i="3" s="1"/>
  <c r="AJ229" i="3"/>
  <c r="AH230" i="3"/>
  <c r="AI230" i="3" s="1"/>
  <c r="AJ230" i="3"/>
  <c r="AH231" i="3"/>
  <c r="AI231" i="3" s="1"/>
  <c r="AJ231" i="3"/>
  <c r="AH232" i="3"/>
  <c r="AI232" i="3" s="1"/>
  <c r="AJ232" i="3"/>
  <c r="AH233" i="3"/>
  <c r="AI233" i="3" s="1"/>
  <c r="AJ233" i="3"/>
  <c r="AH234" i="3"/>
  <c r="AI234" i="3" s="1"/>
  <c r="AJ234" i="3"/>
  <c r="AH235" i="3"/>
  <c r="AI235" i="3" s="1"/>
  <c r="AJ235" i="3"/>
  <c r="AH236" i="3"/>
  <c r="AI236" i="3" s="1"/>
  <c r="AJ236" i="3"/>
  <c r="AH237" i="3"/>
  <c r="AI237" i="3" s="1"/>
  <c r="AJ237" i="3"/>
  <c r="AH238" i="3"/>
  <c r="AI238" i="3" s="1"/>
  <c r="AJ238" i="3"/>
  <c r="AH239" i="3"/>
  <c r="AI239" i="3" s="1"/>
  <c r="AJ239" i="3"/>
  <c r="AH240" i="3"/>
  <c r="AI240" i="3" s="1"/>
  <c r="AJ240" i="3"/>
  <c r="AH241" i="3"/>
  <c r="AI241" i="3" s="1"/>
  <c r="AJ241" i="3"/>
  <c r="AH242" i="3"/>
  <c r="AI242" i="3" s="1"/>
  <c r="AJ242" i="3"/>
  <c r="AH243" i="3"/>
  <c r="AI243" i="3" s="1"/>
  <c r="AJ243" i="3"/>
  <c r="AH244" i="3"/>
  <c r="AI244" i="3" s="1"/>
  <c r="AJ244" i="3"/>
  <c r="AH245" i="3"/>
  <c r="AI245" i="3" s="1"/>
  <c r="AJ245" i="3"/>
  <c r="AH246" i="3"/>
  <c r="AI246" i="3" s="1"/>
  <c r="AJ246" i="3"/>
  <c r="AH247" i="3"/>
  <c r="AI247" i="3" s="1"/>
  <c r="AJ247" i="3"/>
  <c r="AH248" i="3"/>
  <c r="AI248" i="3" s="1"/>
  <c r="AJ248" i="3"/>
  <c r="AH249" i="3"/>
  <c r="AI249" i="3" s="1"/>
  <c r="AJ249" i="3"/>
  <c r="AH250" i="3"/>
  <c r="AI250" i="3" s="1"/>
  <c r="AJ250" i="3"/>
  <c r="AH251" i="3"/>
  <c r="AI251" i="3" s="1"/>
  <c r="AJ251" i="3"/>
  <c r="AH252" i="3"/>
  <c r="AI252" i="3" s="1"/>
  <c r="AJ252" i="3"/>
  <c r="AH253" i="3"/>
  <c r="AI253" i="3" s="1"/>
  <c r="AJ253" i="3"/>
  <c r="AH254" i="3"/>
  <c r="AI254" i="3" s="1"/>
  <c r="AJ254" i="3"/>
  <c r="AH255" i="3"/>
  <c r="AI255" i="3" s="1"/>
  <c r="AJ255" i="3"/>
  <c r="AH256" i="3"/>
  <c r="AI256" i="3" s="1"/>
  <c r="AJ256" i="3"/>
  <c r="AH257" i="3"/>
  <c r="AI257" i="3" s="1"/>
  <c r="AJ257" i="3"/>
  <c r="AH258" i="3"/>
  <c r="AI258" i="3" s="1"/>
  <c r="AJ258" i="3"/>
  <c r="AH259" i="3"/>
  <c r="AI259" i="3" s="1"/>
  <c r="AJ259" i="3"/>
  <c r="AH260" i="3"/>
  <c r="AI260" i="3" s="1"/>
  <c r="AJ260" i="3"/>
  <c r="AH261" i="3"/>
  <c r="AI261" i="3" s="1"/>
  <c r="AJ261" i="3"/>
  <c r="AH262" i="3"/>
  <c r="AI262" i="3" s="1"/>
  <c r="AJ262" i="3"/>
  <c r="AH263" i="3"/>
  <c r="AI263" i="3" s="1"/>
  <c r="AJ263" i="3"/>
  <c r="AH264" i="3"/>
  <c r="AI264" i="3" s="1"/>
  <c r="AJ264" i="3"/>
  <c r="AH265" i="3"/>
  <c r="AI265" i="3" s="1"/>
  <c r="AJ265" i="3"/>
  <c r="AH266" i="3"/>
  <c r="AI266" i="3" s="1"/>
  <c r="AJ266" i="3"/>
  <c r="AH267" i="3"/>
  <c r="AI267" i="3" s="1"/>
  <c r="AJ267" i="3"/>
  <c r="AH268" i="3"/>
  <c r="AI268" i="3" s="1"/>
  <c r="AJ268" i="3"/>
  <c r="AH269" i="3"/>
  <c r="AI269" i="3" s="1"/>
  <c r="AJ269" i="3"/>
  <c r="AH270" i="3"/>
  <c r="AI270" i="3" s="1"/>
  <c r="AJ270" i="3"/>
  <c r="AH271" i="3"/>
  <c r="AI271" i="3" s="1"/>
  <c r="AJ271" i="3"/>
  <c r="AH272" i="3"/>
  <c r="AI272" i="3" s="1"/>
  <c r="AJ272" i="3"/>
  <c r="AH273" i="3"/>
  <c r="AI273" i="3" s="1"/>
  <c r="AJ273" i="3"/>
  <c r="AH274" i="3"/>
  <c r="AI274" i="3" s="1"/>
  <c r="AJ274" i="3"/>
  <c r="AH275" i="3"/>
  <c r="AI275" i="3" s="1"/>
  <c r="AJ275" i="3"/>
  <c r="AH276" i="3"/>
  <c r="AI276" i="3" s="1"/>
  <c r="AJ276" i="3"/>
  <c r="AH277" i="3"/>
  <c r="AI277" i="3" s="1"/>
  <c r="AJ277" i="3"/>
  <c r="AH278" i="3"/>
  <c r="AI278" i="3" s="1"/>
  <c r="AJ278" i="3"/>
  <c r="AH279" i="3"/>
  <c r="AI279" i="3" s="1"/>
  <c r="AJ279" i="3"/>
  <c r="AH280" i="3"/>
  <c r="AI280" i="3" s="1"/>
  <c r="AJ280" i="3"/>
  <c r="AH281" i="3"/>
  <c r="AI281" i="3" s="1"/>
  <c r="AJ281" i="3"/>
  <c r="AH282" i="3"/>
  <c r="AI282" i="3" s="1"/>
  <c r="AJ282" i="3"/>
  <c r="AH283" i="3"/>
  <c r="AI283" i="3" s="1"/>
  <c r="AJ283" i="3"/>
  <c r="AH284" i="3"/>
  <c r="AI284" i="3" s="1"/>
  <c r="AJ284" i="3"/>
  <c r="AH285" i="3"/>
  <c r="AI285" i="3" s="1"/>
  <c r="AJ285" i="3"/>
  <c r="AH286" i="3"/>
  <c r="AI286" i="3" s="1"/>
  <c r="AJ286" i="3"/>
  <c r="AH287" i="3"/>
  <c r="AI287" i="3" s="1"/>
  <c r="AJ287" i="3"/>
  <c r="AH288" i="3"/>
  <c r="AI288" i="3" s="1"/>
  <c r="AJ288" i="3"/>
  <c r="AH289" i="3"/>
  <c r="AI289" i="3" s="1"/>
  <c r="AJ289" i="3"/>
  <c r="AH290" i="3"/>
  <c r="AI290" i="3" s="1"/>
  <c r="AJ290" i="3"/>
  <c r="AH291" i="3"/>
  <c r="AI291" i="3" s="1"/>
  <c r="AJ291" i="3"/>
  <c r="AH292" i="3"/>
  <c r="AI292" i="3" s="1"/>
  <c r="AJ292" i="3"/>
  <c r="AH293" i="3"/>
  <c r="AI293" i="3" s="1"/>
  <c r="AJ293" i="3"/>
  <c r="AH294" i="3"/>
  <c r="AI294" i="3" s="1"/>
  <c r="AJ294" i="3"/>
  <c r="AH295" i="3"/>
  <c r="AI295" i="3" s="1"/>
  <c r="AJ295" i="3"/>
  <c r="AH296" i="3"/>
  <c r="AI296" i="3" s="1"/>
  <c r="AJ296" i="3"/>
  <c r="AH297" i="3"/>
  <c r="AI297" i="3" s="1"/>
  <c r="AJ297" i="3"/>
  <c r="AH298" i="3"/>
  <c r="AI298" i="3" s="1"/>
  <c r="AJ298" i="3"/>
  <c r="AH299" i="3"/>
  <c r="AI299" i="3" s="1"/>
  <c r="AJ299" i="3"/>
  <c r="AH300" i="3"/>
  <c r="AI300" i="3" s="1"/>
  <c r="AJ300" i="3"/>
  <c r="AN11" i="3" l="1"/>
  <c r="AN15" i="3"/>
  <c r="AN19" i="3"/>
  <c r="AN23" i="3"/>
  <c r="AN27" i="3"/>
  <c r="AN31" i="3"/>
  <c r="AN35" i="3"/>
  <c r="AN39" i="3"/>
  <c r="AN43" i="3"/>
  <c r="AN47" i="3"/>
  <c r="AN51" i="3"/>
  <c r="AN55" i="3"/>
  <c r="AN59" i="3"/>
  <c r="AN63" i="3"/>
  <c r="AN67" i="3"/>
  <c r="AN71" i="3"/>
  <c r="AN75" i="3"/>
  <c r="AN79" i="3"/>
  <c r="AN83" i="3"/>
  <c r="AN87" i="3"/>
  <c r="AN91" i="3"/>
  <c r="AN95" i="3"/>
  <c r="AN96" i="3"/>
  <c r="AN97" i="3"/>
  <c r="AN98" i="3"/>
  <c r="AN99" i="3"/>
  <c r="AN100" i="3"/>
  <c r="AN101" i="3"/>
  <c r="AN102" i="3"/>
  <c r="AN103" i="3"/>
  <c r="AN104" i="3"/>
  <c r="AN105" i="3"/>
  <c r="AN106" i="3"/>
  <c r="AN107" i="3"/>
  <c r="AN108" i="3"/>
  <c r="AN109" i="3"/>
  <c r="AN110" i="3"/>
  <c r="AN111" i="3"/>
  <c r="AN112" i="3"/>
  <c r="AN113" i="3"/>
  <c r="AN114" i="3"/>
  <c r="AN115" i="3"/>
  <c r="AN116" i="3"/>
  <c r="AN117" i="3"/>
  <c r="AN118" i="3"/>
  <c r="AN119" i="3"/>
  <c r="AN120" i="3"/>
  <c r="AN121" i="3"/>
  <c r="AN122" i="3"/>
  <c r="AN123" i="3"/>
  <c r="AN124" i="3"/>
  <c r="AN125" i="3"/>
  <c r="AN126" i="3"/>
  <c r="AN127" i="3"/>
  <c r="AN128" i="3"/>
  <c r="AN129" i="3"/>
  <c r="AN130" i="3"/>
  <c r="AN131" i="3"/>
  <c r="AN132" i="3"/>
  <c r="AN133" i="3"/>
  <c r="AN134" i="3"/>
  <c r="AN135" i="3"/>
  <c r="AN136" i="3"/>
  <c r="AN137" i="3"/>
  <c r="AN138" i="3"/>
  <c r="AN139" i="3"/>
  <c r="AN140" i="3"/>
  <c r="AN141" i="3"/>
  <c r="AN142" i="3"/>
  <c r="AN143" i="3"/>
  <c r="AN144" i="3"/>
  <c r="AN145" i="3"/>
  <c r="AN146" i="3"/>
  <c r="AN147" i="3"/>
  <c r="AN148" i="3"/>
  <c r="AN149" i="3"/>
  <c r="AN150" i="3"/>
  <c r="AN151" i="3"/>
  <c r="AN152" i="3"/>
  <c r="AN153" i="3"/>
  <c r="AN154" i="3"/>
  <c r="AN155" i="3"/>
  <c r="AN156" i="3"/>
  <c r="AN157" i="3"/>
  <c r="AN158" i="3"/>
  <c r="AN10" i="3"/>
  <c r="AN14" i="3"/>
  <c r="AN18" i="3"/>
  <c r="AN22" i="3"/>
  <c r="AN26" i="3"/>
  <c r="AN30" i="3"/>
  <c r="AN34" i="3"/>
  <c r="AN38" i="3"/>
  <c r="AN42" i="3"/>
  <c r="AN46" i="3"/>
  <c r="AN50" i="3"/>
  <c r="AN54" i="3"/>
  <c r="AN58" i="3"/>
  <c r="AN62" i="3"/>
  <c r="AN66" i="3"/>
  <c r="AN70" i="3"/>
  <c r="AN74" i="3"/>
  <c r="AN78" i="3"/>
  <c r="AN82" i="3"/>
  <c r="AN86" i="3"/>
  <c r="AN90" i="3"/>
  <c r="AN94" i="3"/>
  <c r="AN13" i="3"/>
  <c r="AN17" i="3"/>
  <c r="AN21" i="3"/>
  <c r="AN25" i="3"/>
  <c r="AN29" i="3"/>
  <c r="AN33" i="3"/>
  <c r="AN37" i="3"/>
  <c r="AN41" i="3"/>
  <c r="AN45" i="3"/>
  <c r="AN49" i="3"/>
  <c r="AN53" i="3"/>
  <c r="AN57" i="3"/>
  <c r="AN61" i="3"/>
  <c r="AN65" i="3"/>
  <c r="AN69" i="3"/>
  <c r="AN73" i="3"/>
  <c r="AN77" i="3"/>
  <c r="AN81" i="3"/>
  <c r="AN85" i="3"/>
  <c r="AN89" i="3"/>
  <c r="AN93" i="3"/>
  <c r="AN12" i="3"/>
  <c r="AN16" i="3"/>
  <c r="AN20" i="3"/>
  <c r="AN24" i="3"/>
  <c r="AN28" i="3"/>
  <c r="AN32" i="3"/>
  <c r="AN36" i="3"/>
  <c r="AN40" i="3"/>
  <c r="AN44" i="3"/>
  <c r="AN48" i="3"/>
  <c r="AN52" i="3"/>
  <c r="AN56" i="3"/>
  <c r="AN60" i="3"/>
  <c r="AN64" i="3"/>
  <c r="AN68" i="3"/>
  <c r="AN72" i="3"/>
  <c r="AN76" i="3"/>
  <c r="AN80" i="3"/>
  <c r="AN84" i="3"/>
  <c r="AN88" i="3"/>
  <c r="AN92" i="3"/>
  <c r="AN159" i="3"/>
  <c r="AN160" i="3"/>
  <c r="AN161" i="3"/>
  <c r="AN162" i="3"/>
  <c r="AN163" i="3"/>
  <c r="AN164" i="3"/>
  <c r="AN165" i="3"/>
  <c r="AN166" i="3"/>
  <c r="AN167" i="3"/>
  <c r="AN168" i="3"/>
  <c r="AN169" i="3"/>
  <c r="AN170" i="3"/>
  <c r="AN171" i="3"/>
  <c r="AN172" i="3"/>
  <c r="AN173" i="3"/>
  <c r="AN174" i="3"/>
  <c r="AN175" i="3"/>
  <c r="AN176" i="3"/>
  <c r="AN177" i="3"/>
  <c r="AN178" i="3"/>
  <c r="AN179" i="3"/>
  <c r="AN180" i="3"/>
  <c r="AN181" i="3"/>
  <c r="AN182" i="3"/>
  <c r="AN183" i="3"/>
  <c r="AN184" i="3"/>
  <c r="AN185" i="3"/>
  <c r="AN186" i="3"/>
  <c r="AN187" i="3"/>
  <c r="AN188" i="3"/>
  <c r="AN189" i="3"/>
  <c r="AN190" i="3"/>
  <c r="AN191" i="3"/>
  <c r="AN192" i="3"/>
  <c r="AN193" i="3"/>
  <c r="AN194" i="3"/>
  <c r="AN195" i="3"/>
  <c r="AN196" i="3"/>
  <c r="AN197" i="3"/>
  <c r="AN198" i="3"/>
  <c r="AN199" i="3"/>
  <c r="AN200" i="3"/>
  <c r="AN201" i="3"/>
  <c r="AN202" i="3"/>
  <c r="AN203" i="3"/>
  <c r="AN204" i="3"/>
  <c r="AN205" i="3"/>
  <c r="AN206" i="3"/>
  <c r="AN207" i="3"/>
  <c r="AN208" i="3"/>
  <c r="AN209" i="3"/>
  <c r="AN210" i="3"/>
  <c r="AN211" i="3"/>
  <c r="AN212" i="3"/>
  <c r="AN213" i="3"/>
  <c r="AN214" i="3"/>
  <c r="AN215" i="3"/>
  <c r="AN216" i="3"/>
  <c r="AN217" i="3"/>
  <c r="AN218" i="3"/>
  <c r="AN219" i="3"/>
  <c r="AN220" i="3"/>
  <c r="AN221" i="3"/>
  <c r="AN222" i="3"/>
  <c r="AN223" i="3"/>
  <c r="AN224" i="3"/>
  <c r="AN225" i="3"/>
  <c r="AN226" i="3"/>
  <c r="AN227" i="3"/>
  <c r="AN228" i="3"/>
  <c r="AN229" i="3"/>
  <c r="AN230" i="3"/>
  <c r="AN231" i="3"/>
  <c r="AN232" i="3"/>
  <c r="AN233" i="3"/>
  <c r="AN234" i="3"/>
  <c r="AN235" i="3"/>
  <c r="AN236" i="3"/>
  <c r="AN237" i="3"/>
  <c r="AN238" i="3"/>
  <c r="AN239" i="3"/>
  <c r="AN240" i="3"/>
  <c r="AN241" i="3"/>
  <c r="AN242" i="3"/>
  <c r="AN243" i="3"/>
  <c r="AN244" i="3"/>
  <c r="AN245" i="3"/>
  <c r="AN246" i="3"/>
  <c r="AN247" i="3"/>
  <c r="AN248" i="3"/>
  <c r="AN249" i="3"/>
  <c r="AN250" i="3"/>
  <c r="AN251" i="3"/>
  <c r="AN252" i="3"/>
  <c r="AN253" i="3"/>
  <c r="AN254" i="3"/>
  <c r="AN255" i="3"/>
  <c r="AN256" i="3"/>
  <c r="AN257" i="3"/>
  <c r="AN258" i="3"/>
  <c r="AN259" i="3"/>
  <c r="AN260" i="3"/>
  <c r="AN261" i="3"/>
  <c r="AN262" i="3"/>
  <c r="AN263" i="3"/>
  <c r="AN264" i="3"/>
  <c r="AN265" i="3"/>
  <c r="AN266" i="3"/>
  <c r="AN267" i="3"/>
  <c r="AN268" i="3"/>
  <c r="AN269" i="3"/>
  <c r="AN270" i="3"/>
  <c r="AN271" i="3"/>
  <c r="AN272" i="3"/>
  <c r="AN273" i="3"/>
  <c r="AN274" i="3"/>
  <c r="AN275" i="3"/>
  <c r="AN276" i="3"/>
  <c r="AN277" i="3"/>
  <c r="AN278" i="3"/>
  <c r="AN279" i="3"/>
  <c r="AN280" i="3"/>
  <c r="AN281" i="3"/>
  <c r="AN282" i="3"/>
  <c r="AN283" i="3"/>
  <c r="AN284" i="3"/>
  <c r="AN285" i="3"/>
  <c r="AN286" i="3"/>
  <c r="AN287" i="3"/>
  <c r="AN288" i="3"/>
  <c r="AN289" i="3"/>
  <c r="AN290" i="3"/>
  <c r="AN291" i="3"/>
  <c r="AN292" i="3"/>
  <c r="AN293" i="3"/>
  <c r="AN294" i="3"/>
  <c r="AN295" i="3"/>
  <c r="AN296" i="3"/>
  <c r="AN297" i="3"/>
  <c r="AN298" i="3"/>
  <c r="AN299" i="3"/>
  <c r="AN300" i="3"/>
  <c r="AN9" i="3"/>
  <c r="AO10" i="3"/>
  <c r="AO11" i="3"/>
  <c r="AO12" i="3"/>
  <c r="AO13" i="3"/>
  <c r="AO14" i="3"/>
  <c r="AO15" i="3"/>
  <c r="AO16" i="3"/>
  <c r="AO17" i="3"/>
  <c r="AO18" i="3"/>
  <c r="AO19" i="3"/>
  <c r="AO20" i="3"/>
  <c r="AO21" i="3"/>
  <c r="AO22" i="3"/>
  <c r="AO23" i="3"/>
  <c r="AO24" i="3"/>
  <c r="AO25" i="3"/>
  <c r="AO26" i="3"/>
  <c r="AO27" i="3"/>
  <c r="AO28" i="3"/>
  <c r="AO29" i="3"/>
  <c r="AO30" i="3"/>
  <c r="AO31" i="3"/>
  <c r="AO32" i="3"/>
  <c r="AO33" i="3"/>
  <c r="AO34" i="3"/>
  <c r="AO35" i="3"/>
  <c r="AO36" i="3"/>
  <c r="AO37" i="3"/>
  <c r="AO38" i="3"/>
  <c r="AO39" i="3"/>
  <c r="AO40" i="3"/>
  <c r="AO41" i="3"/>
  <c r="AO42" i="3"/>
  <c r="AO43" i="3"/>
  <c r="AO44" i="3"/>
  <c r="AO45" i="3"/>
  <c r="AO46" i="3"/>
  <c r="AO47" i="3"/>
  <c r="AO48" i="3"/>
  <c r="AO49" i="3"/>
  <c r="AO50" i="3"/>
  <c r="AO51" i="3"/>
  <c r="AO52" i="3"/>
  <c r="AO53" i="3"/>
  <c r="AO54" i="3"/>
  <c r="AO55" i="3"/>
  <c r="AO56" i="3"/>
  <c r="AO57" i="3"/>
  <c r="AO58" i="3"/>
  <c r="AO59" i="3"/>
  <c r="AO60" i="3"/>
  <c r="AO61" i="3"/>
  <c r="AO62" i="3"/>
  <c r="AO63" i="3"/>
  <c r="AO64" i="3"/>
  <c r="AO65" i="3"/>
  <c r="AO66" i="3"/>
  <c r="AO67" i="3"/>
  <c r="AO68" i="3"/>
  <c r="AO69" i="3"/>
  <c r="AO70" i="3"/>
  <c r="AO71" i="3"/>
  <c r="AO72" i="3"/>
  <c r="AO73" i="3"/>
  <c r="AO74" i="3"/>
  <c r="AO75" i="3"/>
  <c r="AO76" i="3"/>
  <c r="AO77" i="3"/>
  <c r="AO78" i="3"/>
  <c r="AO79" i="3"/>
  <c r="AO80" i="3"/>
  <c r="AO81" i="3"/>
  <c r="AO82" i="3"/>
  <c r="AO83" i="3"/>
  <c r="AO84" i="3"/>
  <c r="AO85" i="3"/>
  <c r="AO86" i="3"/>
  <c r="AO87" i="3"/>
  <c r="AO88" i="3"/>
  <c r="AO89" i="3"/>
  <c r="AO90" i="3"/>
  <c r="AO91" i="3"/>
  <c r="AO92" i="3"/>
  <c r="AO93" i="3"/>
  <c r="AO94" i="3"/>
  <c r="AO95" i="3"/>
  <c r="AO96" i="3"/>
  <c r="AO97" i="3"/>
  <c r="AO98" i="3"/>
  <c r="AO99" i="3"/>
  <c r="AO100" i="3"/>
  <c r="AO101" i="3"/>
  <c r="AO102" i="3"/>
  <c r="AO103" i="3"/>
  <c r="AO104" i="3"/>
  <c r="AO105" i="3"/>
  <c r="AO106" i="3"/>
  <c r="AO107" i="3"/>
  <c r="AO108" i="3"/>
  <c r="AO109" i="3"/>
  <c r="AO110" i="3"/>
  <c r="AO111" i="3"/>
  <c r="AO112" i="3"/>
  <c r="AO113" i="3"/>
  <c r="AO114" i="3"/>
  <c r="AO115" i="3"/>
  <c r="AO116" i="3"/>
  <c r="AO117" i="3"/>
  <c r="AO118" i="3"/>
  <c r="AO119" i="3"/>
  <c r="AO120" i="3"/>
  <c r="AO121" i="3"/>
  <c r="AO122" i="3"/>
  <c r="AO123" i="3"/>
  <c r="AO124" i="3"/>
  <c r="AO125" i="3"/>
  <c r="AO126" i="3"/>
  <c r="AO127" i="3"/>
  <c r="AO128" i="3"/>
  <c r="AO129" i="3"/>
  <c r="AO130" i="3"/>
  <c r="AO131" i="3"/>
  <c r="AO132" i="3"/>
  <c r="AO133" i="3"/>
  <c r="AO134" i="3"/>
  <c r="AO135" i="3"/>
  <c r="AO136" i="3"/>
  <c r="AO137" i="3"/>
  <c r="AO138" i="3"/>
  <c r="AO139" i="3"/>
  <c r="AO140" i="3"/>
  <c r="AO141" i="3"/>
  <c r="AO142" i="3"/>
  <c r="AO143" i="3"/>
  <c r="AO144" i="3"/>
  <c r="AO145" i="3"/>
  <c r="AO146" i="3"/>
  <c r="AO147" i="3"/>
  <c r="AO148" i="3"/>
  <c r="AO149" i="3"/>
  <c r="AO150" i="3"/>
  <c r="AO151" i="3"/>
  <c r="AO152" i="3"/>
  <c r="AO153" i="3"/>
  <c r="AO154" i="3"/>
  <c r="AO155" i="3"/>
  <c r="AO9" i="3"/>
  <c r="AO158" i="3"/>
  <c r="AO159" i="3"/>
  <c r="AO160" i="3"/>
  <c r="AO161" i="3"/>
  <c r="AO162" i="3"/>
  <c r="AO163" i="3"/>
  <c r="AO164" i="3"/>
  <c r="AO165" i="3"/>
  <c r="AO166" i="3"/>
  <c r="AO167" i="3"/>
  <c r="AO168" i="3"/>
  <c r="AO169" i="3"/>
  <c r="AO170" i="3"/>
  <c r="AO171" i="3"/>
  <c r="AO172" i="3"/>
  <c r="AO173" i="3"/>
  <c r="AO174" i="3"/>
  <c r="AO175" i="3"/>
  <c r="AO176" i="3"/>
  <c r="AO177" i="3"/>
  <c r="AO178" i="3"/>
  <c r="AO179" i="3"/>
  <c r="AO180" i="3"/>
  <c r="AO181" i="3"/>
  <c r="AO182" i="3"/>
  <c r="AO183" i="3"/>
  <c r="AO184" i="3"/>
  <c r="AO185" i="3"/>
  <c r="AO252" i="3"/>
  <c r="AO276" i="3"/>
  <c r="AO293" i="3"/>
  <c r="AO256" i="3"/>
  <c r="AO264" i="3"/>
  <c r="AO296" i="3"/>
  <c r="AO156" i="3"/>
  <c r="AO188" i="3"/>
  <c r="AO192" i="3"/>
  <c r="AO196" i="3"/>
  <c r="AO200" i="3"/>
  <c r="AO204" i="3"/>
  <c r="AO208" i="3"/>
  <c r="AO212" i="3"/>
  <c r="AO216" i="3"/>
  <c r="AO220" i="3"/>
  <c r="AO224" i="3"/>
  <c r="AO228" i="3"/>
  <c r="AO232" i="3"/>
  <c r="AO240" i="3"/>
  <c r="AO244" i="3"/>
  <c r="AO248" i="3"/>
  <c r="AO280" i="3"/>
  <c r="AO292" i="3"/>
  <c r="AO300" i="3"/>
  <c r="AO187" i="3"/>
  <c r="AO191" i="3"/>
  <c r="AO195" i="3"/>
  <c r="AO199" i="3"/>
  <c r="AO203" i="3"/>
  <c r="AO207" i="3"/>
  <c r="AO211" i="3"/>
  <c r="AO215" i="3"/>
  <c r="AO219" i="3"/>
  <c r="AO223" i="3"/>
  <c r="AO227" i="3"/>
  <c r="AO231" i="3"/>
  <c r="AO235" i="3"/>
  <c r="AO239" i="3"/>
  <c r="AO243" i="3"/>
  <c r="AO247" i="3"/>
  <c r="AO251" i="3"/>
  <c r="AO255" i="3"/>
  <c r="AO259" i="3"/>
  <c r="AO263" i="3"/>
  <c r="AO267" i="3"/>
  <c r="AO271" i="3"/>
  <c r="AO275" i="3"/>
  <c r="AO279" i="3"/>
  <c r="AO283" i="3"/>
  <c r="AO287" i="3"/>
  <c r="AO291" i="3"/>
  <c r="AO295" i="3"/>
  <c r="AO299" i="3"/>
  <c r="AO186" i="3"/>
  <c r="AO190" i="3"/>
  <c r="AO194" i="3"/>
  <c r="AO198" i="3"/>
  <c r="AO202" i="3"/>
  <c r="AO206" i="3"/>
  <c r="AO210" i="3"/>
  <c r="AO214" i="3"/>
  <c r="AO218" i="3"/>
  <c r="AO222" i="3"/>
  <c r="AO226" i="3"/>
  <c r="AO230" i="3"/>
  <c r="AO234" i="3"/>
  <c r="AO238" i="3"/>
  <c r="AO242" i="3"/>
  <c r="AO246" i="3"/>
  <c r="AO250" i="3"/>
  <c r="AO254" i="3"/>
  <c r="AO258" i="3"/>
  <c r="AO262" i="3"/>
  <c r="AO266" i="3"/>
  <c r="AO270" i="3"/>
  <c r="AO274" i="3"/>
  <c r="AO278" i="3"/>
  <c r="AO282" i="3"/>
  <c r="AO286" i="3"/>
  <c r="AO290" i="3"/>
  <c r="AO294" i="3"/>
  <c r="AO298" i="3"/>
  <c r="AO157" i="3"/>
  <c r="AO189" i="3"/>
  <c r="AO193" i="3"/>
  <c r="AO197" i="3"/>
  <c r="AO201" i="3"/>
  <c r="AO205" i="3"/>
  <c r="AO209" i="3"/>
  <c r="AO213" i="3"/>
  <c r="AO217" i="3"/>
  <c r="AO221" i="3"/>
  <c r="AO225" i="3"/>
  <c r="AO229" i="3"/>
  <c r="AO233" i="3"/>
  <c r="AO237" i="3"/>
  <c r="AO241" i="3"/>
  <c r="AO245" i="3"/>
  <c r="AO249" i="3"/>
  <c r="AO253" i="3"/>
  <c r="AO257" i="3"/>
  <c r="AO261" i="3"/>
  <c r="AO265" i="3"/>
  <c r="AO269" i="3"/>
  <c r="AO273" i="3"/>
  <c r="AO277" i="3"/>
  <c r="AO281" i="3"/>
  <c r="AO285" i="3"/>
  <c r="AO289" i="3"/>
  <c r="AO297" i="3"/>
  <c r="AO236" i="3"/>
  <c r="AO260" i="3"/>
  <c r="AO268" i="3"/>
  <c r="AO272" i="3"/>
  <c r="AO284" i="3"/>
  <c r="AO288" i="3"/>
  <c r="AK264" i="3"/>
  <c r="AK262" i="3"/>
  <c r="AK118" i="3"/>
  <c r="AK208" i="3"/>
  <c r="AK263" i="3"/>
  <c r="AK240" i="3"/>
  <c r="AK246" i="3"/>
  <c r="AK245" i="3"/>
  <c r="AK174" i="3"/>
  <c r="AK173" i="3"/>
  <c r="AK256" i="3"/>
  <c r="AK248" i="3"/>
  <c r="AK236" i="3"/>
  <c r="AK189" i="3"/>
  <c r="AK165" i="3"/>
  <c r="AK149" i="3"/>
  <c r="AK141" i="3"/>
  <c r="AK125" i="3"/>
  <c r="AK109" i="3"/>
  <c r="AK206" i="3"/>
  <c r="AK198" i="3"/>
  <c r="AK182" i="3"/>
  <c r="AK166" i="3"/>
  <c r="AK150" i="3"/>
  <c r="AK142" i="3"/>
  <c r="AK134" i="3"/>
  <c r="AK126" i="3"/>
  <c r="AK110" i="3"/>
  <c r="AK102" i="3"/>
  <c r="AK270" i="3"/>
  <c r="AK254" i="3"/>
  <c r="AK238" i="3"/>
  <c r="AK230" i="3"/>
  <c r="AK226" i="3"/>
  <c r="AK222" i="3"/>
  <c r="AK214" i="3"/>
  <c r="AK158" i="3"/>
  <c r="AK114" i="3"/>
  <c r="AK216" i="3"/>
  <c r="AK200" i="3"/>
  <c r="AK181" i="3"/>
  <c r="AK154" i="3"/>
  <c r="AK192" i="3"/>
  <c r="AK184" i="3"/>
  <c r="AK176" i="3"/>
  <c r="AK138" i="3"/>
  <c r="AK130" i="3"/>
  <c r="AK122" i="3"/>
  <c r="AK266" i="3"/>
  <c r="AK250" i="3"/>
  <c r="AK234" i="3"/>
  <c r="AK106" i="3"/>
  <c r="AK197" i="3"/>
  <c r="AK218" i="3"/>
  <c r="AK202" i="3"/>
  <c r="AK229" i="3"/>
  <c r="AK213" i="3"/>
  <c r="AK253" i="3"/>
  <c r="AK117" i="3"/>
  <c r="AK186" i="3"/>
  <c r="AK136" i="3"/>
  <c r="AK104" i="3"/>
  <c r="AK190" i="3"/>
  <c r="AK157" i="3"/>
  <c r="AK223" i="3"/>
  <c r="AK178" i="3"/>
  <c r="AK128" i="3"/>
  <c r="AK205" i="3"/>
  <c r="AK160" i="3"/>
  <c r="AK146" i="3"/>
  <c r="AK258" i="3"/>
  <c r="AK232" i="3"/>
  <c r="AK210" i="3"/>
  <c r="AK170" i="3"/>
  <c r="AK152" i="3"/>
  <c r="AK120" i="3"/>
  <c r="AK168" i="3"/>
  <c r="AK133" i="3"/>
  <c r="AK242" i="3"/>
  <c r="AK224" i="3"/>
  <c r="AK194" i="3"/>
  <c r="AK162" i="3"/>
  <c r="AK144" i="3"/>
  <c r="AK112" i="3"/>
  <c r="AK252" i="3"/>
  <c r="AK228" i="3"/>
  <c r="AK204" i="3"/>
  <c r="AK148" i="3"/>
  <c r="AK132" i="3"/>
  <c r="AK116" i="3"/>
  <c r="AK244" i="3"/>
  <c r="AK196" i="3"/>
  <c r="AK180" i="3"/>
  <c r="AK164" i="3"/>
  <c r="AK268" i="3"/>
  <c r="AK220" i="3"/>
  <c r="AK156" i="3"/>
  <c r="AK140" i="3"/>
  <c r="AK124" i="3"/>
  <c r="AK108" i="3"/>
  <c r="AK260" i="3"/>
  <c r="AK212" i="3"/>
  <c r="AK188" i="3"/>
  <c r="AK172" i="3"/>
  <c r="AK269" i="3"/>
  <c r="AK299" i="3"/>
  <c r="AK295" i="3"/>
  <c r="AK291" i="3"/>
  <c r="AK287" i="3"/>
  <c r="AK283" i="3"/>
  <c r="AK279" i="3"/>
  <c r="AK271" i="3"/>
  <c r="AK255" i="3"/>
  <c r="AK247" i="3"/>
  <c r="AK239" i="3"/>
  <c r="AK231" i="3"/>
  <c r="AK215" i="3"/>
  <c r="AK207" i="3"/>
  <c r="AK199" i="3"/>
  <c r="AK191" i="3"/>
  <c r="AK183" i="3"/>
  <c r="AK175" i="3"/>
  <c r="AK167" i="3"/>
  <c r="AK159" i="3"/>
  <c r="AK151" i="3"/>
  <c r="AK143" i="3"/>
  <c r="AK135" i="3"/>
  <c r="AK127" i="3"/>
  <c r="AK119" i="3"/>
  <c r="AK111" i="3"/>
  <c r="AK103" i="3"/>
  <c r="AK261" i="3"/>
  <c r="AK221" i="3"/>
  <c r="AK169" i="3"/>
  <c r="AK163" i="3"/>
  <c r="AK153" i="3"/>
  <c r="AK147" i="3"/>
  <c r="AK137" i="3"/>
  <c r="AK131" i="3"/>
  <c r="AK121" i="3"/>
  <c r="AK115" i="3"/>
  <c r="AK105" i="3"/>
  <c r="AK273" i="3"/>
  <c r="AK237" i="3"/>
  <c r="AK101" i="3"/>
  <c r="AK297" i="3"/>
  <c r="AK293" i="3"/>
  <c r="AK289" i="3"/>
  <c r="AK285" i="3"/>
  <c r="AK281" i="3"/>
  <c r="AK275" i="3"/>
  <c r="AK161" i="3"/>
  <c r="AK145" i="3"/>
  <c r="AK129" i="3"/>
  <c r="AK113" i="3"/>
  <c r="AK277" i="3"/>
  <c r="AK171" i="3"/>
  <c r="AK155" i="3"/>
  <c r="AK139" i="3"/>
  <c r="AK123" i="3"/>
  <c r="AK107" i="3"/>
  <c r="AK298" i="3"/>
  <c r="AK290" i="3"/>
  <c r="AK282" i="3"/>
  <c r="AK274" i="3"/>
  <c r="AK265" i="3"/>
  <c r="AK259" i="3"/>
  <c r="AK249" i="3"/>
  <c r="AK243" i="3"/>
  <c r="AK233" i="3"/>
  <c r="AK227" i="3"/>
  <c r="AK217" i="3"/>
  <c r="AK211" i="3"/>
  <c r="AK201" i="3"/>
  <c r="AK195" i="3"/>
  <c r="AK185" i="3"/>
  <c r="AK179" i="3"/>
  <c r="AK300" i="3"/>
  <c r="AK292" i="3"/>
  <c r="AK284" i="3"/>
  <c r="AK276" i="3"/>
  <c r="AK294" i="3"/>
  <c r="AK286" i="3"/>
  <c r="AK278" i="3"/>
  <c r="AK267" i="3"/>
  <c r="AK257" i="3"/>
  <c r="AK251" i="3"/>
  <c r="AK241" i="3"/>
  <c r="AK235" i="3"/>
  <c r="AK225" i="3"/>
  <c r="AK219" i="3"/>
  <c r="AK209" i="3"/>
  <c r="AK203" i="3"/>
  <c r="AK193" i="3"/>
  <c r="AK187" i="3"/>
  <c r="AK177" i="3"/>
  <c r="AK296" i="3"/>
  <c r="AK288" i="3"/>
  <c r="AK280" i="3"/>
  <c r="AK272" i="3"/>
  <c r="AH62" i="3" l="1"/>
  <c r="AI62" i="3" s="1"/>
  <c r="AJ62" i="3"/>
  <c r="AH63" i="3"/>
  <c r="AI63" i="3" s="1"/>
  <c r="AJ63" i="3"/>
  <c r="AH64" i="3"/>
  <c r="AI64" i="3" s="1"/>
  <c r="AJ64" i="3"/>
  <c r="AH65" i="3"/>
  <c r="AI65" i="3" s="1"/>
  <c r="AJ65" i="3"/>
  <c r="AH66" i="3"/>
  <c r="AI66" i="3" s="1"/>
  <c r="AJ66" i="3"/>
  <c r="AH67" i="3"/>
  <c r="AI67" i="3" s="1"/>
  <c r="AJ67" i="3"/>
  <c r="AH68" i="3"/>
  <c r="AI68" i="3" s="1"/>
  <c r="AJ68" i="3"/>
  <c r="AH69" i="3"/>
  <c r="AI69" i="3" s="1"/>
  <c r="AJ69" i="3"/>
  <c r="AH70" i="3"/>
  <c r="AI70" i="3" s="1"/>
  <c r="AJ70" i="3"/>
  <c r="AH71" i="3"/>
  <c r="AI71" i="3" s="1"/>
  <c r="AJ71" i="3"/>
  <c r="AH72" i="3"/>
  <c r="AI72" i="3" s="1"/>
  <c r="AJ72" i="3"/>
  <c r="AH73" i="3"/>
  <c r="AI73" i="3" s="1"/>
  <c r="AJ73" i="3"/>
  <c r="AH74" i="3"/>
  <c r="AI74" i="3" s="1"/>
  <c r="AJ74" i="3"/>
  <c r="AH75" i="3"/>
  <c r="AI75" i="3" s="1"/>
  <c r="AJ75" i="3"/>
  <c r="AH76" i="3"/>
  <c r="AI76" i="3" s="1"/>
  <c r="AJ76" i="3"/>
  <c r="AH77" i="3"/>
  <c r="AI77" i="3" s="1"/>
  <c r="AJ77" i="3"/>
  <c r="AH78" i="3"/>
  <c r="AI78" i="3" s="1"/>
  <c r="AJ78" i="3"/>
  <c r="AH79" i="3"/>
  <c r="AI79" i="3" s="1"/>
  <c r="AJ79" i="3"/>
  <c r="AH80" i="3"/>
  <c r="AI80" i="3" s="1"/>
  <c r="AJ80" i="3"/>
  <c r="AH81" i="3"/>
  <c r="AI81" i="3" s="1"/>
  <c r="AJ81" i="3"/>
  <c r="AH82" i="3"/>
  <c r="AI82" i="3" s="1"/>
  <c r="AJ82" i="3"/>
  <c r="AH83" i="3"/>
  <c r="AI83" i="3" s="1"/>
  <c r="AJ83" i="3"/>
  <c r="AH84" i="3"/>
  <c r="AI84" i="3" s="1"/>
  <c r="AJ84" i="3"/>
  <c r="AH85" i="3"/>
  <c r="AI85" i="3" s="1"/>
  <c r="AJ85" i="3"/>
  <c r="AH86" i="3"/>
  <c r="AI86" i="3" s="1"/>
  <c r="AJ86" i="3"/>
  <c r="AH87" i="3"/>
  <c r="AI87" i="3" s="1"/>
  <c r="AJ87" i="3"/>
  <c r="AH88" i="3"/>
  <c r="AI88" i="3" s="1"/>
  <c r="AJ88" i="3"/>
  <c r="AH89" i="3"/>
  <c r="AI89" i="3" s="1"/>
  <c r="AJ89" i="3"/>
  <c r="AH90" i="3"/>
  <c r="AI90" i="3" s="1"/>
  <c r="AJ90" i="3"/>
  <c r="AH91" i="3"/>
  <c r="AI91" i="3" s="1"/>
  <c r="AJ91" i="3"/>
  <c r="AH92" i="3"/>
  <c r="AI92" i="3" s="1"/>
  <c r="AJ92" i="3"/>
  <c r="AH93" i="3"/>
  <c r="AI93" i="3" s="1"/>
  <c r="AJ93" i="3"/>
  <c r="AH94" i="3"/>
  <c r="AI94" i="3" s="1"/>
  <c r="AJ94" i="3"/>
  <c r="AH95" i="3"/>
  <c r="AI95" i="3" s="1"/>
  <c r="AJ95" i="3"/>
  <c r="AH96" i="3"/>
  <c r="AI96" i="3" s="1"/>
  <c r="AJ96" i="3"/>
  <c r="AH97" i="3"/>
  <c r="AI97" i="3" s="1"/>
  <c r="AJ97" i="3"/>
  <c r="AH98" i="3"/>
  <c r="AI98" i="3" s="1"/>
  <c r="AJ98" i="3"/>
  <c r="AH99" i="3"/>
  <c r="AI99" i="3" s="1"/>
  <c r="AJ99" i="3"/>
  <c r="AH100" i="3"/>
  <c r="AI100" i="3" s="1"/>
  <c r="AJ100" i="3"/>
  <c r="AG62" i="3"/>
  <c r="AG63" i="3"/>
  <c r="AG64" i="3"/>
  <c r="AG65" i="3"/>
  <c r="AG66" i="3"/>
  <c r="AG67" i="3"/>
  <c r="AG68" i="3"/>
  <c r="AG69" i="3"/>
  <c r="AG70" i="3"/>
  <c r="AG71" i="3"/>
  <c r="AG72" i="3"/>
  <c r="AG73" i="3"/>
  <c r="AG74" i="3"/>
  <c r="AG75" i="3"/>
  <c r="AG76" i="3"/>
  <c r="AG77" i="3"/>
  <c r="AG78" i="3"/>
  <c r="AG79" i="3"/>
  <c r="AG80" i="3"/>
  <c r="AG81" i="3"/>
  <c r="AG82" i="3"/>
  <c r="AG83" i="3"/>
  <c r="AG84" i="3"/>
  <c r="AG85" i="3"/>
  <c r="AG86" i="3"/>
  <c r="AG87" i="3"/>
  <c r="AG88" i="3"/>
  <c r="AG89" i="3"/>
  <c r="AG90" i="3"/>
  <c r="AG91" i="3"/>
  <c r="AG92" i="3"/>
  <c r="AG93" i="3"/>
  <c r="AG94" i="3"/>
  <c r="AG95" i="3"/>
  <c r="AG96" i="3"/>
  <c r="AG97" i="3"/>
  <c r="AG98" i="3"/>
  <c r="AG99" i="3"/>
  <c r="AG100" i="3"/>
  <c r="AB62" i="3"/>
  <c r="AB63" i="3"/>
  <c r="AB64" i="3"/>
  <c r="AB65" i="3"/>
  <c r="AB66" i="3"/>
  <c r="AB67" i="3"/>
  <c r="AB68" i="3"/>
  <c r="AB69" i="3"/>
  <c r="AB70" i="3"/>
  <c r="AB71" i="3"/>
  <c r="AB72" i="3"/>
  <c r="AB73" i="3"/>
  <c r="AB74" i="3"/>
  <c r="AB75" i="3"/>
  <c r="AB76" i="3"/>
  <c r="AB77" i="3"/>
  <c r="AB78" i="3"/>
  <c r="AB79" i="3"/>
  <c r="AB80" i="3"/>
  <c r="AB81" i="3"/>
  <c r="AB82" i="3"/>
  <c r="AB83" i="3"/>
  <c r="AB84" i="3"/>
  <c r="AB85" i="3"/>
  <c r="AB86" i="3"/>
  <c r="AB87" i="3"/>
  <c r="AB88" i="3"/>
  <c r="AB89" i="3"/>
  <c r="AB90" i="3"/>
  <c r="AB91" i="3"/>
  <c r="AB92" i="3"/>
  <c r="AB93" i="3"/>
  <c r="AB94" i="3"/>
  <c r="AB95" i="3"/>
  <c r="AB96" i="3"/>
  <c r="AB97" i="3"/>
  <c r="AB98" i="3"/>
  <c r="AB99" i="3"/>
  <c r="AB100" i="3"/>
  <c r="W62" i="3"/>
  <c r="W63" i="3"/>
  <c r="W64" i="3"/>
  <c r="W65" i="3"/>
  <c r="W66" i="3"/>
  <c r="W67" i="3"/>
  <c r="W68" i="3"/>
  <c r="W69" i="3"/>
  <c r="W70" i="3"/>
  <c r="W71" i="3"/>
  <c r="W72" i="3"/>
  <c r="W73" i="3"/>
  <c r="W74" i="3"/>
  <c r="W75" i="3"/>
  <c r="W76" i="3"/>
  <c r="W77" i="3"/>
  <c r="W78" i="3"/>
  <c r="W79" i="3"/>
  <c r="W80" i="3"/>
  <c r="W81" i="3"/>
  <c r="W82" i="3"/>
  <c r="W83" i="3"/>
  <c r="W84" i="3"/>
  <c r="W85" i="3"/>
  <c r="W86" i="3"/>
  <c r="W87" i="3"/>
  <c r="W88" i="3"/>
  <c r="W89" i="3"/>
  <c r="W90" i="3"/>
  <c r="W91" i="3"/>
  <c r="W92" i="3"/>
  <c r="W93" i="3"/>
  <c r="W94" i="3"/>
  <c r="W95" i="3"/>
  <c r="W96" i="3"/>
  <c r="W97" i="3"/>
  <c r="W98" i="3"/>
  <c r="W99" i="3"/>
  <c r="W100" i="3"/>
  <c r="R62" i="3"/>
  <c r="R63" i="3"/>
  <c r="R64" i="3"/>
  <c r="R65" i="3"/>
  <c r="R66" i="3"/>
  <c r="R67" i="3"/>
  <c r="R68" i="3"/>
  <c r="R69" i="3"/>
  <c r="R70" i="3"/>
  <c r="R71" i="3"/>
  <c r="R72" i="3"/>
  <c r="R73" i="3"/>
  <c r="R74" i="3"/>
  <c r="R75" i="3"/>
  <c r="R76" i="3"/>
  <c r="R77" i="3"/>
  <c r="R78" i="3"/>
  <c r="R79" i="3"/>
  <c r="R80" i="3"/>
  <c r="R81" i="3"/>
  <c r="R82" i="3"/>
  <c r="R83" i="3"/>
  <c r="R84" i="3"/>
  <c r="R85" i="3"/>
  <c r="R86" i="3"/>
  <c r="R87" i="3"/>
  <c r="R88" i="3"/>
  <c r="R89" i="3"/>
  <c r="R90" i="3"/>
  <c r="R91" i="3"/>
  <c r="R92" i="3"/>
  <c r="R93" i="3"/>
  <c r="R94" i="3"/>
  <c r="R95" i="3"/>
  <c r="R96" i="3"/>
  <c r="R97" i="3"/>
  <c r="R98" i="3"/>
  <c r="R99" i="3"/>
  <c r="R100" i="3"/>
  <c r="M100" i="3"/>
  <c r="M62" i="3"/>
  <c r="M63" i="3"/>
  <c r="M64" i="3"/>
  <c r="M65" i="3"/>
  <c r="M66" i="3"/>
  <c r="M67" i="3"/>
  <c r="M68" i="3"/>
  <c r="M69" i="3"/>
  <c r="M70" i="3"/>
  <c r="M71" i="3"/>
  <c r="M72" i="3"/>
  <c r="M73" i="3"/>
  <c r="M74" i="3"/>
  <c r="M75" i="3"/>
  <c r="M76" i="3"/>
  <c r="M77" i="3"/>
  <c r="M78" i="3"/>
  <c r="M79" i="3"/>
  <c r="M80" i="3"/>
  <c r="M81" i="3"/>
  <c r="M82" i="3"/>
  <c r="M83" i="3"/>
  <c r="M84" i="3"/>
  <c r="M85" i="3"/>
  <c r="M86" i="3"/>
  <c r="M87" i="3"/>
  <c r="M88" i="3"/>
  <c r="M89" i="3"/>
  <c r="M90" i="3"/>
  <c r="M91" i="3"/>
  <c r="M92" i="3"/>
  <c r="M93" i="3"/>
  <c r="M94" i="3"/>
  <c r="M95" i="3"/>
  <c r="M96" i="3"/>
  <c r="M97" i="3"/>
  <c r="M98" i="3"/>
  <c r="M99" i="3"/>
  <c r="AG10" i="3"/>
  <c r="AG11" i="3"/>
  <c r="AG12" i="3"/>
  <c r="AG13" i="3"/>
  <c r="AG14" i="3"/>
  <c r="AG15" i="3"/>
  <c r="AG16" i="3"/>
  <c r="AG17" i="3"/>
  <c r="AG18" i="3"/>
  <c r="AG19" i="3"/>
  <c r="AG20" i="3"/>
  <c r="AG21" i="3"/>
  <c r="AG22" i="3"/>
  <c r="AG23" i="3"/>
  <c r="AG24" i="3"/>
  <c r="AG25" i="3"/>
  <c r="AG26" i="3"/>
  <c r="AG27" i="3"/>
  <c r="AG28" i="3"/>
  <c r="AG29" i="3"/>
  <c r="AG30" i="3"/>
  <c r="AG31" i="3"/>
  <c r="AG32" i="3"/>
  <c r="AG33" i="3"/>
  <c r="AG34" i="3"/>
  <c r="AG35" i="3"/>
  <c r="AG36" i="3"/>
  <c r="AG37" i="3"/>
  <c r="AG38" i="3"/>
  <c r="AG39" i="3"/>
  <c r="AG40" i="3"/>
  <c r="AG41" i="3"/>
  <c r="AG42" i="3"/>
  <c r="AG43" i="3"/>
  <c r="AG44" i="3"/>
  <c r="AG45" i="3"/>
  <c r="AG46" i="3"/>
  <c r="AG47" i="3"/>
  <c r="AG48" i="3"/>
  <c r="AG49" i="3"/>
  <c r="AG50" i="3"/>
  <c r="AG51" i="3"/>
  <c r="AG52" i="3"/>
  <c r="AG53" i="3"/>
  <c r="AG54" i="3"/>
  <c r="AG55" i="3"/>
  <c r="AG56" i="3"/>
  <c r="AG57" i="3"/>
  <c r="AG58" i="3"/>
  <c r="AG59" i="3"/>
  <c r="AG60" i="3"/>
  <c r="AG61" i="3"/>
  <c r="AB10" i="3"/>
  <c r="AB11" i="3"/>
  <c r="AB12" i="3"/>
  <c r="AB13" i="3"/>
  <c r="AB14" i="3"/>
  <c r="AB15" i="3"/>
  <c r="AB16" i="3"/>
  <c r="AB17" i="3"/>
  <c r="AB18" i="3"/>
  <c r="AB19" i="3"/>
  <c r="AB20" i="3"/>
  <c r="AB21" i="3"/>
  <c r="AB22" i="3"/>
  <c r="AB23" i="3"/>
  <c r="AB24" i="3"/>
  <c r="AB25" i="3"/>
  <c r="AB26" i="3"/>
  <c r="AB27" i="3"/>
  <c r="AB28" i="3"/>
  <c r="AB29" i="3"/>
  <c r="AB30" i="3"/>
  <c r="AB31" i="3"/>
  <c r="AB32" i="3"/>
  <c r="AB33" i="3"/>
  <c r="AB34" i="3"/>
  <c r="AB35" i="3"/>
  <c r="AB36" i="3"/>
  <c r="AB37" i="3"/>
  <c r="AB38" i="3"/>
  <c r="AB39" i="3"/>
  <c r="AB40" i="3"/>
  <c r="AB41" i="3"/>
  <c r="AB42" i="3"/>
  <c r="AB43" i="3"/>
  <c r="AB44" i="3"/>
  <c r="AB45" i="3"/>
  <c r="AB46" i="3"/>
  <c r="AB47" i="3"/>
  <c r="AB48" i="3"/>
  <c r="AB49" i="3"/>
  <c r="AB50" i="3"/>
  <c r="AB51" i="3"/>
  <c r="AB52" i="3"/>
  <c r="AB53" i="3"/>
  <c r="AB54" i="3"/>
  <c r="AB55" i="3"/>
  <c r="AB56" i="3"/>
  <c r="AB57" i="3"/>
  <c r="AB58" i="3"/>
  <c r="AB59" i="3"/>
  <c r="AB60" i="3"/>
  <c r="AB61" i="3"/>
  <c r="W10" i="3"/>
  <c r="W11" i="3"/>
  <c r="W12" i="3"/>
  <c r="W13" i="3"/>
  <c r="W14" i="3"/>
  <c r="W15" i="3"/>
  <c r="W16" i="3"/>
  <c r="W17" i="3"/>
  <c r="W18" i="3"/>
  <c r="W19" i="3"/>
  <c r="W20" i="3"/>
  <c r="W21" i="3"/>
  <c r="W22" i="3"/>
  <c r="W23" i="3"/>
  <c r="W24" i="3"/>
  <c r="W25" i="3"/>
  <c r="W26" i="3"/>
  <c r="W27" i="3"/>
  <c r="W28" i="3"/>
  <c r="W29" i="3"/>
  <c r="W30" i="3"/>
  <c r="W31" i="3"/>
  <c r="W32" i="3"/>
  <c r="W33" i="3"/>
  <c r="W34" i="3"/>
  <c r="W35" i="3"/>
  <c r="W36" i="3"/>
  <c r="W37" i="3"/>
  <c r="W38" i="3"/>
  <c r="W39" i="3"/>
  <c r="W40" i="3"/>
  <c r="W41" i="3"/>
  <c r="W42" i="3"/>
  <c r="W43" i="3"/>
  <c r="W44" i="3"/>
  <c r="W45" i="3"/>
  <c r="W46" i="3"/>
  <c r="W47" i="3"/>
  <c r="W48" i="3"/>
  <c r="W49" i="3"/>
  <c r="W50" i="3"/>
  <c r="W51" i="3"/>
  <c r="W52" i="3"/>
  <c r="W53" i="3"/>
  <c r="W54" i="3"/>
  <c r="W55" i="3"/>
  <c r="W56" i="3"/>
  <c r="W57" i="3"/>
  <c r="W58" i="3"/>
  <c r="W59" i="3"/>
  <c r="W60" i="3"/>
  <c r="W61" i="3"/>
  <c r="R10" i="3"/>
  <c r="R11" i="3"/>
  <c r="R12" i="3"/>
  <c r="R13" i="3"/>
  <c r="R14" i="3"/>
  <c r="R15" i="3"/>
  <c r="R16" i="3"/>
  <c r="R17" i="3"/>
  <c r="R18" i="3"/>
  <c r="R19" i="3"/>
  <c r="R20" i="3"/>
  <c r="R21" i="3"/>
  <c r="R22" i="3"/>
  <c r="R23" i="3"/>
  <c r="R24" i="3"/>
  <c r="R25" i="3"/>
  <c r="R26" i="3"/>
  <c r="R27" i="3"/>
  <c r="R28" i="3"/>
  <c r="R29" i="3"/>
  <c r="R30" i="3"/>
  <c r="R31" i="3"/>
  <c r="R32" i="3"/>
  <c r="R33" i="3"/>
  <c r="R34" i="3"/>
  <c r="R35" i="3"/>
  <c r="R36" i="3"/>
  <c r="R37" i="3"/>
  <c r="R38" i="3"/>
  <c r="R39" i="3"/>
  <c r="R40" i="3"/>
  <c r="R41" i="3"/>
  <c r="R42" i="3"/>
  <c r="R43" i="3"/>
  <c r="R44" i="3"/>
  <c r="R45" i="3"/>
  <c r="R46" i="3"/>
  <c r="R47" i="3"/>
  <c r="R48" i="3"/>
  <c r="R49" i="3"/>
  <c r="R50" i="3"/>
  <c r="R51" i="3"/>
  <c r="R52" i="3"/>
  <c r="R53" i="3"/>
  <c r="R54" i="3"/>
  <c r="R55" i="3"/>
  <c r="R56" i="3"/>
  <c r="R57" i="3"/>
  <c r="R58" i="3"/>
  <c r="R59" i="3"/>
  <c r="R60" i="3"/>
  <c r="R61" i="3"/>
  <c r="AH10" i="3"/>
  <c r="AI10" i="3" s="1"/>
  <c r="AJ10" i="3"/>
  <c r="AH11" i="3"/>
  <c r="AI11" i="3" s="1"/>
  <c r="AJ11" i="3"/>
  <c r="AH12" i="3"/>
  <c r="AI12" i="3" s="1"/>
  <c r="AJ12" i="3"/>
  <c r="AH13" i="3"/>
  <c r="AI13" i="3" s="1"/>
  <c r="AJ13" i="3"/>
  <c r="AH14" i="3"/>
  <c r="AI14" i="3" s="1"/>
  <c r="AJ14" i="3"/>
  <c r="AH15" i="3"/>
  <c r="AI15" i="3" s="1"/>
  <c r="AJ15" i="3"/>
  <c r="AH16" i="3"/>
  <c r="AI16" i="3" s="1"/>
  <c r="AJ16" i="3"/>
  <c r="AH17" i="3"/>
  <c r="AI17" i="3" s="1"/>
  <c r="AJ17" i="3"/>
  <c r="AH18" i="3"/>
  <c r="AI18" i="3" s="1"/>
  <c r="AJ18" i="3"/>
  <c r="AH19" i="3"/>
  <c r="AI19" i="3" s="1"/>
  <c r="AJ19" i="3"/>
  <c r="AH20" i="3"/>
  <c r="AI20" i="3" s="1"/>
  <c r="AJ20" i="3"/>
  <c r="AH21" i="3"/>
  <c r="AI21" i="3" s="1"/>
  <c r="AJ21" i="3"/>
  <c r="AH22" i="3"/>
  <c r="AI22" i="3" s="1"/>
  <c r="AJ22" i="3"/>
  <c r="AH23" i="3"/>
  <c r="AI23" i="3" s="1"/>
  <c r="AJ23" i="3"/>
  <c r="AH24" i="3"/>
  <c r="AI24" i="3" s="1"/>
  <c r="AJ24" i="3"/>
  <c r="AH25" i="3"/>
  <c r="AI25" i="3" s="1"/>
  <c r="AJ25" i="3"/>
  <c r="AH26" i="3"/>
  <c r="AI26" i="3" s="1"/>
  <c r="AJ26" i="3"/>
  <c r="AH27" i="3"/>
  <c r="AI27" i="3" s="1"/>
  <c r="AJ27" i="3"/>
  <c r="AH28" i="3"/>
  <c r="AI28" i="3" s="1"/>
  <c r="AJ28" i="3"/>
  <c r="AH29" i="3"/>
  <c r="AI29" i="3" s="1"/>
  <c r="AJ29" i="3"/>
  <c r="AH30" i="3"/>
  <c r="AI30" i="3" s="1"/>
  <c r="AJ30" i="3"/>
  <c r="AH31" i="3"/>
  <c r="AI31" i="3" s="1"/>
  <c r="AJ31" i="3"/>
  <c r="AH32" i="3"/>
  <c r="AI32" i="3" s="1"/>
  <c r="AJ32" i="3"/>
  <c r="AH33" i="3"/>
  <c r="AI33" i="3" s="1"/>
  <c r="AJ33" i="3"/>
  <c r="AH34" i="3"/>
  <c r="AI34" i="3" s="1"/>
  <c r="AJ34" i="3"/>
  <c r="AH35" i="3"/>
  <c r="AI35" i="3" s="1"/>
  <c r="AJ35" i="3"/>
  <c r="AH36" i="3"/>
  <c r="AI36" i="3" s="1"/>
  <c r="AJ36" i="3"/>
  <c r="AH37" i="3"/>
  <c r="AI37" i="3" s="1"/>
  <c r="AJ37" i="3"/>
  <c r="AH38" i="3"/>
  <c r="AI38" i="3" s="1"/>
  <c r="AJ38" i="3"/>
  <c r="AH39" i="3"/>
  <c r="AI39" i="3" s="1"/>
  <c r="AJ39" i="3"/>
  <c r="AH40" i="3"/>
  <c r="AI40" i="3" s="1"/>
  <c r="AJ40" i="3"/>
  <c r="AH41" i="3"/>
  <c r="AI41" i="3" s="1"/>
  <c r="AJ41" i="3"/>
  <c r="AH42" i="3"/>
  <c r="AI42" i="3" s="1"/>
  <c r="AJ42" i="3"/>
  <c r="AH43" i="3"/>
  <c r="AI43" i="3" s="1"/>
  <c r="AJ43" i="3"/>
  <c r="AH44" i="3"/>
  <c r="AI44" i="3" s="1"/>
  <c r="AJ44" i="3"/>
  <c r="AH45" i="3"/>
  <c r="AI45" i="3" s="1"/>
  <c r="AJ45" i="3"/>
  <c r="AH46" i="3"/>
  <c r="AI46" i="3" s="1"/>
  <c r="AJ46" i="3"/>
  <c r="AH47" i="3"/>
  <c r="AI47" i="3" s="1"/>
  <c r="AJ47" i="3"/>
  <c r="AH48" i="3"/>
  <c r="AI48" i="3" s="1"/>
  <c r="AJ48" i="3"/>
  <c r="AH49" i="3"/>
  <c r="AI49" i="3" s="1"/>
  <c r="AJ49" i="3"/>
  <c r="AH50" i="3"/>
  <c r="AI50" i="3" s="1"/>
  <c r="AJ50" i="3"/>
  <c r="AH51" i="3"/>
  <c r="AI51" i="3" s="1"/>
  <c r="AJ51" i="3"/>
  <c r="AH52" i="3"/>
  <c r="AI52" i="3" s="1"/>
  <c r="AJ52" i="3"/>
  <c r="AH53" i="3"/>
  <c r="AI53" i="3" s="1"/>
  <c r="AJ53" i="3"/>
  <c r="AH54" i="3"/>
  <c r="AI54" i="3" s="1"/>
  <c r="AJ54" i="3"/>
  <c r="AH55" i="3"/>
  <c r="AI55" i="3" s="1"/>
  <c r="AJ55" i="3"/>
  <c r="AH56" i="3"/>
  <c r="AI56" i="3" s="1"/>
  <c r="AJ56" i="3"/>
  <c r="AH57" i="3"/>
  <c r="AI57" i="3" s="1"/>
  <c r="AJ57" i="3"/>
  <c r="AH58" i="3"/>
  <c r="AI58" i="3" s="1"/>
  <c r="AJ58" i="3"/>
  <c r="AH59" i="3"/>
  <c r="AI59" i="3" s="1"/>
  <c r="AJ59" i="3"/>
  <c r="AH60" i="3"/>
  <c r="AI60" i="3" s="1"/>
  <c r="AJ60" i="3"/>
  <c r="AH61" i="3"/>
  <c r="AI61" i="3" s="1"/>
  <c r="AJ61" i="3"/>
  <c r="AH9" i="3"/>
  <c r="AI9" i="3" s="1"/>
  <c r="AG9" i="3"/>
  <c r="W9" i="3"/>
  <c r="R9" i="3"/>
  <c r="M10" i="3"/>
  <c r="M11" i="3"/>
  <c r="M12" i="3"/>
  <c r="M13" i="3"/>
  <c r="M14" i="3"/>
  <c r="M15" i="3"/>
  <c r="M16" i="3"/>
  <c r="M17" i="3"/>
  <c r="M18" i="3"/>
  <c r="M19" i="3"/>
  <c r="M20" i="3"/>
  <c r="M21" i="3"/>
  <c r="M22" i="3"/>
  <c r="M23" i="3"/>
  <c r="M24" i="3"/>
  <c r="M25" i="3"/>
  <c r="M26" i="3"/>
  <c r="M27" i="3"/>
  <c r="M28" i="3"/>
  <c r="M29" i="3"/>
  <c r="M30" i="3"/>
  <c r="M31" i="3"/>
  <c r="M32" i="3"/>
  <c r="M33" i="3"/>
  <c r="M34" i="3"/>
  <c r="M35" i="3"/>
  <c r="M36" i="3"/>
  <c r="M37" i="3"/>
  <c r="M38" i="3"/>
  <c r="M39" i="3"/>
  <c r="M40" i="3"/>
  <c r="M41" i="3"/>
  <c r="M42" i="3"/>
  <c r="M43" i="3"/>
  <c r="M44" i="3"/>
  <c r="M45" i="3"/>
  <c r="M46" i="3"/>
  <c r="M47" i="3"/>
  <c r="M48" i="3"/>
  <c r="M49" i="3"/>
  <c r="M50" i="3"/>
  <c r="M51" i="3"/>
  <c r="M52" i="3"/>
  <c r="M53" i="3"/>
  <c r="M54" i="3"/>
  <c r="M55" i="3"/>
  <c r="M56" i="3"/>
  <c r="M57" i="3"/>
  <c r="M58" i="3"/>
  <c r="M59" i="3"/>
  <c r="M60" i="3"/>
  <c r="M61" i="3"/>
  <c r="M9" i="3"/>
  <c r="AJ9" i="3"/>
  <c r="AB9" i="3"/>
  <c r="AK99" i="3" l="1"/>
  <c r="AK95" i="3"/>
  <c r="AK91" i="3"/>
  <c r="AK87" i="3"/>
  <c r="AK83" i="3"/>
  <c r="AK79" i="3"/>
  <c r="AK75" i="3"/>
  <c r="AK71" i="3"/>
  <c r="AK67" i="3"/>
  <c r="AK63" i="3"/>
  <c r="AK98" i="3"/>
  <c r="AK94" i="3"/>
  <c r="AK90" i="3"/>
  <c r="AK86" i="3"/>
  <c r="AK82" i="3"/>
  <c r="AK78" i="3"/>
  <c r="AK74" i="3"/>
  <c r="AK70" i="3"/>
  <c r="AK66" i="3"/>
  <c r="AK62" i="3"/>
  <c r="AK97" i="3"/>
  <c r="AK93" i="3"/>
  <c r="AK89" i="3"/>
  <c r="AK85" i="3"/>
  <c r="AK81" i="3"/>
  <c r="AK77" i="3"/>
  <c r="AK73" i="3"/>
  <c r="AK69" i="3"/>
  <c r="AK65" i="3"/>
  <c r="AK100" i="3"/>
  <c r="AK96" i="3"/>
  <c r="AK92" i="3"/>
  <c r="AK88" i="3"/>
  <c r="AK84" i="3"/>
  <c r="AK80" i="3"/>
  <c r="AK76" i="3"/>
  <c r="AK72" i="3"/>
  <c r="AK68" i="3"/>
  <c r="AK64" i="3"/>
  <c r="N6" i="1" a="1"/>
  <c r="N6" i="1" s="1"/>
  <c r="N8" i="1" a="1"/>
  <c r="N8" i="1" s="1"/>
  <c r="P9" i="1" a="1"/>
  <c r="P9" i="1" s="1"/>
  <c r="N7" i="1" a="1"/>
  <c r="N7" i="1" s="1"/>
  <c r="E7" i="1"/>
  <c r="E6" i="1"/>
  <c r="E8" i="1"/>
  <c r="E9" i="1"/>
  <c r="H10" i="1" a="1"/>
  <c r="H10" i="1" s="1"/>
  <c r="P6" i="1" a="1"/>
  <c r="P6" i="1" s="1"/>
  <c r="P7" i="1" a="1"/>
  <c r="P7" i="1" s="1"/>
  <c r="P8" i="1" a="1"/>
  <c r="P8" i="1" s="1"/>
  <c r="N10" i="1" a="1"/>
  <c r="N10" i="1" s="1"/>
  <c r="C6" i="1"/>
  <c r="J6" i="1" a="1"/>
  <c r="J6" i="1" s="1"/>
  <c r="C7" i="1"/>
  <c r="J7" i="1" a="1"/>
  <c r="J7" i="1" s="1"/>
  <c r="C8" i="1"/>
  <c r="J8" i="1" a="1"/>
  <c r="J8" i="1" s="1"/>
  <c r="D9" i="1"/>
  <c r="N9" i="1" a="1"/>
  <c r="N9" i="1" s="1"/>
  <c r="H9" i="1" a="1"/>
  <c r="H9" i="1" s="1"/>
  <c r="H6" i="1" a="1"/>
  <c r="H6" i="1" s="1"/>
  <c r="H7" i="1" a="1"/>
  <c r="H7" i="1" s="1"/>
  <c r="H8" i="1" a="1"/>
  <c r="H8" i="1" s="1"/>
  <c r="L9" i="1" a="1"/>
  <c r="L9" i="1" s="1"/>
  <c r="D6" i="1"/>
  <c r="L6" i="1" a="1"/>
  <c r="L6" i="1" s="1"/>
  <c r="D7" i="1"/>
  <c r="L7" i="1" a="1"/>
  <c r="L7" i="1" s="1"/>
  <c r="D8" i="1"/>
  <c r="L8" i="1" a="1"/>
  <c r="L8" i="1" s="1"/>
  <c r="E10" i="1"/>
  <c r="J9" i="1" a="1"/>
  <c r="J9" i="1" s="1"/>
  <c r="D10" i="1"/>
  <c r="P10" i="1" a="1"/>
  <c r="P10" i="1" s="1"/>
  <c r="L10" i="1" a="1"/>
  <c r="L10" i="1" s="1"/>
  <c r="E9" i="3"/>
  <c r="C10" i="1"/>
  <c r="J10" i="1" a="1"/>
  <c r="J10" i="1" s="1"/>
  <c r="AK58" i="3"/>
  <c r="AK54" i="3"/>
  <c r="AK51" i="3"/>
  <c r="AK47" i="3"/>
  <c r="AK43" i="3"/>
  <c r="AK39" i="3"/>
  <c r="AK35" i="3"/>
  <c r="AK31" i="3"/>
  <c r="AK27" i="3"/>
  <c r="AK23" i="3"/>
  <c r="AK19" i="3"/>
  <c r="AK15" i="3"/>
  <c r="AK11" i="3"/>
  <c r="AK61" i="3"/>
  <c r="AK57" i="3"/>
  <c r="AK53" i="3"/>
  <c r="AK50" i="3"/>
  <c r="AK46" i="3"/>
  <c r="AK42" i="3"/>
  <c r="AK38" i="3"/>
  <c r="AK34" i="3"/>
  <c r="AK30" i="3"/>
  <c r="AK26" i="3"/>
  <c r="AK22" i="3"/>
  <c r="AK18" i="3"/>
  <c r="AK14" i="3"/>
  <c r="AK10" i="3"/>
  <c r="AK60" i="3"/>
  <c r="AK56" i="3"/>
  <c r="AK49" i="3"/>
  <c r="AK45" i="3"/>
  <c r="AK41" i="3"/>
  <c r="AK37" i="3"/>
  <c r="AK33" i="3"/>
  <c r="AK29" i="3"/>
  <c r="AK25" i="3"/>
  <c r="AK21" i="3"/>
  <c r="AK17" i="3"/>
  <c r="AK13" i="3"/>
  <c r="AK59" i="3"/>
  <c r="AK55" i="3"/>
  <c r="AK52" i="3"/>
  <c r="AK48" i="3"/>
  <c r="AK44" i="3"/>
  <c r="AK40" i="3"/>
  <c r="AK36" i="3"/>
  <c r="AK32" i="3"/>
  <c r="AK28" i="3"/>
  <c r="AK24" i="3"/>
  <c r="AK20" i="3"/>
  <c r="AK16" i="3"/>
  <c r="AK12" i="3"/>
  <c r="AK9" i="3"/>
  <c r="E11" i="1" l="1"/>
  <c r="M7" i="1" a="1"/>
  <c r="M7" i="1" s="1"/>
  <c r="D11" i="1"/>
  <c r="C9" i="1"/>
  <c r="C11" i="1" s="1"/>
  <c r="B6" i="1"/>
  <c r="I6" i="1" a="1"/>
  <c r="I6" i="1" s="1"/>
  <c r="K7" i="1" a="1"/>
  <c r="K7" i="1" s="1"/>
  <c r="R9" i="1" a="1"/>
  <c r="R9" i="1" s="1"/>
  <c r="R10" i="1" a="1"/>
  <c r="R10" i="1" s="1"/>
  <c r="B10" i="1"/>
  <c r="S10" i="1" s="1"/>
  <c r="B8" i="1"/>
  <c r="S8" i="1" s="1"/>
  <c r="B7" i="1"/>
  <c r="S7" i="1" s="1"/>
  <c r="Q9" i="1" a="1"/>
  <c r="Q9" i="1" s="1"/>
  <c r="B9" i="1" l="1"/>
  <c r="S9" i="1" s="1"/>
  <c r="K10" i="1" a="1"/>
  <c r="K10" i="1" s="1"/>
  <c r="K6" i="1" a="1"/>
  <c r="K6" i="1" s="1"/>
  <c r="I7" i="1" a="1"/>
  <c r="I7" i="1" s="1"/>
  <c r="I10" i="1" a="1"/>
  <c r="I10" i="1" s="1"/>
  <c r="Q10" i="1" a="1"/>
  <c r="Q10" i="1" s="1"/>
  <c r="K9" i="1" a="1"/>
  <c r="K9" i="1" s="1"/>
  <c r="O7" i="1" a="1"/>
  <c r="O7" i="1" s="1"/>
  <c r="M6" i="1" a="1"/>
  <c r="M6" i="1" s="1"/>
  <c r="M10" i="1" a="1"/>
  <c r="M10" i="1" s="1"/>
  <c r="O6" i="1" a="1"/>
  <c r="O6" i="1" s="1"/>
  <c r="O8" i="1" a="1"/>
  <c r="O8" i="1" s="1"/>
  <c r="R6" i="1" a="1"/>
  <c r="R6" i="1" s="1"/>
  <c r="Q7" i="1" a="1"/>
  <c r="Q7" i="1" s="1"/>
  <c r="Q6" i="1" a="1"/>
  <c r="Q6" i="1" s="1"/>
  <c r="O10" i="1" a="1"/>
  <c r="O10" i="1" s="1"/>
  <c r="I9" i="1" a="1"/>
  <c r="I9" i="1" s="1"/>
  <c r="I8" i="1" a="1"/>
  <c r="I8" i="1" s="1"/>
  <c r="Q8" i="1" a="1"/>
  <c r="Q8" i="1" s="1"/>
  <c r="M9" i="1" a="1"/>
  <c r="M9" i="1" s="1"/>
  <c r="K8" i="1" a="1"/>
  <c r="K8" i="1" s="1"/>
  <c r="O9" i="1" a="1"/>
  <c r="O9" i="1" s="1"/>
  <c r="M8" i="1" a="1"/>
  <c r="M8" i="1" s="1"/>
  <c r="G8" i="1" a="1"/>
  <c r="G8" i="1" s="1"/>
  <c r="R8" i="1" a="1"/>
  <c r="R8" i="1" s="1"/>
  <c r="R7" i="1" a="1"/>
  <c r="R7" i="1" s="1"/>
  <c r="G9" i="1" a="1"/>
  <c r="G9" i="1" s="1"/>
  <c r="F10" i="1" a="1"/>
  <c r="F10" i="1" s="1"/>
  <c r="F7" i="1" a="1"/>
  <c r="F7" i="1" s="1"/>
  <c r="F6" i="1" a="1"/>
  <c r="F6" i="1" s="1"/>
  <c r="F8" i="1" a="1"/>
  <c r="F8" i="1" s="1"/>
  <c r="F9" i="1" a="1"/>
  <c r="F9" i="1" s="1"/>
  <c r="B11" i="1"/>
  <c r="S6" i="1"/>
  <c r="K11" i="1" l="1"/>
  <c r="I11" i="1"/>
  <c r="G7" i="1" a="1"/>
  <c r="G7" i="1" s="1"/>
  <c r="O11" i="1"/>
  <c r="G6" i="1" a="1"/>
  <c r="G6" i="1" s="1"/>
  <c r="G10" i="1" a="1"/>
  <c r="G10" i="1" s="1"/>
  <c r="M11" i="1"/>
  <c r="Q11" i="1"/>
  <c r="R11" i="1"/>
  <c r="F11" i="1"/>
  <c r="G11" i="1" l="1"/>
  <c r="G145" i="3" a="1"/>
  <c r="G128" i="3" a="1"/>
  <c r="G136" i="3" a="1"/>
  <c r="G138" i="3" a="1"/>
  <c r="G248" i="3" a="1"/>
  <c r="F164" i="3" a="1"/>
  <c r="F290" i="3" a="1"/>
  <c r="F94" i="3" a="1"/>
  <c r="G280" i="3" a="1"/>
  <c r="F57" i="3" a="1"/>
  <c r="G36" i="3" a="1"/>
  <c r="F262" i="3" a="1"/>
  <c r="G23" i="3" a="1"/>
  <c r="G86" i="3" a="1"/>
  <c r="F206" i="3" a="1"/>
  <c r="F271" i="3" a="1"/>
  <c r="G283" i="3" a="1"/>
  <c r="F73" i="3" a="1"/>
  <c r="G131" i="3" a="1"/>
  <c r="F24" i="3" a="1"/>
  <c r="F238" i="3" a="1"/>
  <c r="G13" i="3" a="1"/>
  <c r="F63" i="3" a="1"/>
  <c r="F286" i="3" a="1"/>
  <c r="F293" i="3" a="1"/>
  <c r="F81" i="3" a="1"/>
  <c r="G33" i="3" a="1"/>
  <c r="G164" i="3" a="1"/>
  <c r="F173" i="3" a="1"/>
  <c r="F254" i="3" a="1"/>
  <c r="G190" i="3" a="1"/>
  <c r="F66" i="3" a="1"/>
  <c r="G82" i="3" a="1"/>
  <c r="G284" i="3" a="1"/>
  <c r="G299" i="3" a="1"/>
  <c r="F52" i="3" a="1"/>
  <c r="F156" i="3" a="1"/>
  <c r="G106" i="3" a="1"/>
  <c r="F291" i="3" a="1"/>
  <c r="F70" i="3" a="1"/>
  <c r="G282" i="3" a="1"/>
  <c r="G97" i="3" a="1"/>
  <c r="G182" i="3" a="1"/>
  <c r="F111" i="3" a="1"/>
  <c r="G189" i="3" a="1"/>
  <c r="F29" i="3" a="1"/>
  <c r="F105" i="3" a="1"/>
  <c r="G273" i="3" a="1"/>
  <c r="G54" i="3" a="1"/>
  <c r="G222" i="3" a="1"/>
  <c r="F163" i="3" a="1"/>
  <c r="F194" i="3" a="1"/>
  <c r="F289" i="3" a="1"/>
  <c r="F195" i="3" a="1"/>
  <c r="F234" i="3" a="1"/>
  <c r="G200" i="3" a="1"/>
  <c r="F214" i="3" a="1"/>
  <c r="F110" i="3" a="1"/>
  <c r="F53" i="3" a="1"/>
  <c r="G88" i="3" a="1"/>
  <c r="F108" i="3" a="1"/>
  <c r="F116" i="3" a="1"/>
  <c r="F126" i="3" a="1"/>
  <c r="G146" i="3" a="1"/>
  <c r="F87" i="3" a="1"/>
  <c r="G98" i="3" a="1"/>
  <c r="F16" i="3" a="1"/>
  <c r="G178" i="3" a="1"/>
  <c r="F127" i="3" a="1"/>
  <c r="G186" i="3" a="1"/>
  <c r="F154" i="3" a="1"/>
  <c r="G188" i="3" a="1"/>
  <c r="F36" i="3" a="1"/>
  <c r="G57" i="3" a="1"/>
  <c r="G174" i="3" a="1"/>
  <c r="G149" i="3" a="1"/>
  <c r="F272" i="3" a="1"/>
  <c r="G205" i="3" a="1"/>
  <c r="G17" i="3" a="1"/>
  <c r="F183" i="3" a="1"/>
  <c r="F77" i="3" a="1"/>
  <c r="F128" i="3" a="1"/>
  <c r="F223" i="3" a="1"/>
  <c r="F255" i="3" a="1"/>
  <c r="F179" i="3" a="1"/>
  <c r="G104" i="3" a="1"/>
  <c r="G70" i="3" a="1"/>
  <c r="G38" i="3" a="1"/>
  <c r="G194" i="3" a="1"/>
  <c r="G197" i="3" a="1"/>
  <c r="G292" i="3" a="1"/>
  <c r="G277" i="3" a="1"/>
  <c r="G126" i="3" a="1"/>
  <c r="F294" i="3" a="1"/>
  <c r="F18" i="3" a="1"/>
  <c r="G191" i="3" a="1"/>
  <c r="F275" i="3" a="1"/>
  <c r="F69" i="3" a="1"/>
  <c r="G239" i="3" a="1"/>
  <c r="G75" i="3" a="1"/>
  <c r="G235" i="3" a="1"/>
  <c r="F75" i="3" a="1"/>
  <c r="F121" i="3" a="1"/>
  <c r="F39" i="3" a="1"/>
  <c r="F165" i="3" a="1"/>
  <c r="G180" i="3" a="1"/>
  <c r="F99" i="3" a="1"/>
  <c r="F25" i="3" a="1"/>
  <c r="G12" i="3" a="1"/>
  <c r="F253" i="3" a="1"/>
  <c r="F229" i="3" a="1"/>
  <c r="G227" i="3" a="1"/>
  <c r="G85" i="3" a="1"/>
  <c r="F269" i="3" a="1"/>
  <c r="F140" i="3" a="1"/>
  <c r="G215" i="3" a="1"/>
  <c r="G300" i="3" a="1"/>
  <c r="G21" i="3" a="1"/>
  <c r="G275" i="3" a="1"/>
  <c r="G154" i="3" a="1"/>
  <c r="G206" i="3" a="1"/>
  <c r="G101" i="3" a="1"/>
  <c r="G111" i="3" a="1"/>
  <c r="G155" i="3" a="1"/>
  <c r="G269" i="3" a="1"/>
  <c r="G285" i="3" a="1"/>
  <c r="F13" i="3" a="1"/>
  <c r="F150" i="3" a="1"/>
  <c r="F72" i="3" a="1"/>
  <c r="G212" i="3" a="1"/>
  <c r="F120" i="3" a="1"/>
  <c r="G198" i="3" a="1"/>
  <c r="G258" i="3" a="1"/>
  <c r="F80" i="3" a="1"/>
  <c r="G151" i="3" a="1"/>
  <c r="G246" i="3" a="1"/>
  <c r="G298" i="3" a="1"/>
  <c r="F160" i="3" a="1"/>
  <c r="F104" i="3" a="1"/>
  <c r="G122" i="3" a="1"/>
  <c r="G84" i="3" a="1"/>
  <c r="F100" i="3" a="1"/>
  <c r="F189" i="3" a="1"/>
  <c r="F98" i="3" a="1"/>
  <c r="F198" i="3" a="1"/>
  <c r="G32" i="3" a="1"/>
  <c r="F71" i="3" a="1"/>
  <c r="F277" i="3" a="1"/>
  <c r="G100" i="3" a="1"/>
  <c r="F292" i="3" a="1"/>
  <c r="G69" i="3" a="1"/>
  <c r="G16" i="3" a="1"/>
  <c r="G223" i="3" a="1"/>
  <c r="F208" i="3" a="1"/>
  <c r="F246" i="3" a="1"/>
  <c r="G170" i="3" a="1"/>
  <c r="F299" i="3" a="1"/>
  <c r="F17" i="3" a="1"/>
  <c r="G196" i="3" a="1"/>
  <c r="F266" i="3" a="1"/>
  <c r="G63" i="3" a="1"/>
  <c r="F143" i="3" a="1"/>
  <c r="F42" i="3" a="1"/>
  <c r="F46" i="3" a="1"/>
  <c r="F175" i="3" a="1"/>
  <c r="F9" i="3" a="1"/>
  <c r="G56" i="3" a="1"/>
  <c r="G209" i="3" a="1"/>
  <c r="F184" i="3" a="1"/>
  <c r="G102" i="3" a="1"/>
  <c r="F158" i="3" a="1"/>
  <c r="G61" i="3" a="1"/>
  <c r="G18" i="3" a="1"/>
  <c r="G107" i="3" a="1"/>
  <c r="G53" i="3" a="1"/>
  <c r="G272" i="3" a="1"/>
  <c r="F62" i="3" a="1"/>
  <c r="F131" i="3" a="1"/>
  <c r="G116" i="3" a="1"/>
  <c r="G228" i="3" a="1"/>
  <c r="F27" i="3" a="1"/>
  <c r="G260" i="3" a="1"/>
  <c r="F11" i="3" a="1"/>
  <c r="F249" i="3" a="1"/>
  <c r="F280" i="3" a="1"/>
  <c r="G263" i="3" a="1"/>
  <c r="G55" i="3" a="1"/>
  <c r="G76" i="3" a="1"/>
  <c r="G110" i="3" a="1"/>
  <c r="F151" i="3" a="1"/>
  <c r="G35" i="3" a="1"/>
  <c r="F247" i="3" a="1"/>
  <c r="G268" i="3" a="1"/>
  <c r="F136" i="3" a="1"/>
  <c r="F83" i="3" a="1"/>
  <c r="G95" i="3" a="1"/>
  <c r="G270" i="3" a="1"/>
  <c r="G159" i="3" a="1"/>
  <c r="G224" i="3" a="1"/>
  <c r="G255" i="3" a="1"/>
  <c r="G41" i="3" a="1"/>
  <c r="G286" i="3" a="1"/>
  <c r="F288" i="3" a="1"/>
  <c r="G125" i="3" a="1"/>
  <c r="F270" i="3" a="1"/>
  <c r="F296" i="3" a="1"/>
  <c r="G220" i="3" a="1"/>
  <c r="G153" i="3" a="1"/>
  <c r="F212" i="3" a="1"/>
  <c r="G135" i="3" a="1"/>
  <c r="F96" i="3" a="1"/>
  <c r="F200" i="3" a="1"/>
  <c r="G250" i="3" a="1"/>
  <c r="G172" i="3" a="1"/>
  <c r="F117" i="3" a="1"/>
  <c r="F232" i="3" a="1"/>
  <c r="G290" i="3" a="1"/>
  <c r="G252" i="3" a="1"/>
  <c r="G93" i="3" a="1"/>
  <c r="G152" i="3" a="1"/>
  <c r="F15" i="3" a="1"/>
  <c r="F162" i="3" a="1"/>
  <c r="F205" i="3" a="1"/>
  <c r="F89" i="3" a="1"/>
  <c r="F190" i="3" a="1"/>
  <c r="G279" i="3" a="1"/>
  <c r="F210" i="3" a="1"/>
  <c r="F177" i="3" a="1"/>
  <c r="F201" i="3" a="1"/>
  <c r="F242" i="3" a="1"/>
  <c r="F265" i="3" a="1"/>
  <c r="F241" i="3" a="1"/>
  <c r="F157" i="3" a="1"/>
  <c r="F101" i="3" a="1"/>
  <c r="F48" i="3" a="1"/>
  <c r="F129" i="3" a="1"/>
  <c r="G51" i="3" a="1"/>
  <c r="F268" i="3" a="1"/>
  <c r="F166" i="3" a="1"/>
  <c r="F217" i="3" a="1"/>
  <c r="G45" i="3" a="1"/>
  <c r="G67" i="3" a="1"/>
  <c r="G73" i="3" a="1"/>
  <c r="G233" i="3" a="1"/>
  <c r="F170" i="3" a="1"/>
  <c r="G120" i="3" a="1"/>
  <c r="G281" i="3" a="1"/>
  <c r="F218" i="3" a="1"/>
  <c r="G117" i="3" a="1"/>
  <c r="G157" i="3" a="1"/>
  <c r="F222" i="3" a="1"/>
  <c r="G137" i="3" a="1"/>
  <c r="G79" i="3" a="1"/>
  <c r="F279" i="3" a="1"/>
  <c r="F79" i="3" a="1"/>
  <c r="G296" i="3" a="1"/>
  <c r="G72" i="3" a="1"/>
  <c r="G103" i="3" a="1"/>
  <c r="G11" i="3" a="1"/>
  <c r="F10" i="3" a="1"/>
  <c r="G167" i="3" a="1"/>
  <c r="F43" i="3" a="1"/>
  <c r="F236" i="3" a="1"/>
  <c r="F114" i="3" a="1"/>
  <c r="F97" i="3" a="1"/>
  <c r="F113" i="3" a="1"/>
  <c r="F228" i="3" a="1"/>
  <c r="G124" i="3" a="1"/>
  <c r="G77" i="3" a="1"/>
  <c r="G175" i="3" a="1"/>
  <c r="F235" i="3" a="1"/>
  <c r="F93" i="3" a="1"/>
  <c r="F252" i="3" a="1"/>
  <c r="F284" i="3" a="1"/>
  <c r="G140" i="3" a="1"/>
  <c r="G30" i="3" a="1"/>
  <c r="G96" i="3" a="1"/>
  <c r="G68" i="3" a="1"/>
  <c r="G291" i="3" a="1"/>
  <c r="F119" i="3" a="1"/>
  <c r="G176" i="3" a="1"/>
  <c r="F61" i="3" a="1"/>
  <c r="G132" i="3" a="1"/>
  <c r="F28" i="3" a="1"/>
  <c r="F40" i="3" a="1"/>
  <c r="G89" i="3" a="1"/>
  <c r="G91" i="3" a="1"/>
  <c r="F256" i="3" a="1"/>
  <c r="G203" i="3" a="1"/>
  <c r="F231" i="3" a="1"/>
  <c r="F213" i="3" a="1"/>
  <c r="G211" i="3" a="1"/>
  <c r="F64" i="3" a="1"/>
  <c r="F261" i="3" a="1"/>
  <c r="G259" i="3" a="1"/>
  <c r="F239" i="3" a="1"/>
  <c r="G34" i="3" a="1"/>
  <c r="F31" i="3" a="1"/>
  <c r="G114" i="3" a="1"/>
  <c r="F224" i="3" a="1"/>
  <c r="F90" i="3" a="1"/>
  <c r="G74" i="3" a="1"/>
  <c r="G208" i="3" a="1"/>
  <c r="G118" i="3" a="1"/>
  <c r="G218" i="3" a="1"/>
  <c r="G207" i="3" a="1"/>
  <c r="G229" i="3" a="1"/>
  <c r="F109" i="3" a="1"/>
  <c r="F130" i="3" a="1"/>
  <c r="G31" i="3" a="1"/>
  <c r="F149" i="3" a="1"/>
  <c r="G199" i="3" a="1"/>
  <c r="F283" i="3" a="1"/>
  <c r="F41" i="3" a="1"/>
  <c r="G274" i="3" a="1"/>
  <c r="G166" i="3" a="1"/>
  <c r="F115" i="3" a="1"/>
  <c r="G142" i="3" a="1"/>
  <c r="F278" i="3" a="1"/>
  <c r="G294" i="3" a="1"/>
  <c r="F44" i="3" a="1"/>
  <c r="F169" i="3" a="1"/>
  <c r="F152" i="3" a="1"/>
  <c r="F196" i="3" a="1"/>
  <c r="F257" i="3" a="1"/>
  <c r="F240" i="3" a="1"/>
  <c r="F181" i="3" a="1"/>
  <c r="F85" i="3" a="1"/>
  <c r="G83" i="3" a="1"/>
  <c r="G81" i="3" a="1"/>
  <c r="F300" i="3" a="1"/>
  <c r="G173" i="3" a="1"/>
  <c r="F227" i="3" a="1"/>
  <c r="G60" i="3" a="1"/>
  <c r="G24" i="3" a="1"/>
  <c r="G251" i="3" a="1"/>
  <c r="F221" i="3" a="1"/>
  <c r="G22" i="3" a="1"/>
  <c r="G37" i="3" a="1"/>
  <c r="F203" i="3" a="1"/>
  <c r="G249" i="3" a="1"/>
  <c r="G179" i="3" a="1"/>
  <c r="F86" i="3" a="1"/>
  <c r="F168" i="3" a="1"/>
  <c r="F220" i="3" a="1"/>
  <c r="F295" i="3" a="1"/>
  <c r="F161" i="3" a="1"/>
  <c r="F155" i="3" a="1"/>
  <c r="G213" i="3" a="1"/>
  <c r="G237" i="3" a="1"/>
  <c r="F23" i="3" a="1"/>
  <c r="G297" i="3" a="1"/>
  <c r="F263" i="3" a="1"/>
  <c r="G105" i="3" a="1"/>
  <c r="F30" i="3" a="1"/>
  <c r="F134" i="3" a="1"/>
  <c r="G271" i="3" a="1"/>
  <c r="G183" i="3" a="1"/>
  <c r="G295" i="3" a="1"/>
  <c r="F21" i="3" a="1"/>
  <c r="G92" i="3" a="1"/>
  <c r="G187" i="3" a="1"/>
  <c r="F20" i="3" a="1"/>
  <c r="G264" i="3" a="1"/>
  <c r="F180" i="3" a="1"/>
  <c r="G158" i="3" a="1"/>
  <c r="G99" i="3" a="1"/>
  <c r="F138" i="3" a="1"/>
  <c r="F204" i="3" a="1"/>
  <c r="G19" i="3" a="1"/>
  <c r="F26" i="3" a="1"/>
  <c r="F245" i="3" a="1"/>
  <c r="F243" i="3" a="1"/>
  <c r="G40" i="3" a="1"/>
  <c r="G257" i="3" a="1"/>
  <c r="G43" i="3" a="1"/>
  <c r="F248" i="3" a="1"/>
  <c r="G204" i="3" a="1"/>
  <c r="F274" i="3" a="1"/>
  <c r="G289" i="3" a="1"/>
  <c r="F59" i="3" a="1"/>
  <c r="F14" i="3" a="1"/>
  <c r="F199" i="3" a="1"/>
  <c r="G47" i="3" a="1"/>
  <c r="G192" i="3" a="1"/>
  <c r="G147" i="3" a="1"/>
  <c r="F250" i="3" a="1"/>
  <c r="F276" i="3" a="1"/>
  <c r="G108" i="3" a="1"/>
  <c r="F192" i="3" a="1"/>
  <c r="G80" i="3" a="1"/>
  <c r="G169" i="3" a="1"/>
  <c r="G168" i="3" a="1"/>
  <c r="G217" i="3" a="1"/>
  <c r="F32" i="3" a="1"/>
  <c r="G234" i="3" a="1"/>
  <c r="G195" i="3" a="1"/>
  <c r="G49" i="3" a="1"/>
  <c r="F103" i="3" a="1"/>
  <c r="G156" i="3" a="1"/>
  <c r="G26" i="3" a="1"/>
  <c r="F258" i="3" a="1"/>
  <c r="F233" i="3" a="1"/>
  <c r="G240" i="3" a="1"/>
  <c r="G202" i="3" a="1"/>
  <c r="G238" i="3" a="1"/>
  <c r="G119" i="3" a="1"/>
  <c r="G143" i="3" a="1"/>
  <c r="F259" i="3" a="1"/>
  <c r="F123" i="3" a="1"/>
  <c r="G144" i="3" a="1"/>
  <c r="G141" i="3" a="1"/>
  <c r="F141" i="3" a="1"/>
  <c r="F230" i="3" a="1"/>
  <c r="F34" i="3" a="1"/>
  <c r="G165" i="3" a="1"/>
  <c r="G160" i="3" a="1"/>
  <c r="G181" i="3" a="1"/>
  <c r="F148" i="3" a="1"/>
  <c r="G193" i="3" a="1"/>
  <c r="F88" i="3" a="1"/>
  <c r="G121" i="3" a="1"/>
  <c r="F118" i="3" a="1"/>
  <c r="G214" i="3" a="1"/>
  <c r="F47" i="3" a="1"/>
  <c r="F60" i="3" a="1"/>
  <c r="F182" i="3" a="1"/>
  <c r="G254" i="3" a="1"/>
  <c r="G14" i="3" a="1"/>
  <c r="F297" i="3" a="1"/>
  <c r="F281" i="3" a="1"/>
  <c r="G130" i="3" a="1"/>
  <c r="G247" i="3" a="1"/>
  <c r="F178" i="3" a="1"/>
  <c r="G62" i="3" a="1"/>
  <c r="F106" i="3" a="1"/>
  <c r="F56" i="3" a="1"/>
  <c r="F186" i="3" a="1"/>
  <c r="F273" i="3" a="1"/>
  <c r="G288" i="3" a="1"/>
  <c r="F226" i="3" a="1"/>
  <c r="G161" i="3" a="1"/>
  <c r="F95" i="3" a="1"/>
  <c r="F102" i="3" a="1"/>
  <c r="F197" i="3" a="1"/>
  <c r="F55" i="3" a="1"/>
  <c r="G48" i="3" a="1"/>
  <c r="G266" i="3" a="1"/>
  <c r="G127" i="3" a="1"/>
  <c r="G242" i="3" a="1"/>
  <c r="G276" i="3" a="1"/>
  <c r="F282" i="3" a="1"/>
  <c r="F58" i="3" a="1"/>
  <c r="F91" i="3" a="1"/>
  <c r="F74" i="3" a="1"/>
  <c r="F137" i="3" a="1"/>
  <c r="F139" i="3" a="1"/>
  <c r="F122" i="3" a="1"/>
  <c r="G262" i="3" a="1"/>
  <c r="F67" i="3" a="1"/>
  <c r="G253" i="3" a="1"/>
  <c r="G184" i="3" a="1"/>
  <c r="G59" i="3" a="1"/>
  <c r="F35" i="3" a="1"/>
  <c r="F12" i="3" a="1"/>
  <c r="G210" i="3" a="1"/>
  <c r="F215" i="3" a="1"/>
  <c r="G28" i="3" a="1"/>
  <c r="G42" i="3" a="1"/>
  <c r="F50" i="3" a="1"/>
  <c r="F54" i="3" a="1"/>
  <c r="G148" i="3" a="1"/>
  <c r="F45" i="3" a="1"/>
  <c r="G139" i="3" a="1"/>
  <c r="G27" i="3" a="1"/>
  <c r="F193" i="3" a="1"/>
  <c r="G231" i="3" a="1"/>
  <c r="F142" i="3" a="1"/>
  <c r="G287" i="3" a="1"/>
  <c r="F146" i="3" a="1"/>
  <c r="G9" i="3" a="1"/>
  <c r="G78" i="3" a="1"/>
  <c r="F209" i="3" a="1"/>
  <c r="F225" i="3" a="1"/>
  <c r="G232" i="3" a="1"/>
  <c r="G113" i="3" a="1"/>
  <c r="F65" i="3" a="1"/>
  <c r="G94" i="3" a="1"/>
  <c r="G133" i="3" a="1"/>
  <c r="G177" i="3" a="1"/>
  <c r="F68" i="3" a="1"/>
  <c r="G134" i="3" a="1"/>
  <c r="G15" i="3" a="1"/>
  <c r="F124" i="3" a="1"/>
  <c r="F84" i="3" a="1"/>
  <c r="G221" i="3" a="1"/>
  <c r="F172" i="3" a="1"/>
  <c r="G29" i="3" a="1"/>
  <c r="G115" i="3" a="1"/>
  <c r="F287" i="3" a="1"/>
  <c r="F92" i="3" a="1"/>
  <c r="G163" i="3" a="1"/>
  <c r="G46" i="3" a="1"/>
  <c r="F49" i="3" a="1"/>
  <c r="F285" i="3" a="1"/>
  <c r="F22" i="3" a="1"/>
  <c r="G256" i="3" a="1"/>
  <c r="F251" i="3" a="1"/>
  <c r="G278" i="3" a="1"/>
  <c r="G52" i="3" a="1"/>
  <c r="G20" i="3" a="1"/>
  <c r="G10" i="3" a="1"/>
  <c r="G90" i="3" a="1"/>
  <c r="F159" i="3" a="1"/>
  <c r="F19" i="3" a="1"/>
  <c r="G267" i="3" a="1"/>
  <c r="F264" i="3" a="1"/>
  <c r="F135" i="3" a="1"/>
  <c r="G25" i="3" a="1"/>
  <c r="F185" i="3" a="1"/>
  <c r="G71" i="3" a="1"/>
  <c r="F187" i="3" a="1"/>
  <c r="F216" i="3" a="1"/>
  <c r="F298" i="3" a="1"/>
  <c r="G109" i="3" a="1"/>
  <c r="G244" i="3" a="1"/>
  <c r="G123" i="3" a="1"/>
  <c r="F211" i="3" a="1"/>
  <c r="F167" i="3" a="1"/>
  <c r="G129" i="3" a="1"/>
  <c r="F33" i="3" a="1"/>
  <c r="G150" i="3" a="1"/>
  <c r="F78" i="3" a="1"/>
  <c r="F244" i="3" a="1"/>
  <c r="G236" i="3" a="1"/>
  <c r="F188" i="3" a="1"/>
  <c r="F237" i="3" a="1"/>
  <c r="G112" i="3" a="1"/>
  <c r="G39" i="3" a="1"/>
  <c r="G201" i="3" a="1"/>
  <c r="G64" i="3" a="1"/>
  <c r="F207" i="3" a="1"/>
  <c r="G225" i="3" a="1"/>
  <c r="G245" i="3" a="1"/>
  <c r="F132" i="3" a="1"/>
  <c r="G50" i="3" a="1"/>
  <c r="F174" i="3" a="1"/>
  <c r="G216" i="3" a="1"/>
  <c r="F202" i="3" a="1"/>
  <c r="F76" i="3" a="1"/>
  <c r="F125" i="3" a="1"/>
  <c r="G44" i="3" a="1"/>
  <c r="F260" i="3" a="1"/>
  <c r="F267" i="3" a="1"/>
  <c r="F147" i="3" a="1"/>
  <c r="F133" i="3" a="1"/>
  <c r="F153" i="3" a="1"/>
  <c r="F51" i="3" a="1"/>
  <c r="F144" i="3" a="1"/>
  <c r="G219" i="3" a="1"/>
  <c r="G261" i="3" a="1"/>
  <c r="G171" i="3" a="1"/>
  <c r="G185" i="3" a="1"/>
  <c r="G226" i="3" a="1"/>
  <c r="F145" i="3" a="1"/>
  <c r="F107" i="3" a="1"/>
  <c r="G265" i="3" a="1"/>
  <c r="F38" i="3" a="1"/>
  <c r="G293" i="3" a="1"/>
  <c r="F219" i="3" a="1"/>
  <c r="F37" i="3" a="1"/>
  <c r="F82" i="3" a="1"/>
  <c r="G162" i="3" a="1"/>
  <c r="G241" i="3" a="1"/>
  <c r="G58" i="3" a="1"/>
  <c r="G87" i="3" a="1"/>
  <c r="F171" i="3" a="1"/>
  <c r="F191" i="3" a="1"/>
  <c r="G243" i="3" a="1"/>
  <c r="G65" i="3" a="1"/>
  <c r="G66" i="3" a="1"/>
  <c r="G230" i="3" a="1"/>
  <c r="F176" i="3" a="1"/>
  <c r="F112" i="3" a="1"/>
  <c r="F112" i="3" l="1"/>
  <c r="A112" i="3" s="1"/>
  <c r="F176" i="3"/>
  <c r="A176" i="3" s="1"/>
  <c r="G230" i="3"/>
  <c r="B230" i="3" s="1"/>
  <c r="G66" i="3"/>
  <c r="B66" i="3" s="1"/>
  <c r="G65" i="3"/>
  <c r="B65" i="3" s="1"/>
  <c r="G243" i="3"/>
  <c r="B243" i="3" s="1"/>
  <c r="F191" i="3"/>
  <c r="A191" i="3" s="1"/>
  <c r="F171" i="3"/>
  <c r="A171" i="3" s="1"/>
  <c r="G87" i="3"/>
  <c r="B87" i="3" s="1"/>
  <c r="G58" i="3"/>
  <c r="B58" i="3" s="1"/>
  <c r="G241" i="3"/>
  <c r="B241" i="3" s="1"/>
  <c r="G162" i="3"/>
  <c r="B162" i="3" s="1"/>
  <c r="F82" i="3"/>
  <c r="A82" i="3" s="1"/>
  <c r="F37" i="3"/>
  <c r="A37" i="3" s="1"/>
  <c r="F219" i="3"/>
  <c r="A219" i="3" s="1"/>
  <c r="G293" i="3"/>
  <c r="B293" i="3" s="1"/>
  <c r="F38" i="3"/>
  <c r="A38" i="3" s="1"/>
  <c r="G265" i="3"/>
  <c r="B265" i="3" s="1"/>
  <c r="F107" i="3"/>
  <c r="A107" i="3" s="1"/>
  <c r="F145" i="3"/>
  <c r="A145" i="3" s="1"/>
  <c r="G226" i="3"/>
  <c r="B226" i="3" s="1"/>
  <c r="G185" i="3"/>
  <c r="B185" i="3" s="1"/>
  <c r="G171" i="3"/>
  <c r="B171" i="3" s="1"/>
  <c r="G261" i="3"/>
  <c r="B261" i="3" s="1"/>
  <c r="G219" i="3"/>
  <c r="B219" i="3" s="1"/>
  <c r="F144" i="3"/>
  <c r="A144" i="3" s="1"/>
  <c r="F51" i="3"/>
  <c r="A51" i="3" s="1"/>
  <c r="F153" i="3"/>
  <c r="A153" i="3" s="1"/>
  <c r="F133" i="3"/>
  <c r="A133" i="3" s="1"/>
  <c r="F147" i="3"/>
  <c r="A147" i="3" s="1"/>
  <c r="F267" i="3"/>
  <c r="A267" i="3" s="1"/>
  <c r="F260" i="3"/>
  <c r="A260" i="3" s="1"/>
  <c r="G44" i="3"/>
  <c r="B44" i="3" s="1"/>
  <c r="F125" i="3"/>
  <c r="A125" i="3" s="1"/>
  <c r="F76" i="3"/>
  <c r="A76" i="3" s="1"/>
  <c r="F202" i="3"/>
  <c r="A202" i="3" s="1"/>
  <c r="G216" i="3"/>
  <c r="B216" i="3" s="1"/>
  <c r="F174" i="3"/>
  <c r="A174" i="3" s="1"/>
  <c r="G50" i="3"/>
  <c r="B50" i="3" s="1"/>
  <c r="F132" i="3"/>
  <c r="A132" i="3" s="1"/>
  <c r="G245" i="3"/>
  <c r="B245" i="3" s="1"/>
  <c r="G225" i="3"/>
  <c r="B225" i="3" s="1"/>
  <c r="F207" i="3"/>
  <c r="A207" i="3" s="1"/>
  <c r="G64" i="3"/>
  <c r="B64" i="3" s="1"/>
  <c r="G201" i="3"/>
  <c r="B201" i="3" s="1"/>
  <c r="G39" i="3"/>
  <c r="B39" i="3" s="1"/>
  <c r="G112" i="3"/>
  <c r="B112" i="3" s="1"/>
  <c r="F237" i="3"/>
  <c r="A237" i="3" s="1"/>
  <c r="F188" i="3"/>
  <c r="A188" i="3" s="1"/>
  <c r="G236" i="3"/>
  <c r="B236" i="3" s="1"/>
  <c r="F244" i="3"/>
  <c r="A244" i="3" s="1"/>
  <c r="F78" i="3"/>
  <c r="A78" i="3" s="1"/>
  <c r="G150" i="3"/>
  <c r="B150" i="3" s="1"/>
  <c r="F33" i="3"/>
  <c r="A33" i="3" s="1"/>
  <c r="G129" i="3"/>
  <c r="B129" i="3" s="1"/>
  <c r="F167" i="3"/>
  <c r="A167" i="3" s="1"/>
  <c r="F211" i="3"/>
  <c r="A211" i="3" s="1"/>
  <c r="G123" i="3"/>
  <c r="B123" i="3" s="1"/>
  <c r="G244" i="3"/>
  <c r="B244" i="3" s="1"/>
  <c r="G109" i="3"/>
  <c r="B109" i="3" s="1"/>
  <c r="F298" i="3"/>
  <c r="A298" i="3" s="1"/>
  <c r="F216" i="3"/>
  <c r="A216" i="3" s="1"/>
  <c r="F187" i="3"/>
  <c r="A187" i="3" s="1"/>
  <c r="G71" i="3"/>
  <c r="B71" i="3" s="1"/>
  <c r="F185" i="3"/>
  <c r="A185" i="3" s="1"/>
  <c r="G25" i="3"/>
  <c r="B25" i="3" s="1"/>
  <c r="F135" i="3"/>
  <c r="A135" i="3" s="1"/>
  <c r="F264" i="3"/>
  <c r="A264" i="3" s="1"/>
  <c r="G267" i="3"/>
  <c r="B267" i="3" s="1"/>
  <c r="F19" i="3"/>
  <c r="A19" i="3" s="1"/>
  <c r="F159" i="3"/>
  <c r="A159" i="3" s="1"/>
  <c r="G90" i="3"/>
  <c r="B90" i="3" s="1"/>
  <c r="G10" i="3"/>
  <c r="B10" i="3" s="1"/>
  <c r="G20" i="3"/>
  <c r="B20" i="3" s="1"/>
  <c r="G52" i="3"/>
  <c r="B52" i="3" s="1"/>
  <c r="G278" i="3"/>
  <c r="B278" i="3" s="1"/>
  <c r="F251" i="3"/>
  <c r="A251" i="3" s="1"/>
  <c r="G256" i="3"/>
  <c r="B256" i="3" s="1"/>
  <c r="F22" i="3"/>
  <c r="A22" i="3" s="1"/>
  <c r="F285" i="3"/>
  <c r="A285" i="3" s="1"/>
  <c r="F49" i="3"/>
  <c r="A49" i="3" s="1"/>
  <c r="G46" i="3"/>
  <c r="B46" i="3" s="1"/>
  <c r="G163" i="3"/>
  <c r="B163" i="3" s="1"/>
  <c r="F92" i="3"/>
  <c r="A92" i="3" s="1"/>
  <c r="F287" i="3"/>
  <c r="A287" i="3" s="1"/>
  <c r="G115" i="3"/>
  <c r="B115" i="3" s="1"/>
  <c r="G29" i="3"/>
  <c r="B29" i="3" s="1"/>
  <c r="F172" i="3"/>
  <c r="A172" i="3" s="1"/>
  <c r="G221" i="3"/>
  <c r="B221" i="3" s="1"/>
  <c r="F84" i="3"/>
  <c r="A84" i="3" s="1"/>
  <c r="F124" i="3"/>
  <c r="A124" i="3" s="1"/>
  <c r="G15" i="3"/>
  <c r="B15" i="3" s="1"/>
  <c r="G134" i="3"/>
  <c r="B134" i="3" s="1"/>
  <c r="F68" i="3"/>
  <c r="A68" i="3" s="1"/>
  <c r="G177" i="3"/>
  <c r="B177" i="3" s="1"/>
  <c r="G133" i="3"/>
  <c r="B133" i="3" s="1"/>
  <c r="G94" i="3"/>
  <c r="B94" i="3" s="1"/>
  <c r="F65" i="3"/>
  <c r="A65" i="3" s="1"/>
  <c r="G113" i="3"/>
  <c r="B113" i="3" s="1"/>
  <c r="G232" i="3"/>
  <c r="B232" i="3" s="1"/>
  <c r="F225" i="3"/>
  <c r="A225" i="3" s="1"/>
  <c r="F209" i="3"/>
  <c r="A209" i="3" s="1"/>
  <c r="G78" i="3"/>
  <c r="B78" i="3" s="1"/>
  <c r="G9" i="3"/>
  <c r="B9" i="3" s="1"/>
  <c r="F146" i="3"/>
  <c r="A146" i="3" s="1"/>
  <c r="G287" i="3"/>
  <c r="B287" i="3" s="1"/>
  <c r="F142" i="3"/>
  <c r="A142" i="3" s="1"/>
  <c r="G231" i="3"/>
  <c r="B231" i="3" s="1"/>
  <c r="F193" i="3"/>
  <c r="A193" i="3" s="1"/>
  <c r="G27" i="3"/>
  <c r="B27" i="3" s="1"/>
  <c r="G139" i="3"/>
  <c r="B139" i="3" s="1"/>
  <c r="F45" i="3"/>
  <c r="A45" i="3" s="1"/>
  <c r="G148" i="3"/>
  <c r="B148" i="3" s="1"/>
  <c r="F54" i="3"/>
  <c r="A54" i="3" s="1"/>
  <c r="F50" i="3"/>
  <c r="A50" i="3" s="1"/>
  <c r="G42" i="3"/>
  <c r="B42" i="3" s="1"/>
  <c r="G28" i="3"/>
  <c r="B28" i="3" s="1"/>
  <c r="F215" i="3"/>
  <c r="A215" i="3" s="1"/>
  <c r="G210" i="3"/>
  <c r="B210" i="3" s="1"/>
  <c r="F12" i="3"/>
  <c r="A12" i="3" s="1"/>
  <c r="F35" i="3"/>
  <c r="A35" i="3" s="1"/>
  <c r="G59" i="3"/>
  <c r="B59" i="3" s="1"/>
  <c r="G184" i="3"/>
  <c r="B184" i="3" s="1"/>
  <c r="G253" i="3"/>
  <c r="B253" i="3" s="1"/>
  <c r="F67" i="3"/>
  <c r="A67" i="3" s="1"/>
  <c r="G262" i="3"/>
  <c r="B262" i="3" s="1"/>
  <c r="F122" i="3"/>
  <c r="A122" i="3" s="1"/>
  <c r="F139" i="3"/>
  <c r="A139" i="3" s="1"/>
  <c r="F137" i="3"/>
  <c r="A137" i="3" s="1"/>
  <c r="F74" i="3"/>
  <c r="A74" i="3" s="1"/>
  <c r="F91" i="3"/>
  <c r="A91" i="3" s="1"/>
  <c r="F58" i="3"/>
  <c r="A58" i="3" s="1"/>
  <c r="F282" i="3"/>
  <c r="A282" i="3" s="1"/>
  <c r="G276" i="3"/>
  <c r="B276" i="3" s="1"/>
  <c r="G242" i="3"/>
  <c r="B242" i="3" s="1"/>
  <c r="G127" i="3"/>
  <c r="B127" i="3" s="1"/>
  <c r="G266" i="3"/>
  <c r="B266" i="3" s="1"/>
  <c r="G48" i="3"/>
  <c r="B48" i="3" s="1"/>
  <c r="F55" i="3"/>
  <c r="A55" i="3" s="1"/>
  <c r="F197" i="3"/>
  <c r="A197" i="3" s="1"/>
  <c r="F102" i="3"/>
  <c r="A102" i="3" s="1"/>
  <c r="F95" i="3"/>
  <c r="A95" i="3" s="1"/>
  <c r="G161" i="3"/>
  <c r="B161" i="3" s="1"/>
  <c r="F226" i="3"/>
  <c r="A226" i="3" s="1"/>
  <c r="G288" i="3"/>
  <c r="B288" i="3" s="1"/>
  <c r="F273" i="3"/>
  <c r="A273" i="3" s="1"/>
  <c r="F186" i="3"/>
  <c r="A186" i="3" s="1"/>
  <c r="F56" i="3"/>
  <c r="A56" i="3" s="1"/>
  <c r="F106" i="3"/>
  <c r="A106" i="3" s="1"/>
  <c r="G62" i="3"/>
  <c r="B62" i="3" s="1"/>
  <c r="F178" i="3"/>
  <c r="A178" i="3" s="1"/>
  <c r="G247" i="3"/>
  <c r="B247" i="3" s="1"/>
  <c r="G130" i="3"/>
  <c r="B130" i="3" s="1"/>
  <c r="F281" i="3"/>
  <c r="A281" i="3" s="1"/>
  <c r="F297" i="3"/>
  <c r="A297" i="3" s="1"/>
  <c r="G14" i="3"/>
  <c r="B14" i="3" s="1"/>
  <c r="G254" i="3"/>
  <c r="B254" i="3" s="1"/>
  <c r="F182" i="3"/>
  <c r="A182" i="3" s="1"/>
  <c r="F60" i="3"/>
  <c r="A60" i="3" s="1"/>
  <c r="F47" i="3"/>
  <c r="A47" i="3" s="1"/>
  <c r="G214" i="3"/>
  <c r="B214" i="3" s="1"/>
  <c r="F118" i="3"/>
  <c r="A118" i="3" s="1"/>
  <c r="G121" i="3"/>
  <c r="B121" i="3" s="1"/>
  <c r="F88" i="3"/>
  <c r="A88" i="3" s="1"/>
  <c r="G193" i="3"/>
  <c r="B193" i="3" s="1"/>
  <c r="F148" i="3"/>
  <c r="A148" i="3" s="1"/>
  <c r="G181" i="3"/>
  <c r="B181" i="3" s="1"/>
  <c r="G160" i="3"/>
  <c r="B160" i="3" s="1"/>
  <c r="G165" i="3"/>
  <c r="B165" i="3" s="1"/>
  <c r="F34" i="3"/>
  <c r="A34" i="3" s="1"/>
  <c r="F230" i="3"/>
  <c r="A230" i="3" s="1"/>
  <c r="F141" i="3"/>
  <c r="A141" i="3" s="1"/>
  <c r="G141" i="3"/>
  <c r="B141" i="3" s="1"/>
  <c r="G144" i="3"/>
  <c r="B144" i="3" s="1"/>
  <c r="F123" i="3"/>
  <c r="A123" i="3" s="1"/>
  <c r="F259" i="3"/>
  <c r="A259" i="3" s="1"/>
  <c r="G143" i="3"/>
  <c r="B143" i="3" s="1"/>
  <c r="G119" i="3"/>
  <c r="B119" i="3" s="1"/>
  <c r="G238" i="3"/>
  <c r="B238" i="3" s="1"/>
  <c r="G202" i="3"/>
  <c r="B202" i="3" s="1"/>
  <c r="G240" i="3"/>
  <c r="B240" i="3" s="1"/>
  <c r="F233" i="3"/>
  <c r="A233" i="3" s="1"/>
  <c r="F258" i="3"/>
  <c r="A258" i="3" s="1"/>
  <c r="G26" i="3"/>
  <c r="B26" i="3" s="1"/>
  <c r="G156" i="3"/>
  <c r="B156" i="3" s="1"/>
  <c r="F103" i="3"/>
  <c r="A103" i="3" s="1"/>
  <c r="G49" i="3"/>
  <c r="B49" i="3" s="1"/>
  <c r="G195" i="3"/>
  <c r="B195" i="3" s="1"/>
  <c r="G234" i="3"/>
  <c r="B234" i="3" s="1"/>
  <c r="F32" i="3"/>
  <c r="A32" i="3" s="1"/>
  <c r="G217" i="3"/>
  <c r="B217" i="3" s="1"/>
  <c r="G168" i="3"/>
  <c r="B168" i="3" s="1"/>
  <c r="G169" i="3"/>
  <c r="B169" i="3" s="1"/>
  <c r="G80" i="3"/>
  <c r="B80" i="3" s="1"/>
  <c r="F192" i="3"/>
  <c r="A192" i="3" s="1"/>
  <c r="G108" i="3"/>
  <c r="B108" i="3" s="1"/>
  <c r="F276" i="3"/>
  <c r="A276" i="3" s="1"/>
  <c r="F250" i="3"/>
  <c r="A250" i="3" s="1"/>
  <c r="G147" i="3"/>
  <c r="B147" i="3" s="1"/>
  <c r="G192" i="3"/>
  <c r="B192" i="3" s="1"/>
  <c r="G47" i="3"/>
  <c r="B47" i="3" s="1"/>
  <c r="F199" i="3"/>
  <c r="A199" i="3" s="1"/>
  <c r="F14" i="3"/>
  <c r="A14" i="3" s="1"/>
  <c r="F59" i="3"/>
  <c r="A59" i="3" s="1"/>
  <c r="G289" i="3"/>
  <c r="B289" i="3" s="1"/>
  <c r="F274" i="3"/>
  <c r="A274" i="3" s="1"/>
  <c r="G204" i="3"/>
  <c r="B204" i="3" s="1"/>
  <c r="F248" i="3"/>
  <c r="A248" i="3" s="1"/>
  <c r="G43" i="3"/>
  <c r="B43" i="3" s="1"/>
  <c r="G257" i="3"/>
  <c r="B257" i="3" s="1"/>
  <c r="G40" i="3"/>
  <c r="B40" i="3" s="1"/>
  <c r="F243" i="3"/>
  <c r="A243" i="3" s="1"/>
  <c r="F245" i="3"/>
  <c r="A245" i="3" s="1"/>
  <c r="F26" i="3"/>
  <c r="A26" i="3" s="1"/>
  <c r="G19" i="3"/>
  <c r="B19" i="3" s="1"/>
  <c r="F204" i="3"/>
  <c r="A204" i="3" s="1"/>
  <c r="F138" i="3"/>
  <c r="A138" i="3" s="1"/>
  <c r="G99" i="3"/>
  <c r="B99" i="3" s="1"/>
  <c r="G158" i="3"/>
  <c r="B158" i="3" s="1"/>
  <c r="F180" i="3"/>
  <c r="A180" i="3" s="1"/>
  <c r="G264" i="3"/>
  <c r="B264" i="3" s="1"/>
  <c r="F20" i="3"/>
  <c r="A20" i="3" s="1"/>
  <c r="G187" i="3"/>
  <c r="B187" i="3" s="1"/>
  <c r="G92" i="3"/>
  <c r="B92" i="3" s="1"/>
  <c r="F21" i="3"/>
  <c r="A21" i="3" s="1"/>
  <c r="G295" i="3"/>
  <c r="B295" i="3" s="1"/>
  <c r="G183" i="3"/>
  <c r="B183" i="3" s="1"/>
  <c r="G271" i="3"/>
  <c r="B271" i="3" s="1"/>
  <c r="F134" i="3"/>
  <c r="A134" i="3" s="1"/>
  <c r="F30" i="3"/>
  <c r="A30" i="3" s="1"/>
  <c r="G105" i="3"/>
  <c r="B105" i="3" s="1"/>
  <c r="F263" i="3"/>
  <c r="A263" i="3" s="1"/>
  <c r="G297" i="3"/>
  <c r="B297" i="3" s="1"/>
  <c r="F23" i="3"/>
  <c r="A23" i="3" s="1"/>
  <c r="G237" i="3"/>
  <c r="B237" i="3" s="1"/>
  <c r="G213" i="3"/>
  <c r="B213" i="3" s="1"/>
  <c r="F155" i="3"/>
  <c r="A155" i="3" s="1"/>
  <c r="F161" i="3"/>
  <c r="A161" i="3" s="1"/>
  <c r="F295" i="3"/>
  <c r="A295" i="3" s="1"/>
  <c r="F220" i="3"/>
  <c r="A220" i="3" s="1"/>
  <c r="F168" i="3"/>
  <c r="A168" i="3" s="1"/>
  <c r="F86" i="3"/>
  <c r="A86" i="3" s="1"/>
  <c r="G179" i="3"/>
  <c r="B179" i="3" s="1"/>
  <c r="G249" i="3"/>
  <c r="B249" i="3" s="1"/>
  <c r="F203" i="3"/>
  <c r="A203" i="3" s="1"/>
  <c r="G37" i="3"/>
  <c r="B37" i="3" s="1"/>
  <c r="G22" i="3"/>
  <c r="B22" i="3" s="1"/>
  <c r="F221" i="3"/>
  <c r="A221" i="3" s="1"/>
  <c r="G251" i="3"/>
  <c r="B251" i="3" s="1"/>
  <c r="G24" i="3"/>
  <c r="B24" i="3" s="1"/>
  <c r="G60" i="3"/>
  <c r="B60" i="3" s="1"/>
  <c r="F227" i="3"/>
  <c r="A227" i="3" s="1"/>
  <c r="G173" i="3"/>
  <c r="B173" i="3" s="1"/>
  <c r="F300" i="3"/>
  <c r="A300" i="3" s="1"/>
  <c r="G81" i="3"/>
  <c r="B81" i="3" s="1"/>
  <c r="G83" i="3"/>
  <c r="B83" i="3" s="1"/>
  <c r="F85" i="3"/>
  <c r="A85" i="3" s="1"/>
  <c r="F181" i="3"/>
  <c r="A181" i="3" s="1"/>
  <c r="F240" i="3"/>
  <c r="A240" i="3" s="1"/>
  <c r="F257" i="3"/>
  <c r="A257" i="3" s="1"/>
  <c r="F196" i="3"/>
  <c r="A196" i="3" s="1"/>
  <c r="F152" i="3"/>
  <c r="A152" i="3" s="1"/>
  <c r="F169" i="3"/>
  <c r="A169" i="3" s="1"/>
  <c r="F44" i="3"/>
  <c r="A44" i="3" s="1"/>
  <c r="G294" i="3"/>
  <c r="B294" i="3" s="1"/>
  <c r="F278" i="3"/>
  <c r="A278" i="3" s="1"/>
  <c r="G142" i="3"/>
  <c r="B142" i="3" s="1"/>
  <c r="F115" i="3"/>
  <c r="A115" i="3" s="1"/>
  <c r="G166" i="3"/>
  <c r="B166" i="3" s="1"/>
  <c r="G274" i="3"/>
  <c r="B274" i="3" s="1"/>
  <c r="F41" i="3"/>
  <c r="A41" i="3" s="1"/>
  <c r="F283" i="3"/>
  <c r="A283" i="3" s="1"/>
  <c r="G199" i="3"/>
  <c r="B199" i="3" s="1"/>
  <c r="F149" i="3"/>
  <c r="A149" i="3" s="1"/>
  <c r="G31" i="3"/>
  <c r="B31" i="3" s="1"/>
  <c r="F130" i="3"/>
  <c r="A130" i="3" s="1"/>
  <c r="F109" i="3"/>
  <c r="A109" i="3" s="1"/>
  <c r="G229" i="3"/>
  <c r="B229" i="3" s="1"/>
  <c r="G207" i="3"/>
  <c r="B207" i="3" s="1"/>
  <c r="G218" i="3"/>
  <c r="B218" i="3" s="1"/>
  <c r="G118" i="3"/>
  <c r="B118" i="3" s="1"/>
  <c r="G208" i="3"/>
  <c r="B208" i="3" s="1"/>
  <c r="G74" i="3"/>
  <c r="B74" i="3" s="1"/>
  <c r="F90" i="3"/>
  <c r="A90" i="3" s="1"/>
  <c r="F224" i="3"/>
  <c r="A224" i="3" s="1"/>
  <c r="G114" i="3"/>
  <c r="B114" i="3" s="1"/>
  <c r="F31" i="3"/>
  <c r="A31" i="3" s="1"/>
  <c r="G34" i="3"/>
  <c r="B34" i="3" s="1"/>
  <c r="F239" i="3"/>
  <c r="A239" i="3" s="1"/>
  <c r="G259" i="3"/>
  <c r="B259" i="3" s="1"/>
  <c r="F261" i="3"/>
  <c r="A261" i="3" s="1"/>
  <c r="F64" i="3"/>
  <c r="A64" i="3" s="1"/>
  <c r="G211" i="3"/>
  <c r="B211" i="3" s="1"/>
  <c r="F213" i="3"/>
  <c r="A213" i="3" s="1"/>
  <c r="F231" i="3"/>
  <c r="A231" i="3" s="1"/>
  <c r="G203" i="3"/>
  <c r="B203" i="3" s="1"/>
  <c r="F256" i="3"/>
  <c r="A256" i="3" s="1"/>
  <c r="G91" i="3"/>
  <c r="B91" i="3" s="1"/>
  <c r="G89" i="3"/>
  <c r="B89" i="3" s="1"/>
  <c r="F40" i="3"/>
  <c r="A40" i="3" s="1"/>
  <c r="F28" i="3"/>
  <c r="A28" i="3" s="1"/>
  <c r="G132" i="3"/>
  <c r="B132" i="3" s="1"/>
  <c r="F61" i="3"/>
  <c r="A61" i="3" s="1"/>
  <c r="G176" i="3"/>
  <c r="B176" i="3" s="1"/>
  <c r="F119" i="3"/>
  <c r="A119" i="3" s="1"/>
  <c r="G291" i="3"/>
  <c r="B291" i="3" s="1"/>
  <c r="G68" i="3"/>
  <c r="B68" i="3" s="1"/>
  <c r="G96" i="3"/>
  <c r="B96" i="3" s="1"/>
  <c r="G30" i="3"/>
  <c r="B30" i="3" s="1"/>
  <c r="G140" i="3"/>
  <c r="B140" i="3" s="1"/>
  <c r="F284" i="3"/>
  <c r="A284" i="3" s="1"/>
  <c r="F252" i="3"/>
  <c r="A252" i="3" s="1"/>
  <c r="F93" i="3"/>
  <c r="A93" i="3" s="1"/>
  <c r="F235" i="3"/>
  <c r="A235" i="3" s="1"/>
  <c r="G175" i="3"/>
  <c r="B175" i="3" s="1"/>
  <c r="G77" i="3"/>
  <c r="B77" i="3" s="1"/>
  <c r="G124" i="3"/>
  <c r="B124" i="3" s="1"/>
  <c r="F228" i="3"/>
  <c r="A228" i="3" s="1"/>
  <c r="F113" i="3"/>
  <c r="A113" i="3" s="1"/>
  <c r="F97" i="3"/>
  <c r="A97" i="3" s="1"/>
  <c r="F114" i="3"/>
  <c r="A114" i="3" s="1"/>
  <c r="F236" i="3"/>
  <c r="A236" i="3" s="1"/>
  <c r="F43" i="3"/>
  <c r="A43" i="3" s="1"/>
  <c r="G167" i="3"/>
  <c r="B167" i="3" s="1"/>
  <c r="F10" i="3"/>
  <c r="A10" i="3" s="1"/>
  <c r="G11" i="3"/>
  <c r="B11" i="3" s="1"/>
  <c r="G103" i="3"/>
  <c r="B103" i="3" s="1"/>
  <c r="G72" i="3"/>
  <c r="B72" i="3" s="1"/>
  <c r="G296" i="3"/>
  <c r="B296" i="3" s="1"/>
  <c r="F79" i="3"/>
  <c r="A79" i="3" s="1"/>
  <c r="F279" i="3"/>
  <c r="A279" i="3" s="1"/>
  <c r="G79" i="3"/>
  <c r="B79" i="3" s="1"/>
  <c r="G137" i="3"/>
  <c r="B137" i="3" s="1"/>
  <c r="F222" i="3"/>
  <c r="A222" i="3" s="1"/>
  <c r="G157" i="3"/>
  <c r="B157" i="3" s="1"/>
  <c r="G117" i="3"/>
  <c r="B117" i="3" s="1"/>
  <c r="F218" i="3"/>
  <c r="A218" i="3" s="1"/>
  <c r="G281" i="3"/>
  <c r="B281" i="3" s="1"/>
  <c r="G120" i="3"/>
  <c r="B120" i="3" s="1"/>
  <c r="F170" i="3"/>
  <c r="A170" i="3" s="1"/>
  <c r="G233" i="3"/>
  <c r="B233" i="3" s="1"/>
  <c r="G73" i="3"/>
  <c r="B73" i="3" s="1"/>
  <c r="G67" i="3"/>
  <c r="B67" i="3" s="1"/>
  <c r="G45" i="3"/>
  <c r="B45" i="3" s="1"/>
  <c r="F217" i="3"/>
  <c r="A217" i="3" s="1"/>
  <c r="F166" i="3"/>
  <c r="A166" i="3" s="1"/>
  <c r="F268" i="3"/>
  <c r="A268" i="3" s="1"/>
  <c r="G51" i="3"/>
  <c r="B51" i="3" s="1"/>
  <c r="F129" i="3"/>
  <c r="A129" i="3" s="1"/>
  <c r="F48" i="3"/>
  <c r="A48" i="3" s="1"/>
  <c r="F101" i="3"/>
  <c r="A101" i="3" s="1"/>
  <c r="F157" i="3"/>
  <c r="A157" i="3" s="1"/>
  <c r="F241" i="3"/>
  <c r="A241" i="3" s="1"/>
  <c r="F265" i="3"/>
  <c r="A265" i="3" s="1"/>
  <c r="F242" i="3"/>
  <c r="A242" i="3" s="1"/>
  <c r="F201" i="3"/>
  <c r="A201" i="3" s="1"/>
  <c r="F177" i="3"/>
  <c r="A177" i="3" s="1"/>
  <c r="F210" i="3"/>
  <c r="A210" i="3" s="1"/>
  <c r="G279" i="3"/>
  <c r="B279" i="3" s="1"/>
  <c r="F190" i="3"/>
  <c r="A190" i="3" s="1"/>
  <c r="F89" i="3"/>
  <c r="A89" i="3" s="1"/>
  <c r="F205" i="3"/>
  <c r="A205" i="3" s="1"/>
  <c r="F162" i="3"/>
  <c r="A162" i="3" s="1"/>
  <c r="F15" i="3"/>
  <c r="A15" i="3" s="1"/>
  <c r="G152" i="3"/>
  <c r="B152" i="3" s="1"/>
  <c r="G93" i="3"/>
  <c r="B93" i="3" s="1"/>
  <c r="G252" i="3"/>
  <c r="B252" i="3" s="1"/>
  <c r="G290" i="3"/>
  <c r="B290" i="3" s="1"/>
  <c r="F232" i="3"/>
  <c r="A232" i="3" s="1"/>
  <c r="F117" i="3"/>
  <c r="A117" i="3" s="1"/>
  <c r="G172" i="3"/>
  <c r="B172" i="3" s="1"/>
  <c r="G250" i="3"/>
  <c r="B250" i="3" s="1"/>
  <c r="F200" i="3"/>
  <c r="A200" i="3" s="1"/>
  <c r="F96" i="3"/>
  <c r="A96" i="3" s="1"/>
  <c r="G135" i="3"/>
  <c r="B135" i="3" s="1"/>
  <c r="F212" i="3"/>
  <c r="A212" i="3" s="1"/>
  <c r="G153" i="3"/>
  <c r="B153" i="3" s="1"/>
  <c r="G220" i="3"/>
  <c r="B220" i="3" s="1"/>
  <c r="F296" i="3"/>
  <c r="A296" i="3" s="1"/>
  <c r="F270" i="3"/>
  <c r="A270" i="3" s="1"/>
  <c r="G125" i="3"/>
  <c r="B125" i="3" s="1"/>
  <c r="F288" i="3"/>
  <c r="A288" i="3" s="1"/>
  <c r="G286" i="3"/>
  <c r="B286" i="3" s="1"/>
  <c r="G41" i="3"/>
  <c r="B41" i="3" s="1"/>
  <c r="G255" i="3"/>
  <c r="B255" i="3" s="1"/>
  <c r="G224" i="3"/>
  <c r="B224" i="3" s="1"/>
  <c r="G159" i="3"/>
  <c r="B159" i="3" s="1"/>
  <c r="G270" i="3"/>
  <c r="B270" i="3" s="1"/>
  <c r="G95" i="3"/>
  <c r="B95" i="3" s="1"/>
  <c r="F83" i="3"/>
  <c r="A83" i="3" s="1"/>
  <c r="F136" i="3"/>
  <c r="A136" i="3" s="1"/>
  <c r="G268" i="3"/>
  <c r="B268" i="3" s="1"/>
  <c r="F247" i="3"/>
  <c r="A247" i="3" s="1"/>
  <c r="G35" i="3"/>
  <c r="B35" i="3" s="1"/>
  <c r="F151" i="3"/>
  <c r="A151" i="3" s="1"/>
  <c r="G110" i="3"/>
  <c r="B110" i="3" s="1"/>
  <c r="G76" i="3"/>
  <c r="B76" i="3" s="1"/>
  <c r="G55" i="3"/>
  <c r="B55" i="3" s="1"/>
  <c r="G263" i="3"/>
  <c r="B263" i="3" s="1"/>
  <c r="F280" i="3"/>
  <c r="A280" i="3" s="1"/>
  <c r="F249" i="3"/>
  <c r="A249" i="3" s="1"/>
  <c r="F11" i="3"/>
  <c r="A11" i="3" s="1"/>
  <c r="G260" i="3"/>
  <c r="B260" i="3" s="1"/>
  <c r="F27" i="3"/>
  <c r="A27" i="3" s="1"/>
  <c r="G228" i="3"/>
  <c r="B228" i="3" s="1"/>
  <c r="G116" i="3"/>
  <c r="B116" i="3" s="1"/>
  <c r="F131" i="3"/>
  <c r="A131" i="3" s="1"/>
  <c r="F62" i="3"/>
  <c r="A62" i="3" s="1"/>
  <c r="G272" i="3"/>
  <c r="B272" i="3" s="1"/>
  <c r="G53" i="3"/>
  <c r="B53" i="3" s="1"/>
  <c r="G107" i="3"/>
  <c r="B107" i="3" s="1"/>
  <c r="G18" i="3"/>
  <c r="B18" i="3" s="1"/>
  <c r="G61" i="3"/>
  <c r="B61" i="3" s="1"/>
  <c r="F158" i="3"/>
  <c r="A158" i="3" s="1"/>
  <c r="G102" i="3"/>
  <c r="B102" i="3" s="1"/>
  <c r="F184" i="3"/>
  <c r="A184" i="3" s="1"/>
  <c r="G209" i="3"/>
  <c r="B209" i="3" s="1"/>
  <c r="G56" i="3"/>
  <c r="B56" i="3" s="1"/>
  <c r="F9" i="3"/>
  <c r="A9" i="3" s="1"/>
  <c r="F175" i="3"/>
  <c r="A175" i="3" s="1"/>
  <c r="F46" i="3"/>
  <c r="A46" i="3" s="1"/>
  <c r="F42" i="3"/>
  <c r="A42" i="3" s="1"/>
  <c r="F143" i="3"/>
  <c r="A143" i="3" s="1"/>
  <c r="G63" i="3"/>
  <c r="B63" i="3" s="1"/>
  <c r="F266" i="3"/>
  <c r="A266" i="3" s="1"/>
  <c r="G196" i="3"/>
  <c r="B196" i="3" s="1"/>
  <c r="F17" i="3"/>
  <c r="A17" i="3" s="1"/>
  <c r="F299" i="3"/>
  <c r="A299" i="3" s="1"/>
  <c r="G170" i="3"/>
  <c r="B170" i="3" s="1"/>
  <c r="F246" i="3"/>
  <c r="A246" i="3" s="1"/>
  <c r="F208" i="3"/>
  <c r="A208" i="3" s="1"/>
  <c r="G223" i="3"/>
  <c r="B223" i="3" s="1"/>
  <c r="G16" i="3"/>
  <c r="B16" i="3" s="1"/>
  <c r="G69" i="3"/>
  <c r="B69" i="3" s="1"/>
  <c r="F292" i="3"/>
  <c r="A292" i="3" s="1"/>
  <c r="G100" i="3"/>
  <c r="B100" i="3" s="1"/>
  <c r="F277" i="3"/>
  <c r="A277" i="3" s="1"/>
  <c r="F71" i="3"/>
  <c r="A71" i="3" s="1"/>
  <c r="G32" i="3"/>
  <c r="B32" i="3" s="1"/>
  <c r="F198" i="3"/>
  <c r="A198" i="3" s="1"/>
  <c r="F98" i="3"/>
  <c r="A98" i="3" s="1"/>
  <c r="F189" i="3"/>
  <c r="A189" i="3" s="1"/>
  <c r="F100" i="3"/>
  <c r="A100" i="3" s="1"/>
  <c r="G84" i="3"/>
  <c r="B84" i="3" s="1"/>
  <c r="G122" i="3"/>
  <c r="B122" i="3" s="1"/>
  <c r="F104" i="3"/>
  <c r="A104" i="3" s="1"/>
  <c r="F160" i="3"/>
  <c r="A160" i="3" s="1"/>
  <c r="G298" i="3"/>
  <c r="B298" i="3" s="1"/>
  <c r="G246" i="3"/>
  <c r="B246" i="3" s="1"/>
  <c r="G151" i="3"/>
  <c r="B151" i="3" s="1"/>
  <c r="F80" i="3"/>
  <c r="A80" i="3" s="1"/>
  <c r="G258" i="3"/>
  <c r="B258" i="3" s="1"/>
  <c r="G198" i="3"/>
  <c r="B198" i="3" s="1"/>
  <c r="F120" i="3"/>
  <c r="A120" i="3" s="1"/>
  <c r="G212" i="3"/>
  <c r="B212" i="3" s="1"/>
  <c r="F72" i="3"/>
  <c r="A72" i="3" s="1"/>
  <c r="F150" i="3"/>
  <c r="A150" i="3" s="1"/>
  <c r="F13" i="3"/>
  <c r="A13" i="3" s="1"/>
  <c r="G285" i="3"/>
  <c r="B285" i="3" s="1"/>
  <c r="G269" i="3"/>
  <c r="B269" i="3" s="1"/>
  <c r="G155" i="3"/>
  <c r="B155" i="3" s="1"/>
  <c r="G111" i="3"/>
  <c r="B111" i="3" s="1"/>
  <c r="G101" i="3"/>
  <c r="B101" i="3" s="1"/>
  <c r="G206" i="3"/>
  <c r="B206" i="3" s="1"/>
  <c r="G154" i="3"/>
  <c r="B154" i="3" s="1"/>
  <c r="G275" i="3"/>
  <c r="B275" i="3" s="1"/>
  <c r="G21" i="3"/>
  <c r="B21" i="3" s="1"/>
  <c r="G300" i="3"/>
  <c r="B300" i="3" s="1"/>
  <c r="G215" i="3"/>
  <c r="B215" i="3" s="1"/>
  <c r="F140" i="3"/>
  <c r="A140" i="3" s="1"/>
  <c r="F269" i="3"/>
  <c r="A269" i="3" s="1"/>
  <c r="G85" i="3"/>
  <c r="B85" i="3" s="1"/>
  <c r="G227" i="3"/>
  <c r="B227" i="3" s="1"/>
  <c r="F229" i="3"/>
  <c r="A229" i="3" s="1"/>
  <c r="F253" i="3"/>
  <c r="A253" i="3" s="1"/>
  <c r="G12" i="3"/>
  <c r="B12" i="3" s="1"/>
  <c r="F25" i="3"/>
  <c r="A25" i="3" s="1"/>
  <c r="F99" i="3"/>
  <c r="A99" i="3" s="1"/>
  <c r="G180" i="3"/>
  <c r="B180" i="3" s="1"/>
  <c r="F165" i="3"/>
  <c r="A165" i="3" s="1"/>
  <c r="F39" i="3"/>
  <c r="A39" i="3" s="1"/>
  <c r="F121" i="3"/>
  <c r="A121" i="3" s="1"/>
  <c r="F75" i="3"/>
  <c r="A75" i="3" s="1"/>
  <c r="G235" i="3"/>
  <c r="B235" i="3" s="1"/>
  <c r="G75" i="3"/>
  <c r="B75" i="3" s="1"/>
  <c r="G239" i="3"/>
  <c r="B239" i="3" s="1"/>
  <c r="F69" i="3"/>
  <c r="A69" i="3" s="1"/>
  <c r="F275" i="3"/>
  <c r="A275" i="3" s="1"/>
  <c r="G191" i="3"/>
  <c r="B191" i="3" s="1"/>
  <c r="F18" i="3"/>
  <c r="A18" i="3" s="1"/>
  <c r="F294" i="3"/>
  <c r="A294" i="3" s="1"/>
  <c r="G126" i="3"/>
  <c r="B126" i="3" s="1"/>
  <c r="G277" i="3"/>
  <c r="B277" i="3" s="1"/>
  <c r="G292" i="3"/>
  <c r="B292" i="3" s="1"/>
  <c r="G197" i="3"/>
  <c r="B197" i="3" s="1"/>
  <c r="G194" i="3"/>
  <c r="B194" i="3" s="1"/>
  <c r="G38" i="3"/>
  <c r="B38" i="3" s="1"/>
  <c r="G70" i="3"/>
  <c r="B70" i="3" s="1"/>
  <c r="G104" i="3"/>
  <c r="B104" i="3" s="1"/>
  <c r="F179" i="3"/>
  <c r="A179" i="3" s="1"/>
  <c r="F255" i="3"/>
  <c r="A255" i="3" s="1"/>
  <c r="F223" i="3"/>
  <c r="A223" i="3" s="1"/>
  <c r="F128" i="3"/>
  <c r="A128" i="3" s="1"/>
  <c r="F77" i="3"/>
  <c r="A77" i="3" s="1"/>
  <c r="F183" i="3"/>
  <c r="A183" i="3" s="1"/>
  <c r="G17" i="3"/>
  <c r="B17" i="3" s="1"/>
  <c r="G205" i="3"/>
  <c r="B205" i="3" s="1"/>
  <c r="F272" i="3"/>
  <c r="A272" i="3" s="1"/>
  <c r="G149" i="3"/>
  <c r="B149" i="3" s="1"/>
  <c r="G174" i="3"/>
  <c r="B174" i="3" s="1"/>
  <c r="G57" i="3"/>
  <c r="B57" i="3" s="1"/>
  <c r="F36" i="3"/>
  <c r="A36" i="3" s="1"/>
  <c r="G188" i="3"/>
  <c r="B188" i="3" s="1"/>
  <c r="F154" i="3"/>
  <c r="A154" i="3" s="1"/>
  <c r="G186" i="3"/>
  <c r="B186" i="3" s="1"/>
  <c r="F127" i="3"/>
  <c r="A127" i="3" s="1"/>
  <c r="G178" i="3"/>
  <c r="B178" i="3" s="1"/>
  <c r="F16" i="3"/>
  <c r="A16" i="3" s="1"/>
  <c r="G98" i="3"/>
  <c r="B98" i="3" s="1"/>
  <c r="F87" i="3"/>
  <c r="A87" i="3" s="1"/>
  <c r="G146" i="3"/>
  <c r="B146" i="3" s="1"/>
  <c r="F126" i="3"/>
  <c r="A126" i="3" s="1"/>
  <c r="F116" i="3"/>
  <c r="A116" i="3" s="1"/>
  <c r="F108" i="3"/>
  <c r="A108" i="3" s="1"/>
  <c r="G88" i="3"/>
  <c r="B88" i="3" s="1"/>
  <c r="F53" i="3"/>
  <c r="A53" i="3" s="1"/>
  <c r="F110" i="3"/>
  <c r="A110" i="3" s="1"/>
  <c r="F214" i="3"/>
  <c r="A214" i="3" s="1"/>
  <c r="G200" i="3"/>
  <c r="B200" i="3" s="1"/>
  <c r="F234" i="3"/>
  <c r="A234" i="3" s="1"/>
  <c r="F195" i="3"/>
  <c r="A195" i="3" s="1"/>
  <c r="F289" i="3"/>
  <c r="A289" i="3" s="1"/>
  <c r="F194" i="3"/>
  <c r="A194" i="3" s="1"/>
  <c r="F163" i="3"/>
  <c r="A163" i="3" s="1"/>
  <c r="G222" i="3"/>
  <c r="B222" i="3" s="1"/>
  <c r="G54" i="3"/>
  <c r="B54" i="3" s="1"/>
  <c r="G273" i="3"/>
  <c r="B273" i="3" s="1"/>
  <c r="F105" i="3"/>
  <c r="A105" i="3" s="1"/>
  <c r="F29" i="3"/>
  <c r="A29" i="3" s="1"/>
  <c r="G189" i="3"/>
  <c r="B189" i="3" s="1"/>
  <c r="F111" i="3"/>
  <c r="A111" i="3" s="1"/>
  <c r="G182" i="3"/>
  <c r="B182" i="3" s="1"/>
  <c r="G97" i="3"/>
  <c r="B97" i="3" s="1"/>
  <c r="G282" i="3"/>
  <c r="B282" i="3" s="1"/>
  <c r="F70" i="3"/>
  <c r="A70" i="3" s="1"/>
  <c r="F291" i="3"/>
  <c r="A291" i="3" s="1"/>
  <c r="G106" i="3"/>
  <c r="B106" i="3" s="1"/>
  <c r="F156" i="3"/>
  <c r="A156" i="3" s="1"/>
  <c r="F52" i="3"/>
  <c r="A52" i="3" s="1"/>
  <c r="G299" i="3"/>
  <c r="B299" i="3" s="1"/>
  <c r="G284" i="3"/>
  <c r="B284" i="3" s="1"/>
  <c r="G82" i="3"/>
  <c r="B82" i="3" s="1"/>
  <c r="F66" i="3"/>
  <c r="A66" i="3" s="1"/>
  <c r="G190" i="3"/>
  <c r="B190" i="3" s="1"/>
  <c r="F254" i="3"/>
  <c r="A254" i="3" s="1"/>
  <c r="F173" i="3"/>
  <c r="A173" i="3" s="1"/>
  <c r="G164" i="3"/>
  <c r="B164" i="3" s="1"/>
  <c r="G33" i="3"/>
  <c r="B33" i="3" s="1"/>
  <c r="F81" i="3"/>
  <c r="A81" i="3" s="1"/>
  <c r="F293" i="3"/>
  <c r="A293" i="3" s="1"/>
  <c r="F286" i="3"/>
  <c r="A286" i="3" s="1"/>
  <c r="F63" i="3"/>
  <c r="A63" i="3" s="1"/>
  <c r="G13" i="3"/>
  <c r="B13" i="3" s="1"/>
  <c r="F238" i="3"/>
  <c r="A238" i="3" s="1"/>
  <c r="F24" i="3"/>
  <c r="A24" i="3" s="1"/>
  <c r="G131" i="3"/>
  <c r="B131" i="3" s="1"/>
  <c r="F73" i="3"/>
  <c r="A73" i="3" s="1"/>
  <c r="G283" i="3"/>
  <c r="B283" i="3" s="1"/>
  <c r="F271" i="3"/>
  <c r="A271" i="3" s="1"/>
  <c r="F206" i="3"/>
  <c r="A206" i="3" s="1"/>
  <c r="G86" i="3"/>
  <c r="B86" i="3" s="1"/>
  <c r="G23" i="3"/>
  <c r="B23" i="3" s="1"/>
  <c r="F262" i="3"/>
  <c r="A262" i="3" s="1"/>
  <c r="G36" i="3"/>
  <c r="B36" i="3" s="1"/>
  <c r="F57" i="3"/>
  <c r="A57" i="3" s="1"/>
  <c r="G280" i="3"/>
  <c r="B280" i="3" s="1"/>
  <c r="F94" i="3"/>
  <c r="A94" i="3" s="1"/>
  <c r="F290" i="3"/>
  <c r="A290" i="3" s="1"/>
  <c r="F164" i="3"/>
  <c r="A164" i="3" s="1"/>
  <c r="G248" i="3"/>
  <c r="B248" i="3" s="1"/>
  <c r="G138" i="3"/>
  <c r="B138" i="3" s="1"/>
  <c r="G136" i="3"/>
  <c r="B136" i="3" s="1"/>
  <c r="G128" i="3"/>
  <c r="B128" i="3" s="1"/>
  <c r="G145" i="3"/>
  <c r="B145" i="3" s="1"/>
</calcChain>
</file>

<file path=xl/sharedStrings.xml><?xml version="1.0" encoding="utf-8"?>
<sst xmlns="http://schemas.openxmlformats.org/spreadsheetml/2006/main" count="455" uniqueCount="136">
  <si>
    <t>Etablissement</t>
  </si>
  <si>
    <t>Mois :</t>
  </si>
  <si>
    <t>JUIN</t>
  </si>
  <si>
    <t>Année</t>
  </si>
  <si>
    <t>Interimaires Par Agence et Cout</t>
  </si>
  <si>
    <t>N° Semaine :</t>
  </si>
  <si>
    <t>Cout Semaine :</t>
  </si>
  <si>
    <t>Nb Heures Normales Semaine</t>
  </si>
  <si>
    <t>Nb Heures Supp.  Semaine</t>
  </si>
  <si>
    <t>Nb Intérmaire Semaine</t>
  </si>
  <si>
    <t>Cout HN</t>
  </si>
  <si>
    <t>Cout HS</t>
  </si>
  <si>
    <t>nb Interimaire Addeco</t>
  </si>
  <si>
    <t>Cout Adecco</t>
  </si>
  <si>
    <t>nb Interimaire Crit</t>
  </si>
  <si>
    <t>Cout Crit</t>
  </si>
  <si>
    <t>nb Interimaire Supplay</t>
  </si>
  <si>
    <t>Cout Supplay</t>
  </si>
  <si>
    <t>nb Interimaire  Expectra</t>
  </si>
  <si>
    <t>Cout Expectra</t>
  </si>
  <si>
    <t>nb Interimaire Synergie</t>
  </si>
  <si>
    <t>Cout Synergie</t>
  </si>
  <si>
    <t>Cout 13 eme Mois</t>
  </si>
  <si>
    <t>Prévisionnel</t>
  </si>
  <si>
    <t>Total</t>
  </si>
  <si>
    <t>Services</t>
  </si>
  <si>
    <t>Agence</t>
  </si>
  <si>
    <t>Interimaires</t>
  </si>
  <si>
    <t>Missions</t>
  </si>
  <si>
    <t>Facturation Agence Interimaire</t>
  </si>
  <si>
    <t>Durée générale</t>
  </si>
  <si>
    <t>Libellé service</t>
  </si>
  <si>
    <t>Code analytique</t>
  </si>
  <si>
    <t>Poste</t>
  </si>
  <si>
    <t>Nom</t>
  </si>
  <si>
    <t xml:space="preserve">Nom </t>
  </si>
  <si>
    <t>Prénom</t>
  </si>
  <si>
    <t>Effectif</t>
  </si>
  <si>
    <t>Début</t>
  </si>
  <si>
    <t>Fin</t>
  </si>
  <si>
    <t>N° Semaine</t>
  </si>
  <si>
    <t>Nb jours</t>
  </si>
  <si>
    <t>Nb heures normales</t>
  </si>
  <si>
    <t>Nb heures de nuit</t>
  </si>
  <si>
    <t>Nb heures supp.</t>
  </si>
  <si>
    <t>Nb heures totales</t>
  </si>
  <si>
    <t>Taux facturé</t>
  </si>
  <si>
    <t>Coeff.</t>
  </si>
  <si>
    <t>Taux    horaire</t>
  </si>
  <si>
    <t>Salaire de base (HN)</t>
  </si>
  <si>
    <t>Salaire Facturé</t>
  </si>
  <si>
    <t>Autres   coûts</t>
  </si>
  <si>
    <t>Coût total</t>
  </si>
  <si>
    <t>N° Facture AGENCE</t>
  </si>
  <si>
    <t>Cout Agence</t>
  </si>
  <si>
    <t>Date début initiale</t>
  </si>
  <si>
    <t>Différence Mois</t>
  </si>
  <si>
    <t>Taux 13 eme Mois</t>
  </si>
  <si>
    <t>EL FADILI</t>
  </si>
  <si>
    <t>DIOUANI</t>
  </si>
  <si>
    <t>COLIN</t>
  </si>
  <si>
    <t>Relevé des heures hebdomadaires intérimaires</t>
  </si>
  <si>
    <t>CRIT</t>
  </si>
  <si>
    <t>Semaine :</t>
  </si>
  <si>
    <t xml:space="preserve">Lundi </t>
  </si>
  <si>
    <t>Mardi</t>
  </si>
  <si>
    <t>Mercredi</t>
  </si>
  <si>
    <t>Jeudi</t>
  </si>
  <si>
    <t>Vendredi</t>
  </si>
  <si>
    <t>Heures</t>
  </si>
  <si>
    <t>HS</t>
  </si>
  <si>
    <t>H Nuits</t>
  </si>
  <si>
    <t>TR</t>
  </si>
  <si>
    <t>DUHAMEL</t>
  </si>
  <si>
    <t>DUPRE</t>
  </si>
  <si>
    <t>FIRMIN-PIGNOT</t>
  </si>
  <si>
    <t>FLEURY</t>
  </si>
  <si>
    <t>MARTIN</t>
  </si>
  <si>
    <t>DE BALINCOURT</t>
  </si>
  <si>
    <t>Thibaud</t>
  </si>
  <si>
    <t>DELCRUZEL</t>
  </si>
  <si>
    <t>Marc</t>
  </si>
  <si>
    <t>DERNI</t>
  </si>
  <si>
    <t>Laura</t>
  </si>
  <si>
    <t>Mickael</t>
  </si>
  <si>
    <t>SYNERGIE</t>
  </si>
  <si>
    <t>Anthony</t>
  </si>
  <si>
    <t>Malorie</t>
  </si>
  <si>
    <t>Cyril</t>
  </si>
  <si>
    <t>Jennifer</t>
  </si>
  <si>
    <t>Jacques</t>
  </si>
  <si>
    <t>Juin</t>
  </si>
  <si>
    <t>ADECCO</t>
  </si>
  <si>
    <t>Juillet</t>
  </si>
  <si>
    <t>Août</t>
  </si>
  <si>
    <t>SUPPLAY</t>
  </si>
  <si>
    <t>Septembre</t>
  </si>
  <si>
    <t>Octobre</t>
  </si>
  <si>
    <t>Novembre</t>
  </si>
  <si>
    <t>Décembre</t>
  </si>
  <si>
    <t xml:space="preserve">Ouv manut logistique </t>
  </si>
  <si>
    <t>Société :</t>
  </si>
  <si>
    <t>Date Debut :</t>
  </si>
  <si>
    <t>Date De Fin :</t>
  </si>
  <si>
    <t>Signature</t>
  </si>
  <si>
    <t>Responsbale</t>
  </si>
  <si>
    <t>MOHAMED</t>
  </si>
  <si>
    <t/>
  </si>
  <si>
    <t>NICOLAS</t>
  </si>
  <si>
    <t>MEHDI</t>
  </si>
  <si>
    <t>Société</t>
  </si>
  <si>
    <t>Date Début</t>
  </si>
  <si>
    <t>Date Fin</t>
  </si>
  <si>
    <t>Heures Lundi</t>
  </si>
  <si>
    <t>Heures Mardi</t>
  </si>
  <si>
    <t>Heures Mercredi</t>
  </si>
  <si>
    <t>Heures Jeudi</t>
  </si>
  <si>
    <t>Heures Vendredi</t>
  </si>
  <si>
    <t>Total Heures</t>
  </si>
  <si>
    <t>Total HS</t>
  </si>
  <si>
    <t>Total H Nuits</t>
  </si>
  <si>
    <t>Total TR</t>
  </si>
  <si>
    <t>Archivage</t>
  </si>
  <si>
    <t>MAGASIN</t>
  </si>
  <si>
    <t>Int 1</t>
  </si>
  <si>
    <t>Int 2</t>
  </si>
  <si>
    <t>Int 3</t>
  </si>
  <si>
    <t>Int 5</t>
  </si>
  <si>
    <t>Int 10</t>
  </si>
  <si>
    <t>Int 11</t>
  </si>
  <si>
    <t>Int 12</t>
  </si>
  <si>
    <t>Martin</t>
  </si>
  <si>
    <t>Franck</t>
  </si>
  <si>
    <t>Michel</t>
  </si>
  <si>
    <t>J'aimerais quand je Met OK dans ColonneArchivage , que la ligne =ce colle directement dans Onglet Archives,et a chaque nouveau Archivage , ce colle sur la Ligne suivant dans Archives</t>
  </si>
  <si>
    <t>N°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</si>
</sst>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dd/mm/yy"/>
    <numFmt numFmtId="165" formatCode="#,##0.00\ &quot;€&quot;"/>
    <numFmt numFmtId="166" formatCode="_-* #,##0.00\ [$€-1]_-;\-* #,##0.00\ [$€-1]_-;_-* &quot;-&quot;??\ [$€-1]_-"/>
    <numFmt numFmtId="167" formatCode="[$-F800]dddd\,\ mmmm\ dd\,\ yyyy"/>
  </numFmts>
  <fonts count="4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i/>
      <sz val="9"/>
      <color indexed="48"/>
      <name val="Times New Roman"/>
      <family val="1"/>
    </font>
    <font>
      <i/>
      <sz val="9"/>
      <color theme="0"/>
      <name val="Times New Roman"/>
      <family val="1"/>
    </font>
    <font>
      <i/>
      <sz val="9"/>
      <color theme="1"/>
      <name val="Times New Roman"/>
      <family val="1"/>
    </font>
    <font>
      <b/>
      <i/>
      <sz val="9"/>
      <color rgb="FFFF0000"/>
      <name val="Times New Roman"/>
      <family val="1"/>
    </font>
    <font>
      <b/>
      <sz val="12"/>
      <color indexed="48"/>
      <name val="Calibri"/>
      <family val="2"/>
      <scheme val="minor"/>
    </font>
    <font>
      <i/>
      <sz val="9"/>
      <color indexed="10"/>
      <name val="Times New Roman"/>
      <family val="1"/>
    </font>
    <font>
      <sz val="10"/>
      <color indexed="10"/>
      <name val="Calibri"/>
      <family val="2"/>
      <scheme val="minor"/>
    </font>
    <font>
      <sz val="10"/>
      <name val="Calibri"/>
      <family val="2"/>
      <scheme val="minor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8"/>
      <name val="Arial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theme="1"/>
      <name val="Arial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i/>
      <sz val="8"/>
      <color theme="1"/>
      <name val="Times New Roman"/>
      <family val="1"/>
    </font>
    <font>
      <b/>
      <i/>
      <u/>
      <sz val="11"/>
      <color theme="1"/>
      <name val="Times New Roman"/>
      <family val="1"/>
    </font>
    <font>
      <b/>
      <i/>
      <u/>
      <sz val="18"/>
      <color theme="1"/>
      <name val="Times New Roman"/>
      <family val="1"/>
    </font>
    <font>
      <sz val="8"/>
      <name val="Times New Roman"/>
      <family val="1"/>
    </font>
    <font>
      <b/>
      <i/>
      <u/>
      <sz val="28"/>
      <color theme="1"/>
      <name val="Times New Roman"/>
      <family val="1"/>
    </font>
    <font>
      <b/>
      <u/>
      <sz val="18"/>
      <color theme="1"/>
      <name val="Times New Roman"/>
      <family val="1"/>
    </font>
    <font>
      <i/>
      <sz val="6"/>
      <color theme="1"/>
      <name val="Times New Roman"/>
      <family val="1"/>
    </font>
    <font>
      <sz val="6"/>
      <color theme="1"/>
      <name val="Times New Roman"/>
      <family val="1"/>
    </font>
    <font>
      <sz val="6"/>
      <name val="Times New Roman"/>
      <family val="1"/>
    </font>
    <font>
      <b/>
      <sz val="8"/>
      <name val="Arial"/>
      <family val="2"/>
    </font>
    <font>
      <b/>
      <sz val="8"/>
      <name val="Times New Roman"/>
      <family val="1"/>
    </font>
    <font>
      <b/>
      <i/>
      <sz val="8"/>
      <color theme="1"/>
      <name val="Times New Roman"/>
      <family val="1"/>
    </font>
  </fonts>
  <fills count="33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indexed="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indexed="9"/>
        <bgColor indexed="64"/>
      </patternFill>
    </fill>
    <fill>
      <patternFill patternType="solid">
        <fgColor theme="3" tint="0.59999389629810485"/>
        <bgColor indexed="64"/>
      </patternFill>
    </fill>
  </fills>
  <borders count="36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/>
      <right/>
      <top style="double">
        <color auto="1"/>
      </top>
      <bottom style="double">
        <color auto="1"/>
      </bottom>
      <diagonal/>
    </border>
    <border>
      <left style="double">
        <color auto="1"/>
      </left>
      <right/>
      <top/>
      <bottom/>
      <diagonal/>
    </border>
  </borders>
  <cellStyleXfs count="71">
    <xf numFmtId="0" fontId="0" fillId="0" borderId="0"/>
    <xf numFmtId="0" fontId="2" fillId="0" borderId="0"/>
    <xf numFmtId="0" fontId="11" fillId="10" borderId="0" applyNumberFormat="0" applyBorder="0" applyAlignment="0" applyProtection="0"/>
    <xf numFmtId="0" fontId="11" fillId="11" borderId="0" applyNumberFormat="0" applyBorder="0" applyAlignment="0" applyProtection="0"/>
    <xf numFmtId="0" fontId="11" fillId="12" borderId="0" applyNumberFormat="0" applyBorder="0" applyAlignment="0" applyProtection="0"/>
    <xf numFmtId="0" fontId="11" fillId="13" borderId="0" applyNumberFormat="0" applyBorder="0" applyAlignment="0" applyProtection="0"/>
    <xf numFmtId="0" fontId="11" fillId="14" borderId="0" applyNumberFormat="0" applyBorder="0" applyAlignment="0" applyProtection="0"/>
    <xf numFmtId="0" fontId="11" fillId="15" borderId="0" applyNumberFormat="0" applyBorder="0" applyAlignment="0" applyProtection="0"/>
    <xf numFmtId="0" fontId="11" fillId="16" borderId="0" applyNumberFormat="0" applyBorder="0" applyAlignment="0" applyProtection="0"/>
    <xf numFmtId="0" fontId="11" fillId="17" borderId="0" applyNumberFormat="0" applyBorder="0" applyAlignment="0" applyProtection="0"/>
    <xf numFmtId="0" fontId="11" fillId="18" borderId="0" applyNumberFormat="0" applyBorder="0" applyAlignment="0" applyProtection="0"/>
    <xf numFmtId="0" fontId="11" fillId="13" borderId="0" applyNumberFormat="0" applyBorder="0" applyAlignment="0" applyProtection="0"/>
    <xf numFmtId="0" fontId="11" fillId="16" borderId="0" applyNumberFormat="0" applyBorder="0" applyAlignment="0" applyProtection="0"/>
    <xf numFmtId="0" fontId="11" fillId="19" borderId="0" applyNumberFormat="0" applyBorder="0" applyAlignment="0" applyProtection="0"/>
    <xf numFmtId="0" fontId="12" fillId="20" borderId="0" applyNumberFormat="0" applyBorder="0" applyAlignment="0" applyProtection="0"/>
    <xf numFmtId="0" fontId="12" fillId="17" borderId="0" applyNumberFormat="0" applyBorder="0" applyAlignment="0" applyProtection="0"/>
    <xf numFmtId="0" fontId="12" fillId="18" borderId="0" applyNumberFormat="0" applyBorder="0" applyAlignment="0" applyProtection="0"/>
    <xf numFmtId="0" fontId="12" fillId="21" borderId="0" applyNumberFormat="0" applyBorder="0" applyAlignment="0" applyProtection="0"/>
    <xf numFmtId="0" fontId="12" fillId="22" borderId="0" applyNumberFormat="0" applyBorder="0" applyAlignment="0" applyProtection="0"/>
    <xf numFmtId="0" fontId="12" fillId="23" borderId="0" applyNumberFormat="0" applyBorder="0" applyAlignment="0" applyProtection="0"/>
    <xf numFmtId="0" fontId="12" fillId="24" borderId="0" applyNumberFormat="0" applyBorder="0" applyAlignment="0" applyProtection="0"/>
    <xf numFmtId="0" fontId="12" fillId="25" borderId="0" applyNumberFormat="0" applyBorder="0" applyAlignment="0" applyProtection="0"/>
    <xf numFmtId="0" fontId="12" fillId="26" borderId="0" applyNumberFormat="0" applyBorder="0" applyAlignment="0" applyProtection="0"/>
    <xf numFmtId="0" fontId="12" fillId="21" borderId="0" applyNumberFormat="0" applyBorder="0" applyAlignment="0" applyProtection="0"/>
    <xf numFmtId="0" fontId="12" fillId="22" borderId="0" applyNumberFormat="0" applyBorder="0" applyAlignment="0" applyProtection="0"/>
    <xf numFmtId="0" fontId="12" fillId="27" borderId="0" applyNumberFormat="0" applyBorder="0" applyAlignment="0" applyProtection="0"/>
    <xf numFmtId="0" fontId="13" fillId="0" borderId="0"/>
    <xf numFmtId="0" fontId="14" fillId="0" borderId="0" applyNumberFormat="0" applyFill="0" applyBorder="0" applyAlignment="0" applyProtection="0"/>
    <xf numFmtId="0" fontId="15" fillId="28" borderId="17" applyNumberFormat="0" applyAlignment="0" applyProtection="0"/>
    <xf numFmtId="0" fontId="16" fillId="0" borderId="18" applyNumberFormat="0" applyFill="0" applyAlignment="0" applyProtection="0"/>
    <xf numFmtId="0" fontId="11" fillId="2" borderId="1" applyNumberFormat="0" applyFont="0" applyAlignment="0" applyProtection="0"/>
    <xf numFmtId="0" fontId="11" fillId="2" borderId="1" applyNumberFormat="0" applyFont="0" applyAlignment="0" applyProtection="0"/>
    <xf numFmtId="0" fontId="17" fillId="15" borderId="17" applyNumberFormat="0" applyAlignment="0" applyProtection="0"/>
    <xf numFmtId="44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0" fontId="18" fillId="11" borderId="0" applyNumberFormat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19" fillId="29" borderId="0" applyNumberFormat="0" applyBorder="0" applyAlignment="0" applyProtection="0"/>
    <xf numFmtId="0" fontId="2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0" fillId="0" borderId="0"/>
    <xf numFmtId="0" fontId="1" fillId="0" borderId="0"/>
    <xf numFmtId="0" fontId="1" fillId="0" borderId="0"/>
    <xf numFmtId="0" fontId="2" fillId="0" borderId="0"/>
    <xf numFmtId="0" fontId="2" fillId="0" borderId="0"/>
    <xf numFmtId="0" fontId="2" fillId="0" borderId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1" fillId="12" borderId="0" applyNumberFormat="0" applyBorder="0" applyAlignment="0" applyProtection="0"/>
    <xf numFmtId="0" fontId="22" fillId="28" borderId="19" applyNumberFormat="0" applyAlignment="0" applyProtection="0"/>
    <xf numFmtId="0" fontId="23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5" fillId="0" borderId="20" applyNumberFormat="0" applyFill="0" applyAlignment="0" applyProtection="0"/>
    <xf numFmtId="0" fontId="26" fillId="0" borderId="21" applyNumberFormat="0" applyFill="0" applyAlignment="0" applyProtection="0"/>
    <xf numFmtId="0" fontId="27" fillId="0" borderId="22" applyNumberFormat="0" applyFill="0" applyAlignment="0" applyProtection="0"/>
    <xf numFmtId="0" fontId="27" fillId="0" borderId="0" applyNumberFormat="0" applyFill="0" applyBorder="0" applyAlignment="0" applyProtection="0"/>
    <xf numFmtId="0" fontId="28" fillId="0" borderId="23" applyNumberFormat="0" applyFill="0" applyAlignment="0" applyProtection="0"/>
    <xf numFmtId="0" fontId="29" fillId="30" borderId="24" applyNumberFormat="0" applyAlignment="0" applyProtection="0"/>
  </cellStyleXfs>
  <cellXfs count="135">
    <xf numFmtId="0" fontId="0" fillId="0" borderId="0" xfId="0"/>
    <xf numFmtId="0" fontId="3" fillId="3" borderId="2" xfId="1" applyFont="1" applyFill="1" applyBorder="1" applyAlignment="1" applyProtection="1">
      <alignment horizontal="left" vertical="center" wrapText="1"/>
    </xf>
    <xf numFmtId="0" fontId="3" fillId="4" borderId="0" xfId="1" applyFont="1" applyFill="1" applyBorder="1" applyAlignment="1" applyProtection="1">
      <alignment horizontal="center" vertical="center" wrapText="1"/>
    </xf>
    <xf numFmtId="14" fontId="4" fillId="0" borderId="0" xfId="0" applyNumberFormat="1" applyFont="1" applyProtection="1"/>
    <xf numFmtId="0" fontId="5" fillId="0" borderId="0" xfId="0" applyFont="1" applyProtection="1"/>
    <xf numFmtId="0" fontId="4" fillId="0" borderId="0" xfId="0" applyFont="1" applyProtection="1"/>
    <xf numFmtId="0" fontId="3" fillId="3" borderId="4" xfId="1" applyFont="1" applyFill="1" applyBorder="1" applyProtection="1"/>
    <xf numFmtId="0" fontId="3" fillId="4" borderId="0" xfId="1" applyFont="1" applyFill="1" applyBorder="1" applyAlignment="1" applyProtection="1">
      <alignment horizontal="center"/>
    </xf>
    <xf numFmtId="0" fontId="3" fillId="4" borderId="0" xfId="1" applyNumberFormat="1" applyFont="1" applyFill="1" applyBorder="1" applyAlignment="1" applyProtection="1">
      <alignment horizontal="center"/>
    </xf>
    <xf numFmtId="0" fontId="6" fillId="5" borderId="2" xfId="1" applyFont="1" applyFill="1" applyBorder="1" applyAlignment="1" applyProtection="1">
      <alignment horizontal="centerContinuous" vertical="center" wrapText="1"/>
    </xf>
    <xf numFmtId="0" fontId="6" fillId="5" borderId="6" xfId="1" applyFont="1" applyFill="1" applyBorder="1" applyAlignment="1" applyProtection="1">
      <alignment horizontal="centerContinuous" vertical="center" wrapText="1"/>
    </xf>
    <xf numFmtId="0" fontId="6" fillId="5" borderId="3" xfId="1" applyFont="1" applyFill="1" applyBorder="1" applyAlignment="1" applyProtection="1">
      <alignment horizontal="centerContinuous" vertical="center" wrapText="1"/>
    </xf>
    <xf numFmtId="0" fontId="3" fillId="3" borderId="2" xfId="1" applyFont="1" applyFill="1" applyBorder="1" applyAlignment="1" applyProtection="1">
      <alignment horizontal="center" vertical="center" wrapText="1"/>
    </xf>
    <xf numFmtId="0" fontId="3" fillId="3" borderId="7" xfId="1" applyFont="1" applyFill="1" applyBorder="1" applyAlignment="1" applyProtection="1">
      <alignment horizontal="center" vertical="center" wrapText="1"/>
    </xf>
    <xf numFmtId="0" fontId="3" fillId="6" borderId="7" xfId="1" applyFont="1" applyFill="1" applyBorder="1" applyAlignment="1" applyProtection="1">
      <alignment horizontal="center" vertical="center" wrapText="1"/>
    </xf>
    <xf numFmtId="0" fontId="6" fillId="5" borderId="7" xfId="1" applyFont="1" applyFill="1" applyBorder="1" applyAlignment="1" applyProtection="1">
      <alignment horizontal="center" vertical="center" wrapText="1"/>
    </xf>
    <xf numFmtId="0" fontId="3" fillId="7" borderId="7" xfId="1" applyFont="1" applyFill="1" applyBorder="1" applyAlignment="1" applyProtection="1">
      <alignment horizontal="center" vertical="center" wrapText="1"/>
    </xf>
    <xf numFmtId="165" fontId="6" fillId="3" borderId="7" xfId="1" applyNumberFormat="1" applyFont="1" applyFill="1" applyBorder="1" applyAlignment="1" applyProtection="1">
      <alignment horizontal="center" vertical="center" wrapText="1"/>
    </xf>
    <xf numFmtId="0" fontId="5" fillId="0" borderId="0" xfId="0" applyFont="1" applyAlignment="1" applyProtection="1">
      <alignment horizontal="center" vertical="center" wrapText="1"/>
    </xf>
    <xf numFmtId="0" fontId="3" fillId="3" borderId="8" xfId="1" applyFont="1" applyFill="1" applyBorder="1" applyAlignment="1" applyProtection="1">
      <alignment horizontal="center" vertical="center" wrapText="1"/>
    </xf>
    <xf numFmtId="165" fontId="3" fillId="3" borderId="9" xfId="1" applyNumberFormat="1" applyFont="1" applyFill="1" applyBorder="1" applyAlignment="1" applyProtection="1">
      <alignment horizontal="center" vertical="center" wrapText="1"/>
    </xf>
    <xf numFmtId="0" fontId="3" fillId="3" borderId="9" xfId="1" applyFont="1" applyFill="1" applyBorder="1" applyAlignment="1" applyProtection="1">
      <alignment horizontal="center" vertical="center" wrapText="1"/>
    </xf>
    <xf numFmtId="0" fontId="3" fillId="3" borderId="10" xfId="1" applyFont="1" applyFill="1" applyBorder="1" applyAlignment="1" applyProtection="1">
      <alignment horizontal="center" vertical="center" wrapText="1"/>
    </xf>
    <xf numFmtId="165" fontId="3" fillId="6" borderId="8" xfId="1" applyNumberFormat="1" applyFont="1" applyFill="1" applyBorder="1" applyAlignment="1" applyProtection="1">
      <alignment horizontal="center" vertical="center" wrapText="1"/>
    </xf>
    <xf numFmtId="0" fontId="6" fillId="5" borderId="8" xfId="1" applyFont="1" applyFill="1" applyBorder="1" applyAlignment="1" applyProtection="1">
      <alignment horizontal="center" vertical="center" wrapText="1"/>
    </xf>
    <xf numFmtId="165" fontId="6" fillId="5" borderId="10" xfId="1" applyNumberFormat="1" applyFont="1" applyFill="1" applyBorder="1" applyAlignment="1" applyProtection="1">
      <alignment horizontal="center" vertical="center" wrapText="1"/>
    </xf>
    <xf numFmtId="165" fontId="3" fillId="7" borderId="11" xfId="1" applyNumberFormat="1" applyFont="1" applyFill="1" applyBorder="1" applyAlignment="1" applyProtection="1">
      <alignment horizontal="center" vertical="center" wrapText="1"/>
    </xf>
    <xf numFmtId="165" fontId="6" fillId="3" borderId="11" xfId="1" applyNumberFormat="1" applyFont="1" applyFill="1" applyBorder="1" applyAlignment="1" applyProtection="1">
      <alignment horizontal="center" vertical="center" wrapText="1"/>
    </xf>
    <xf numFmtId="0" fontId="3" fillId="3" borderId="12" xfId="1" applyFont="1" applyFill="1" applyBorder="1" applyAlignment="1" applyProtection="1">
      <alignment horizontal="center" vertical="center" wrapText="1"/>
    </xf>
    <xf numFmtId="165" fontId="3" fillId="3" borderId="0" xfId="1" applyNumberFormat="1" applyFont="1" applyFill="1" applyBorder="1" applyAlignment="1" applyProtection="1">
      <alignment horizontal="center" vertical="center" wrapText="1"/>
    </xf>
    <xf numFmtId="0" fontId="3" fillId="3" borderId="0" xfId="1" applyFont="1" applyFill="1" applyBorder="1" applyAlignment="1" applyProtection="1">
      <alignment horizontal="center" vertical="center" wrapText="1"/>
    </xf>
    <xf numFmtId="0" fontId="3" fillId="3" borderId="13" xfId="1" applyFont="1" applyFill="1" applyBorder="1" applyAlignment="1" applyProtection="1">
      <alignment horizontal="center" vertical="center" wrapText="1"/>
    </xf>
    <xf numFmtId="165" fontId="3" fillId="6" borderId="12" xfId="1" applyNumberFormat="1" applyFont="1" applyFill="1" applyBorder="1" applyAlignment="1" applyProtection="1">
      <alignment horizontal="center" vertical="center" wrapText="1"/>
    </xf>
    <xf numFmtId="0" fontId="6" fillId="5" borderId="12" xfId="1" applyFont="1" applyFill="1" applyBorder="1" applyAlignment="1" applyProtection="1">
      <alignment horizontal="center" vertical="center" wrapText="1"/>
    </xf>
    <xf numFmtId="165" fontId="6" fillId="5" borderId="13" xfId="1" applyNumberFormat="1" applyFont="1" applyFill="1" applyBorder="1" applyAlignment="1" applyProtection="1">
      <alignment horizontal="center" vertical="center" wrapText="1"/>
    </xf>
    <xf numFmtId="165" fontId="3" fillId="7" borderId="14" xfId="1" applyNumberFormat="1" applyFont="1" applyFill="1" applyBorder="1" applyAlignment="1" applyProtection="1">
      <alignment horizontal="center" vertical="center" wrapText="1"/>
    </xf>
    <xf numFmtId="165" fontId="6" fillId="3" borderId="14" xfId="1" applyNumberFormat="1" applyFont="1" applyFill="1" applyBorder="1" applyAlignment="1" applyProtection="1">
      <alignment horizontal="center" vertical="center" wrapText="1"/>
    </xf>
    <xf numFmtId="0" fontId="3" fillId="3" borderId="4" xfId="1" applyFont="1" applyFill="1" applyBorder="1" applyAlignment="1" applyProtection="1">
      <alignment horizontal="center" vertical="center" wrapText="1"/>
    </xf>
    <xf numFmtId="165" fontId="3" fillId="3" borderId="15" xfId="1" applyNumberFormat="1" applyFont="1" applyFill="1" applyBorder="1" applyAlignment="1" applyProtection="1">
      <alignment horizontal="center" vertical="center" wrapText="1"/>
    </xf>
    <xf numFmtId="0" fontId="3" fillId="3" borderId="15" xfId="1" applyFont="1" applyFill="1" applyBorder="1" applyAlignment="1" applyProtection="1">
      <alignment horizontal="center" vertical="center" wrapText="1"/>
    </xf>
    <xf numFmtId="0" fontId="3" fillId="3" borderId="5" xfId="1" applyFont="1" applyFill="1" applyBorder="1" applyAlignment="1" applyProtection="1">
      <alignment horizontal="center" vertical="center" wrapText="1"/>
    </xf>
    <xf numFmtId="165" fontId="3" fillId="6" borderId="4" xfId="1" applyNumberFormat="1" applyFont="1" applyFill="1" applyBorder="1" applyAlignment="1" applyProtection="1">
      <alignment horizontal="center" vertical="center" wrapText="1"/>
    </xf>
    <xf numFmtId="0" fontId="6" fillId="5" borderId="4" xfId="1" applyFont="1" applyFill="1" applyBorder="1" applyAlignment="1" applyProtection="1">
      <alignment horizontal="center" vertical="center" wrapText="1"/>
    </xf>
    <xf numFmtId="165" fontId="6" fillId="5" borderId="5" xfId="1" applyNumberFormat="1" applyFont="1" applyFill="1" applyBorder="1" applyAlignment="1" applyProtection="1">
      <alignment horizontal="center" vertical="center" wrapText="1"/>
    </xf>
    <xf numFmtId="165" fontId="3" fillId="7" borderId="16" xfId="1" applyNumberFormat="1" applyFont="1" applyFill="1" applyBorder="1" applyAlignment="1" applyProtection="1">
      <alignment horizontal="center" vertical="center" wrapText="1"/>
    </xf>
    <xf numFmtId="165" fontId="6" fillId="3" borderId="16" xfId="1" applyNumberFormat="1" applyFont="1" applyFill="1" applyBorder="1" applyAlignment="1" applyProtection="1">
      <alignment horizontal="center" vertical="center" wrapText="1"/>
    </xf>
    <xf numFmtId="0" fontId="6" fillId="3" borderId="2" xfId="1" applyFont="1" applyFill="1" applyBorder="1" applyAlignment="1" applyProtection="1">
      <alignment horizontal="center" vertical="center" wrapText="1"/>
    </xf>
    <xf numFmtId="165" fontId="6" fillId="3" borderId="2" xfId="1" applyNumberFormat="1" applyFont="1" applyFill="1" applyBorder="1" applyAlignment="1" applyProtection="1">
      <alignment horizontal="center" vertical="center" wrapText="1"/>
    </xf>
    <xf numFmtId="0" fontId="6" fillId="3" borderId="7" xfId="1" applyFont="1" applyFill="1" applyBorder="1" applyAlignment="1" applyProtection="1">
      <alignment horizontal="center" vertical="center" wrapText="1"/>
    </xf>
    <xf numFmtId="165" fontId="6" fillId="5" borderId="7" xfId="1" applyNumberFormat="1" applyFont="1" applyFill="1" applyBorder="1" applyAlignment="1" applyProtection="1">
      <alignment horizontal="center" vertical="center" wrapText="1"/>
    </xf>
    <xf numFmtId="0" fontId="3" fillId="3" borderId="6" xfId="1" applyFont="1" applyFill="1" applyBorder="1" applyAlignment="1" applyProtection="1">
      <alignment horizontal="center" vertical="center" wrapText="1"/>
    </xf>
    <xf numFmtId="0" fontId="8" fillId="3" borderId="2" xfId="1" applyFont="1" applyFill="1" applyBorder="1" applyAlignment="1" applyProtection="1">
      <alignment horizontal="center" vertical="center" wrapText="1"/>
    </xf>
    <xf numFmtId="0" fontId="8" fillId="3" borderId="7" xfId="1" applyFont="1" applyFill="1" applyBorder="1" applyAlignment="1" applyProtection="1">
      <alignment horizontal="center" vertical="center" wrapText="1"/>
    </xf>
    <xf numFmtId="0" fontId="8" fillId="3" borderId="6" xfId="1" applyFont="1" applyFill="1" applyBorder="1" applyAlignment="1" applyProtection="1">
      <alignment horizontal="center" vertical="center" wrapText="1"/>
    </xf>
    <xf numFmtId="0" fontId="8" fillId="3" borderId="3" xfId="1" applyFont="1" applyFill="1" applyBorder="1" applyAlignment="1" applyProtection="1">
      <alignment horizontal="center" vertical="center" wrapText="1"/>
    </xf>
    <xf numFmtId="0" fontId="3" fillId="6" borderId="2" xfId="1" applyFont="1" applyFill="1" applyBorder="1" applyAlignment="1" applyProtection="1">
      <alignment horizontal="center" vertical="center" wrapText="1"/>
    </xf>
    <xf numFmtId="0" fontId="9" fillId="3" borderId="11" xfId="0" applyFont="1" applyFill="1" applyBorder="1" applyAlignment="1" applyProtection="1">
      <alignment horizontal="center" vertical="center" wrapText="1"/>
    </xf>
    <xf numFmtId="0" fontId="9" fillId="3" borderId="7" xfId="0" applyFont="1" applyFill="1" applyBorder="1" applyAlignment="1" applyProtection="1">
      <alignment horizontal="center" vertical="center" wrapText="1"/>
    </xf>
    <xf numFmtId="0" fontId="5" fillId="0" borderId="0" xfId="0" applyFont="1" applyAlignment="1" applyProtection="1">
      <alignment horizontal="center" vertical="center"/>
    </xf>
    <xf numFmtId="0" fontId="5" fillId="8" borderId="0" xfId="0" applyFont="1" applyFill="1" applyAlignment="1" applyProtection="1">
      <alignment horizontal="center" vertical="center"/>
      <protection locked="0"/>
    </xf>
    <xf numFmtId="14" fontId="5" fillId="8" borderId="0" xfId="0" applyNumberFormat="1" applyFont="1" applyFill="1" applyProtection="1">
      <protection locked="0"/>
    </xf>
    <xf numFmtId="1" fontId="5" fillId="0" borderId="0" xfId="0" applyNumberFormat="1" applyFont="1" applyProtection="1"/>
    <xf numFmtId="0" fontId="5" fillId="0" borderId="0" xfId="0" applyFont="1" applyAlignment="1" applyProtection="1">
      <alignment horizontal="center"/>
    </xf>
    <xf numFmtId="0" fontId="5" fillId="8" borderId="0" xfId="0" applyFont="1" applyFill="1" applyProtection="1">
      <protection locked="0"/>
    </xf>
    <xf numFmtId="2" fontId="5" fillId="0" borderId="0" xfId="0" applyNumberFormat="1" applyFont="1" applyProtection="1"/>
    <xf numFmtId="14" fontId="5" fillId="0" borderId="0" xfId="0" applyNumberFormat="1" applyFont="1" applyAlignment="1" applyProtection="1">
      <alignment horizontal="center" vertical="center"/>
    </xf>
    <xf numFmtId="0" fontId="10" fillId="9" borderId="14" xfId="0" applyFont="1" applyFill="1" applyBorder="1" applyAlignment="1" applyProtection="1">
      <alignment horizontal="center"/>
    </xf>
    <xf numFmtId="0" fontId="0" fillId="0" borderId="33" xfId="0" applyBorder="1"/>
    <xf numFmtId="0" fontId="0" fillId="0" borderId="0" xfId="0"/>
    <xf numFmtId="0" fontId="13" fillId="4" borderId="29" xfId="0" applyFont="1" applyFill="1" applyBorder="1" applyAlignment="1">
      <alignment horizontal="center" vertical="center"/>
    </xf>
    <xf numFmtId="0" fontId="0" fillId="0" borderId="0" xfId="0"/>
    <xf numFmtId="0" fontId="5" fillId="0" borderId="0" xfId="0" applyFont="1" applyAlignment="1" applyProtection="1">
      <alignment horizontal="center" vertical="center"/>
    </xf>
    <xf numFmtId="14" fontId="5" fillId="0" borderId="0" xfId="0" applyNumberFormat="1" applyFont="1" applyAlignment="1" applyProtection="1">
      <alignment horizontal="center" vertical="center"/>
    </xf>
    <xf numFmtId="0" fontId="0" fillId="0" borderId="25" xfId="0" applyBorder="1"/>
    <xf numFmtId="0" fontId="30" fillId="0" borderId="32" xfId="0" applyFont="1" applyBorder="1" applyAlignment="1">
      <alignment horizontal="center" vertical="center" wrapText="1"/>
    </xf>
    <xf numFmtId="0" fontId="33" fillId="4" borderId="33" xfId="0" applyFont="1" applyFill="1" applyBorder="1" applyAlignment="1">
      <alignment horizontal="center" vertical="center"/>
    </xf>
    <xf numFmtId="0" fontId="13" fillId="4" borderId="34" xfId="0" applyFont="1" applyFill="1" applyBorder="1" applyAlignment="1">
      <alignment horizontal="center" vertical="center"/>
    </xf>
    <xf numFmtId="2" fontId="30" fillId="0" borderId="32" xfId="0" applyNumberFormat="1" applyFont="1" applyBorder="1" applyAlignment="1">
      <alignment horizontal="center" vertical="center"/>
    </xf>
    <xf numFmtId="0" fontId="30" fillId="0" borderId="34" xfId="0" applyFont="1" applyBorder="1" applyAlignment="1">
      <alignment horizontal="center" vertical="center"/>
    </xf>
    <xf numFmtId="0" fontId="30" fillId="0" borderId="34" xfId="0" applyFont="1" applyBorder="1" applyAlignment="1">
      <alignment horizontal="center" vertical="center" wrapText="1"/>
    </xf>
    <xf numFmtId="0" fontId="30" fillId="0" borderId="33" xfId="0" applyFont="1" applyBorder="1" applyAlignment="1">
      <alignment horizontal="center" vertical="center"/>
    </xf>
    <xf numFmtId="0" fontId="30" fillId="0" borderId="33" xfId="0" applyFont="1" applyBorder="1" applyAlignment="1">
      <alignment horizontal="center" vertical="center" wrapText="1"/>
    </xf>
    <xf numFmtId="0" fontId="0" fillId="0" borderId="34" xfId="0" applyBorder="1"/>
    <xf numFmtId="0" fontId="31" fillId="32" borderId="0" xfId="0" applyFont="1" applyFill="1" applyAlignment="1">
      <alignment horizontal="center" vertical="center"/>
    </xf>
    <xf numFmtId="0" fontId="0" fillId="32" borderId="0" xfId="0" applyFill="1"/>
    <xf numFmtId="0" fontId="32" fillId="32" borderId="0" xfId="0" applyFont="1" applyFill="1" applyAlignment="1">
      <alignment horizontal="centerContinuous" vertical="center"/>
    </xf>
    <xf numFmtId="0" fontId="0" fillId="32" borderId="0" xfId="0" applyFill="1" applyAlignment="1">
      <alignment horizontal="centerContinuous" vertical="center"/>
    </xf>
    <xf numFmtId="0" fontId="35" fillId="32" borderId="0" xfId="0" applyFont="1" applyFill="1" applyAlignment="1">
      <alignment horizontal="centerContinuous" vertical="center"/>
    </xf>
    <xf numFmtId="14" fontId="32" fillId="32" borderId="0" xfId="0" applyNumberFormat="1" applyFont="1" applyFill="1" applyAlignment="1">
      <alignment horizontal="centerContinuous" vertical="center"/>
    </xf>
    <xf numFmtId="0" fontId="36" fillId="0" borderId="29" xfId="0" applyFont="1" applyBorder="1" applyAlignment="1">
      <alignment horizontal="center" vertical="center" wrapText="1"/>
    </xf>
    <xf numFmtId="0" fontId="36" fillId="0" borderId="30" xfId="0" applyFont="1" applyBorder="1" applyAlignment="1">
      <alignment horizontal="center" vertical="center" wrapText="1"/>
    </xf>
    <xf numFmtId="0" fontId="36" fillId="0" borderId="31" xfId="0" applyFont="1" applyBorder="1" applyAlignment="1">
      <alignment horizontal="center" vertical="center" wrapText="1"/>
    </xf>
    <xf numFmtId="0" fontId="36" fillId="0" borderId="25" xfId="0" applyFont="1" applyFill="1" applyBorder="1" applyAlignment="1">
      <alignment horizontal="center" vertical="center" wrapText="1"/>
    </xf>
    <xf numFmtId="0" fontId="37" fillId="0" borderId="0" xfId="0" applyFont="1"/>
    <xf numFmtId="0" fontId="38" fillId="4" borderId="32" xfId="0" applyFont="1" applyFill="1" applyBorder="1" applyAlignment="1">
      <alignment horizontal="center" vertical="center"/>
    </xf>
    <xf numFmtId="0" fontId="38" fillId="4" borderId="25" xfId="0" applyFont="1" applyFill="1" applyBorder="1" applyAlignment="1">
      <alignment horizontal="center" vertical="center"/>
    </xf>
    <xf numFmtId="0" fontId="34" fillId="32" borderId="0" xfId="0" applyFont="1" applyFill="1" applyAlignment="1">
      <alignment horizontal="center" vertical="center" wrapText="1"/>
    </xf>
    <xf numFmtId="0" fontId="36" fillId="0" borderId="28" xfId="0" applyFont="1" applyBorder="1" applyAlignment="1">
      <alignment horizontal="center"/>
    </xf>
    <xf numFmtId="2" fontId="30" fillId="4" borderId="32" xfId="0" applyNumberFormat="1" applyFont="1" applyFill="1" applyBorder="1" applyAlignment="1">
      <alignment horizontal="center" vertical="center"/>
    </xf>
    <xf numFmtId="14" fontId="30" fillId="0" borderId="33" xfId="0" applyNumberFormat="1" applyFont="1" applyBorder="1" applyAlignment="1">
      <alignment horizontal="center" vertical="center" wrapText="1"/>
    </xf>
    <xf numFmtId="0" fontId="39" fillId="4" borderId="29" xfId="0" applyFont="1" applyFill="1" applyBorder="1" applyAlignment="1">
      <alignment horizontal="center" vertical="center"/>
    </xf>
    <xf numFmtId="0" fontId="40" fillId="4" borderId="0" xfId="0" applyFont="1" applyFill="1" applyBorder="1" applyAlignment="1">
      <alignment horizontal="center" vertical="center"/>
    </xf>
    <xf numFmtId="0" fontId="41" fillId="0" borderId="29" xfId="0" applyFont="1" applyBorder="1" applyAlignment="1">
      <alignment horizontal="center" vertical="center" wrapText="1"/>
    </xf>
    <xf numFmtId="0" fontId="41" fillId="0" borderId="30" xfId="0" applyFont="1" applyBorder="1" applyAlignment="1">
      <alignment horizontal="center" vertical="center" wrapText="1"/>
    </xf>
    <xf numFmtId="0" fontId="41" fillId="0" borderId="31" xfId="0" applyFont="1" applyBorder="1" applyAlignment="1">
      <alignment horizontal="center" vertical="center" wrapText="1"/>
    </xf>
    <xf numFmtId="0" fontId="41" fillId="0" borderId="35" xfId="0" applyFont="1" applyBorder="1" applyAlignment="1">
      <alignment horizontal="center" vertical="center" wrapText="1"/>
    </xf>
    <xf numFmtId="0" fontId="41" fillId="0" borderId="0" xfId="0" applyFont="1" applyBorder="1" applyAlignment="1">
      <alignment horizontal="center" vertical="center" wrapText="1"/>
    </xf>
    <xf numFmtId="0" fontId="3" fillId="3" borderId="2" xfId="1" applyFont="1" applyFill="1" applyBorder="1" applyAlignment="1" applyProtection="1">
      <alignment horizontal="center" vertical="center" wrapText="1"/>
    </xf>
    <xf numFmtId="0" fontId="3" fillId="3" borderId="6" xfId="1" applyFont="1" applyFill="1" applyBorder="1" applyAlignment="1" applyProtection="1">
      <alignment horizontal="center" vertical="center" wrapText="1"/>
    </xf>
    <xf numFmtId="0" fontId="3" fillId="3" borderId="3" xfId="1" applyFont="1" applyFill="1" applyBorder="1" applyAlignment="1" applyProtection="1">
      <alignment horizontal="center" vertical="center" wrapText="1"/>
    </xf>
    <xf numFmtId="0" fontId="3" fillId="6" borderId="2" xfId="1" applyFont="1" applyFill="1" applyBorder="1" applyAlignment="1" applyProtection="1">
      <alignment horizontal="center" vertical="center" wrapText="1"/>
    </xf>
    <xf numFmtId="0" fontId="0" fillId="6" borderId="3" xfId="0" applyFill="1" applyBorder="1" applyAlignment="1" applyProtection="1">
      <alignment horizontal="center" vertical="center" wrapText="1"/>
    </xf>
    <xf numFmtId="0" fontId="7" fillId="3" borderId="2" xfId="0" applyFont="1" applyFill="1" applyBorder="1" applyAlignment="1" applyProtection="1">
      <alignment horizontal="center" vertical="center" wrapText="1"/>
    </xf>
    <xf numFmtId="0" fontId="0" fillId="0" borderId="6" xfId="0" applyBorder="1" applyAlignment="1" applyProtection="1">
      <alignment horizontal="center" vertical="center" wrapText="1"/>
    </xf>
    <xf numFmtId="164" fontId="3" fillId="3" borderId="4" xfId="1" applyNumberFormat="1" applyFont="1" applyFill="1" applyBorder="1" applyAlignment="1" applyProtection="1">
      <alignment horizontal="center"/>
    </xf>
    <xf numFmtId="0" fontId="3" fillId="3" borderId="5" xfId="1" applyFont="1" applyFill="1" applyBorder="1" applyAlignment="1" applyProtection="1">
      <alignment horizontal="center"/>
    </xf>
    <xf numFmtId="0" fontId="3" fillId="3" borderId="2" xfId="1" applyNumberFormat="1" applyFont="1" applyFill="1" applyBorder="1" applyAlignment="1" applyProtection="1">
      <alignment horizontal="center"/>
    </xf>
    <xf numFmtId="0" fontId="3" fillId="3" borderId="3" xfId="1" applyNumberFormat="1" applyFont="1" applyFill="1" applyBorder="1" applyAlignment="1" applyProtection="1">
      <alignment horizontal="center"/>
    </xf>
    <xf numFmtId="0" fontId="0" fillId="0" borderId="0" xfId="0" applyAlignment="1">
      <alignment horizontal="center" vertical="center" wrapText="1"/>
    </xf>
    <xf numFmtId="0" fontId="34" fillId="32" borderId="0" xfId="0" applyFont="1" applyFill="1" applyAlignment="1">
      <alignment horizontal="center" vertical="center" wrapText="1"/>
    </xf>
    <xf numFmtId="0" fontId="36" fillId="0" borderId="26" xfId="0" applyFont="1" applyBorder="1" applyAlignment="1">
      <alignment horizontal="center"/>
    </xf>
    <xf numFmtId="0" fontId="36" fillId="0" borderId="27" xfId="0" applyFont="1" applyBorder="1" applyAlignment="1">
      <alignment horizontal="center"/>
    </xf>
    <xf numFmtId="0" fontId="36" fillId="0" borderId="28" xfId="0" applyFont="1" applyBorder="1" applyAlignment="1">
      <alignment horizontal="center"/>
    </xf>
    <xf numFmtId="167" fontId="38" fillId="31" borderId="26" xfId="0" applyNumberFormat="1" applyFont="1" applyFill="1" applyBorder="1" applyAlignment="1">
      <alignment horizontal="center" vertical="center"/>
    </xf>
    <xf numFmtId="167" fontId="38" fillId="31" borderId="27" xfId="0" applyNumberFormat="1" applyFont="1" applyFill="1" applyBorder="1" applyAlignment="1">
      <alignment horizontal="center" vertical="center"/>
    </xf>
    <xf numFmtId="167" fontId="38" fillId="31" borderId="28" xfId="0" applyNumberFormat="1" applyFont="1" applyFill="1" applyBorder="1" applyAlignment="1">
      <alignment horizontal="center" vertical="center"/>
    </xf>
    <xf numFmtId="0" fontId="38" fillId="31" borderId="26" xfId="0" applyFont="1" applyFill="1" applyBorder="1" applyAlignment="1">
      <alignment horizontal="center" vertical="center"/>
    </xf>
    <xf numFmtId="0" fontId="38" fillId="31" borderId="27" xfId="0" applyFont="1" applyFill="1" applyBorder="1" applyAlignment="1">
      <alignment horizontal="center" vertical="center"/>
    </xf>
    <xf numFmtId="0" fontId="38" fillId="31" borderId="28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38" fillId="4" borderId="0" xfId="0" applyFont="1" applyFill="1" applyBorder="1" applyAlignment="1">
      <alignment horizontal="center" vertical="center"/>
    </xf>
    <xf numFmtId="0" fontId="36" fillId="0" borderId="0" xfId="0" applyFont="1" applyFill="1" applyBorder="1" applyAlignment="1">
      <alignment horizontal="center" vertical="center" wrapText="1"/>
    </xf>
    <xf numFmtId="0" fontId="0" fillId="0" borderId="0" xfId="0" applyBorder="1"/>
    <xf numFmtId="0" fontId="41" fillId="0" borderId="0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/>
    </xf>
  </cellXfs>
  <cellStyles count="71">
    <cellStyle name="20 % - Accent1 2" xfId="2"/>
    <cellStyle name="20 % - Accent2 2" xfId="3"/>
    <cellStyle name="20 % - Accent3 2" xfId="4"/>
    <cellStyle name="20 % - Accent4 2" xfId="5"/>
    <cellStyle name="20 % - Accent5 2" xfId="6"/>
    <cellStyle name="20 % - Accent6 2" xfId="7"/>
    <cellStyle name="40 % - Accent1 2" xfId="8"/>
    <cellStyle name="40 % - Accent2 2" xfId="9"/>
    <cellStyle name="40 % - Accent3 2" xfId="10"/>
    <cellStyle name="40 % - Accent4 2" xfId="11"/>
    <cellStyle name="40 % - Accent5 2" xfId="12"/>
    <cellStyle name="40 % - Accent6 2" xfId="13"/>
    <cellStyle name="60 % - Accent1 2" xfId="14"/>
    <cellStyle name="60 % - Accent2 2" xfId="15"/>
    <cellStyle name="60 % - Accent3 2" xfId="16"/>
    <cellStyle name="60 % - Accent4 2" xfId="17"/>
    <cellStyle name="60 % - Accent5 2" xfId="18"/>
    <cellStyle name="60 % - Accent6 2" xfId="19"/>
    <cellStyle name="Accent1 2" xfId="20"/>
    <cellStyle name="Accent2 2" xfId="21"/>
    <cellStyle name="Accent3 2" xfId="22"/>
    <cellStyle name="Accent4 2" xfId="23"/>
    <cellStyle name="Accent5 2" xfId="24"/>
    <cellStyle name="Accent6 2" xfId="25"/>
    <cellStyle name="AFE" xfId="26"/>
    <cellStyle name="Avertissement 2" xfId="27"/>
    <cellStyle name="Calcul 2" xfId="28"/>
    <cellStyle name="Cellule liée 2" xfId="29"/>
    <cellStyle name="Commentaire 2" xfId="30"/>
    <cellStyle name="Commentaire 2 2" xfId="31"/>
    <cellStyle name="Entrée 2" xfId="32"/>
    <cellStyle name="Euro" xfId="33"/>
    <cellStyle name="Euro 2" xfId="34"/>
    <cellStyle name="Insatisfaisant 2" xfId="35"/>
    <cellStyle name="Milliers 2" xfId="36"/>
    <cellStyle name="Monétaire 2" xfId="37"/>
    <cellStyle name="Monétaire 2 2" xfId="38"/>
    <cellStyle name="Monétaire 2 2 2" xfId="39"/>
    <cellStyle name="Monétaire 3" xfId="40"/>
    <cellStyle name="Monétaire 3 2" xfId="41"/>
    <cellStyle name="Monétaire 4" xfId="42"/>
    <cellStyle name="Monétaire 4 2" xfId="43"/>
    <cellStyle name="Monétaire 5" xfId="44"/>
    <cellStyle name="Neutre 2" xfId="45"/>
    <cellStyle name="Normal" xfId="0" builtinId="0"/>
    <cellStyle name="Normal - Style1" xfId="46"/>
    <cellStyle name="Normal 11" xfId="47"/>
    <cellStyle name="Normal 2" xfId="1"/>
    <cellStyle name="Normal 2 2" xfId="48"/>
    <cellStyle name="Normal 22" xfId="49"/>
    <cellStyle name="Normal 3" xfId="50"/>
    <cellStyle name="Normal 3 2" xfId="51"/>
    <cellStyle name="Normal 30" xfId="52"/>
    <cellStyle name="Normal 4" xfId="53"/>
    <cellStyle name="Normal 4 2" xfId="54"/>
    <cellStyle name="Normal 5" xfId="55"/>
    <cellStyle name="Normal 6" xfId="56"/>
    <cellStyle name="Normal 7" xfId="57"/>
    <cellStyle name="Pourcentage 2" xfId="58"/>
    <cellStyle name="Pourcentage 2 2" xfId="59"/>
    <cellStyle name="Pourcentage 3" xfId="60"/>
    <cellStyle name="Satisfaisant 2" xfId="61"/>
    <cellStyle name="Sortie 2" xfId="62"/>
    <cellStyle name="Texte explicatif 2" xfId="63"/>
    <cellStyle name="Titre 2" xfId="64"/>
    <cellStyle name="Titre 1 2" xfId="65"/>
    <cellStyle name="Titre 2 2" xfId="66"/>
    <cellStyle name="Titre 3 2" xfId="67"/>
    <cellStyle name="Titre 4 2" xfId="68"/>
    <cellStyle name="Total 2" xfId="69"/>
    <cellStyle name="Vérification 2" xfId="70"/>
  </cellStyles>
  <dxfs count="3">
    <dxf>
      <font>
        <b/>
        <i val="0"/>
        <color rgb="FFFF0000"/>
      </font>
      <fill>
        <patternFill patternType="none">
          <fgColor indexed="64"/>
          <bgColor auto="1"/>
        </patternFill>
      </fill>
    </dxf>
    <dxf>
      <font>
        <b val="0"/>
        <i val="0"/>
        <color rgb="FFFF0000"/>
        <name val="Cambria"/>
        <scheme val="none"/>
      </font>
    </dxf>
    <dxf>
      <font>
        <color theme="0"/>
      </font>
      <fill>
        <patternFill patternType="none"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13" Type="http://schemas.openxmlformats.org/officeDocument/2006/relationships/externalLink" Target="externalLinks/externalLink7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microsoft.com/office/2006/relationships/vbaProject" Target="vbaProject.bin"/><Relationship Id="rId7" Type="http://schemas.openxmlformats.org/officeDocument/2006/relationships/externalLink" Target="externalLinks/externalLink1.xml"/><Relationship Id="rId12" Type="http://schemas.openxmlformats.org/officeDocument/2006/relationships/externalLink" Target="externalLinks/externalLink6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10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5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9.xml"/><Relationship Id="rId10" Type="http://schemas.openxmlformats.org/officeDocument/2006/relationships/externalLink" Target="externalLinks/externalLink4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3.xml"/><Relationship Id="rId14" Type="http://schemas.openxmlformats.org/officeDocument/2006/relationships/externalLink" Target="externalLinks/externalLink8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0</xdr:row>
      <xdr:rowOff>0</xdr:rowOff>
    </xdr:from>
    <xdr:to>
      <xdr:col>3</xdr:col>
      <xdr:colOff>762000</xdr:colOff>
      <xdr:row>2</xdr:row>
      <xdr:rowOff>9525</xdr:rowOff>
    </xdr:to>
    <xdr:grpSp>
      <xdr:nvGrpSpPr>
        <xdr:cNvPr id="2" name="Groupe 1"/>
        <xdr:cNvGrpSpPr/>
      </xdr:nvGrpSpPr>
      <xdr:grpSpPr>
        <a:xfrm>
          <a:off x="2286000" y="0"/>
          <a:ext cx="762000" cy="333375"/>
          <a:chOff x="285750" y="142875"/>
          <a:chExt cx="762000" cy="333375"/>
        </a:xfrm>
      </xdr:grpSpPr>
      <xdr:sp macro="" textlink="">
        <xdr:nvSpPr>
          <xdr:cNvPr id="3" name="Flèche gauche 2"/>
          <xdr:cNvSpPr/>
        </xdr:nvSpPr>
        <xdr:spPr>
          <a:xfrm>
            <a:off x="285750" y="142875"/>
            <a:ext cx="657225" cy="333375"/>
          </a:xfrm>
          <a:prstGeom prst="leftArrow">
            <a:avLst/>
          </a:prstGeom>
          <a:noFill/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4" name="ZoneTexte 3">
            <a:hlinkClick xmlns:r="http://schemas.openxmlformats.org/officeDocument/2006/relationships" r:id="rId1"/>
          </xdr:cNvPr>
          <xdr:cNvSpPr txBox="1"/>
        </xdr:nvSpPr>
        <xdr:spPr>
          <a:xfrm>
            <a:off x="390525" y="171450"/>
            <a:ext cx="657225" cy="26670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100"/>
              <a:t>Choix</a:t>
            </a:r>
          </a:p>
        </xdr:txBody>
      </xdr:sp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41</xdr:col>
      <xdr:colOff>438150</xdr:colOff>
      <xdr:row>3</xdr:row>
      <xdr:rowOff>228600</xdr:rowOff>
    </xdr:from>
    <xdr:to>
      <xdr:col>45</xdr:col>
      <xdr:colOff>1076325</xdr:colOff>
      <xdr:row>8</xdr:row>
      <xdr:rowOff>133350</xdr:rowOff>
    </xdr:to>
    <xdr:cxnSp macro="">
      <xdr:nvCxnSpPr>
        <xdr:cNvPr id="4" name="Connecteur droit avec flèche 3"/>
        <xdr:cNvCxnSpPr/>
      </xdr:nvCxnSpPr>
      <xdr:spPr>
        <a:xfrm flipH="1">
          <a:off x="9906000" y="1095375"/>
          <a:ext cx="3438525" cy="7905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V:\LOGISTIQUE\01%20-%20Cellule%20ops\15%20-%20TBD%20Logistique%202017\Latecoere%202017\TBD%20Latecoere%20%202017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V:\LOGISTIQUE\Modalit&#233;%2016300\Donn&#233;e%20pour%20new%20indicteur%20modalit&#233;\Indicateur%20Modalit&#233;%20region%20Occitanie%20et%20Nouvelle%20Aquitaine%20JUIN%202016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TEMP/Suivi%20Phase%201%20LOT%202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L:\Service%20magasin\FACT%20ATR%202004\fact012004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DUBURQUE.SN103865310311/Local%20Settings/Temporary%20Internet%20Files/Content.IE5/X10TKAMK/Bon%20de%20Commande.xls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jlduburque/Local%20Settings/Temporary%20Internet%20Files/Content.IE5/8XUNK5QJ/Fiche%20Demande%20de%20Travaux.xls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h324230m\fichiers\Documents%20and%20Settings\Herv&#233;\Bureau\TC\Swiss%20Life\Six%20Sigma%20Lean%20Master\Semaine%201%20session%201\Phase%20Definir\Fichiers%20de%20Support\Gestion%20des%20risques.xls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lduburque/AppData/Local/Microsoft/Windows/Temporary%20Internet%20Files/Content.Outlook/F272E4B7/Interim_COLOMIERS_2014.xls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an-Paul/Downloads/Diagramme-de-Gantt-sur-Excel-v2.xlsx" TargetMode="External"/></Relationships>
</file>

<file path=xl/externalLinks/_rels/externalLink1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h324230m\fichiers\DOCUME~1\s014465\LOCALS~1\Temp\d.Users.s014465.params.Notes\Gestion%20des%20risque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PA"/>
      <sheetName val="Focus"/>
      <sheetName val="TDB"/>
      <sheetName val="Gestion perso"/>
      <sheetName val="Planning"/>
      <sheetName val="Récap semaine"/>
      <sheetName val="Synthèse"/>
      <sheetName val="Jours Fériés"/>
      <sheetName val="Facturation Mensuelle"/>
      <sheetName val="Listing Personnel Interimaire"/>
      <sheetName val="Interimaire Janvier  2017"/>
      <sheetName val="Interimaire Fevrier  2017 "/>
      <sheetName val="Interimaire Mars 2017"/>
      <sheetName val="Interimaire Avril 2017"/>
      <sheetName val="Interimaire Mai 2017"/>
      <sheetName val="Interimaire Juin  2017"/>
      <sheetName val="Interimaire Juillet  2017 "/>
      <sheetName val="Interimaire Aout  2017 "/>
      <sheetName val="Interimaire Septembre  2017"/>
      <sheetName val="Interimaire Octobre  2017"/>
      <sheetName val="Interimaire Novembre  2017 "/>
      <sheetName val="Interimaire Décembre  2017  "/>
      <sheetName val="Récap Charge Interimaire 2017"/>
      <sheetName val="Débours Prestation 2017"/>
      <sheetName val="Feuil2 (2)"/>
      <sheetName val="Suivi Budget"/>
    </sheetNames>
    <sheetDataSet>
      <sheetData sheetId="0"/>
      <sheetData sheetId="1"/>
      <sheetData sheetId="2"/>
      <sheetData sheetId="3"/>
      <sheetData sheetId="4"/>
      <sheetData sheetId="5">
        <row r="2">
          <cell r="E2">
            <v>42736</v>
          </cell>
        </row>
        <row r="3">
          <cell r="E3">
            <v>43100</v>
          </cell>
        </row>
      </sheetData>
      <sheetData sheetId="6"/>
      <sheetData sheetId="7"/>
      <sheetData sheetId="8">
        <row r="3">
          <cell r="A3">
            <v>42736</v>
          </cell>
        </row>
        <row r="4">
          <cell r="A4">
            <v>42841</v>
          </cell>
        </row>
        <row r="5">
          <cell r="A5">
            <v>42842</v>
          </cell>
        </row>
        <row r="6">
          <cell r="A6">
            <v>42856</v>
          </cell>
        </row>
        <row r="7">
          <cell r="A7">
            <v>42863</v>
          </cell>
        </row>
        <row r="8">
          <cell r="A8">
            <v>42880</v>
          </cell>
        </row>
        <row r="9">
          <cell r="A9">
            <v>42890</v>
          </cell>
        </row>
        <row r="10">
          <cell r="A10">
            <v>42891</v>
          </cell>
        </row>
        <row r="11">
          <cell r="A11">
            <v>42930</v>
          </cell>
        </row>
        <row r="12">
          <cell r="A12">
            <v>42962</v>
          </cell>
        </row>
        <row r="13">
          <cell r="A13">
            <v>43040</v>
          </cell>
        </row>
        <row r="14">
          <cell r="A14">
            <v>43050</v>
          </cell>
        </row>
        <row r="15">
          <cell r="A15">
            <v>43094</v>
          </cell>
        </row>
      </sheetData>
      <sheetData sheetId="9">
        <row r="1">
          <cell r="A1">
            <v>2017</v>
          </cell>
        </row>
      </sheetData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>
        <row r="31">
          <cell r="AB31">
            <v>51092.703375000005</v>
          </cell>
        </row>
        <row r="32">
          <cell r="AB32">
            <v>59420.086249999993</v>
          </cell>
        </row>
        <row r="33">
          <cell r="AB33">
            <v>55674.252613636359</v>
          </cell>
        </row>
        <row r="34">
          <cell r="AB34">
            <v>58966.15610156249</v>
          </cell>
        </row>
        <row r="35">
          <cell r="AB35">
            <v>58745.535124999988</v>
          </cell>
        </row>
      </sheetData>
      <sheetData sheetId="26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Accueil"/>
      <sheetName val="Région"/>
      <sheetName val="Choix Mise à jour"/>
      <sheetName val="Choix"/>
      <sheetName val="Table"/>
      <sheetName val="Trv"/>
      <sheetName val="LYSBRU1"/>
      <sheetName val="BRUGES1"/>
      <sheetName val="LYSLIM"/>
      <sheetName val="LIMOGES"/>
      <sheetName val="LYSBAY"/>
      <sheetName val="BAYONNE"/>
      <sheetName val="LYSTAR"/>
      <sheetName val="TARBES"/>
      <sheetName val="LYSTLS2"/>
      <sheetName val="TOULOUSE2"/>
      <sheetName val="LYSPAU"/>
      <sheetName val="PAU"/>
      <sheetName val="LYSTLS1"/>
      <sheetName val="TOULOUSE1"/>
      <sheetName val="LYSBRU2"/>
      <sheetName val="BRUGES2"/>
      <sheetName val="RABA1"/>
      <sheetName val="RABA"/>
      <sheetName val="Fin"/>
    </sheetNames>
    <sheetDataSet>
      <sheetData sheetId="0"/>
      <sheetData sheetId="1"/>
      <sheetData sheetId="2"/>
      <sheetData sheetId="3"/>
      <sheetData sheetId="4"/>
      <sheetData sheetId="5">
        <row r="6">
          <cell r="B6" t="str">
            <v>1A</v>
          </cell>
          <cell r="C6" t="str">
            <v>BAYONNE</v>
          </cell>
          <cell r="D6" t="str">
            <v>BAYONNE AERIEN</v>
          </cell>
        </row>
        <row r="7">
          <cell r="B7" t="str">
            <v>1D</v>
          </cell>
          <cell r="C7" t="str">
            <v>BAYONNE</v>
          </cell>
          <cell r="D7" t="str">
            <v>BAYONNE DOUANE</v>
          </cell>
        </row>
        <row r="8">
          <cell r="B8" t="str">
            <v>1L</v>
          </cell>
          <cell r="C8" t="str">
            <v>BAYONNE</v>
          </cell>
          <cell r="D8" t="str">
            <v>BAYONNE LOG</v>
          </cell>
        </row>
        <row r="9">
          <cell r="B9" t="str">
            <v>1M</v>
          </cell>
          <cell r="C9" t="str">
            <v>BAYONNE</v>
          </cell>
          <cell r="D9" t="str">
            <v>BAYONNE MARITIME</v>
          </cell>
        </row>
        <row r="10">
          <cell r="B10" t="str">
            <v>1P</v>
          </cell>
          <cell r="C10" t="str">
            <v>BAYONNE</v>
          </cell>
          <cell r="D10" t="str">
            <v>BAYONNE PRESTATIONS</v>
          </cell>
        </row>
        <row r="11">
          <cell r="B11" t="str">
            <v>1R</v>
          </cell>
          <cell r="C11" t="str">
            <v>BAYONNE</v>
          </cell>
          <cell r="D11" t="str">
            <v>BAYONNE ROUTE</v>
          </cell>
        </row>
        <row r="12">
          <cell r="B12" t="str">
            <v>01</v>
          </cell>
          <cell r="C12" t="str">
            <v>BRUGES1</v>
          </cell>
          <cell r="D12" t="str">
            <v>SDV COA</v>
          </cell>
        </row>
        <row r="13">
          <cell r="B13" t="str">
            <v>02</v>
          </cell>
          <cell r="C13" t="str">
            <v>BRUGES1</v>
          </cell>
          <cell r="D13" t="str">
            <v>SDV DOM TOM</v>
          </cell>
        </row>
        <row r="14">
          <cell r="B14" t="str">
            <v>03</v>
          </cell>
          <cell r="C14" t="str">
            <v>BRUGES1</v>
          </cell>
          <cell r="D14" t="str">
            <v>SDV OC.INDIEN</v>
          </cell>
        </row>
        <row r="15">
          <cell r="B15" t="str">
            <v>04</v>
          </cell>
          <cell r="C15" t="str">
            <v>BRUGES1</v>
          </cell>
          <cell r="D15" t="str">
            <v>SDV EST OUEST</v>
          </cell>
        </row>
        <row r="16">
          <cell r="B16" t="str">
            <v>05</v>
          </cell>
          <cell r="C16" t="str">
            <v>BRUGES1</v>
          </cell>
          <cell r="D16" t="str">
            <v>SANOFI SYNTHELABO</v>
          </cell>
        </row>
        <row r="17">
          <cell r="B17" t="str">
            <v>06</v>
          </cell>
          <cell r="C17" t="str">
            <v>BRUGES1</v>
          </cell>
          <cell r="D17" t="str">
            <v>LECTRA SYSTEME</v>
          </cell>
        </row>
        <row r="18">
          <cell r="B18" t="str">
            <v>07</v>
          </cell>
          <cell r="C18" t="str">
            <v>BRUGES1</v>
          </cell>
          <cell r="D18" t="str">
            <v>WINES &amp; SPIRITS EST OUEST</v>
          </cell>
        </row>
        <row r="19">
          <cell r="B19" t="str">
            <v>08</v>
          </cell>
          <cell r="C19" t="str">
            <v>BRUGES1</v>
          </cell>
          <cell r="D19" t="str">
            <v>SDV WINES &amp; SPIRITS RESEAUX</v>
          </cell>
        </row>
        <row r="20">
          <cell r="B20" t="str">
            <v>09</v>
          </cell>
          <cell r="C20" t="str">
            <v>BRUGES1</v>
          </cell>
          <cell r="D20" t="str">
            <v>SDV FT MARITIME</v>
          </cell>
        </row>
        <row r="21">
          <cell r="B21" t="str">
            <v>10</v>
          </cell>
          <cell r="C21" t="str">
            <v>BRUGES2</v>
          </cell>
          <cell r="D21" t="str">
            <v>SDV IMPORT</v>
          </cell>
        </row>
        <row r="22">
          <cell r="B22" t="str">
            <v>11</v>
          </cell>
          <cell r="C22" t="str">
            <v>BRUGES2</v>
          </cell>
          <cell r="D22" t="str">
            <v xml:space="preserve">SDV IMPORT WINE  </v>
          </cell>
        </row>
        <row r="23">
          <cell r="B23" t="str">
            <v>12</v>
          </cell>
          <cell r="C23" t="str">
            <v>BRUGES2</v>
          </cell>
          <cell r="D23" t="str">
            <v>DOUANES CLTS EX</v>
          </cell>
        </row>
        <row r="24">
          <cell r="B24" t="str">
            <v>13</v>
          </cell>
          <cell r="C24" t="str">
            <v>BRUGES2</v>
          </cell>
          <cell r="D24" t="str">
            <v>DOUANES CLTX IM</v>
          </cell>
        </row>
        <row r="25">
          <cell r="B25" t="str">
            <v>14</v>
          </cell>
          <cell r="C25" t="str">
            <v>BRUGES2</v>
          </cell>
          <cell r="D25" t="str">
            <v>SDV RTE EXPORT</v>
          </cell>
        </row>
        <row r="26">
          <cell r="B26" t="str">
            <v>15</v>
          </cell>
          <cell r="C26" t="str">
            <v>BRUGES2</v>
          </cell>
          <cell r="D26" t="str">
            <v>SDV RTE IMPORT</v>
          </cell>
        </row>
        <row r="27">
          <cell r="B27" t="str">
            <v>16</v>
          </cell>
          <cell r="C27" t="str">
            <v>BRUGES2</v>
          </cell>
          <cell r="D27" t="str">
            <v>SDV RTE DOUANE</v>
          </cell>
        </row>
        <row r="28">
          <cell r="B28" t="str">
            <v>17</v>
          </cell>
          <cell r="C28" t="str">
            <v>BRUGES2</v>
          </cell>
          <cell r="D28" t="str">
            <v>DOUANE GROUPE E</v>
          </cell>
        </row>
        <row r="29">
          <cell r="B29" t="str">
            <v>18</v>
          </cell>
          <cell r="C29" t="str">
            <v>BRUGES2</v>
          </cell>
          <cell r="D29" t="str">
            <v>DOUANE GROUPE I</v>
          </cell>
        </row>
        <row r="30">
          <cell r="B30" t="str">
            <v>19</v>
          </cell>
          <cell r="C30" t="str">
            <v>BRUGES2</v>
          </cell>
          <cell r="D30" t="str">
            <v>SDV ENTREPOT</v>
          </cell>
        </row>
        <row r="31">
          <cell r="B31" t="str">
            <v>20</v>
          </cell>
          <cell r="C31" t="str">
            <v>BRUGES2</v>
          </cell>
          <cell r="D31" t="str">
            <v>SDV FT AERIEN</v>
          </cell>
        </row>
        <row r="32">
          <cell r="B32" t="str">
            <v>21</v>
          </cell>
          <cell r="C32" t="str">
            <v>BRUGES1</v>
          </cell>
          <cell r="D32" t="str">
            <v>SDV COA</v>
          </cell>
        </row>
        <row r="33">
          <cell r="B33" t="str">
            <v>22</v>
          </cell>
          <cell r="C33" t="str">
            <v>BRUGES1</v>
          </cell>
          <cell r="D33" t="str">
            <v>SDV DOM TOM</v>
          </cell>
        </row>
        <row r="34">
          <cell r="B34" t="str">
            <v>23</v>
          </cell>
          <cell r="C34" t="str">
            <v>BRUGES1</v>
          </cell>
          <cell r="D34" t="str">
            <v>SDV OCEAN INDIEN</v>
          </cell>
        </row>
        <row r="35">
          <cell r="B35" t="str">
            <v>24</v>
          </cell>
          <cell r="C35" t="str">
            <v>BRUGES2</v>
          </cell>
          <cell r="D35" t="str">
            <v>SDV EST OUEST</v>
          </cell>
        </row>
        <row r="36">
          <cell r="B36" t="str">
            <v>25</v>
          </cell>
          <cell r="C36" t="str">
            <v>BRUGES2</v>
          </cell>
          <cell r="D36" t="str">
            <v>SDV EXO2002</v>
          </cell>
        </row>
        <row r="37">
          <cell r="B37" t="str">
            <v>26</v>
          </cell>
          <cell r="C37" t="str">
            <v>BRUGES2</v>
          </cell>
          <cell r="D37" t="str">
            <v>SDV MO2002</v>
          </cell>
        </row>
        <row r="38">
          <cell r="B38" t="str">
            <v>27</v>
          </cell>
          <cell r="C38" t="str">
            <v>BRUGES2</v>
          </cell>
          <cell r="D38" t="str">
            <v>SDV MAG O2002</v>
          </cell>
        </row>
        <row r="39">
          <cell r="B39" t="str">
            <v>28</v>
          </cell>
          <cell r="C39" t="str">
            <v>BRUGES2</v>
          </cell>
          <cell r="D39" t="str">
            <v>SDV DIV 2002</v>
          </cell>
        </row>
        <row r="40">
          <cell r="B40" t="str">
            <v>29</v>
          </cell>
          <cell r="C40" t="str">
            <v>BRUGES1</v>
          </cell>
          <cell r="D40" t="str">
            <v>SDV EDF</v>
          </cell>
        </row>
        <row r="41">
          <cell r="B41" t="str">
            <v>30</v>
          </cell>
          <cell r="C41" t="str">
            <v>BRUGES1</v>
          </cell>
          <cell r="D41" t="str">
            <v>JA DEMAS AER</v>
          </cell>
        </row>
        <row r="42">
          <cell r="B42" t="str">
            <v>31</v>
          </cell>
          <cell r="C42" t="str">
            <v>BRUGES2</v>
          </cell>
          <cell r="D42" t="str">
            <v>SDV IMPORT DOM TOM</v>
          </cell>
        </row>
        <row r="43">
          <cell r="B43" t="str">
            <v>32</v>
          </cell>
          <cell r="C43" t="str">
            <v>BRUGES1</v>
          </cell>
          <cell r="D43" t="str">
            <v>SDV / S</v>
          </cell>
        </row>
        <row r="44">
          <cell r="B44" t="str">
            <v>33</v>
          </cell>
          <cell r="C44" t="str">
            <v>BRUGES1</v>
          </cell>
          <cell r="D44" t="str">
            <v>SDV / D</v>
          </cell>
        </row>
        <row r="45">
          <cell r="B45" t="str">
            <v>34</v>
          </cell>
          <cell r="C45" t="str">
            <v>BRUGES1</v>
          </cell>
          <cell r="D45" t="str">
            <v>SDV PACIFIQUE</v>
          </cell>
        </row>
        <row r="46">
          <cell r="B46" t="str">
            <v>35</v>
          </cell>
          <cell r="C46" t="str">
            <v>BRUGES1</v>
          </cell>
          <cell r="D46" t="str">
            <v>GDT SCAC</v>
          </cell>
        </row>
        <row r="47">
          <cell r="B47" t="str">
            <v>36</v>
          </cell>
          <cell r="C47" t="str">
            <v>BRUGES1</v>
          </cell>
          <cell r="D47" t="str">
            <v xml:space="preserve">SDV / P.B.D. </v>
          </cell>
        </row>
        <row r="48">
          <cell r="B48" t="str">
            <v>37</v>
          </cell>
          <cell r="C48" t="str">
            <v>BRUGES1</v>
          </cell>
          <cell r="D48" t="str">
            <v>SDV TRANSCAP</v>
          </cell>
        </row>
        <row r="49">
          <cell r="B49" t="str">
            <v>M1</v>
          </cell>
          <cell r="C49" t="str">
            <v>BRUGES2</v>
          </cell>
          <cell r="D49" t="str">
            <v>BOD AIR IMPORT</v>
          </cell>
        </row>
        <row r="50">
          <cell r="B50" t="str">
            <v>M2</v>
          </cell>
          <cell r="C50" t="str">
            <v>BRUGES2</v>
          </cell>
          <cell r="D50" t="str">
            <v>BOD AIR EXPORT</v>
          </cell>
        </row>
        <row r="51">
          <cell r="B51" t="str">
            <v>M3</v>
          </cell>
          <cell r="C51" t="str">
            <v>BRUGES2</v>
          </cell>
          <cell r="D51" t="str">
            <v>MERIGNAC LOG</v>
          </cell>
        </row>
        <row r="52">
          <cell r="B52" t="str">
            <v>M6</v>
          </cell>
          <cell r="C52" t="str">
            <v>BRUGES2</v>
          </cell>
          <cell r="D52" t="str">
            <v>MERIGNAC MARITIME</v>
          </cell>
        </row>
        <row r="53">
          <cell r="B53" t="str">
            <v>M7</v>
          </cell>
          <cell r="C53" t="str">
            <v>BRUGES2</v>
          </cell>
          <cell r="D53" t="str">
            <v>DIVERS IMPORT</v>
          </cell>
        </row>
        <row r="54">
          <cell r="B54" t="str">
            <v>M8</v>
          </cell>
          <cell r="C54" t="str">
            <v>BRUGES2</v>
          </cell>
          <cell r="D54" t="str">
            <v>DIVERS EXPORT</v>
          </cell>
        </row>
        <row r="55">
          <cell r="B55" t="str">
            <v>80</v>
          </cell>
          <cell r="C55" t="str">
            <v>LIMOGES</v>
          </cell>
          <cell r="D55" t="str">
            <v>MARITIME IMPORT LIMOGES</v>
          </cell>
        </row>
        <row r="56">
          <cell r="B56" t="str">
            <v>81</v>
          </cell>
          <cell r="C56" t="str">
            <v>LIMOGES</v>
          </cell>
          <cell r="D56" t="str">
            <v>MARITIME EXPORT LIMOGES</v>
          </cell>
        </row>
        <row r="57">
          <cell r="B57" t="str">
            <v>83</v>
          </cell>
          <cell r="C57" t="str">
            <v>LIMOGES</v>
          </cell>
          <cell r="D57" t="str">
            <v>LIMOGES AERIEN IMPORT / EXPORT</v>
          </cell>
        </row>
        <row r="58">
          <cell r="B58" t="str">
            <v>ME</v>
          </cell>
          <cell r="C58" t="str">
            <v>BRUGES2</v>
          </cell>
          <cell r="D58" t="str">
            <v>MARCHE ESCALE</v>
          </cell>
        </row>
        <row r="59">
          <cell r="B59" t="str">
            <v>2A</v>
          </cell>
          <cell r="C59" t="str">
            <v>PAU</v>
          </cell>
          <cell r="D59" t="str">
            <v>PAU AERIEN</v>
          </cell>
        </row>
        <row r="60">
          <cell r="B60" t="str">
            <v>2D</v>
          </cell>
          <cell r="C60" t="str">
            <v>PAU</v>
          </cell>
          <cell r="D60" t="str">
            <v>PAU DOUANE</v>
          </cell>
        </row>
        <row r="61">
          <cell r="B61" t="str">
            <v>2L</v>
          </cell>
          <cell r="C61" t="str">
            <v>PAU</v>
          </cell>
          <cell r="D61" t="str">
            <v>PAU LOG</v>
          </cell>
        </row>
        <row r="62">
          <cell r="B62" t="str">
            <v>2M</v>
          </cell>
          <cell r="C62" t="str">
            <v>PAU</v>
          </cell>
          <cell r="D62" t="str">
            <v>PAU MARITIME</v>
          </cell>
        </row>
        <row r="63">
          <cell r="B63" t="str">
            <v>2P</v>
          </cell>
          <cell r="C63" t="str">
            <v>PAU</v>
          </cell>
          <cell r="D63" t="str">
            <v>PAU PRESTATIONS</v>
          </cell>
        </row>
        <row r="64">
          <cell r="B64" t="str">
            <v>2R</v>
          </cell>
          <cell r="C64" t="str">
            <v>PAU</v>
          </cell>
          <cell r="D64" t="str">
            <v>PAU ROUTE</v>
          </cell>
        </row>
        <row r="65">
          <cell r="B65" t="str">
            <v>M0</v>
          </cell>
          <cell r="C65" t="str">
            <v>BRUGES2</v>
          </cell>
          <cell r="D65" t="str">
            <v>IMPLANT SOGERMA</v>
          </cell>
        </row>
        <row r="66">
          <cell r="B66" t="str">
            <v>M5</v>
          </cell>
          <cell r="C66" t="str">
            <v>BRUGES2</v>
          </cell>
          <cell r="D66" t="str">
            <v>IMPLANT SOGERMA</v>
          </cell>
        </row>
        <row r="67">
          <cell r="B67" t="str">
            <v>3A</v>
          </cell>
          <cell r="C67" t="str">
            <v>TARBES</v>
          </cell>
          <cell r="D67" t="str">
            <v>TARBES AERIEN</v>
          </cell>
        </row>
        <row r="68">
          <cell r="B68" t="str">
            <v>3D</v>
          </cell>
          <cell r="C68" t="str">
            <v>TARBES</v>
          </cell>
          <cell r="D68" t="str">
            <v>TARBES DOUANE</v>
          </cell>
        </row>
        <row r="69">
          <cell r="B69" t="str">
            <v>3L</v>
          </cell>
          <cell r="C69" t="str">
            <v>TARBES</v>
          </cell>
          <cell r="D69" t="str">
            <v>TARBES LOG</v>
          </cell>
        </row>
        <row r="70">
          <cell r="B70" t="str">
            <v>3M</v>
          </cell>
          <cell r="C70" t="str">
            <v>TARBES</v>
          </cell>
          <cell r="D70" t="str">
            <v>TARBES MARITIME</v>
          </cell>
        </row>
        <row r="71">
          <cell r="B71" t="str">
            <v>3P</v>
          </cell>
          <cell r="C71" t="str">
            <v>TARBES</v>
          </cell>
          <cell r="D71" t="str">
            <v>TARBES PRESTATIONS</v>
          </cell>
        </row>
        <row r="72">
          <cell r="B72" t="str">
            <v>3R</v>
          </cell>
          <cell r="C72" t="str">
            <v>TARBES</v>
          </cell>
          <cell r="D72" t="str">
            <v>TARBES ROUTE</v>
          </cell>
        </row>
        <row r="73">
          <cell r="B73" t="str">
            <v>5A</v>
          </cell>
          <cell r="C73" t="str">
            <v>TOULOUSE1</v>
          </cell>
          <cell r="D73" t="str">
            <v>TLS AER AERIEN</v>
          </cell>
        </row>
        <row r="74">
          <cell r="B74" t="str">
            <v>5B</v>
          </cell>
          <cell r="C74" t="str">
            <v>TOULOUSE1</v>
          </cell>
          <cell r="D74" t="str">
            <v>AERIEN DOUANE</v>
          </cell>
        </row>
        <row r="75">
          <cell r="B75" t="str">
            <v>5C</v>
          </cell>
          <cell r="C75" t="str">
            <v>TOULOUSE1</v>
          </cell>
          <cell r="D75" t="str">
            <v>TLS CHARTERS</v>
          </cell>
        </row>
        <row r="76">
          <cell r="B76" t="str">
            <v>5R</v>
          </cell>
          <cell r="C76" t="str">
            <v>TOULOUSE1</v>
          </cell>
          <cell r="D76" t="str">
            <v>TLS AER ROUTE</v>
          </cell>
        </row>
        <row r="77">
          <cell r="B77" t="str">
            <v>4A</v>
          </cell>
          <cell r="C77" t="str">
            <v>TOULOUSE1</v>
          </cell>
          <cell r="D77" t="str">
            <v>TLS GC AERIEN</v>
          </cell>
        </row>
        <row r="78">
          <cell r="B78" t="str">
            <v>4B</v>
          </cell>
          <cell r="C78" t="str">
            <v>TOULOUSE1</v>
          </cell>
          <cell r="D78" t="str">
            <v>TLS GC DOUANE</v>
          </cell>
        </row>
        <row r="79">
          <cell r="B79" t="str">
            <v>4M</v>
          </cell>
          <cell r="C79" t="str">
            <v>TOULOUSE1</v>
          </cell>
          <cell r="D79" t="str">
            <v>TLS GC MARITIME</v>
          </cell>
        </row>
        <row r="80">
          <cell r="B80" t="str">
            <v>4R</v>
          </cell>
          <cell r="C80" t="str">
            <v>TOULOUSE1</v>
          </cell>
          <cell r="D80" t="str">
            <v>TLS GC ROUTE</v>
          </cell>
        </row>
        <row r="81">
          <cell r="B81" t="str">
            <v>5D</v>
          </cell>
          <cell r="C81" t="str">
            <v>TOULOUSE2</v>
          </cell>
          <cell r="D81" t="str">
            <v>TLS LOG DIVERS</v>
          </cell>
        </row>
        <row r="82">
          <cell r="B82" t="str">
            <v>5E</v>
          </cell>
          <cell r="C82" t="str">
            <v>TOULOUSE2</v>
          </cell>
          <cell r="D82" t="str">
            <v>TLS LOG EADS</v>
          </cell>
        </row>
        <row r="83">
          <cell r="B83" t="str">
            <v>5G</v>
          </cell>
          <cell r="C83" t="str">
            <v>TOULOUSE2</v>
          </cell>
          <cell r="D83" t="str">
            <v>TLS GEST COMMANDE</v>
          </cell>
        </row>
        <row r="84">
          <cell r="B84" t="str">
            <v>5L</v>
          </cell>
          <cell r="C84" t="str">
            <v>TOULOUSE2</v>
          </cell>
          <cell r="D84" t="str">
            <v>TLS LOG LIEBHERR</v>
          </cell>
        </row>
        <row r="85">
          <cell r="B85" t="str">
            <v>5T</v>
          </cell>
          <cell r="C85" t="str">
            <v>TOULOUSE2</v>
          </cell>
          <cell r="D85" t="str">
            <v>TLS LOG THALES</v>
          </cell>
        </row>
        <row r="86">
          <cell r="B86" t="str">
            <v>5U</v>
          </cell>
          <cell r="C86" t="str">
            <v>TOULOUSE2</v>
          </cell>
          <cell r="D86" t="str">
            <v>TLS LOG UTAS</v>
          </cell>
        </row>
        <row r="87">
          <cell r="B87" t="str">
            <v>MC</v>
          </cell>
          <cell r="C87" t="str">
            <v>TOULOUSE2</v>
          </cell>
          <cell r="D87" t="str">
            <v>TLS AER FABRICATION</v>
          </cell>
        </row>
        <row r="88">
          <cell r="B88" t="str">
            <v>4P</v>
          </cell>
          <cell r="C88" t="str">
            <v>TOULOUSE2</v>
          </cell>
          <cell r="D88" t="str">
            <v>TLS GC PRESTA</v>
          </cell>
        </row>
        <row r="89">
          <cell r="B89" t="str">
            <v>5P</v>
          </cell>
          <cell r="C89" t="str">
            <v>TOULOUSE2</v>
          </cell>
          <cell r="D89" t="str">
            <v>TLS AER PRESTA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OJET"/>
      <sheetName val="SYNTHESE PROJET"/>
      <sheetName val="Ref Méthodo"/>
      <sheetName val="Spécifs"/>
      <sheetName val="CONSO"/>
    </sheetNames>
    <sheetDataSet>
      <sheetData sheetId="0">
        <row r="1">
          <cell r="B1" t="str">
            <v>Phase 1 LOT 2</v>
          </cell>
        </row>
        <row r="2">
          <cell r="B2" t="str">
            <v>DSDF04970SC0</v>
          </cell>
        </row>
        <row r="4">
          <cell r="B4">
            <v>100</v>
          </cell>
        </row>
      </sheetData>
      <sheetData sheetId="1"/>
      <sheetData sheetId="2"/>
      <sheetData sheetId="3"/>
      <sheetData sheetId="4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DONNEE"/>
      <sheetName val="Feuil2"/>
      <sheetName val="Débours"/>
      <sheetName val="COUT CARTON"/>
      <sheetName val="DGX"/>
      <sheetName val="FABTC"/>
      <sheetName val="FABBOIS"/>
    </sheetNames>
    <sheetDataSet>
      <sheetData sheetId="0" refreshError="1"/>
      <sheetData sheetId="1" refreshError="1">
        <row r="1">
          <cell r="E1" t="str">
            <v>designation</v>
          </cell>
        </row>
        <row r="2">
          <cell r="E2" t="str">
            <v>simple cannelure</v>
          </cell>
        </row>
        <row r="3">
          <cell r="E3" t="str">
            <v>simple cannelure</v>
          </cell>
        </row>
        <row r="4">
          <cell r="E4" t="str">
            <v>simple cannelure</v>
          </cell>
        </row>
        <row r="5">
          <cell r="E5" t="str">
            <v>double cannelure</v>
          </cell>
        </row>
        <row r="6">
          <cell r="E6" t="str">
            <v>double cannelure</v>
          </cell>
        </row>
        <row r="7">
          <cell r="E7" t="str">
            <v>double cannelure</v>
          </cell>
        </row>
        <row r="8">
          <cell r="E8" t="str">
            <v>double cannelure</v>
          </cell>
        </row>
        <row r="9">
          <cell r="E9" t="str">
            <v>double cannelure</v>
          </cell>
        </row>
        <row r="10">
          <cell r="E10" t="str">
            <v>double cannelure</v>
          </cell>
        </row>
        <row r="11">
          <cell r="E11" t="str">
            <v>double cannelure</v>
          </cell>
        </row>
        <row r="12">
          <cell r="E12" t="str">
            <v>double cannelure</v>
          </cell>
        </row>
        <row r="13">
          <cell r="E13" t="str">
            <v>double cannelure</v>
          </cell>
        </row>
        <row r="14">
          <cell r="E14" t="str">
            <v>double cannelure</v>
          </cell>
        </row>
        <row r="15">
          <cell r="E15" t="str">
            <v>double cannelure</v>
          </cell>
        </row>
        <row r="16">
          <cell r="E16" t="str">
            <v>triple cannelure</v>
          </cell>
        </row>
        <row r="17">
          <cell r="E17" t="str">
            <v>triple cannelure</v>
          </cell>
        </row>
        <row r="18">
          <cell r="E18" t="str">
            <v>triple cannelure</v>
          </cell>
        </row>
        <row r="19">
          <cell r="E19" t="str">
            <v>triple cannelure</v>
          </cell>
        </row>
        <row r="20">
          <cell r="E20" t="str">
            <v>triple cannelure</v>
          </cell>
        </row>
        <row r="21">
          <cell r="E21" t="str">
            <v>triple cannelure</v>
          </cell>
        </row>
        <row r="22">
          <cell r="E22" t="str">
            <v>triple cannelure</v>
          </cell>
        </row>
        <row r="23">
          <cell r="E23" t="str">
            <v>triple cannelure</v>
          </cell>
        </row>
        <row r="24">
          <cell r="E24" t="str">
            <v>triple cannelure</v>
          </cell>
        </row>
        <row r="25">
          <cell r="E25" t="str">
            <v>triple cannelure</v>
          </cell>
        </row>
        <row r="26">
          <cell r="E26" t="str">
            <v>triple cannelure</v>
          </cell>
        </row>
        <row r="27">
          <cell r="E27" t="str">
            <v>triple cannelure</v>
          </cell>
        </row>
        <row r="28">
          <cell r="E28" t="str">
            <v>triple cannelure</v>
          </cell>
        </row>
        <row r="29">
          <cell r="E29" t="str">
            <v>triple cannelure</v>
          </cell>
        </row>
        <row r="30">
          <cell r="E30" t="str">
            <v>triple cannelure</v>
          </cell>
        </row>
        <row r="31">
          <cell r="E31" t="str">
            <v>tube triple cannelure</v>
          </cell>
        </row>
        <row r="32">
          <cell r="E32" t="str">
            <v>tube triple cannelure</v>
          </cell>
        </row>
        <row r="33">
          <cell r="E33" t="str">
            <v>tube triple cannelure</v>
          </cell>
        </row>
        <row r="34">
          <cell r="E34" t="str">
            <v>tube triple cannelure</v>
          </cell>
        </row>
        <row r="35">
          <cell r="E35" t="str">
            <v>tube triple cannelure</v>
          </cell>
        </row>
        <row r="36">
          <cell r="E36" t="str">
            <v>tube triple cannelure</v>
          </cell>
        </row>
        <row r="37">
          <cell r="E37" t="str">
            <v>palette</v>
          </cell>
        </row>
        <row r="38">
          <cell r="E38" t="str">
            <v>produit reglemente</v>
          </cell>
        </row>
        <row r="39">
          <cell r="E39" t="str">
            <v>produit reglemente</v>
          </cell>
        </row>
        <row r="40">
          <cell r="E40" t="str">
            <v>produit reglemente</v>
          </cell>
        </row>
        <row r="41">
          <cell r="E41" t="str">
            <v>produit reglemente</v>
          </cell>
        </row>
        <row r="42">
          <cell r="E42" t="str">
            <v>produit reglemente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lgFour"/>
      <sheetName val="DlgNFact"/>
      <sheetName val="Module VBA"/>
      <sheetName val="DlgNCom"/>
      <sheetName val="Fournisseurs"/>
      <sheetName val="Archive"/>
      <sheetName val="Formulaire"/>
      <sheetName val="Info-Mail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/>
      <sheetData sheetId="7" refreshError="1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lgNFich"/>
      <sheetName val="DlgFour"/>
      <sheetName val="Fournisseurs"/>
      <sheetName val="Archive"/>
      <sheetName val="Formulaire"/>
      <sheetName val="Données"/>
    </sheetNames>
    <sheetDataSet>
      <sheetData sheetId="0"/>
      <sheetData sheetId="1"/>
      <sheetData sheetId="2"/>
      <sheetData sheetId="3"/>
      <sheetData sheetId="4"/>
      <sheetData sheetId="5" refreshError="1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estion des Risques"/>
      <sheetName val="Matrix"/>
    </sheetNames>
    <sheetDataSet>
      <sheetData sheetId="0" refreshError="1"/>
      <sheetData sheetId="1">
        <row r="4">
          <cell r="C4">
            <v>1</v>
          </cell>
          <cell r="D4">
            <v>2</v>
          </cell>
          <cell r="E4">
            <v>3</v>
          </cell>
          <cell r="F4">
            <v>4</v>
          </cell>
          <cell r="G4">
            <v>5</v>
          </cell>
          <cell r="H4">
            <v>6</v>
          </cell>
          <cell r="I4">
            <v>7</v>
          </cell>
          <cell r="J4">
            <v>8</v>
          </cell>
          <cell r="K4">
            <v>9</v>
          </cell>
        </row>
        <row r="5">
          <cell r="B5">
            <v>1</v>
          </cell>
          <cell r="C5" t="str">
            <v>Bas</v>
          </cell>
          <cell r="D5" t="str">
            <v>Bas</v>
          </cell>
          <cell r="E5" t="str">
            <v>Bas</v>
          </cell>
          <cell r="F5" t="str">
            <v>Bas</v>
          </cell>
          <cell r="G5" t="str">
            <v>Bas</v>
          </cell>
          <cell r="H5" t="str">
            <v>Bas</v>
          </cell>
          <cell r="I5" t="str">
            <v>Bas</v>
          </cell>
          <cell r="J5" t="str">
            <v>Bas</v>
          </cell>
          <cell r="K5" t="str">
            <v>Bas</v>
          </cell>
        </row>
        <row r="6">
          <cell r="B6">
            <v>2</v>
          </cell>
          <cell r="C6" t="str">
            <v>Bas</v>
          </cell>
          <cell r="D6" t="str">
            <v>Bas</v>
          </cell>
          <cell r="E6" t="str">
            <v>Bas</v>
          </cell>
          <cell r="F6" t="str">
            <v>Bas</v>
          </cell>
          <cell r="G6" t="str">
            <v>Bas</v>
          </cell>
          <cell r="H6" t="str">
            <v>Bas</v>
          </cell>
          <cell r="I6" t="str">
            <v>Bas</v>
          </cell>
          <cell r="J6" t="str">
            <v>Bas</v>
          </cell>
          <cell r="K6" t="str">
            <v>Bas</v>
          </cell>
        </row>
        <row r="7">
          <cell r="B7">
            <v>3</v>
          </cell>
          <cell r="C7" t="str">
            <v>Bas</v>
          </cell>
          <cell r="D7" t="str">
            <v>Bas</v>
          </cell>
          <cell r="E7" t="str">
            <v>Bas</v>
          </cell>
          <cell r="F7" t="str">
            <v>Bas</v>
          </cell>
          <cell r="G7" t="str">
            <v>Moyen</v>
          </cell>
          <cell r="H7" t="str">
            <v>Moyen</v>
          </cell>
          <cell r="I7" t="str">
            <v>Moyen</v>
          </cell>
          <cell r="J7" t="str">
            <v>Moyen</v>
          </cell>
          <cell r="K7" t="str">
            <v>Moyen</v>
          </cell>
        </row>
        <row r="8">
          <cell r="B8">
            <v>4</v>
          </cell>
          <cell r="C8" t="str">
            <v>Bas</v>
          </cell>
          <cell r="D8" t="str">
            <v>Bas</v>
          </cell>
          <cell r="E8" t="str">
            <v>Bas</v>
          </cell>
          <cell r="F8" t="str">
            <v>Bas</v>
          </cell>
          <cell r="G8" t="str">
            <v>Moyen</v>
          </cell>
          <cell r="H8" t="str">
            <v>Moyen</v>
          </cell>
          <cell r="I8" t="str">
            <v>Moyen</v>
          </cell>
          <cell r="J8" t="str">
            <v>Moyen</v>
          </cell>
          <cell r="K8" t="str">
            <v>Moyen</v>
          </cell>
        </row>
        <row r="9">
          <cell r="B9">
            <v>5</v>
          </cell>
          <cell r="C9" t="str">
            <v>Bas</v>
          </cell>
          <cell r="D9" t="str">
            <v>Bas</v>
          </cell>
          <cell r="E9" t="str">
            <v>Bas</v>
          </cell>
          <cell r="F9" t="str">
            <v>Bas</v>
          </cell>
          <cell r="G9" t="str">
            <v>Moyen</v>
          </cell>
          <cell r="H9" t="str">
            <v>Moyen</v>
          </cell>
          <cell r="I9" t="str">
            <v>Moyen</v>
          </cell>
          <cell r="J9" t="str">
            <v>Moyen</v>
          </cell>
          <cell r="K9" t="str">
            <v>Haut</v>
          </cell>
        </row>
        <row r="10">
          <cell r="B10">
            <v>6</v>
          </cell>
          <cell r="C10" t="str">
            <v>Bas</v>
          </cell>
          <cell r="D10" t="str">
            <v>Bas</v>
          </cell>
          <cell r="E10" t="str">
            <v>Moyen</v>
          </cell>
          <cell r="F10" t="str">
            <v>Moyen</v>
          </cell>
          <cell r="G10" t="str">
            <v>Moyen</v>
          </cell>
          <cell r="H10" t="str">
            <v>Moyen</v>
          </cell>
          <cell r="I10" t="str">
            <v>Moyen</v>
          </cell>
          <cell r="J10" t="str">
            <v>Moyen</v>
          </cell>
          <cell r="K10" t="str">
            <v>Haut</v>
          </cell>
        </row>
        <row r="11">
          <cell r="B11">
            <v>7</v>
          </cell>
          <cell r="C11" t="str">
            <v>Bas</v>
          </cell>
          <cell r="D11" t="str">
            <v>Bas</v>
          </cell>
          <cell r="E11" t="str">
            <v>Moyen</v>
          </cell>
          <cell r="F11" t="str">
            <v>Moyen</v>
          </cell>
          <cell r="G11" t="str">
            <v>Moyen</v>
          </cell>
          <cell r="H11" t="str">
            <v>Moyen</v>
          </cell>
          <cell r="I11" t="str">
            <v>Haut</v>
          </cell>
          <cell r="J11" t="str">
            <v>Haut</v>
          </cell>
          <cell r="K11" t="str">
            <v>Haut</v>
          </cell>
        </row>
        <row r="12">
          <cell r="B12">
            <v>8</v>
          </cell>
          <cell r="C12" t="str">
            <v>Bas</v>
          </cell>
          <cell r="D12" t="str">
            <v>Bas</v>
          </cell>
          <cell r="E12" t="str">
            <v>Moyen</v>
          </cell>
          <cell r="F12" t="str">
            <v>Moyen</v>
          </cell>
          <cell r="G12" t="str">
            <v>Moyen</v>
          </cell>
          <cell r="H12" t="str">
            <v>Moyen</v>
          </cell>
          <cell r="I12" t="str">
            <v>Haut</v>
          </cell>
          <cell r="J12" t="str">
            <v>Haut</v>
          </cell>
          <cell r="K12" t="str">
            <v>Haut</v>
          </cell>
        </row>
        <row r="13">
          <cell r="B13">
            <v>9</v>
          </cell>
          <cell r="C13" t="str">
            <v>Bas</v>
          </cell>
          <cell r="D13" t="str">
            <v>Bas</v>
          </cell>
          <cell r="E13" t="str">
            <v>Moyen</v>
          </cell>
          <cell r="F13" t="str">
            <v>Moyen</v>
          </cell>
          <cell r="G13" t="str">
            <v>Haut</v>
          </cell>
          <cell r="H13" t="str">
            <v>Haut</v>
          </cell>
          <cell r="I13" t="str">
            <v>Haut</v>
          </cell>
          <cell r="J13" t="str">
            <v>Haut</v>
          </cell>
          <cell r="K13" t="str">
            <v>Haut</v>
          </cell>
        </row>
      </sheetData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uide"/>
      <sheetName val="201401"/>
      <sheetName val="201402"/>
      <sheetName val="201403"/>
      <sheetName val="201404"/>
      <sheetName val="201405"/>
      <sheetName val="201406"/>
      <sheetName val="201407"/>
      <sheetName val="201408"/>
      <sheetName val="201409"/>
      <sheetName val="201410"/>
      <sheetName val="201411"/>
      <sheetName val="201412"/>
      <sheetName val="Synthèse"/>
      <sheetName val="Indicateurs RH"/>
      <sheetName val="Effectif Moyen."/>
      <sheetName val="Effectif Moyen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>
        <row r="9">
          <cell r="U9" t="str">
            <v>F</v>
          </cell>
          <cell r="V9" t="str">
            <v>ATA</v>
          </cell>
          <cell r="W9" t="str">
            <v>I</v>
          </cell>
          <cell r="X9" t="str">
            <v>O</v>
          </cell>
        </row>
        <row r="10">
          <cell r="U10" t="str">
            <v>H</v>
          </cell>
          <cell r="V10" t="str">
            <v>RCP</v>
          </cell>
          <cell r="W10" t="str">
            <v>EC</v>
          </cell>
          <cell r="X10" t="str">
            <v>E</v>
          </cell>
        </row>
        <row r="11">
          <cell r="V11" t="str">
            <v>RMD</v>
          </cell>
          <cell r="W11" t="str">
            <v>R</v>
          </cell>
          <cell r="X11" t="str">
            <v>AM</v>
          </cell>
        </row>
        <row r="12">
          <cell r="V12" t="str">
            <v>RAC</v>
          </cell>
          <cell r="X12" t="str">
            <v>C</v>
          </cell>
        </row>
        <row r="13">
          <cell r="V13" t="str">
            <v>DSC</v>
          </cell>
        </row>
        <row r="14">
          <cell r="V14" t="str">
            <v>INT</v>
          </cell>
        </row>
        <row r="15">
          <cell r="V15" t="str">
            <v>FOR</v>
          </cell>
        </row>
      </sheetData>
      <sheetData sheetId="16"/>
    </sheetDataSet>
  </externalBook>
</externalLink>
</file>

<file path=xl/externalLinks/externalLink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ojet 1"/>
      <sheetName val="Table"/>
    </sheetNames>
    <sheetDataSet>
      <sheetData sheetId="0" refreshError="1"/>
      <sheetData sheetId="1">
        <row r="1">
          <cell r="A1">
            <v>1</v>
          </cell>
          <cell r="B1" t="str">
            <v>L</v>
          </cell>
          <cell r="D1" t="str">
            <v>OUI</v>
          </cell>
        </row>
        <row r="2">
          <cell r="A2">
            <v>2</v>
          </cell>
          <cell r="B2" t="str">
            <v>M</v>
          </cell>
          <cell r="D2" t="str">
            <v>NON</v>
          </cell>
        </row>
        <row r="3">
          <cell r="A3">
            <v>3</v>
          </cell>
          <cell r="B3" t="str">
            <v>M</v>
          </cell>
        </row>
        <row r="4">
          <cell r="A4">
            <v>4</v>
          </cell>
          <cell r="B4" t="str">
            <v>J</v>
          </cell>
        </row>
        <row r="5">
          <cell r="A5">
            <v>5</v>
          </cell>
          <cell r="B5" t="str">
            <v>V</v>
          </cell>
        </row>
        <row r="6">
          <cell r="A6">
            <v>6</v>
          </cell>
          <cell r="B6" t="str">
            <v>S</v>
          </cell>
        </row>
        <row r="7">
          <cell r="A7">
            <v>7</v>
          </cell>
          <cell r="B7" t="str">
            <v>D</v>
          </cell>
        </row>
      </sheetData>
    </sheetDataSet>
  </externalBook>
</externalLink>
</file>

<file path=xl/externalLinks/externalLink1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estion des Risques"/>
      <sheetName val="Matrix"/>
    </sheetNames>
    <sheetDataSet>
      <sheetData sheetId="0" refreshError="1"/>
      <sheetData sheetId="1">
        <row r="4">
          <cell r="C4">
            <v>1</v>
          </cell>
          <cell r="D4">
            <v>2</v>
          </cell>
          <cell r="E4">
            <v>3</v>
          </cell>
          <cell r="F4">
            <v>4</v>
          </cell>
          <cell r="G4">
            <v>5</v>
          </cell>
          <cell r="H4">
            <v>6</v>
          </cell>
          <cell r="I4">
            <v>7</v>
          </cell>
          <cell r="J4">
            <v>8</v>
          </cell>
          <cell r="K4">
            <v>9</v>
          </cell>
        </row>
        <row r="5">
          <cell r="B5">
            <v>1</v>
          </cell>
          <cell r="C5" t="str">
            <v>Bas</v>
          </cell>
          <cell r="D5" t="str">
            <v>Bas</v>
          </cell>
          <cell r="E5" t="str">
            <v>Bas</v>
          </cell>
          <cell r="F5" t="str">
            <v>Bas</v>
          </cell>
          <cell r="G5" t="str">
            <v>Bas</v>
          </cell>
          <cell r="H5" t="str">
            <v>Bas</v>
          </cell>
          <cell r="I5" t="str">
            <v>Bas</v>
          </cell>
          <cell r="J5" t="str">
            <v>Bas</v>
          </cell>
          <cell r="K5" t="str">
            <v>Bas</v>
          </cell>
        </row>
        <row r="6">
          <cell r="B6">
            <v>2</v>
          </cell>
          <cell r="C6" t="str">
            <v>Bas</v>
          </cell>
          <cell r="D6" t="str">
            <v>Bas</v>
          </cell>
          <cell r="E6" t="str">
            <v>Bas</v>
          </cell>
          <cell r="F6" t="str">
            <v>Bas</v>
          </cell>
          <cell r="G6" t="str">
            <v>Bas</v>
          </cell>
          <cell r="H6" t="str">
            <v>Bas</v>
          </cell>
          <cell r="I6" t="str">
            <v>Bas</v>
          </cell>
          <cell r="J6" t="str">
            <v>Bas</v>
          </cell>
          <cell r="K6" t="str">
            <v>Bas</v>
          </cell>
        </row>
        <row r="7">
          <cell r="B7">
            <v>3</v>
          </cell>
          <cell r="C7" t="str">
            <v>Bas</v>
          </cell>
          <cell r="D7" t="str">
            <v>Bas</v>
          </cell>
          <cell r="E7" t="str">
            <v>Bas</v>
          </cell>
          <cell r="F7" t="str">
            <v>Bas</v>
          </cell>
          <cell r="G7" t="str">
            <v>Moyen</v>
          </cell>
          <cell r="H7" t="str">
            <v>Moyen</v>
          </cell>
          <cell r="I7" t="str">
            <v>Moyen</v>
          </cell>
          <cell r="J7" t="str">
            <v>Moyen</v>
          </cell>
          <cell r="K7" t="str">
            <v>Moyen</v>
          </cell>
        </row>
        <row r="8">
          <cell r="B8">
            <v>4</v>
          </cell>
          <cell r="C8" t="str">
            <v>Bas</v>
          </cell>
          <cell r="D8" t="str">
            <v>Bas</v>
          </cell>
          <cell r="E8" t="str">
            <v>Bas</v>
          </cell>
          <cell r="F8" t="str">
            <v>Bas</v>
          </cell>
          <cell r="G8" t="str">
            <v>Moyen</v>
          </cell>
          <cell r="H8" t="str">
            <v>Moyen</v>
          </cell>
          <cell r="I8" t="str">
            <v>Moyen</v>
          </cell>
          <cell r="J8" t="str">
            <v>Moyen</v>
          </cell>
          <cell r="K8" t="str">
            <v>Moyen</v>
          </cell>
        </row>
        <row r="9">
          <cell r="B9">
            <v>5</v>
          </cell>
          <cell r="C9" t="str">
            <v>Bas</v>
          </cell>
          <cell r="D9" t="str">
            <v>Bas</v>
          </cell>
          <cell r="E9" t="str">
            <v>Bas</v>
          </cell>
          <cell r="F9" t="str">
            <v>Bas</v>
          </cell>
          <cell r="G9" t="str">
            <v>Moyen</v>
          </cell>
          <cell r="H9" t="str">
            <v>Moyen</v>
          </cell>
          <cell r="I9" t="str">
            <v>Moyen</v>
          </cell>
          <cell r="J9" t="str">
            <v>Moyen</v>
          </cell>
          <cell r="K9" t="str">
            <v>Haut</v>
          </cell>
        </row>
        <row r="10">
          <cell r="B10">
            <v>6</v>
          </cell>
          <cell r="C10" t="str">
            <v>Bas</v>
          </cell>
          <cell r="D10" t="str">
            <v>Bas</v>
          </cell>
          <cell r="E10" t="str">
            <v>Moyen</v>
          </cell>
          <cell r="F10" t="str">
            <v>Moyen</v>
          </cell>
          <cell r="G10" t="str">
            <v>Moyen</v>
          </cell>
          <cell r="H10" t="str">
            <v>Moyen</v>
          </cell>
          <cell r="I10" t="str">
            <v>Moyen</v>
          </cell>
          <cell r="J10" t="str">
            <v>Moyen</v>
          </cell>
          <cell r="K10" t="str">
            <v>Haut</v>
          </cell>
        </row>
        <row r="11">
          <cell r="B11">
            <v>7</v>
          </cell>
          <cell r="C11" t="str">
            <v>Bas</v>
          </cell>
          <cell r="D11" t="str">
            <v>Bas</v>
          </cell>
          <cell r="E11" t="str">
            <v>Moyen</v>
          </cell>
          <cell r="F11" t="str">
            <v>Moyen</v>
          </cell>
          <cell r="G11" t="str">
            <v>Moyen</v>
          </cell>
          <cell r="H11" t="str">
            <v>Moyen</v>
          </cell>
          <cell r="I11" t="str">
            <v>Haut</v>
          </cell>
          <cell r="J11" t="str">
            <v>Haut</v>
          </cell>
          <cell r="K11" t="str">
            <v>Haut</v>
          </cell>
        </row>
        <row r="12">
          <cell r="B12">
            <v>8</v>
          </cell>
          <cell r="C12" t="str">
            <v>Bas</v>
          </cell>
          <cell r="D12" t="str">
            <v>Bas</v>
          </cell>
          <cell r="E12" t="str">
            <v>Moyen</v>
          </cell>
          <cell r="F12" t="str">
            <v>Moyen</v>
          </cell>
          <cell r="G12" t="str">
            <v>Moyen</v>
          </cell>
          <cell r="H12" t="str">
            <v>Moyen</v>
          </cell>
          <cell r="I12" t="str">
            <v>Haut</v>
          </cell>
          <cell r="J12" t="str">
            <v>Haut</v>
          </cell>
          <cell r="K12" t="str">
            <v>Haut</v>
          </cell>
        </row>
        <row r="13">
          <cell r="B13">
            <v>9</v>
          </cell>
          <cell r="C13" t="str">
            <v>Bas</v>
          </cell>
          <cell r="D13" t="str">
            <v>Bas</v>
          </cell>
          <cell r="E13" t="str">
            <v>Moyen</v>
          </cell>
          <cell r="F13" t="str">
            <v>Moyen</v>
          </cell>
          <cell r="G13" t="str">
            <v>Haut</v>
          </cell>
          <cell r="H13" t="str">
            <v>Haut</v>
          </cell>
          <cell r="I13" t="str">
            <v>Haut</v>
          </cell>
          <cell r="J13" t="str">
            <v>Haut</v>
          </cell>
          <cell r="K13" t="str">
            <v>Haut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 filterMode="1"/>
  <dimension ref="A1:AE56"/>
  <sheetViews>
    <sheetView workbookViewId="0">
      <pane ySplit="14" topLeftCell="A15" activePane="bottomLeft" state="frozen"/>
      <selection pane="bottomLeft" activeCell="D15" sqref="D15"/>
    </sheetView>
  </sheetViews>
  <sheetFormatPr baseColWidth="10" defaultRowHeight="12" x14ac:dyDescent="0.2"/>
  <cols>
    <col min="1" max="1" width="11.42578125" style="4" bestFit="1" customWidth="1"/>
    <col min="2" max="2" width="10.7109375" style="4" customWidth="1"/>
    <col min="3" max="3" width="12.140625" style="4" customWidth="1"/>
    <col min="4" max="4" width="17.28515625" style="4" customWidth="1"/>
    <col min="5" max="6" width="11.42578125" style="4"/>
    <col min="7" max="7" width="11.42578125" style="4" customWidth="1"/>
    <col min="8" max="24" width="11.42578125" style="4"/>
    <col min="25" max="25" width="11.42578125" style="4" customWidth="1"/>
    <col min="26" max="27" width="11.42578125" style="4"/>
    <col min="28" max="29" width="11.42578125" style="4" customWidth="1"/>
    <col min="30" max="16384" width="11.42578125" style="4"/>
  </cols>
  <sheetData>
    <row r="1" spans="1:29" ht="12.75" thickBot="1" x14ac:dyDescent="0.25">
      <c r="A1" s="1" t="s">
        <v>0</v>
      </c>
      <c r="B1" s="107" t="s">
        <v>123</v>
      </c>
      <c r="C1" s="109"/>
      <c r="D1" s="2"/>
      <c r="E1" s="3">
        <v>42887</v>
      </c>
      <c r="U1" s="5">
        <v>5.34</v>
      </c>
    </row>
    <row r="2" spans="1:29" ht="12.75" thickBot="1" x14ac:dyDescent="0.25">
      <c r="A2" s="6" t="s">
        <v>1</v>
      </c>
      <c r="B2" s="114" t="s">
        <v>2</v>
      </c>
      <c r="C2" s="115"/>
      <c r="D2" s="7"/>
    </row>
    <row r="3" spans="1:29" ht="12.75" thickBot="1" x14ac:dyDescent="0.25">
      <c r="A3" s="6" t="s">
        <v>3</v>
      </c>
      <c r="B3" s="116">
        <v>2017</v>
      </c>
      <c r="C3" s="117"/>
      <c r="D3" s="8"/>
    </row>
    <row r="4" spans="1:29" ht="12.75" thickBot="1" x14ac:dyDescent="0.25">
      <c r="H4" s="9" t="s">
        <v>4</v>
      </c>
      <c r="I4" s="10"/>
      <c r="J4" s="10"/>
      <c r="K4" s="10"/>
      <c r="L4" s="10"/>
      <c r="M4" s="10"/>
      <c r="N4" s="10"/>
      <c r="O4" s="10"/>
      <c r="P4" s="10"/>
      <c r="Q4" s="11"/>
    </row>
    <row r="5" spans="1:29" s="18" customFormat="1" ht="36.75" thickBot="1" x14ac:dyDescent="0.3">
      <c r="A5" s="12" t="s">
        <v>5</v>
      </c>
      <c r="B5" s="12" t="s">
        <v>6</v>
      </c>
      <c r="C5" s="12" t="s">
        <v>7</v>
      </c>
      <c r="D5" s="12" t="s">
        <v>8</v>
      </c>
      <c r="E5" s="13" t="s">
        <v>9</v>
      </c>
      <c r="F5" s="14" t="s">
        <v>10</v>
      </c>
      <c r="G5" s="14" t="s">
        <v>11</v>
      </c>
      <c r="H5" s="15" t="s">
        <v>12</v>
      </c>
      <c r="I5" s="15" t="s">
        <v>13</v>
      </c>
      <c r="J5" s="15" t="s">
        <v>14</v>
      </c>
      <c r="K5" s="15" t="s">
        <v>15</v>
      </c>
      <c r="L5" s="15" t="s">
        <v>16</v>
      </c>
      <c r="M5" s="15" t="s">
        <v>17</v>
      </c>
      <c r="N5" s="15" t="s">
        <v>18</v>
      </c>
      <c r="O5" s="15" t="s">
        <v>19</v>
      </c>
      <c r="P5" s="15" t="s">
        <v>20</v>
      </c>
      <c r="Q5" s="15" t="s">
        <v>21</v>
      </c>
      <c r="R5" s="16" t="s">
        <v>22</v>
      </c>
      <c r="S5" s="17" t="s">
        <v>23</v>
      </c>
    </row>
    <row r="6" spans="1:29" x14ac:dyDescent="0.2">
      <c r="A6" s="19">
        <v>22</v>
      </c>
      <c r="B6" s="20">
        <f>SUMIF($J$15:$J$56,22,$V$15:$V$56)</f>
        <v>1753.0320000000002</v>
      </c>
      <c r="C6" s="21">
        <f>SUMIF($J$15:$J$56,22,$L$15:$L$56)</f>
        <v>91</v>
      </c>
      <c r="D6" s="21">
        <f>SUMIF($J$15:$J$56,22,$N$15:$N$56)</f>
        <v>0</v>
      </c>
      <c r="E6" s="22">
        <f>SUMIF($J$15:$J$56,22,$G$15:$G$56)</f>
        <v>7</v>
      </c>
      <c r="F6" s="23">
        <f t="array" ref="F6">SUM(IF($J$15:$J$56=22,$T$15:$U$56,0))</f>
        <v>1623.3150000000003</v>
      </c>
      <c r="G6" s="23">
        <f t="array" ref="G6">SUM(IF($J$15:$J$56=22,$Y$15:$Y$56,0))</f>
        <v>7.1054273576010019E-14</v>
      </c>
      <c r="H6" s="24">
        <f t="array" ref="H6">SUM(IF($D$15:$D$56="Adecco",IF($J$15:$J$56=22,$G$15:$G$56,0)))</f>
        <v>4</v>
      </c>
      <c r="I6" s="25">
        <f t="array" ref="I6">SUM(IF($D$15:$D$56="Adecco",IF($J$15:$J$56=22,$V$15:$V$56,0)))</f>
        <v>1079.9380000000001</v>
      </c>
      <c r="J6" s="24">
        <f t="array" ref="J6">SUM(IF($D$15:$D$56="Crit",IF($J$15:$J$56=22,$G$15:$G$56,0)))</f>
        <v>1</v>
      </c>
      <c r="K6" s="25">
        <f t="array" ref="K6">SUM(IF($D$15:$D$56="Crit",IF($J$15:$J$56=22,$V$15:$V$56,0)))</f>
        <v>266.67</v>
      </c>
      <c r="L6" s="24">
        <f t="array" ref="L6">SUM(IF($D$15:$D$56="Supplay",IF($J$15:$J$56=22,$G$15:$G$56,0)))</f>
        <v>1</v>
      </c>
      <c r="M6" s="25">
        <f t="array" ref="M6">SUM(IF($D$15:$D$56="Supplay",IF($J$15:$J$56=22,$V$15:$V$56,0)))</f>
        <v>270.95400000000001</v>
      </c>
      <c r="N6" s="24">
        <f t="array" ref="N6">SUM(IF($D$15:$D$56="Expectra",IF($J$15:$J$56=22,$G$15:$G$56,0)))</f>
        <v>0</v>
      </c>
      <c r="O6" s="25">
        <f t="array" ref="O6">SUM(IF($D$15:$D$56="Expectra",IF($J$15:$J$56=22,$V$15:$V$56,0)))</f>
        <v>0</v>
      </c>
      <c r="P6" s="24">
        <f t="array" ref="P6">SUM(IF($D$15:$D$56="Synergie",IF($J$15:$J$56=22,$G$15:$G$56,0)))</f>
        <v>1</v>
      </c>
      <c r="Q6" s="25">
        <f t="array" ref="Q6">SUM(IF($D$15:$D$56="Synergie",IF($J$15:$J$56=22,$V$15:$V$56,0)))</f>
        <v>135.47000000000003</v>
      </c>
      <c r="R6" s="26">
        <f t="array" ref="R6">SUM(IF($J$15:$J$56=22,$AC$15:$AC$56,0))</f>
        <v>129.71699999999998</v>
      </c>
      <c r="S6" s="27">
        <f>+IF(B6&lt;&gt;0,'[1]Feuil2 (2)'!AB31,0)</f>
        <v>51092.703375000005</v>
      </c>
    </row>
    <row r="7" spans="1:29" x14ac:dyDescent="0.2">
      <c r="A7" s="28">
        <v>23</v>
      </c>
      <c r="B7" s="29">
        <f>SUMIF($J$15:$J$56,23,$V$15:$V$56)</f>
        <v>5452.4662500000013</v>
      </c>
      <c r="C7" s="30">
        <f>SUMIF($J$15:$J$56,23,$L$15:$L$56)</f>
        <v>280</v>
      </c>
      <c r="D7" s="30">
        <f>SUMIF($J$15:$J$56,23,$N$15:$N$56)</f>
        <v>5</v>
      </c>
      <c r="E7" s="31">
        <f>SUMIF($J$15:$J$56,23,$G$15:$G$56)</f>
        <v>8</v>
      </c>
      <c r="F7" s="32">
        <f t="array" ref="F7">SUM(IF($J$15:$J$56=23,$T$15:$U$56,0))</f>
        <v>4946.8749999999991</v>
      </c>
      <c r="G7" s="32">
        <f t="array" ref="G7">SUM(IF($J$15:$J$56=23,$Y$15:$Y$56,0))</f>
        <v>107.25624999999982</v>
      </c>
      <c r="H7" s="33">
        <f t="array" ref="H7">SUM(IF($D$15:$D$56="Adecco",IF($J$15:$J$56=23,$G$15:$G$56,0)))</f>
        <v>4</v>
      </c>
      <c r="I7" s="34">
        <f t="array" ref="I7">SUM(IF($D$15:$D$56="Adecco",IF($J$15:$J$56=23,$V$15:$V$56,0)))</f>
        <v>2699.9362499999997</v>
      </c>
      <c r="J7" s="33">
        <f t="array" ref="J7">SUM(IF($D$15:$D$56="Crit",IF($J$15:$J$56=23,$G$15:$G$56,0)))</f>
        <v>1</v>
      </c>
      <c r="K7" s="34">
        <f t="array" ref="K7">SUM(IF($D$15:$D$56="Crit",IF($J$15:$J$56=23,$V$15:$V$56,0)))</f>
        <v>661.33500000000004</v>
      </c>
      <c r="L7" s="33">
        <f t="array" ref="L7">SUM(IF($D$15:$D$56="Supplay",IF($J$15:$J$56=23,$G$15:$G$56,0)))</f>
        <v>2</v>
      </c>
      <c r="M7" s="34">
        <f t="array" ref="M7">SUM(IF($D$15:$D$56="Supplay",IF($J$15:$J$56=23,$V$15:$V$56,0)))</f>
        <v>1419.1849999999999</v>
      </c>
      <c r="N7" s="33">
        <f t="array" ref="N7">SUM(IF($D$15:$D$56="Expectra",IF($J$15:$J$56=23,$G$15:$G$56,0)))</f>
        <v>0</v>
      </c>
      <c r="O7" s="34">
        <f t="array" ref="O7">SUM(IF($D$15:$D$56="Expectra",IF($J$15:$J$56=23,$V$15:$V$56,0)))</f>
        <v>0</v>
      </c>
      <c r="P7" s="33">
        <f t="array" ref="P7">SUM(IF($D$15:$D$56="Synergie",IF($J$15:$J$56=23,$G$15:$G$56,0)))</f>
        <v>1</v>
      </c>
      <c r="Q7" s="34">
        <f t="array" ref="Q7">SUM(IF($D$15:$D$56="Synergie",IF($J$15:$J$56=23,$V$15:$V$56,0)))</f>
        <v>672.01</v>
      </c>
      <c r="R7" s="35">
        <f t="array" ref="R7">SUM(IF($J$15:$J$56=23,$AC$15:$AC$56,0))</f>
        <v>398.33499999999992</v>
      </c>
      <c r="S7" s="36">
        <f>+IF(B7&lt;&gt;0,'[1]Feuil2 (2)'!AB32,0)</f>
        <v>59420.086249999993</v>
      </c>
    </row>
    <row r="8" spans="1:29" x14ac:dyDescent="0.2">
      <c r="A8" s="28">
        <v>24</v>
      </c>
      <c r="B8" s="29">
        <f>SUMIF($J$15:$J$56,24,$V$15:$V$56)</f>
        <v>5495.1862499999997</v>
      </c>
      <c r="C8" s="30">
        <f>SUMIF($J$15:$J$56,24,$L$15:$L$56)</f>
        <v>280</v>
      </c>
      <c r="D8" s="30">
        <f>SUMIF($J$15:$J$56,24,$N$15:$N$56)</f>
        <v>5</v>
      </c>
      <c r="E8" s="31">
        <f>SUMIF($J$15:$J$56,24,$G$15:$G$56)</f>
        <v>8</v>
      </c>
      <c r="F8" s="32">
        <f t="array" ref="F8">SUM(IF($J$15:$J$56=24,$T$15:$U$56,0))</f>
        <v>4989.5950000000003</v>
      </c>
      <c r="G8" s="32">
        <f t="array" ref="G8">SUM(IF($J$15:$J$56=24,$Y$15:$Y$56,0))</f>
        <v>107.25624999999982</v>
      </c>
      <c r="H8" s="33">
        <f t="array" ref="H8">SUM(IF($D$15:$D$56="Adecco",IF($J$15:$J$56=24,$G$15:$G$56,0)))</f>
        <v>4</v>
      </c>
      <c r="I8" s="34">
        <f t="array" ref="I8">SUM(IF($D$15:$D$56="Adecco",IF($J$15:$J$56=24,$V$15:$V$56,0)))</f>
        <v>2699.8450000000003</v>
      </c>
      <c r="J8" s="33">
        <f t="array" ref="J8">SUM(IF($D$15:$D$56="Crit",IF($J$15:$J$56=24,$G$15:$G$56,0)))</f>
        <v>1</v>
      </c>
      <c r="K8" s="34">
        <f t="array" ref="K8">SUM(IF($D$15:$D$56="Crit",IF($J$15:$J$56=24,$V$15:$V$56,0)))</f>
        <v>666.67500000000007</v>
      </c>
      <c r="L8" s="33">
        <f t="array" ref="L8">SUM(IF($D$15:$D$56="Supplay",IF($J$15:$J$56=24,$G$15:$G$56,0)))</f>
        <v>2</v>
      </c>
      <c r="M8" s="34">
        <f t="array" ref="M8">SUM(IF($D$15:$D$56="Supplay",IF($J$15:$J$56=24,$V$15:$V$56,0)))</f>
        <v>1451.3162500000001</v>
      </c>
      <c r="N8" s="33">
        <f t="array" ref="N8">SUM(IF($D$15:$D$56="Expectra",IF($J$15:$J$56=24,$G$15:$G$56,0)))</f>
        <v>0</v>
      </c>
      <c r="O8" s="34">
        <f t="array" ref="O8">SUM(IF($D$15:$D$56="Expectra",IF($J$15:$J$56=24,$V$15:$V$56,0)))</f>
        <v>0</v>
      </c>
      <c r="P8" s="33">
        <f t="array" ref="P8">SUM(IF($D$15:$D$56="Synergie",IF($J$15:$J$56=24,$G$15:$G$56,0)))</f>
        <v>1</v>
      </c>
      <c r="Q8" s="34">
        <f t="array" ref="Q8">SUM(IF($D$15:$D$56="Synergie",IF($J$15:$J$56=24,$V$15:$V$56,0)))</f>
        <v>677.35</v>
      </c>
      <c r="R8" s="35">
        <f t="array" ref="R8">SUM(IF($J$15:$J$56=24,$AC$15:$AC$56,0))</f>
        <v>398.33499999999992</v>
      </c>
      <c r="S8" s="36">
        <f>+IF(B8&lt;&gt;0,'[1]Feuil2 (2)'!AB33,0)</f>
        <v>55674.252613636359</v>
      </c>
    </row>
    <row r="9" spans="1:29" x14ac:dyDescent="0.2">
      <c r="A9" s="28">
        <v>25</v>
      </c>
      <c r="B9" s="29">
        <f>SUMIF($J$15:$J$56,25,$V$15:$V$56)</f>
        <v>6659.4906249999995</v>
      </c>
      <c r="C9" s="30">
        <f>SUMIF($J$15:$J$56,25,$L$15:$L$56)</f>
        <v>336</v>
      </c>
      <c r="D9" s="30">
        <f>SUMIF($J$15:$J$56,25,$N$15:$N$56)</f>
        <v>8.5</v>
      </c>
      <c r="E9" s="31">
        <f>SUMIF($J$15:$J$56,25,$G$15:$G$56)</f>
        <v>10</v>
      </c>
      <c r="F9" s="32">
        <f t="array" ref="F9">SUM(IF($J$15:$J$56=25,$T$15:$U$56,0))</f>
        <v>5998.1940000000004</v>
      </c>
      <c r="G9" s="32">
        <f t="array" ref="G9">SUM(IF($J$15:$J$56=25,$Y$15:$Y$56,0))</f>
        <v>182.33562499999988</v>
      </c>
      <c r="H9" s="33">
        <f t="array" ref="H9">SUM(IF($D$15:$D$56="Adecco",IF($J$15:$J$56=25,$G$15:$G$56,0)))</f>
        <v>4</v>
      </c>
      <c r="I9" s="34">
        <f t="array" ref="I9">SUM(IF($D$15:$D$56="Adecco",IF($J$15:$J$56=25,$V$15:$V$56,0)))</f>
        <v>2774.9243750000005</v>
      </c>
      <c r="J9" s="33">
        <f t="array" ref="J9">SUM(IF($D$15:$D$56="Crit",IF($J$15:$J$56=25,$G$15:$G$56,0)))</f>
        <v>3</v>
      </c>
      <c r="K9" s="34">
        <f t="array" ref="K9">SUM(IF($D$15:$D$56="Crit",IF($J$15:$J$56=25,$V$15:$V$56,0)))</f>
        <v>2011.89</v>
      </c>
      <c r="L9" s="33">
        <f t="array" ref="L9">SUM(IF($D$15:$D$56="Supplay",IF($J$15:$J$56=25,$G$15:$G$56,0)))</f>
        <v>2</v>
      </c>
      <c r="M9" s="34">
        <f t="array" ref="M9">SUM(IF($D$15:$D$56="Supplay",IF($J$15:$J$56=25,$V$15:$V$56,0)))</f>
        <v>1195.3262500000001</v>
      </c>
      <c r="N9" s="33">
        <f t="array" ref="N9">SUM(IF($D$15:$D$56="Expectra",IF($J$15:$J$56=25,$G$15:$G$56,0)))</f>
        <v>0</v>
      </c>
      <c r="O9" s="34">
        <f t="array" ref="O9">SUM(IF($D$15:$D$56="Expectra",IF($J$15:$J$56=25,$V$15:$V$56,0)))</f>
        <v>0</v>
      </c>
      <c r="P9" s="33">
        <f t="array" ref="P9">SUM(IF($D$15:$D$56="Synergie",IF($J$15:$J$56=25,$G$15:$G$56,0)))</f>
        <v>1</v>
      </c>
      <c r="Q9" s="34">
        <f t="array" ref="Q9">SUM(IF($D$15:$D$56="Synergie",IF($J$15:$J$56=25,$V$15:$V$56,0)))</f>
        <v>677.35</v>
      </c>
      <c r="R9" s="35">
        <f t="array" ref="R9">SUM(IF($J$15:$J$56=25,$AC$15:$AC$56,0))</f>
        <v>478.96099999999996</v>
      </c>
      <c r="S9" s="36">
        <f>+IF(B9&lt;&gt;0,'[1]Feuil2 (2)'!AB34,0)</f>
        <v>58966.15610156249</v>
      </c>
    </row>
    <row r="10" spans="1:29" ht="12.75" thickBot="1" x14ac:dyDescent="0.25">
      <c r="A10" s="37">
        <v>26</v>
      </c>
      <c r="B10" s="38">
        <f>SUMIF($J$15:$J$56,26,$V$15:$V$56)</f>
        <v>6065.3150000000005</v>
      </c>
      <c r="C10" s="39">
        <f>SUMIF($J$15:$J$56,26,$L$15:$L$56)</f>
        <v>315</v>
      </c>
      <c r="D10" s="39">
        <f>SUMIF($J$15:$J$56,26,$N$15:$N$56)</f>
        <v>0</v>
      </c>
      <c r="E10" s="40">
        <f>SUMIF($J$15:$J$56,26,$G$15:$G$56)</f>
        <v>9</v>
      </c>
      <c r="F10" s="41">
        <f t="array" ref="F10">SUM(IF($J$15:$J$56=26,$T$15:$U$56,0))</f>
        <v>5616.9299999999994</v>
      </c>
      <c r="G10" s="41">
        <f t="array" ref="G10">SUM(IF($J$15:$J$56=26,$Y$15:$Y$56,0))</f>
        <v>-2.3447910280083306E-13</v>
      </c>
      <c r="H10" s="42">
        <f t="array" ref="H10">SUM(IF($D$15:$D$56="Adecco",IF($J$15:$J$56=26,$G$15:$G$56,0)))</f>
        <v>4</v>
      </c>
      <c r="I10" s="43">
        <f t="array" ref="I10">SUM(IF($D$15:$D$56="Adecco",IF($J$15:$J$56=26,$V$15:$V$56,0)))</f>
        <v>2699.8450000000003</v>
      </c>
      <c r="J10" s="42">
        <f t="array" ref="J10">SUM(IF($D$15:$D$56="Crit",IF($J$15:$J$56=26,$G$15:$G$56,0)))</f>
        <v>2</v>
      </c>
      <c r="K10" s="43">
        <f t="array" ref="K10">SUM(IF($D$15:$D$56="Crit",IF($J$15:$J$56=26,$V$15:$V$56,0)))</f>
        <v>1344.06</v>
      </c>
      <c r="L10" s="42">
        <f t="array" ref="L10">SUM(IF($D$15:$D$56="Supplay",IF($J$15:$J$56=26,$G$15:$G$56,0)))</f>
        <v>2</v>
      </c>
      <c r="M10" s="43">
        <f t="array" ref="M10">SUM(IF($D$15:$D$56="Supplay",IF($J$15:$J$56=26,$V$15:$V$56,0)))</f>
        <v>1344.06</v>
      </c>
      <c r="N10" s="42">
        <f t="array" ref="N10">SUM(IF($D$15:$D$56="Expectra",IF($J$15:$J$56=26,$G$15:$G$56,0)))</f>
        <v>0</v>
      </c>
      <c r="O10" s="43">
        <f t="array" ref="O10">SUM(IF($D$15:$D$56="Expectra",IF($J$15:$J$56=26,$V$15:$V$56,0)))</f>
        <v>0</v>
      </c>
      <c r="P10" s="42">
        <f t="array" ref="P10">SUM(IF($D$15:$D$56="Synergie",IF($J$15:$J$56=26,$G$15:$G$56,0)))</f>
        <v>1</v>
      </c>
      <c r="Q10" s="43">
        <f t="array" ref="Q10">SUM(IF($D$15:$D$56="Synergie",IF($J$15:$J$56=26,$V$15:$V$56,0)))</f>
        <v>677.35</v>
      </c>
      <c r="R10" s="44">
        <f t="array" ref="R10">SUM(IF($J$15:$J$56=26,$AC$15:$AC$56,0))</f>
        <v>448.38499999999999</v>
      </c>
      <c r="S10" s="45">
        <f>+IF(B10&lt;&gt;0,'[1]Feuil2 (2)'!AB35,0)</f>
        <v>58745.535124999988</v>
      </c>
    </row>
    <row r="11" spans="1:29" ht="12.75" thickBot="1" x14ac:dyDescent="0.25">
      <c r="A11" s="46" t="s">
        <v>24</v>
      </c>
      <c r="B11" s="47">
        <f>SUM(B6:B10)</f>
        <v>25425.490125000004</v>
      </c>
      <c r="C11" s="46">
        <f>SUM(C6:C10)</f>
        <v>1302</v>
      </c>
      <c r="D11" s="46">
        <f>SUM(D6:D10)</f>
        <v>18.5</v>
      </c>
      <c r="E11" s="48">
        <f>AVERAGE(E6:E10)</f>
        <v>8.4</v>
      </c>
      <c r="F11" s="41">
        <f>SUM(F6:F10)</f>
        <v>23174.909</v>
      </c>
      <c r="G11" s="41">
        <f>SUM(G6:G10)</f>
        <v>396.84812499999936</v>
      </c>
      <c r="I11" s="49">
        <f>SUM(I6:I10)</f>
        <v>11954.488625000002</v>
      </c>
      <c r="K11" s="49">
        <f>SUM(K6:K10)</f>
        <v>4950.630000000001</v>
      </c>
      <c r="M11" s="49">
        <f>SUM(M6:M10)</f>
        <v>5680.8415000000005</v>
      </c>
      <c r="O11" s="49">
        <f>SUM(O6:O10)</f>
        <v>0</v>
      </c>
      <c r="Q11" s="49">
        <f>SUM(Q6:Q10)</f>
        <v>2839.5299999999997</v>
      </c>
      <c r="R11" s="44">
        <f>SUM(R6:R10)</f>
        <v>1853.7329999999997</v>
      </c>
    </row>
    <row r="12" spans="1:29" ht="12.75" thickBot="1" x14ac:dyDescent="0.25"/>
    <row r="13" spans="1:29" ht="32.25" customHeight="1" thickBot="1" x14ac:dyDescent="0.25">
      <c r="A13" s="107" t="s">
        <v>25</v>
      </c>
      <c r="B13" s="108"/>
      <c r="C13" s="109"/>
      <c r="D13" s="50" t="s">
        <v>26</v>
      </c>
      <c r="E13" s="107" t="s">
        <v>27</v>
      </c>
      <c r="F13" s="108"/>
      <c r="G13" s="50"/>
      <c r="H13" s="107" t="s">
        <v>28</v>
      </c>
      <c r="I13" s="108"/>
      <c r="J13" s="108"/>
      <c r="K13" s="109"/>
      <c r="L13" s="107" t="s">
        <v>28</v>
      </c>
      <c r="M13" s="108"/>
      <c r="N13" s="108"/>
      <c r="O13" s="108"/>
      <c r="P13" s="108"/>
      <c r="Q13" s="108"/>
      <c r="R13" s="108"/>
      <c r="S13" s="108"/>
      <c r="T13" s="108"/>
      <c r="U13" s="108"/>
      <c r="V13" s="109"/>
      <c r="W13" s="110" t="s">
        <v>29</v>
      </c>
      <c r="X13" s="111"/>
      <c r="Z13" s="112" t="s">
        <v>30</v>
      </c>
      <c r="AA13" s="113"/>
    </row>
    <row r="14" spans="1:29" ht="26.25" thickBot="1" x14ac:dyDescent="0.25">
      <c r="A14" s="51" t="s">
        <v>31</v>
      </c>
      <c r="B14" s="52" t="s">
        <v>32</v>
      </c>
      <c r="C14" s="52" t="s">
        <v>33</v>
      </c>
      <c r="D14" s="53" t="s">
        <v>34</v>
      </c>
      <c r="E14" s="52" t="s">
        <v>35</v>
      </c>
      <c r="F14" s="53" t="s">
        <v>36</v>
      </c>
      <c r="G14" s="53" t="s">
        <v>37</v>
      </c>
      <c r="H14" s="52" t="s">
        <v>38</v>
      </c>
      <c r="I14" s="53" t="s">
        <v>39</v>
      </c>
      <c r="J14" s="53" t="s">
        <v>40</v>
      </c>
      <c r="K14" s="53" t="s">
        <v>41</v>
      </c>
      <c r="L14" s="52" t="s">
        <v>42</v>
      </c>
      <c r="M14" s="52" t="s">
        <v>43</v>
      </c>
      <c r="N14" s="54" t="s">
        <v>44</v>
      </c>
      <c r="O14" s="52" t="s">
        <v>45</v>
      </c>
      <c r="P14" s="52" t="s">
        <v>46</v>
      </c>
      <c r="Q14" s="52" t="s">
        <v>47</v>
      </c>
      <c r="R14" s="52" t="s">
        <v>48</v>
      </c>
      <c r="S14" s="53" t="s">
        <v>49</v>
      </c>
      <c r="T14" s="52" t="s">
        <v>50</v>
      </c>
      <c r="U14" s="52" t="s">
        <v>51</v>
      </c>
      <c r="V14" s="52" t="s">
        <v>52</v>
      </c>
      <c r="W14" s="55" t="s">
        <v>53</v>
      </c>
      <c r="X14" s="55" t="s">
        <v>54</v>
      </c>
      <c r="Y14" s="55" t="s">
        <v>11</v>
      </c>
      <c r="Z14" s="56" t="s">
        <v>55</v>
      </c>
      <c r="AA14" s="57" t="s">
        <v>56</v>
      </c>
      <c r="AB14" s="52" t="s">
        <v>57</v>
      </c>
      <c r="AC14" s="52" t="s">
        <v>22</v>
      </c>
    </row>
    <row r="15" spans="1:29" ht="12.75" hidden="1" x14ac:dyDescent="0.2">
      <c r="A15" s="71" t="s">
        <v>123</v>
      </c>
      <c r="B15" s="58">
        <v>221</v>
      </c>
      <c r="C15" s="58" t="s">
        <v>100</v>
      </c>
      <c r="D15" s="71" t="s">
        <v>62</v>
      </c>
      <c r="E15" s="59" t="s">
        <v>128</v>
      </c>
      <c r="F15" s="58" t="s">
        <v>128</v>
      </c>
      <c r="G15" s="4">
        <v>1</v>
      </c>
      <c r="H15" s="60">
        <v>42891</v>
      </c>
      <c r="I15" s="60">
        <v>42895</v>
      </c>
      <c r="J15" s="61">
        <v>23</v>
      </c>
      <c r="K15" s="62">
        <v>4</v>
      </c>
      <c r="L15" s="63">
        <v>35</v>
      </c>
      <c r="N15" s="63"/>
      <c r="O15" s="4">
        <v>35</v>
      </c>
      <c r="P15" s="58">
        <v>16.884</v>
      </c>
      <c r="Q15" s="58">
        <v>1.73</v>
      </c>
      <c r="R15" s="64">
        <v>9.7595375722543363</v>
      </c>
      <c r="S15" s="64">
        <v>341.58381502890177</v>
      </c>
      <c r="T15" s="64">
        <v>590.94000000000005</v>
      </c>
      <c r="U15" s="4">
        <v>21.36</v>
      </c>
      <c r="V15" s="64">
        <v>661.33500000000004</v>
      </c>
      <c r="W15" s="63"/>
      <c r="X15" s="63"/>
      <c r="Y15" s="64">
        <v>-3.5527136788005009E-14</v>
      </c>
      <c r="Z15" s="65">
        <v>42871</v>
      </c>
      <c r="AA15" s="66">
        <v>0</v>
      </c>
      <c r="AB15" s="58">
        <v>1.401</v>
      </c>
      <c r="AC15" s="62">
        <v>49.035000000000004</v>
      </c>
    </row>
    <row r="16" spans="1:29" ht="12.75" hidden="1" x14ac:dyDescent="0.2">
      <c r="A16" s="71" t="s">
        <v>123</v>
      </c>
      <c r="B16" s="58">
        <v>221</v>
      </c>
      <c r="C16" s="58" t="s">
        <v>100</v>
      </c>
      <c r="D16" s="71" t="s">
        <v>95</v>
      </c>
      <c r="E16" s="59" t="s">
        <v>131</v>
      </c>
      <c r="F16" s="58" t="s">
        <v>90</v>
      </c>
      <c r="G16" s="4">
        <v>1</v>
      </c>
      <c r="H16" s="60">
        <v>42891</v>
      </c>
      <c r="I16" s="60">
        <v>42895</v>
      </c>
      <c r="J16" s="61">
        <v>23</v>
      </c>
      <c r="K16" s="62">
        <v>4</v>
      </c>
      <c r="L16" s="63">
        <v>35</v>
      </c>
      <c r="N16" s="63"/>
      <c r="O16" s="4">
        <v>35</v>
      </c>
      <c r="P16" s="58">
        <v>16.884</v>
      </c>
      <c r="Q16" s="58">
        <v>1.73</v>
      </c>
      <c r="R16" s="64">
        <v>9.7595375722543363</v>
      </c>
      <c r="S16" s="64">
        <v>341.58381502890177</v>
      </c>
      <c r="T16" s="64">
        <v>590.94000000000005</v>
      </c>
      <c r="U16" s="4">
        <v>21.36</v>
      </c>
      <c r="V16" s="64">
        <v>661.33500000000004</v>
      </c>
      <c r="W16" s="63"/>
      <c r="X16" s="63"/>
      <c r="Y16" s="64">
        <v>-3.5527136788005009E-14</v>
      </c>
      <c r="Z16" s="65">
        <v>42772</v>
      </c>
      <c r="AA16" s="66">
        <v>3</v>
      </c>
      <c r="AB16" s="58">
        <v>1.401</v>
      </c>
      <c r="AC16" s="62">
        <v>49.035000000000004</v>
      </c>
    </row>
    <row r="17" spans="1:31" ht="12.75" hidden="1" x14ac:dyDescent="0.2">
      <c r="A17" s="71" t="s">
        <v>123</v>
      </c>
      <c r="B17" s="58">
        <v>221</v>
      </c>
      <c r="C17" s="58" t="s">
        <v>100</v>
      </c>
      <c r="D17" s="71" t="s">
        <v>95</v>
      </c>
      <c r="E17" s="59" t="s">
        <v>131</v>
      </c>
      <c r="F17" s="71" t="s">
        <v>90</v>
      </c>
      <c r="G17" s="4">
        <v>1</v>
      </c>
      <c r="H17" s="60">
        <v>42898</v>
      </c>
      <c r="I17" s="60">
        <v>42902</v>
      </c>
      <c r="J17" s="61">
        <v>24</v>
      </c>
      <c r="K17" s="62">
        <v>5</v>
      </c>
      <c r="L17" s="63">
        <v>35</v>
      </c>
      <c r="N17" s="63"/>
      <c r="O17" s="4">
        <v>35</v>
      </c>
      <c r="P17" s="58">
        <v>16.884</v>
      </c>
      <c r="Q17" s="58">
        <v>1.73</v>
      </c>
      <c r="R17" s="64">
        <v>9.7595375722543363</v>
      </c>
      <c r="S17" s="64">
        <v>341.58381502890177</v>
      </c>
      <c r="T17" s="64">
        <v>590.94000000000005</v>
      </c>
      <c r="U17" s="4">
        <v>26.7</v>
      </c>
      <c r="V17" s="64">
        <v>666.67500000000007</v>
      </c>
      <c r="W17" s="63"/>
      <c r="X17" s="63"/>
      <c r="Y17" s="64">
        <v>-3.5527136788005009E-14</v>
      </c>
      <c r="Z17" s="65">
        <v>42772</v>
      </c>
      <c r="AA17" s="66">
        <v>3</v>
      </c>
      <c r="AB17" s="58">
        <v>1.401</v>
      </c>
      <c r="AC17" s="62">
        <v>49.035000000000004</v>
      </c>
    </row>
    <row r="18" spans="1:31" ht="12.75" hidden="1" x14ac:dyDescent="0.2">
      <c r="A18" s="71" t="s">
        <v>123</v>
      </c>
      <c r="B18" s="58">
        <v>221</v>
      </c>
      <c r="C18" s="58" t="s">
        <v>100</v>
      </c>
      <c r="D18" s="71" t="s">
        <v>95</v>
      </c>
      <c r="E18" s="59" t="s">
        <v>131</v>
      </c>
      <c r="F18" s="71" t="s">
        <v>90</v>
      </c>
      <c r="G18" s="4">
        <v>1</v>
      </c>
      <c r="H18" s="60">
        <v>42905</v>
      </c>
      <c r="I18" s="60">
        <v>42909</v>
      </c>
      <c r="J18" s="61">
        <v>25</v>
      </c>
      <c r="K18" s="62">
        <v>5</v>
      </c>
      <c r="L18" s="63">
        <v>21</v>
      </c>
      <c r="N18" s="63"/>
      <c r="O18" s="4">
        <v>21</v>
      </c>
      <c r="P18" s="58">
        <v>16.884</v>
      </c>
      <c r="Q18" s="58">
        <v>1.73</v>
      </c>
      <c r="R18" s="64">
        <v>9.7595375722543363</v>
      </c>
      <c r="S18" s="64">
        <v>204.95028901734105</v>
      </c>
      <c r="T18" s="64">
        <v>354.56400000000002</v>
      </c>
      <c r="U18" s="4">
        <v>26.7</v>
      </c>
      <c r="V18" s="64">
        <v>410.685</v>
      </c>
      <c r="W18" s="63"/>
      <c r="X18" s="63"/>
      <c r="Y18" s="64">
        <v>-7.1054273576010019E-15</v>
      </c>
      <c r="Z18" s="65">
        <v>42772</v>
      </c>
      <c r="AA18" s="66">
        <v>3</v>
      </c>
      <c r="AB18" s="58">
        <v>1.401</v>
      </c>
      <c r="AC18" s="62">
        <v>29.420999999999999</v>
      </c>
    </row>
    <row r="19" spans="1:31" ht="12.75" hidden="1" x14ac:dyDescent="0.2">
      <c r="A19" s="71" t="s">
        <v>123</v>
      </c>
      <c r="B19" s="58">
        <v>221</v>
      </c>
      <c r="C19" s="58" t="s">
        <v>100</v>
      </c>
      <c r="D19" s="71" t="s">
        <v>62</v>
      </c>
      <c r="E19" s="59" t="s">
        <v>129</v>
      </c>
      <c r="F19" s="58" t="s">
        <v>129</v>
      </c>
      <c r="G19" s="4">
        <v>1</v>
      </c>
      <c r="H19" s="60">
        <v>42905</v>
      </c>
      <c r="I19" s="60">
        <v>42909</v>
      </c>
      <c r="J19" s="61">
        <v>25</v>
      </c>
      <c r="K19" s="62">
        <v>5</v>
      </c>
      <c r="L19" s="63">
        <v>35</v>
      </c>
      <c r="N19" s="63"/>
      <c r="O19" s="4">
        <v>35</v>
      </c>
      <c r="P19" s="58">
        <v>16.884</v>
      </c>
      <c r="Q19" s="58">
        <v>1.73</v>
      </c>
      <c r="R19" s="64">
        <v>9.7595375722543363</v>
      </c>
      <c r="S19" s="64">
        <v>341.58381502890177</v>
      </c>
      <c r="T19" s="64">
        <v>590.94000000000005</v>
      </c>
      <c r="U19" s="4">
        <v>26.7</v>
      </c>
      <c r="V19" s="64">
        <v>667.83000000000015</v>
      </c>
      <c r="W19" s="63"/>
      <c r="X19" s="63"/>
      <c r="Y19" s="64">
        <v>5.6843418860808015E-14</v>
      </c>
      <c r="Z19" s="65">
        <v>42871</v>
      </c>
      <c r="AA19" s="66">
        <v>0</v>
      </c>
      <c r="AB19" s="58">
        <v>1.4339999999999999</v>
      </c>
      <c r="AC19" s="62">
        <v>50.19</v>
      </c>
    </row>
    <row r="20" spans="1:31" ht="12.75" hidden="1" x14ac:dyDescent="0.2">
      <c r="A20" s="71" t="s">
        <v>123</v>
      </c>
      <c r="B20" s="58">
        <v>221</v>
      </c>
      <c r="C20" s="58" t="s">
        <v>100</v>
      </c>
      <c r="D20" s="71" t="s">
        <v>95</v>
      </c>
      <c r="E20" s="59" t="s">
        <v>131</v>
      </c>
      <c r="F20" s="71" t="s">
        <v>90</v>
      </c>
      <c r="G20" s="4">
        <v>1</v>
      </c>
      <c r="H20" s="60">
        <v>42912</v>
      </c>
      <c r="I20" s="60">
        <v>42916</v>
      </c>
      <c r="J20" s="61">
        <v>26</v>
      </c>
      <c r="K20" s="62">
        <v>5</v>
      </c>
      <c r="L20" s="63">
        <v>35</v>
      </c>
      <c r="N20" s="63"/>
      <c r="O20" s="4">
        <v>35</v>
      </c>
      <c r="P20" s="58">
        <v>16.884</v>
      </c>
      <c r="Q20" s="58">
        <v>1.73</v>
      </c>
      <c r="R20" s="64">
        <v>9.7595375722543363</v>
      </c>
      <c r="S20" s="64">
        <v>341.58381502890177</v>
      </c>
      <c r="T20" s="64">
        <v>590.94000000000005</v>
      </c>
      <c r="U20" s="4">
        <v>26.7</v>
      </c>
      <c r="V20" s="64">
        <v>666.67500000000007</v>
      </c>
      <c r="W20" s="63"/>
      <c r="X20" s="63"/>
      <c r="Y20" s="64">
        <v>-3.5527136788005009E-14</v>
      </c>
      <c r="Z20" s="65">
        <v>42772</v>
      </c>
      <c r="AA20" s="66">
        <v>3</v>
      </c>
      <c r="AB20" s="58">
        <v>1.401</v>
      </c>
      <c r="AC20" s="62">
        <v>49.035000000000004</v>
      </c>
    </row>
    <row r="21" spans="1:31" ht="12.75" hidden="1" x14ac:dyDescent="0.2">
      <c r="A21" s="71" t="s">
        <v>123</v>
      </c>
      <c r="B21" s="58">
        <v>221</v>
      </c>
      <c r="C21" s="58" t="s">
        <v>100</v>
      </c>
      <c r="D21" s="71" t="s">
        <v>62</v>
      </c>
      <c r="E21" s="59" t="s">
        <v>128</v>
      </c>
      <c r="F21" s="71" t="s">
        <v>128</v>
      </c>
      <c r="G21" s="4">
        <v>1</v>
      </c>
      <c r="H21" s="60">
        <v>42898</v>
      </c>
      <c r="I21" s="60">
        <v>42902</v>
      </c>
      <c r="J21" s="61">
        <v>24</v>
      </c>
      <c r="K21" s="62">
        <v>5</v>
      </c>
      <c r="L21" s="63">
        <v>35</v>
      </c>
      <c r="N21" s="63"/>
      <c r="O21" s="4">
        <v>35</v>
      </c>
      <c r="P21" s="58">
        <v>16.884</v>
      </c>
      <c r="Q21" s="58">
        <v>1.73</v>
      </c>
      <c r="R21" s="64">
        <v>9.7595375722543363</v>
      </c>
      <c r="S21" s="64">
        <v>341.58381502890177</v>
      </c>
      <c r="T21" s="64">
        <v>590.94000000000005</v>
      </c>
      <c r="U21" s="4">
        <v>26.7</v>
      </c>
      <c r="V21" s="64">
        <v>666.67500000000007</v>
      </c>
      <c r="W21" s="63"/>
      <c r="X21" s="63"/>
      <c r="Y21" s="64">
        <v>-3.5527136788005009E-14</v>
      </c>
      <c r="Z21" s="65">
        <v>42871</v>
      </c>
      <c r="AA21" s="66">
        <v>0</v>
      </c>
      <c r="AB21" s="58">
        <v>1.401</v>
      </c>
      <c r="AC21" s="62">
        <v>49.035000000000004</v>
      </c>
    </row>
    <row r="22" spans="1:31" ht="12.75" hidden="1" x14ac:dyDescent="0.2">
      <c r="A22" s="71" t="s">
        <v>123</v>
      </c>
      <c r="B22" s="58">
        <v>221</v>
      </c>
      <c r="C22" s="58" t="s">
        <v>100</v>
      </c>
      <c r="D22" s="71" t="s">
        <v>62</v>
      </c>
      <c r="E22" s="59" t="s">
        <v>128</v>
      </c>
      <c r="F22" s="71" t="s">
        <v>128</v>
      </c>
      <c r="G22" s="4">
        <v>1</v>
      </c>
      <c r="H22" s="60">
        <v>42905</v>
      </c>
      <c r="I22" s="60">
        <v>42909</v>
      </c>
      <c r="J22" s="61">
        <v>25</v>
      </c>
      <c r="K22" s="62">
        <v>5</v>
      </c>
      <c r="L22" s="63">
        <v>35</v>
      </c>
      <c r="N22" s="63"/>
      <c r="O22" s="4">
        <v>35</v>
      </c>
      <c r="P22" s="58">
        <v>16.884</v>
      </c>
      <c r="Q22" s="58">
        <v>1.73</v>
      </c>
      <c r="R22" s="64">
        <v>9.7595375722543363</v>
      </c>
      <c r="S22" s="64">
        <v>341.58381502890177</v>
      </c>
      <c r="T22" s="64">
        <v>590.94000000000005</v>
      </c>
      <c r="U22" s="4">
        <v>26.7</v>
      </c>
      <c r="V22" s="64">
        <v>666.67500000000007</v>
      </c>
      <c r="W22" s="63"/>
      <c r="X22" s="63"/>
      <c r="Y22" s="64">
        <v>-3.5527136788005009E-14</v>
      </c>
      <c r="Z22" s="65">
        <v>42871</v>
      </c>
      <c r="AA22" s="66">
        <v>0</v>
      </c>
      <c r="AB22" s="58">
        <v>1.401</v>
      </c>
      <c r="AC22" s="62">
        <v>49.035000000000004</v>
      </c>
    </row>
    <row r="23" spans="1:31" ht="12.75" hidden="1" x14ac:dyDescent="0.2">
      <c r="A23" s="71" t="s">
        <v>123</v>
      </c>
      <c r="B23" s="58">
        <v>221</v>
      </c>
      <c r="C23" s="58" t="s">
        <v>100</v>
      </c>
      <c r="D23" s="71" t="s">
        <v>62</v>
      </c>
      <c r="E23" s="59" t="s">
        <v>128</v>
      </c>
      <c r="F23" s="71" t="s">
        <v>128</v>
      </c>
      <c r="G23" s="4">
        <v>1</v>
      </c>
      <c r="H23" s="60">
        <v>42912</v>
      </c>
      <c r="I23" s="60">
        <v>42916</v>
      </c>
      <c r="J23" s="61">
        <v>26</v>
      </c>
      <c r="K23" s="62">
        <v>5</v>
      </c>
      <c r="L23" s="63">
        <v>35</v>
      </c>
      <c r="N23" s="63"/>
      <c r="O23" s="4">
        <v>35</v>
      </c>
      <c r="P23" s="58">
        <v>16.884</v>
      </c>
      <c r="Q23" s="58">
        <v>1.73</v>
      </c>
      <c r="R23" s="64">
        <v>9.7595375722543363</v>
      </c>
      <c r="S23" s="64">
        <v>341.58381502890177</v>
      </c>
      <c r="T23" s="64">
        <v>590.94000000000005</v>
      </c>
      <c r="U23" s="4">
        <v>26.7</v>
      </c>
      <c r="V23" s="64">
        <v>666.67500000000007</v>
      </c>
      <c r="W23" s="63"/>
      <c r="X23" s="63"/>
      <c r="Y23" s="64">
        <v>-3.5527136788005009E-14</v>
      </c>
      <c r="Z23" s="65">
        <v>42871</v>
      </c>
      <c r="AA23" s="66">
        <v>0</v>
      </c>
      <c r="AB23" s="58">
        <v>1.401</v>
      </c>
      <c r="AC23" s="62">
        <v>49.035000000000004</v>
      </c>
    </row>
    <row r="24" spans="1:31" ht="12.75" x14ac:dyDescent="0.2">
      <c r="A24" s="71" t="s">
        <v>123</v>
      </c>
      <c r="B24" s="58">
        <v>221</v>
      </c>
      <c r="C24" s="58" t="s">
        <v>100</v>
      </c>
      <c r="D24" s="71" t="s">
        <v>62</v>
      </c>
      <c r="E24" s="59" t="s">
        <v>128</v>
      </c>
      <c r="F24" s="71" t="s">
        <v>128</v>
      </c>
      <c r="G24" s="4">
        <v>1</v>
      </c>
      <c r="H24" s="60">
        <v>42887</v>
      </c>
      <c r="I24" s="60">
        <v>42888</v>
      </c>
      <c r="J24" s="61">
        <v>22</v>
      </c>
      <c r="K24" s="62">
        <v>2</v>
      </c>
      <c r="L24" s="63">
        <v>14</v>
      </c>
      <c r="N24" s="63"/>
      <c r="O24" s="4">
        <v>14</v>
      </c>
      <c r="P24" s="58">
        <v>16.884</v>
      </c>
      <c r="Q24" s="58">
        <v>1.73</v>
      </c>
      <c r="R24" s="64">
        <v>9.7595375722543363</v>
      </c>
      <c r="S24" s="64">
        <v>136.63352601156072</v>
      </c>
      <c r="T24" s="64">
        <v>236.376</v>
      </c>
      <c r="U24" s="4">
        <v>10.68</v>
      </c>
      <c r="V24" s="64">
        <v>266.67</v>
      </c>
      <c r="W24" s="63"/>
      <c r="X24" s="63"/>
      <c r="Y24" s="64">
        <v>3.5527136788005009E-15</v>
      </c>
      <c r="Z24" s="65">
        <v>42871</v>
      </c>
      <c r="AA24" s="66">
        <v>0</v>
      </c>
      <c r="AB24" s="58">
        <v>1.401</v>
      </c>
      <c r="AC24" s="62">
        <v>19.614000000000001</v>
      </c>
    </row>
    <row r="25" spans="1:31" ht="12.75" hidden="1" x14ac:dyDescent="0.2">
      <c r="A25" s="71" t="s">
        <v>123</v>
      </c>
      <c r="B25" s="58">
        <v>221</v>
      </c>
      <c r="C25" s="58" t="s">
        <v>100</v>
      </c>
      <c r="D25" s="71" t="s">
        <v>92</v>
      </c>
      <c r="E25" s="59" t="s">
        <v>126</v>
      </c>
      <c r="F25" s="71" t="s">
        <v>126</v>
      </c>
      <c r="G25" s="4">
        <v>1</v>
      </c>
      <c r="H25" s="60">
        <v>42887</v>
      </c>
      <c r="I25" s="60">
        <v>42888</v>
      </c>
      <c r="J25" s="61">
        <v>22</v>
      </c>
      <c r="K25" s="62">
        <v>2</v>
      </c>
      <c r="L25" s="63">
        <v>14</v>
      </c>
      <c r="N25" s="63"/>
      <c r="O25" s="4">
        <v>14</v>
      </c>
      <c r="P25" s="58">
        <v>16.884</v>
      </c>
      <c r="Q25" s="58">
        <v>1.73</v>
      </c>
      <c r="R25" s="64">
        <v>9.7595375722543363</v>
      </c>
      <c r="S25" s="64">
        <v>136.63352601156072</v>
      </c>
      <c r="T25" s="64">
        <v>236.376</v>
      </c>
      <c r="U25" s="4">
        <v>10.68</v>
      </c>
      <c r="V25" s="64">
        <v>266.65600000000001</v>
      </c>
      <c r="W25" s="63"/>
      <c r="X25" s="63"/>
      <c r="Y25" s="64">
        <v>-3.5527136788005009E-15</v>
      </c>
      <c r="Z25" s="65">
        <v>42737</v>
      </c>
      <c r="AA25" s="66">
        <v>4</v>
      </c>
      <c r="AB25" s="58">
        <v>1.4</v>
      </c>
      <c r="AC25" s="62">
        <v>19.599999999999998</v>
      </c>
      <c r="AD25" s="4">
        <v>0</v>
      </c>
      <c r="AE25" s="4">
        <v>0</v>
      </c>
    </row>
    <row r="26" spans="1:31" ht="12.75" hidden="1" x14ac:dyDescent="0.2">
      <c r="A26" s="71" t="s">
        <v>123</v>
      </c>
      <c r="B26" s="58">
        <v>221</v>
      </c>
      <c r="C26" s="58" t="s">
        <v>100</v>
      </c>
      <c r="D26" s="71" t="s">
        <v>85</v>
      </c>
      <c r="E26" s="59" t="s">
        <v>77</v>
      </c>
      <c r="F26" s="58" t="s">
        <v>89</v>
      </c>
      <c r="G26" s="4">
        <v>1</v>
      </c>
      <c r="H26" s="60">
        <v>42888</v>
      </c>
      <c r="I26" s="60">
        <v>42888</v>
      </c>
      <c r="J26" s="61">
        <v>22</v>
      </c>
      <c r="K26" s="62">
        <v>1</v>
      </c>
      <c r="L26" s="63">
        <v>7</v>
      </c>
      <c r="N26" s="63"/>
      <c r="O26" s="4">
        <v>7</v>
      </c>
      <c r="P26" s="58">
        <v>17.161000000000001</v>
      </c>
      <c r="Q26" s="58">
        <v>1.73</v>
      </c>
      <c r="R26" s="64">
        <v>9.9196531791907532</v>
      </c>
      <c r="S26" s="64">
        <v>69.437572254335265</v>
      </c>
      <c r="T26" s="64">
        <v>120.12700000000001</v>
      </c>
      <c r="U26" s="4">
        <v>5.34</v>
      </c>
      <c r="V26" s="64">
        <v>135.47000000000003</v>
      </c>
      <c r="W26" s="63"/>
      <c r="X26" s="63"/>
      <c r="Y26" s="64">
        <v>1.4210854715202004E-14</v>
      </c>
      <c r="Z26" s="65">
        <v>42877</v>
      </c>
      <c r="AA26" s="66">
        <v>0</v>
      </c>
      <c r="AB26" s="58">
        <v>1.429</v>
      </c>
      <c r="AC26" s="62">
        <v>10.003</v>
      </c>
      <c r="AD26" s="4">
        <v>0</v>
      </c>
      <c r="AE26" s="4">
        <v>0</v>
      </c>
    </row>
    <row r="27" spans="1:31" ht="12.75" hidden="1" x14ac:dyDescent="0.2">
      <c r="A27" s="71" t="s">
        <v>123</v>
      </c>
      <c r="B27" s="58">
        <v>221</v>
      </c>
      <c r="C27" s="58" t="s">
        <v>100</v>
      </c>
      <c r="D27" s="71" t="s">
        <v>95</v>
      </c>
      <c r="E27" s="59" t="s">
        <v>132</v>
      </c>
      <c r="F27" s="58" t="s">
        <v>133</v>
      </c>
      <c r="G27" s="4">
        <v>1</v>
      </c>
      <c r="H27" s="60">
        <v>42887</v>
      </c>
      <c r="I27" s="60">
        <v>42888</v>
      </c>
      <c r="J27" s="61">
        <v>22</v>
      </c>
      <c r="K27" s="62">
        <v>2</v>
      </c>
      <c r="L27" s="63">
        <v>14</v>
      </c>
      <c r="N27" s="63"/>
      <c r="O27" s="4">
        <v>14</v>
      </c>
      <c r="P27" s="58">
        <v>17.161000000000001</v>
      </c>
      <c r="Q27" s="58">
        <v>1.73</v>
      </c>
      <c r="R27" s="64">
        <v>9.9196531791907532</v>
      </c>
      <c r="S27" s="64">
        <v>138.87514450867053</v>
      </c>
      <c r="T27" s="64">
        <v>240.25400000000002</v>
      </c>
      <c r="U27" s="4">
        <v>10.68</v>
      </c>
      <c r="V27" s="64">
        <v>270.95400000000001</v>
      </c>
      <c r="W27" s="63"/>
      <c r="X27" s="63"/>
      <c r="Y27" s="64">
        <v>-1.7763568394002505E-14</v>
      </c>
      <c r="Z27" s="65">
        <v>42688</v>
      </c>
      <c r="AA27" s="66">
        <v>6</v>
      </c>
      <c r="AB27" s="58">
        <v>1.43</v>
      </c>
      <c r="AC27" s="62">
        <v>20.02</v>
      </c>
      <c r="AD27" s="4">
        <v>0</v>
      </c>
      <c r="AE27" s="4">
        <v>0</v>
      </c>
    </row>
    <row r="28" spans="1:31" ht="12.75" hidden="1" x14ac:dyDescent="0.2">
      <c r="A28" s="71" t="s">
        <v>123</v>
      </c>
      <c r="B28" s="58">
        <v>221</v>
      </c>
      <c r="C28" s="58" t="s">
        <v>100</v>
      </c>
      <c r="D28" s="71" t="s">
        <v>92</v>
      </c>
      <c r="E28" s="59" t="s">
        <v>127</v>
      </c>
      <c r="F28" s="71" t="s">
        <v>127</v>
      </c>
      <c r="G28" s="4">
        <v>1</v>
      </c>
      <c r="H28" s="60">
        <v>42887</v>
      </c>
      <c r="I28" s="60">
        <v>42888</v>
      </c>
      <c r="J28" s="61">
        <v>22</v>
      </c>
      <c r="K28" s="62">
        <v>2</v>
      </c>
      <c r="L28" s="63">
        <v>14</v>
      </c>
      <c r="N28" s="63"/>
      <c r="O28" s="4">
        <v>14</v>
      </c>
      <c r="P28" s="58">
        <v>17.161000000000001</v>
      </c>
      <c r="Q28" s="58">
        <v>1.73</v>
      </c>
      <c r="R28" s="64">
        <v>9.9196531791907532</v>
      </c>
      <c r="S28" s="64">
        <v>138.87514450867053</v>
      </c>
      <c r="T28" s="64">
        <v>240.25400000000002</v>
      </c>
      <c r="U28" s="4">
        <v>10.68</v>
      </c>
      <c r="V28" s="64">
        <v>271.09400000000005</v>
      </c>
      <c r="W28" s="63"/>
      <c r="X28" s="63"/>
      <c r="Y28" s="64">
        <v>2.4868995751603507E-14</v>
      </c>
      <c r="Z28" s="65">
        <v>42671</v>
      </c>
      <c r="AA28" s="66">
        <v>7</v>
      </c>
      <c r="AB28" s="58">
        <v>1.44</v>
      </c>
      <c r="AC28" s="62">
        <v>20.16</v>
      </c>
      <c r="AD28" s="4">
        <v>0</v>
      </c>
      <c r="AE28" s="4">
        <v>0</v>
      </c>
    </row>
    <row r="29" spans="1:31" ht="12.75" hidden="1" x14ac:dyDescent="0.2">
      <c r="A29" s="71" t="s">
        <v>123</v>
      </c>
      <c r="B29" s="58">
        <v>221</v>
      </c>
      <c r="C29" s="58" t="s">
        <v>100</v>
      </c>
      <c r="D29" s="71" t="s">
        <v>92</v>
      </c>
      <c r="E29" s="59" t="s">
        <v>124</v>
      </c>
      <c r="F29" s="58" t="s">
        <v>124</v>
      </c>
      <c r="G29" s="4">
        <v>1</v>
      </c>
      <c r="H29" s="60">
        <v>42887</v>
      </c>
      <c r="I29" s="60">
        <v>42888</v>
      </c>
      <c r="J29" s="61">
        <v>22</v>
      </c>
      <c r="K29" s="62">
        <v>2</v>
      </c>
      <c r="L29" s="63">
        <v>14</v>
      </c>
      <c r="N29" s="63"/>
      <c r="O29" s="4">
        <v>14</v>
      </c>
      <c r="P29" s="58">
        <v>17.161000000000001</v>
      </c>
      <c r="Q29" s="58">
        <v>1.73</v>
      </c>
      <c r="R29" s="64">
        <v>9.9196531791907532</v>
      </c>
      <c r="S29" s="64">
        <v>138.87514450867053</v>
      </c>
      <c r="T29" s="64">
        <v>240.25400000000002</v>
      </c>
      <c r="U29" s="4">
        <v>10.68</v>
      </c>
      <c r="V29" s="64">
        <v>271.09400000000005</v>
      </c>
      <c r="W29" s="63"/>
      <c r="X29" s="63"/>
      <c r="Y29" s="64">
        <v>2.4868995751603507E-14</v>
      </c>
      <c r="Z29" s="65">
        <v>42768</v>
      </c>
      <c r="AA29" s="66">
        <v>3</v>
      </c>
      <c r="AB29" s="58">
        <v>1.44</v>
      </c>
      <c r="AC29" s="62">
        <v>20.16</v>
      </c>
      <c r="AD29" s="4">
        <v>0</v>
      </c>
      <c r="AE29" s="4">
        <v>0</v>
      </c>
    </row>
    <row r="30" spans="1:31" ht="12.75" hidden="1" x14ac:dyDescent="0.2">
      <c r="A30" s="71" t="s">
        <v>123</v>
      </c>
      <c r="B30" s="58">
        <v>221</v>
      </c>
      <c r="C30" s="58" t="s">
        <v>100</v>
      </c>
      <c r="D30" s="71" t="s">
        <v>92</v>
      </c>
      <c r="E30" s="59" t="s">
        <v>125</v>
      </c>
      <c r="F30" s="71" t="s">
        <v>125</v>
      </c>
      <c r="G30" s="4">
        <v>1</v>
      </c>
      <c r="H30" s="60">
        <v>42887</v>
      </c>
      <c r="I30" s="60">
        <v>42888</v>
      </c>
      <c r="J30" s="61">
        <v>22</v>
      </c>
      <c r="K30" s="62">
        <v>2</v>
      </c>
      <c r="L30" s="63">
        <v>14</v>
      </c>
      <c r="N30" s="63"/>
      <c r="O30" s="4">
        <v>14</v>
      </c>
      <c r="P30" s="58">
        <v>17.161000000000001</v>
      </c>
      <c r="Q30" s="58">
        <v>1.73</v>
      </c>
      <c r="R30" s="64">
        <v>9.9196531791907532</v>
      </c>
      <c r="S30" s="64">
        <v>138.87514450867053</v>
      </c>
      <c r="T30" s="64">
        <v>240.25400000000002</v>
      </c>
      <c r="U30" s="4">
        <v>10.68</v>
      </c>
      <c r="V30" s="64">
        <v>271.09400000000005</v>
      </c>
      <c r="W30" s="63"/>
      <c r="X30" s="63"/>
      <c r="Y30" s="64">
        <v>2.4868995751603507E-14</v>
      </c>
      <c r="Z30" s="65">
        <v>42482</v>
      </c>
      <c r="AA30" s="66">
        <v>13</v>
      </c>
      <c r="AB30" s="58">
        <v>1.44</v>
      </c>
      <c r="AC30" s="62">
        <v>20.16</v>
      </c>
      <c r="AD30" s="4">
        <v>0</v>
      </c>
      <c r="AE30" s="4">
        <v>0</v>
      </c>
    </row>
    <row r="31" spans="1:31" ht="12.75" hidden="1" x14ac:dyDescent="0.2">
      <c r="A31" s="71" t="s">
        <v>123</v>
      </c>
      <c r="B31" s="58">
        <v>221</v>
      </c>
      <c r="C31" s="58" t="s">
        <v>100</v>
      </c>
      <c r="D31" s="71" t="s">
        <v>92</v>
      </c>
      <c r="E31" s="59" t="s">
        <v>126</v>
      </c>
      <c r="F31" s="71" t="s">
        <v>126</v>
      </c>
      <c r="G31" s="4">
        <v>1</v>
      </c>
      <c r="H31" s="60">
        <v>42891</v>
      </c>
      <c r="I31" s="60">
        <v>42895</v>
      </c>
      <c r="J31" s="61">
        <v>23</v>
      </c>
      <c r="K31" s="62">
        <v>4</v>
      </c>
      <c r="L31" s="63">
        <v>35</v>
      </c>
      <c r="N31" s="63"/>
      <c r="O31" s="4">
        <v>35</v>
      </c>
      <c r="P31" s="58">
        <v>16.884</v>
      </c>
      <c r="Q31" s="58">
        <v>1.73</v>
      </c>
      <c r="R31" s="64">
        <v>9.7595375722543363</v>
      </c>
      <c r="S31" s="64">
        <v>341.58381502890177</v>
      </c>
      <c r="T31" s="64">
        <v>590.94000000000005</v>
      </c>
      <c r="U31" s="4">
        <v>21.36</v>
      </c>
      <c r="V31" s="64">
        <v>661.30000000000007</v>
      </c>
      <c r="W31" s="63"/>
      <c r="X31" s="63"/>
      <c r="Y31" s="64">
        <v>0</v>
      </c>
      <c r="Z31" s="65">
        <v>42737</v>
      </c>
      <c r="AA31" s="66">
        <v>4</v>
      </c>
      <c r="AB31" s="58">
        <v>1.4</v>
      </c>
      <c r="AC31" s="62">
        <v>49</v>
      </c>
      <c r="AD31" s="4">
        <v>0</v>
      </c>
      <c r="AE31" s="4">
        <v>0</v>
      </c>
    </row>
    <row r="32" spans="1:31" ht="12.75" hidden="1" x14ac:dyDescent="0.2">
      <c r="A32" s="71" t="s">
        <v>123</v>
      </c>
      <c r="B32" s="58">
        <v>221</v>
      </c>
      <c r="C32" s="58" t="s">
        <v>100</v>
      </c>
      <c r="D32" s="71" t="s">
        <v>85</v>
      </c>
      <c r="E32" s="59" t="s">
        <v>77</v>
      </c>
      <c r="F32" s="58" t="s">
        <v>89</v>
      </c>
      <c r="G32" s="4">
        <v>1</v>
      </c>
      <c r="H32" s="60">
        <v>42891</v>
      </c>
      <c r="I32" s="60">
        <v>42895</v>
      </c>
      <c r="J32" s="61">
        <v>23</v>
      </c>
      <c r="K32" s="62">
        <v>4</v>
      </c>
      <c r="L32" s="63">
        <v>35</v>
      </c>
      <c r="N32" s="63"/>
      <c r="O32" s="4">
        <v>35</v>
      </c>
      <c r="P32" s="58">
        <v>17.161000000000001</v>
      </c>
      <c r="Q32" s="58">
        <v>1.73</v>
      </c>
      <c r="R32" s="64">
        <v>9.9196531791907532</v>
      </c>
      <c r="S32" s="64">
        <v>347.18786127167635</v>
      </c>
      <c r="T32" s="64">
        <v>600.63499999999999</v>
      </c>
      <c r="U32" s="4">
        <v>21.36</v>
      </c>
      <c r="V32" s="64">
        <v>672.01</v>
      </c>
      <c r="W32" s="63"/>
      <c r="X32" s="63"/>
      <c r="Y32" s="64">
        <v>-1.4210854715202004E-14</v>
      </c>
      <c r="Z32" s="65">
        <v>42877</v>
      </c>
      <c r="AA32" s="66">
        <v>0</v>
      </c>
      <c r="AB32" s="58">
        <v>1.429</v>
      </c>
      <c r="AC32" s="62">
        <v>50.015000000000001</v>
      </c>
      <c r="AD32" s="4">
        <v>0</v>
      </c>
      <c r="AE32" s="4">
        <v>0</v>
      </c>
    </row>
    <row r="33" spans="1:31" ht="12.75" hidden="1" x14ac:dyDescent="0.2">
      <c r="A33" s="71" t="s">
        <v>123</v>
      </c>
      <c r="B33" s="58">
        <v>221</v>
      </c>
      <c r="C33" s="58" t="s">
        <v>100</v>
      </c>
      <c r="D33" s="71" t="s">
        <v>95</v>
      </c>
      <c r="E33" s="59" t="s">
        <v>132</v>
      </c>
      <c r="F33" s="71" t="s">
        <v>133</v>
      </c>
      <c r="G33" s="4">
        <v>1</v>
      </c>
      <c r="H33" s="60">
        <v>42891</v>
      </c>
      <c r="I33" s="60">
        <v>42895</v>
      </c>
      <c r="J33" s="61">
        <v>23</v>
      </c>
      <c r="K33" s="62">
        <v>4</v>
      </c>
      <c r="L33" s="63">
        <v>35</v>
      </c>
      <c r="N33" s="63">
        <v>4</v>
      </c>
      <c r="O33" s="4">
        <v>39</v>
      </c>
      <c r="P33" s="58">
        <v>17.161000000000001</v>
      </c>
      <c r="Q33" s="58">
        <v>1.73</v>
      </c>
      <c r="R33" s="64">
        <v>9.9196531791907532</v>
      </c>
      <c r="S33" s="64">
        <v>347.18786127167635</v>
      </c>
      <c r="T33" s="64">
        <v>600.63499999999999</v>
      </c>
      <c r="U33" s="4">
        <v>21.36</v>
      </c>
      <c r="V33" s="64">
        <v>757.85</v>
      </c>
      <c r="W33" s="63"/>
      <c r="X33" s="63"/>
      <c r="Y33" s="64">
        <v>85.805000000000021</v>
      </c>
      <c r="Z33" s="65">
        <v>42688</v>
      </c>
      <c r="AA33" s="66">
        <v>6</v>
      </c>
      <c r="AB33" s="58">
        <v>1.43</v>
      </c>
      <c r="AC33" s="62">
        <v>50.05</v>
      </c>
      <c r="AD33" s="4">
        <v>0</v>
      </c>
      <c r="AE33" s="4">
        <v>0</v>
      </c>
    </row>
    <row r="34" spans="1:31" ht="12.75" hidden="1" x14ac:dyDescent="0.2">
      <c r="A34" s="71" t="s">
        <v>123</v>
      </c>
      <c r="B34" s="58">
        <v>221</v>
      </c>
      <c r="C34" s="58" t="s">
        <v>100</v>
      </c>
      <c r="D34" s="71" t="s">
        <v>92</v>
      </c>
      <c r="E34" s="59" t="s">
        <v>127</v>
      </c>
      <c r="F34" s="71" t="s">
        <v>127</v>
      </c>
      <c r="G34" s="4">
        <v>1</v>
      </c>
      <c r="H34" s="60">
        <v>42891</v>
      </c>
      <c r="I34" s="60">
        <v>42895</v>
      </c>
      <c r="J34" s="61">
        <v>23</v>
      </c>
      <c r="K34" s="62">
        <v>4</v>
      </c>
      <c r="L34" s="63">
        <v>35</v>
      </c>
      <c r="N34" s="63">
        <v>1</v>
      </c>
      <c r="O34" s="4">
        <v>36</v>
      </c>
      <c r="P34" s="58">
        <v>17.161000000000001</v>
      </c>
      <c r="Q34" s="58">
        <v>1.73</v>
      </c>
      <c r="R34" s="64">
        <v>9.9196531791907532</v>
      </c>
      <c r="S34" s="64">
        <v>347.18786127167635</v>
      </c>
      <c r="T34" s="64">
        <v>600.63499999999999</v>
      </c>
      <c r="U34" s="4">
        <v>21.36</v>
      </c>
      <c r="V34" s="64">
        <v>693.84624999999994</v>
      </c>
      <c r="W34" s="63"/>
      <c r="X34" s="63"/>
      <c r="Y34" s="64">
        <v>21.451249999999938</v>
      </c>
      <c r="Z34" s="65">
        <v>42671</v>
      </c>
      <c r="AA34" s="66">
        <v>7</v>
      </c>
      <c r="AB34" s="58">
        <v>1.44</v>
      </c>
      <c r="AC34" s="62">
        <v>50.4</v>
      </c>
      <c r="AD34" s="4">
        <v>0</v>
      </c>
      <c r="AE34" s="4">
        <v>0</v>
      </c>
    </row>
    <row r="35" spans="1:31" ht="12.75" hidden="1" x14ac:dyDescent="0.2">
      <c r="A35" s="71" t="s">
        <v>123</v>
      </c>
      <c r="B35" s="58">
        <v>221</v>
      </c>
      <c r="C35" s="58" t="s">
        <v>100</v>
      </c>
      <c r="D35" s="71" t="s">
        <v>92</v>
      </c>
      <c r="E35" s="59" t="s">
        <v>124</v>
      </c>
      <c r="F35" s="71" t="s">
        <v>124</v>
      </c>
      <c r="G35" s="4">
        <v>1</v>
      </c>
      <c r="H35" s="60">
        <v>42891</v>
      </c>
      <c r="I35" s="60">
        <v>42895</v>
      </c>
      <c r="J35" s="61">
        <v>23</v>
      </c>
      <c r="K35" s="62">
        <v>4</v>
      </c>
      <c r="L35" s="63">
        <v>35</v>
      </c>
      <c r="N35" s="63"/>
      <c r="O35" s="4">
        <v>35</v>
      </c>
      <c r="P35" s="58">
        <v>17.161000000000001</v>
      </c>
      <c r="Q35" s="58">
        <v>1.73</v>
      </c>
      <c r="R35" s="64">
        <v>9.9196531791907532</v>
      </c>
      <c r="S35" s="64">
        <v>347.18786127167635</v>
      </c>
      <c r="T35" s="64">
        <v>600.63499999999999</v>
      </c>
      <c r="U35" s="4">
        <v>21.36</v>
      </c>
      <c r="V35" s="64">
        <v>672.39499999999998</v>
      </c>
      <c r="W35" s="63"/>
      <c r="X35" s="63"/>
      <c r="Y35" s="64">
        <v>-2.1316282072803006E-14</v>
      </c>
      <c r="Z35" s="65">
        <v>42768</v>
      </c>
      <c r="AA35" s="66">
        <v>3</v>
      </c>
      <c r="AB35" s="58">
        <v>1.44</v>
      </c>
      <c r="AC35" s="62">
        <v>50.4</v>
      </c>
      <c r="AD35" s="4">
        <v>0</v>
      </c>
      <c r="AE35" s="4">
        <v>0</v>
      </c>
    </row>
    <row r="36" spans="1:31" ht="12.75" hidden="1" x14ac:dyDescent="0.2">
      <c r="A36" s="71" t="s">
        <v>123</v>
      </c>
      <c r="B36" s="58">
        <v>221</v>
      </c>
      <c r="C36" s="58" t="s">
        <v>100</v>
      </c>
      <c r="D36" s="71" t="s">
        <v>92</v>
      </c>
      <c r="E36" s="59" t="s">
        <v>125</v>
      </c>
      <c r="F36" s="71" t="s">
        <v>125</v>
      </c>
      <c r="G36" s="4">
        <v>1</v>
      </c>
      <c r="H36" s="60">
        <v>42891</v>
      </c>
      <c r="I36" s="60">
        <v>42895</v>
      </c>
      <c r="J36" s="61">
        <v>23</v>
      </c>
      <c r="K36" s="62">
        <v>4</v>
      </c>
      <c r="L36" s="63">
        <v>35</v>
      </c>
      <c r="N36" s="63"/>
      <c r="O36" s="4">
        <v>35</v>
      </c>
      <c r="P36" s="58">
        <v>17.161000000000001</v>
      </c>
      <c r="Q36" s="58">
        <v>1.73</v>
      </c>
      <c r="R36" s="64">
        <v>9.9196531791907532</v>
      </c>
      <c r="S36" s="64">
        <v>347.18786127167635</v>
      </c>
      <c r="T36" s="64">
        <v>600.63499999999999</v>
      </c>
      <c r="U36" s="4">
        <v>21.36</v>
      </c>
      <c r="V36" s="64">
        <v>672.39499999999998</v>
      </c>
      <c r="W36" s="63"/>
      <c r="X36" s="63"/>
      <c r="Y36" s="64">
        <v>-2.1316282072803006E-14</v>
      </c>
      <c r="Z36" s="65">
        <v>42482</v>
      </c>
      <c r="AA36" s="66">
        <v>13</v>
      </c>
      <c r="AB36" s="58">
        <v>1.44</v>
      </c>
      <c r="AC36" s="62">
        <v>50.4</v>
      </c>
      <c r="AD36" s="4">
        <v>0</v>
      </c>
      <c r="AE36" s="4">
        <v>0</v>
      </c>
    </row>
    <row r="37" spans="1:31" ht="12.75" hidden="1" x14ac:dyDescent="0.2">
      <c r="A37" s="71" t="s">
        <v>123</v>
      </c>
      <c r="B37" s="58">
        <v>221</v>
      </c>
      <c r="C37" s="58" t="s">
        <v>100</v>
      </c>
      <c r="D37" s="71" t="s">
        <v>92</v>
      </c>
      <c r="E37" s="59" t="s">
        <v>126</v>
      </c>
      <c r="F37" s="71" t="s">
        <v>126</v>
      </c>
      <c r="G37" s="4">
        <v>1</v>
      </c>
      <c r="H37" s="60">
        <v>42898</v>
      </c>
      <c r="I37" s="60">
        <v>42902</v>
      </c>
      <c r="J37" s="61">
        <v>24</v>
      </c>
      <c r="K37" s="62">
        <v>5</v>
      </c>
      <c r="L37" s="63">
        <v>35</v>
      </c>
      <c r="N37" s="63"/>
      <c r="O37" s="4">
        <v>35</v>
      </c>
      <c r="P37" s="58">
        <v>16.884</v>
      </c>
      <c r="Q37" s="58">
        <v>1.73</v>
      </c>
      <c r="R37" s="64">
        <v>9.7595375722543363</v>
      </c>
      <c r="S37" s="64">
        <v>341.58381502890177</v>
      </c>
      <c r="T37" s="64">
        <v>590.94000000000005</v>
      </c>
      <c r="U37" s="4">
        <v>26.7</v>
      </c>
      <c r="V37" s="64">
        <v>666.6400000000001</v>
      </c>
      <c r="W37" s="63"/>
      <c r="X37" s="63"/>
      <c r="Y37" s="64">
        <v>0</v>
      </c>
      <c r="Z37" s="65">
        <v>42737</v>
      </c>
      <c r="AA37" s="66">
        <v>4</v>
      </c>
      <c r="AB37" s="58">
        <v>1.4</v>
      </c>
      <c r="AC37" s="62">
        <v>49</v>
      </c>
      <c r="AD37" s="4">
        <v>0</v>
      </c>
      <c r="AE37" s="4">
        <v>0</v>
      </c>
    </row>
    <row r="38" spans="1:31" ht="12.75" hidden="1" x14ac:dyDescent="0.2">
      <c r="A38" s="71" t="s">
        <v>123</v>
      </c>
      <c r="B38" s="58">
        <v>221</v>
      </c>
      <c r="C38" s="58" t="s">
        <v>100</v>
      </c>
      <c r="D38" s="71" t="s">
        <v>85</v>
      </c>
      <c r="E38" s="59" t="s">
        <v>77</v>
      </c>
      <c r="F38" s="58" t="s">
        <v>89</v>
      </c>
      <c r="G38" s="4">
        <v>1</v>
      </c>
      <c r="H38" s="60">
        <v>42898</v>
      </c>
      <c r="I38" s="60">
        <v>42902</v>
      </c>
      <c r="J38" s="61">
        <v>24</v>
      </c>
      <c r="K38" s="62">
        <v>5</v>
      </c>
      <c r="L38" s="63">
        <v>35</v>
      </c>
      <c r="N38" s="63"/>
      <c r="O38" s="4">
        <v>35</v>
      </c>
      <c r="P38" s="58">
        <v>17.161000000000001</v>
      </c>
      <c r="Q38" s="58">
        <v>1.73</v>
      </c>
      <c r="R38" s="64">
        <v>9.9196531791907532</v>
      </c>
      <c r="S38" s="64">
        <v>347.18786127167635</v>
      </c>
      <c r="T38" s="64">
        <v>600.63499999999999</v>
      </c>
      <c r="U38" s="4">
        <v>26.7</v>
      </c>
      <c r="V38" s="64">
        <v>677.35</v>
      </c>
      <c r="W38" s="63"/>
      <c r="X38" s="63"/>
      <c r="Y38" s="64">
        <v>-1.4210854715202004E-14</v>
      </c>
      <c r="Z38" s="65">
        <v>42877</v>
      </c>
      <c r="AA38" s="66">
        <v>0</v>
      </c>
      <c r="AB38" s="58">
        <v>1.429</v>
      </c>
      <c r="AC38" s="62">
        <v>50.015000000000001</v>
      </c>
      <c r="AD38" s="4">
        <v>0</v>
      </c>
      <c r="AE38" s="4">
        <v>0</v>
      </c>
    </row>
    <row r="39" spans="1:31" ht="12.75" hidden="1" x14ac:dyDescent="0.2">
      <c r="A39" s="71" t="s">
        <v>123</v>
      </c>
      <c r="B39" s="58">
        <v>221</v>
      </c>
      <c r="C39" s="58" t="s">
        <v>100</v>
      </c>
      <c r="D39" s="71" t="s">
        <v>95</v>
      </c>
      <c r="E39" s="59" t="s">
        <v>132</v>
      </c>
      <c r="F39" s="71" t="s">
        <v>133</v>
      </c>
      <c r="G39" s="4">
        <v>1</v>
      </c>
      <c r="H39" s="60">
        <v>42898</v>
      </c>
      <c r="I39" s="60">
        <v>42902</v>
      </c>
      <c r="J39" s="61">
        <v>24</v>
      </c>
      <c r="K39" s="62">
        <v>5</v>
      </c>
      <c r="L39" s="63">
        <v>35</v>
      </c>
      <c r="N39" s="63">
        <v>5</v>
      </c>
      <c r="O39" s="4">
        <v>40</v>
      </c>
      <c r="P39" s="58">
        <v>17.161000000000001</v>
      </c>
      <c r="Q39" s="58">
        <v>1.73</v>
      </c>
      <c r="R39" s="64">
        <v>9.9196531791907532</v>
      </c>
      <c r="S39" s="64">
        <v>347.18786127167635</v>
      </c>
      <c r="T39" s="64">
        <v>600.63499999999999</v>
      </c>
      <c r="U39" s="4">
        <v>26.7</v>
      </c>
      <c r="V39" s="64">
        <v>784.64125000000001</v>
      </c>
      <c r="W39" s="63"/>
      <c r="X39" s="63"/>
      <c r="Y39" s="64">
        <v>107.25624999999998</v>
      </c>
      <c r="Z39" s="65">
        <v>42688</v>
      </c>
      <c r="AA39" s="66">
        <v>6</v>
      </c>
      <c r="AB39" s="58">
        <v>1.43</v>
      </c>
      <c r="AC39" s="62">
        <v>50.05</v>
      </c>
      <c r="AD39" s="4">
        <v>0</v>
      </c>
      <c r="AE39" s="4">
        <v>0</v>
      </c>
    </row>
    <row r="40" spans="1:31" ht="12.75" hidden="1" x14ac:dyDescent="0.2">
      <c r="A40" s="71" t="s">
        <v>123</v>
      </c>
      <c r="B40" s="58">
        <v>221</v>
      </c>
      <c r="C40" s="58" t="s">
        <v>100</v>
      </c>
      <c r="D40" s="71" t="s">
        <v>92</v>
      </c>
      <c r="E40" s="59" t="s">
        <v>127</v>
      </c>
      <c r="F40" s="71" t="s">
        <v>127</v>
      </c>
      <c r="G40" s="4">
        <v>1</v>
      </c>
      <c r="H40" s="60">
        <v>42898</v>
      </c>
      <c r="I40" s="60">
        <v>42902</v>
      </c>
      <c r="J40" s="61">
        <v>24</v>
      </c>
      <c r="K40" s="62">
        <v>5</v>
      </c>
      <c r="L40" s="63">
        <v>35</v>
      </c>
      <c r="N40" s="63"/>
      <c r="O40" s="4">
        <v>35</v>
      </c>
      <c r="P40" s="58">
        <v>17.161000000000001</v>
      </c>
      <c r="Q40" s="58">
        <v>1.73</v>
      </c>
      <c r="R40" s="64">
        <v>9.9196531791907532</v>
      </c>
      <c r="S40" s="64">
        <v>347.18786127167635</v>
      </c>
      <c r="T40" s="64">
        <v>600.63499999999999</v>
      </c>
      <c r="U40" s="4">
        <v>26.7</v>
      </c>
      <c r="V40" s="64">
        <v>677.73500000000001</v>
      </c>
      <c r="W40" s="63"/>
      <c r="X40" s="63"/>
      <c r="Y40" s="64">
        <v>-2.1316282072803006E-14</v>
      </c>
      <c r="Z40" s="65">
        <v>42671</v>
      </c>
      <c r="AA40" s="66">
        <v>7</v>
      </c>
      <c r="AB40" s="58">
        <v>1.44</v>
      </c>
      <c r="AC40" s="62">
        <v>50.4</v>
      </c>
      <c r="AD40" s="4">
        <v>0</v>
      </c>
      <c r="AE40" s="4">
        <v>0</v>
      </c>
    </row>
    <row r="41" spans="1:31" ht="12.75" hidden="1" x14ac:dyDescent="0.2">
      <c r="A41" s="71" t="s">
        <v>123</v>
      </c>
      <c r="B41" s="58">
        <v>221</v>
      </c>
      <c r="C41" s="58" t="s">
        <v>100</v>
      </c>
      <c r="D41" s="71" t="s">
        <v>92</v>
      </c>
      <c r="E41" s="59" t="s">
        <v>124</v>
      </c>
      <c r="F41" s="71" t="s">
        <v>124</v>
      </c>
      <c r="G41" s="4">
        <v>1</v>
      </c>
      <c r="H41" s="60">
        <v>42898</v>
      </c>
      <c r="I41" s="60">
        <v>42902</v>
      </c>
      <c r="J41" s="61">
        <v>24</v>
      </c>
      <c r="K41" s="62">
        <v>5</v>
      </c>
      <c r="L41" s="63">
        <v>35</v>
      </c>
      <c r="N41" s="63"/>
      <c r="O41" s="4">
        <v>35</v>
      </c>
      <c r="P41" s="58">
        <v>17.161000000000001</v>
      </c>
      <c r="Q41" s="58">
        <v>1.73</v>
      </c>
      <c r="R41" s="64">
        <v>9.9196531791907532</v>
      </c>
      <c r="S41" s="64">
        <v>347.18786127167635</v>
      </c>
      <c r="T41" s="64">
        <v>600.63499999999999</v>
      </c>
      <c r="U41" s="4">
        <v>26.7</v>
      </c>
      <c r="V41" s="64">
        <v>677.73500000000001</v>
      </c>
      <c r="W41" s="63"/>
      <c r="X41" s="63"/>
      <c r="Y41" s="64">
        <v>-2.1316282072803006E-14</v>
      </c>
      <c r="Z41" s="65">
        <v>42768</v>
      </c>
      <c r="AA41" s="66">
        <v>3</v>
      </c>
      <c r="AB41" s="58">
        <v>1.44</v>
      </c>
      <c r="AC41" s="62">
        <v>50.4</v>
      </c>
      <c r="AD41" s="4">
        <v>0</v>
      </c>
      <c r="AE41" s="4">
        <v>0</v>
      </c>
    </row>
    <row r="42" spans="1:31" ht="12.75" hidden="1" x14ac:dyDescent="0.2">
      <c r="A42" s="71" t="s">
        <v>123</v>
      </c>
      <c r="B42" s="58">
        <v>221</v>
      </c>
      <c r="C42" s="58" t="s">
        <v>100</v>
      </c>
      <c r="D42" s="71" t="s">
        <v>92</v>
      </c>
      <c r="E42" s="59" t="s">
        <v>125</v>
      </c>
      <c r="F42" s="71" t="s">
        <v>125</v>
      </c>
      <c r="G42" s="4">
        <v>1</v>
      </c>
      <c r="H42" s="60">
        <v>42898</v>
      </c>
      <c r="I42" s="60">
        <v>42902</v>
      </c>
      <c r="J42" s="61">
        <v>24</v>
      </c>
      <c r="K42" s="62">
        <v>5</v>
      </c>
      <c r="L42" s="63">
        <v>35</v>
      </c>
      <c r="N42" s="63"/>
      <c r="O42" s="4">
        <v>35</v>
      </c>
      <c r="P42" s="58">
        <v>17.161000000000001</v>
      </c>
      <c r="Q42" s="58">
        <v>1.73</v>
      </c>
      <c r="R42" s="64">
        <v>9.9196531791907532</v>
      </c>
      <c r="S42" s="64">
        <v>347.18786127167635</v>
      </c>
      <c r="T42" s="64">
        <v>600.63499999999999</v>
      </c>
      <c r="U42" s="4">
        <v>26.7</v>
      </c>
      <c r="V42" s="64">
        <v>677.73500000000001</v>
      </c>
      <c r="W42" s="63"/>
      <c r="X42" s="63"/>
      <c r="Y42" s="64">
        <v>-2.1316282072803006E-14</v>
      </c>
      <c r="Z42" s="65">
        <v>42482</v>
      </c>
      <c r="AA42" s="66">
        <v>13</v>
      </c>
      <c r="AB42" s="58">
        <v>1.44</v>
      </c>
      <c r="AC42" s="62">
        <v>50.4</v>
      </c>
      <c r="AD42" s="4">
        <v>0</v>
      </c>
      <c r="AE42" s="4">
        <v>0</v>
      </c>
    </row>
    <row r="43" spans="1:31" ht="12.75" hidden="1" x14ac:dyDescent="0.2">
      <c r="A43" s="71" t="s">
        <v>123</v>
      </c>
      <c r="B43" s="58">
        <v>221</v>
      </c>
      <c r="C43" s="58" t="s">
        <v>100</v>
      </c>
      <c r="D43" s="71" t="s">
        <v>92</v>
      </c>
      <c r="E43" s="59" t="s">
        <v>126</v>
      </c>
      <c r="F43" s="71" t="s">
        <v>126</v>
      </c>
      <c r="G43" s="4">
        <v>1</v>
      </c>
      <c r="H43" s="60">
        <v>42905</v>
      </c>
      <c r="I43" s="60">
        <v>42909</v>
      </c>
      <c r="J43" s="61">
        <v>25</v>
      </c>
      <c r="K43" s="62">
        <v>5</v>
      </c>
      <c r="L43" s="63">
        <v>35</v>
      </c>
      <c r="N43" s="63"/>
      <c r="O43" s="4">
        <v>35</v>
      </c>
      <c r="P43" s="58">
        <v>16.884</v>
      </c>
      <c r="Q43" s="58">
        <v>1.73</v>
      </c>
      <c r="R43" s="64">
        <v>9.7595375722543363</v>
      </c>
      <c r="S43" s="64">
        <v>341.58381502890177</v>
      </c>
      <c r="T43" s="64">
        <v>590.94000000000005</v>
      </c>
      <c r="U43" s="4">
        <v>26.7</v>
      </c>
      <c r="V43" s="64">
        <v>666.6400000000001</v>
      </c>
      <c r="W43" s="63"/>
      <c r="X43" s="63"/>
      <c r="Y43" s="64">
        <v>0</v>
      </c>
      <c r="Z43" s="65">
        <v>42737</v>
      </c>
      <c r="AA43" s="66">
        <v>4</v>
      </c>
      <c r="AB43" s="58">
        <v>1.4</v>
      </c>
      <c r="AC43" s="62">
        <v>49</v>
      </c>
      <c r="AD43" s="4">
        <v>0</v>
      </c>
      <c r="AE43" s="4">
        <v>0</v>
      </c>
    </row>
    <row r="44" spans="1:31" ht="12.75" hidden="1" x14ac:dyDescent="0.2">
      <c r="A44" s="71" t="s">
        <v>123</v>
      </c>
      <c r="B44" s="58">
        <v>221</v>
      </c>
      <c r="C44" s="58" t="s">
        <v>100</v>
      </c>
      <c r="D44" s="71" t="s">
        <v>85</v>
      </c>
      <c r="E44" s="59" t="s">
        <v>77</v>
      </c>
      <c r="F44" s="58" t="s">
        <v>89</v>
      </c>
      <c r="G44" s="4">
        <v>1</v>
      </c>
      <c r="H44" s="60">
        <v>42905</v>
      </c>
      <c r="I44" s="60">
        <v>42909</v>
      </c>
      <c r="J44" s="61">
        <v>25</v>
      </c>
      <c r="K44" s="62">
        <v>5</v>
      </c>
      <c r="L44" s="63">
        <v>35</v>
      </c>
      <c r="N44" s="63"/>
      <c r="O44" s="4">
        <v>35</v>
      </c>
      <c r="P44" s="58">
        <v>17.161000000000001</v>
      </c>
      <c r="Q44" s="58">
        <v>1.73</v>
      </c>
      <c r="R44" s="64">
        <v>9.9196531791907532</v>
      </c>
      <c r="S44" s="64">
        <v>347.18786127167635</v>
      </c>
      <c r="T44" s="64">
        <v>600.63499999999999</v>
      </c>
      <c r="U44" s="4">
        <v>26.7</v>
      </c>
      <c r="V44" s="64">
        <v>677.35</v>
      </c>
      <c r="W44" s="63"/>
      <c r="X44" s="63"/>
      <c r="Y44" s="64">
        <v>-1.4210854715202004E-14</v>
      </c>
      <c r="Z44" s="65">
        <v>42877</v>
      </c>
      <c r="AA44" s="66">
        <v>0</v>
      </c>
      <c r="AB44" s="58">
        <v>1.429</v>
      </c>
      <c r="AC44" s="62">
        <v>50.015000000000001</v>
      </c>
      <c r="AD44" s="4">
        <v>0</v>
      </c>
      <c r="AE44" s="4">
        <v>0</v>
      </c>
    </row>
    <row r="45" spans="1:31" ht="12.75" hidden="1" x14ac:dyDescent="0.2">
      <c r="A45" s="71" t="s">
        <v>123</v>
      </c>
      <c r="B45" s="58">
        <v>221</v>
      </c>
      <c r="C45" s="58" t="s">
        <v>100</v>
      </c>
      <c r="D45" s="71" t="s">
        <v>95</v>
      </c>
      <c r="E45" s="59" t="s">
        <v>132</v>
      </c>
      <c r="F45" s="71" t="s">
        <v>133</v>
      </c>
      <c r="G45" s="4">
        <v>1</v>
      </c>
      <c r="H45" s="60">
        <v>42905</v>
      </c>
      <c r="I45" s="60">
        <v>42909</v>
      </c>
      <c r="J45" s="61">
        <v>25</v>
      </c>
      <c r="K45" s="62">
        <v>5</v>
      </c>
      <c r="L45" s="63">
        <v>35</v>
      </c>
      <c r="N45" s="63">
        <v>5</v>
      </c>
      <c r="O45" s="4">
        <v>40</v>
      </c>
      <c r="P45" s="58">
        <v>17.161000000000001</v>
      </c>
      <c r="Q45" s="58">
        <v>1.73</v>
      </c>
      <c r="R45" s="64">
        <v>9.9196531791907532</v>
      </c>
      <c r="S45" s="64">
        <v>347.18786127167635</v>
      </c>
      <c r="T45" s="64">
        <v>600.63499999999999</v>
      </c>
      <c r="U45" s="4">
        <v>26.7</v>
      </c>
      <c r="V45" s="64">
        <v>784.64125000000001</v>
      </c>
      <c r="W45" s="63"/>
      <c r="X45" s="63"/>
      <c r="Y45" s="64">
        <v>107.25624999999998</v>
      </c>
      <c r="Z45" s="65">
        <v>42688</v>
      </c>
      <c r="AA45" s="66">
        <v>6</v>
      </c>
      <c r="AB45" s="58">
        <v>1.43</v>
      </c>
      <c r="AC45" s="62">
        <v>50.05</v>
      </c>
      <c r="AD45" s="4">
        <v>0</v>
      </c>
      <c r="AE45" s="4">
        <v>0</v>
      </c>
    </row>
    <row r="46" spans="1:31" ht="12.75" hidden="1" x14ac:dyDescent="0.2">
      <c r="A46" s="71" t="s">
        <v>123</v>
      </c>
      <c r="B46" s="58">
        <v>221</v>
      </c>
      <c r="C46" s="58" t="s">
        <v>100</v>
      </c>
      <c r="D46" s="71" t="s">
        <v>92</v>
      </c>
      <c r="E46" s="59" t="s">
        <v>127</v>
      </c>
      <c r="F46" s="71" t="s">
        <v>127</v>
      </c>
      <c r="G46" s="4">
        <v>1</v>
      </c>
      <c r="H46" s="60">
        <v>42905</v>
      </c>
      <c r="I46" s="60">
        <v>42909</v>
      </c>
      <c r="J46" s="61">
        <v>25</v>
      </c>
      <c r="K46" s="62">
        <v>5</v>
      </c>
      <c r="L46" s="63">
        <v>35</v>
      </c>
      <c r="N46" s="63">
        <v>3.5</v>
      </c>
      <c r="O46" s="4">
        <v>38.5</v>
      </c>
      <c r="P46" s="58">
        <v>17.161000000000001</v>
      </c>
      <c r="Q46" s="58">
        <v>1.73</v>
      </c>
      <c r="R46" s="64">
        <v>9.9196531791907532</v>
      </c>
      <c r="S46" s="64">
        <v>347.18786127167635</v>
      </c>
      <c r="T46" s="64">
        <v>600.63499999999999</v>
      </c>
      <c r="U46" s="4">
        <v>26.7</v>
      </c>
      <c r="V46" s="64">
        <v>752.81437500000004</v>
      </c>
      <c r="W46" s="63"/>
      <c r="X46" s="63"/>
      <c r="Y46" s="64">
        <v>75.079374999999999</v>
      </c>
      <c r="Z46" s="65">
        <v>42671</v>
      </c>
      <c r="AA46" s="66">
        <v>7</v>
      </c>
      <c r="AB46" s="58">
        <v>1.44</v>
      </c>
      <c r="AC46" s="62">
        <v>50.4</v>
      </c>
      <c r="AD46" s="4">
        <v>0</v>
      </c>
      <c r="AE46" s="4">
        <v>0</v>
      </c>
    </row>
    <row r="47" spans="1:31" ht="12.75" hidden="1" x14ac:dyDescent="0.2">
      <c r="A47" s="71" t="s">
        <v>123</v>
      </c>
      <c r="B47" s="58">
        <v>221</v>
      </c>
      <c r="C47" s="58" t="s">
        <v>100</v>
      </c>
      <c r="D47" s="71" t="s">
        <v>92</v>
      </c>
      <c r="E47" s="59" t="s">
        <v>124</v>
      </c>
      <c r="F47" s="71" t="s">
        <v>124</v>
      </c>
      <c r="G47" s="4">
        <v>1</v>
      </c>
      <c r="H47" s="60">
        <v>42905</v>
      </c>
      <c r="I47" s="60">
        <v>42909</v>
      </c>
      <c r="J47" s="61">
        <v>25</v>
      </c>
      <c r="K47" s="62">
        <v>5</v>
      </c>
      <c r="L47" s="63">
        <v>35</v>
      </c>
      <c r="N47" s="63"/>
      <c r="O47" s="4">
        <v>35</v>
      </c>
      <c r="P47" s="58">
        <v>17.161000000000001</v>
      </c>
      <c r="Q47" s="58">
        <v>1.73</v>
      </c>
      <c r="R47" s="64">
        <v>9.9196531791907532</v>
      </c>
      <c r="S47" s="64">
        <v>347.18786127167635</v>
      </c>
      <c r="T47" s="64">
        <v>600.63499999999999</v>
      </c>
      <c r="U47" s="4">
        <v>26.7</v>
      </c>
      <c r="V47" s="64">
        <v>677.73500000000001</v>
      </c>
      <c r="W47" s="63"/>
      <c r="X47" s="63"/>
      <c r="Y47" s="64">
        <v>-2.1316282072803006E-14</v>
      </c>
      <c r="Z47" s="65">
        <v>42768</v>
      </c>
      <c r="AA47" s="66">
        <v>3</v>
      </c>
      <c r="AB47" s="58">
        <v>1.44</v>
      </c>
      <c r="AC47" s="62">
        <v>50.4</v>
      </c>
      <c r="AD47" s="4">
        <v>0</v>
      </c>
      <c r="AE47" s="4">
        <v>0</v>
      </c>
    </row>
    <row r="48" spans="1:31" ht="12.75" hidden="1" x14ac:dyDescent="0.2">
      <c r="A48" s="71" t="s">
        <v>123</v>
      </c>
      <c r="B48" s="58">
        <v>221</v>
      </c>
      <c r="C48" s="58" t="s">
        <v>100</v>
      </c>
      <c r="D48" s="71" t="s">
        <v>92</v>
      </c>
      <c r="E48" s="59" t="s">
        <v>125</v>
      </c>
      <c r="F48" s="71" t="s">
        <v>125</v>
      </c>
      <c r="G48" s="4">
        <v>1</v>
      </c>
      <c r="H48" s="60">
        <v>42905</v>
      </c>
      <c r="I48" s="60">
        <v>42909</v>
      </c>
      <c r="J48" s="61">
        <v>25</v>
      </c>
      <c r="K48" s="62">
        <v>5</v>
      </c>
      <c r="L48" s="63">
        <v>35</v>
      </c>
      <c r="N48" s="63"/>
      <c r="O48" s="4">
        <v>35</v>
      </c>
      <c r="P48" s="58">
        <v>17.161000000000001</v>
      </c>
      <c r="Q48" s="58">
        <v>1.73</v>
      </c>
      <c r="R48" s="64">
        <v>9.9196531791907532</v>
      </c>
      <c r="S48" s="64">
        <v>347.18786127167635</v>
      </c>
      <c r="T48" s="64">
        <v>600.63499999999999</v>
      </c>
      <c r="U48" s="4">
        <v>26.7</v>
      </c>
      <c r="V48" s="64">
        <v>677.73500000000001</v>
      </c>
      <c r="W48" s="63"/>
      <c r="X48" s="63"/>
      <c r="Y48" s="64">
        <v>-2.1316282072803006E-14</v>
      </c>
      <c r="Z48" s="65">
        <v>42482</v>
      </c>
      <c r="AA48" s="66">
        <v>13</v>
      </c>
      <c r="AB48" s="58">
        <v>1.44</v>
      </c>
      <c r="AC48" s="62">
        <v>50.4</v>
      </c>
      <c r="AD48" s="4">
        <v>0</v>
      </c>
      <c r="AE48" s="4">
        <v>0</v>
      </c>
    </row>
    <row r="49" spans="1:31" ht="12.75" hidden="1" x14ac:dyDescent="0.2">
      <c r="A49" s="71" t="s">
        <v>123</v>
      </c>
      <c r="B49" s="58">
        <v>221</v>
      </c>
      <c r="C49" s="58" t="s">
        <v>100</v>
      </c>
      <c r="D49" s="71" t="s">
        <v>92</v>
      </c>
      <c r="E49" s="59" t="s">
        <v>124</v>
      </c>
      <c r="F49" s="71" t="s">
        <v>124</v>
      </c>
      <c r="G49" s="4">
        <v>1</v>
      </c>
      <c r="H49" s="60">
        <v>42912</v>
      </c>
      <c r="I49" s="60">
        <v>42916</v>
      </c>
      <c r="J49" s="61">
        <v>26</v>
      </c>
      <c r="K49" s="62">
        <v>5</v>
      </c>
      <c r="L49" s="63">
        <v>35</v>
      </c>
      <c r="N49" s="63"/>
      <c r="O49" s="4">
        <v>35</v>
      </c>
      <c r="P49" s="58">
        <v>17.161000000000001</v>
      </c>
      <c r="Q49" s="58">
        <v>1.73</v>
      </c>
      <c r="R49" s="64">
        <v>9.9196531791907532</v>
      </c>
      <c r="S49" s="64">
        <v>347.18786127167635</v>
      </c>
      <c r="T49" s="64">
        <v>600.63499999999999</v>
      </c>
      <c r="U49" s="4">
        <v>26.7</v>
      </c>
      <c r="V49" s="64">
        <v>677.73500000000001</v>
      </c>
      <c r="W49" s="63"/>
      <c r="X49" s="63"/>
      <c r="Y49" s="64">
        <v>-2.1316282072803006E-14</v>
      </c>
      <c r="Z49" s="65">
        <v>42768</v>
      </c>
      <c r="AA49" s="66">
        <v>3</v>
      </c>
      <c r="AB49" s="58">
        <v>1.44</v>
      </c>
      <c r="AC49" s="62">
        <v>50.4</v>
      </c>
      <c r="AD49" s="4">
        <v>0</v>
      </c>
      <c r="AE49" s="4">
        <v>0</v>
      </c>
    </row>
    <row r="50" spans="1:31" ht="12.75" hidden="1" x14ac:dyDescent="0.2">
      <c r="A50" s="71" t="s">
        <v>123</v>
      </c>
      <c r="B50" s="58">
        <v>221</v>
      </c>
      <c r="C50" s="58" t="s">
        <v>100</v>
      </c>
      <c r="D50" s="71" t="s">
        <v>92</v>
      </c>
      <c r="E50" s="59" t="s">
        <v>125</v>
      </c>
      <c r="F50" s="71" t="s">
        <v>125</v>
      </c>
      <c r="G50" s="4">
        <v>1</v>
      </c>
      <c r="H50" s="60">
        <v>42912</v>
      </c>
      <c r="I50" s="60">
        <v>42916</v>
      </c>
      <c r="J50" s="61">
        <v>26</v>
      </c>
      <c r="K50" s="62">
        <v>5</v>
      </c>
      <c r="L50" s="63">
        <v>35</v>
      </c>
      <c r="N50" s="63"/>
      <c r="O50" s="4">
        <v>35</v>
      </c>
      <c r="P50" s="58">
        <v>17.161000000000001</v>
      </c>
      <c r="Q50" s="58">
        <v>1.73</v>
      </c>
      <c r="R50" s="64">
        <v>9.9196531791907532</v>
      </c>
      <c r="S50" s="64">
        <v>347.18786127167635</v>
      </c>
      <c r="T50" s="64">
        <v>600.63499999999999</v>
      </c>
      <c r="U50" s="4">
        <v>26.7</v>
      </c>
      <c r="V50" s="64">
        <v>677.73500000000001</v>
      </c>
      <c r="W50" s="63"/>
      <c r="X50" s="63"/>
      <c r="Y50" s="64">
        <v>-2.1316282072803006E-14</v>
      </c>
      <c r="Z50" s="65">
        <v>42482</v>
      </c>
      <c r="AA50" s="66">
        <v>13</v>
      </c>
      <c r="AB50" s="58">
        <v>1.44</v>
      </c>
      <c r="AC50" s="62">
        <v>50.4</v>
      </c>
      <c r="AD50" s="4">
        <v>0</v>
      </c>
      <c r="AE50" s="4">
        <v>0</v>
      </c>
    </row>
    <row r="51" spans="1:31" ht="12.75" hidden="1" x14ac:dyDescent="0.2">
      <c r="A51" s="71" t="s">
        <v>123</v>
      </c>
      <c r="B51" s="58">
        <v>221</v>
      </c>
      <c r="C51" s="58" t="s">
        <v>100</v>
      </c>
      <c r="D51" s="71" t="s">
        <v>92</v>
      </c>
      <c r="E51" s="59" t="s">
        <v>126</v>
      </c>
      <c r="F51" s="71" t="s">
        <v>126</v>
      </c>
      <c r="G51" s="4">
        <v>1</v>
      </c>
      <c r="H51" s="60">
        <v>42912</v>
      </c>
      <c r="I51" s="60">
        <v>42916</v>
      </c>
      <c r="J51" s="61">
        <v>26</v>
      </c>
      <c r="K51" s="62">
        <v>5</v>
      </c>
      <c r="L51" s="63">
        <v>35</v>
      </c>
      <c r="N51" s="63"/>
      <c r="O51" s="4">
        <v>35</v>
      </c>
      <c r="P51" s="58">
        <v>16.884</v>
      </c>
      <c r="Q51" s="58">
        <v>1.73</v>
      </c>
      <c r="R51" s="64">
        <v>9.7595375722543363</v>
      </c>
      <c r="S51" s="64">
        <v>341.58381502890177</v>
      </c>
      <c r="T51" s="64">
        <v>590.94000000000005</v>
      </c>
      <c r="U51" s="4">
        <v>26.7</v>
      </c>
      <c r="V51" s="64">
        <v>666.6400000000001</v>
      </c>
      <c r="W51" s="63"/>
      <c r="X51" s="63"/>
      <c r="Y51" s="64">
        <v>0</v>
      </c>
      <c r="Z51" s="65">
        <v>42737</v>
      </c>
      <c r="AA51" s="66">
        <v>4</v>
      </c>
      <c r="AB51" s="58">
        <v>1.4</v>
      </c>
      <c r="AC51" s="62">
        <v>49</v>
      </c>
      <c r="AD51" s="4">
        <v>0</v>
      </c>
      <c r="AE51" s="4">
        <v>0</v>
      </c>
    </row>
    <row r="52" spans="1:31" ht="12.75" hidden="1" x14ac:dyDescent="0.2">
      <c r="A52" s="71" t="s">
        <v>123</v>
      </c>
      <c r="B52" s="58">
        <v>221</v>
      </c>
      <c r="C52" s="58" t="s">
        <v>100</v>
      </c>
      <c r="D52" s="71" t="s">
        <v>92</v>
      </c>
      <c r="E52" s="59" t="s">
        <v>127</v>
      </c>
      <c r="F52" s="71" t="s">
        <v>127</v>
      </c>
      <c r="G52" s="4">
        <v>1</v>
      </c>
      <c r="H52" s="60">
        <v>42912</v>
      </c>
      <c r="I52" s="60">
        <v>42916</v>
      </c>
      <c r="J52" s="61">
        <v>26</v>
      </c>
      <c r="K52" s="62">
        <v>5</v>
      </c>
      <c r="L52" s="63">
        <v>35</v>
      </c>
      <c r="N52" s="63"/>
      <c r="O52" s="4">
        <v>35</v>
      </c>
      <c r="P52" s="58">
        <v>17.161000000000001</v>
      </c>
      <c r="Q52" s="58">
        <v>1.73</v>
      </c>
      <c r="R52" s="64">
        <v>9.9196531791907532</v>
      </c>
      <c r="S52" s="64">
        <v>347.18786127167635</v>
      </c>
      <c r="T52" s="64">
        <v>600.63499999999999</v>
      </c>
      <c r="U52" s="4">
        <v>26.7</v>
      </c>
      <c r="V52" s="64">
        <v>677.73500000000001</v>
      </c>
      <c r="W52" s="63"/>
      <c r="X52" s="63"/>
      <c r="Y52" s="64">
        <v>-2.1316282072803006E-14</v>
      </c>
      <c r="Z52" s="65">
        <v>42671</v>
      </c>
      <c r="AA52" s="66">
        <v>7</v>
      </c>
      <c r="AB52" s="58">
        <v>1.44</v>
      </c>
      <c r="AC52" s="62">
        <v>50.4</v>
      </c>
      <c r="AD52" s="4">
        <v>0</v>
      </c>
      <c r="AE52" s="4">
        <v>0</v>
      </c>
    </row>
    <row r="53" spans="1:31" ht="12.75" hidden="1" x14ac:dyDescent="0.2">
      <c r="A53" s="71" t="s">
        <v>123</v>
      </c>
      <c r="B53" s="58">
        <v>221</v>
      </c>
      <c r="C53" s="58" t="s">
        <v>100</v>
      </c>
      <c r="D53" s="71" t="s">
        <v>62</v>
      </c>
      <c r="E53" s="59" t="s">
        <v>130</v>
      </c>
      <c r="F53" s="58" t="s">
        <v>130</v>
      </c>
      <c r="G53" s="4">
        <v>1</v>
      </c>
      <c r="H53" s="60">
        <v>42905</v>
      </c>
      <c r="I53" s="60">
        <v>42909</v>
      </c>
      <c r="J53" s="61">
        <v>25</v>
      </c>
      <c r="K53" s="62">
        <v>5</v>
      </c>
      <c r="L53" s="63">
        <v>35</v>
      </c>
      <c r="N53" s="63"/>
      <c r="O53" s="4">
        <v>35</v>
      </c>
      <c r="P53" s="58">
        <v>17.161000000000001</v>
      </c>
      <c r="Q53" s="58">
        <v>1.73</v>
      </c>
      <c r="R53" s="64">
        <v>9.9196531791907532</v>
      </c>
      <c r="S53" s="64">
        <v>347.18786127167635</v>
      </c>
      <c r="T53" s="64">
        <v>600.63499999999999</v>
      </c>
      <c r="U53" s="4">
        <v>26.7</v>
      </c>
      <c r="V53" s="64">
        <v>677.38499999999999</v>
      </c>
      <c r="W53" s="63"/>
      <c r="X53" s="63"/>
      <c r="Y53" s="64">
        <v>-4.2632564145606011E-14</v>
      </c>
      <c r="Z53" s="65">
        <v>42900</v>
      </c>
      <c r="AA53" s="66" t="e">
        <v>#NUM!</v>
      </c>
      <c r="AB53" s="58">
        <v>1.43</v>
      </c>
      <c r="AC53" s="62">
        <v>50.05</v>
      </c>
      <c r="AD53" s="4">
        <v>0</v>
      </c>
      <c r="AE53" s="4">
        <v>0</v>
      </c>
    </row>
    <row r="54" spans="1:31" ht="12.75" hidden="1" x14ac:dyDescent="0.2">
      <c r="A54" s="71" t="s">
        <v>123</v>
      </c>
      <c r="B54" s="58">
        <v>221</v>
      </c>
      <c r="C54" s="58" t="s">
        <v>100</v>
      </c>
      <c r="D54" s="71" t="s">
        <v>62</v>
      </c>
      <c r="E54" s="59" t="s">
        <v>130</v>
      </c>
      <c r="F54" s="71" t="s">
        <v>130</v>
      </c>
      <c r="G54" s="4">
        <v>1</v>
      </c>
      <c r="H54" s="60">
        <v>42912</v>
      </c>
      <c r="I54" s="60">
        <v>42916</v>
      </c>
      <c r="J54" s="61">
        <v>26</v>
      </c>
      <c r="K54" s="62">
        <v>5</v>
      </c>
      <c r="L54" s="63">
        <v>35</v>
      </c>
      <c r="N54" s="63"/>
      <c r="O54" s="4">
        <v>35</v>
      </c>
      <c r="P54" s="58">
        <v>17.161000000000001</v>
      </c>
      <c r="Q54" s="58">
        <v>1.73</v>
      </c>
      <c r="R54" s="64">
        <v>9.9196531791907532</v>
      </c>
      <c r="S54" s="64">
        <v>347.18786127167635</v>
      </c>
      <c r="T54" s="64">
        <v>600.63499999999999</v>
      </c>
      <c r="U54" s="4">
        <v>26.7</v>
      </c>
      <c r="V54" s="64">
        <v>677.38499999999999</v>
      </c>
      <c r="W54" s="63"/>
      <c r="X54" s="63"/>
      <c r="Y54" s="64">
        <v>-4.2632564145606011E-14</v>
      </c>
      <c r="Z54" s="65">
        <v>42900</v>
      </c>
      <c r="AA54" s="66" t="e">
        <v>#NUM!</v>
      </c>
      <c r="AB54" s="58">
        <v>1.43</v>
      </c>
      <c r="AC54" s="62">
        <v>50.05</v>
      </c>
      <c r="AD54" s="4">
        <v>0</v>
      </c>
      <c r="AE54" s="4">
        <v>0</v>
      </c>
    </row>
    <row r="55" spans="1:31" ht="12.75" hidden="1" x14ac:dyDescent="0.2">
      <c r="A55" s="71" t="s">
        <v>123</v>
      </c>
      <c r="B55" s="58">
        <v>221</v>
      </c>
      <c r="C55" s="58" t="s">
        <v>100</v>
      </c>
      <c r="D55" s="71" t="s">
        <v>95</v>
      </c>
      <c r="E55" s="59" t="s">
        <v>132</v>
      </c>
      <c r="F55" s="71" t="s">
        <v>133</v>
      </c>
      <c r="G55" s="4">
        <v>1</v>
      </c>
      <c r="H55" s="60">
        <v>42912</v>
      </c>
      <c r="I55" s="60">
        <v>42916</v>
      </c>
      <c r="J55" s="61">
        <v>26</v>
      </c>
      <c r="K55" s="62">
        <v>5</v>
      </c>
      <c r="L55" s="63">
        <v>35</v>
      </c>
      <c r="N55" s="63"/>
      <c r="O55" s="4">
        <v>35</v>
      </c>
      <c r="P55" s="58">
        <v>17.161000000000001</v>
      </c>
      <c r="Q55" s="58">
        <v>1.73</v>
      </c>
      <c r="R55" s="64">
        <v>9.9196531791907532</v>
      </c>
      <c r="S55" s="64">
        <v>347.18786127167635</v>
      </c>
      <c r="T55" s="64">
        <v>600.63499999999999</v>
      </c>
      <c r="U55" s="4">
        <v>26.7</v>
      </c>
      <c r="V55" s="64">
        <v>677.38499999999999</v>
      </c>
      <c r="W55" s="63"/>
      <c r="X55" s="63"/>
      <c r="Y55" s="64">
        <v>-4.2632564145606011E-14</v>
      </c>
      <c r="Z55" s="65">
        <v>42688</v>
      </c>
      <c r="AA55" s="66">
        <v>6</v>
      </c>
      <c r="AB55" s="58">
        <v>1.43</v>
      </c>
      <c r="AC55" s="62">
        <v>50.05</v>
      </c>
      <c r="AD55" s="4">
        <v>0</v>
      </c>
      <c r="AE55" s="4">
        <v>0</v>
      </c>
    </row>
    <row r="56" spans="1:31" ht="12.75" hidden="1" x14ac:dyDescent="0.2">
      <c r="A56" s="71" t="s">
        <v>123</v>
      </c>
      <c r="B56" s="58">
        <v>221</v>
      </c>
      <c r="C56" s="58" t="s">
        <v>100</v>
      </c>
      <c r="D56" s="71" t="s">
        <v>85</v>
      </c>
      <c r="E56" s="59" t="s">
        <v>77</v>
      </c>
      <c r="F56" s="58" t="s">
        <v>89</v>
      </c>
      <c r="G56" s="4">
        <v>1</v>
      </c>
      <c r="H56" s="60">
        <v>42912</v>
      </c>
      <c r="I56" s="60">
        <v>42916</v>
      </c>
      <c r="J56" s="61">
        <v>26</v>
      </c>
      <c r="K56" s="62">
        <v>5</v>
      </c>
      <c r="L56" s="63">
        <v>35</v>
      </c>
      <c r="N56" s="63"/>
      <c r="O56" s="4">
        <v>35</v>
      </c>
      <c r="P56" s="58">
        <v>17.161000000000001</v>
      </c>
      <c r="Q56" s="58">
        <v>1.73</v>
      </c>
      <c r="R56" s="64">
        <v>9.9196531791907532</v>
      </c>
      <c r="S56" s="64">
        <v>347.18786127167635</v>
      </c>
      <c r="T56" s="64">
        <v>600.63499999999999</v>
      </c>
      <c r="U56" s="4">
        <v>26.7</v>
      </c>
      <c r="V56" s="64">
        <v>677.35</v>
      </c>
      <c r="W56" s="63"/>
      <c r="X56" s="63"/>
      <c r="Y56" s="64">
        <v>-1.4210854715202004E-14</v>
      </c>
      <c r="Z56" s="65">
        <v>42877</v>
      </c>
      <c r="AA56" s="66">
        <v>0</v>
      </c>
      <c r="AB56" s="58">
        <v>1.429</v>
      </c>
      <c r="AC56" s="62">
        <v>50.015000000000001</v>
      </c>
      <c r="AD56" s="4">
        <v>0</v>
      </c>
      <c r="AE56" s="4">
        <v>0</v>
      </c>
    </row>
  </sheetData>
  <autoFilter ref="A14:V56">
    <filterColumn colId="3">
      <filters>
        <filter val="CRIT"/>
      </filters>
    </filterColumn>
    <filterColumn colId="9">
      <filters>
        <filter val="22"/>
      </filters>
    </filterColumn>
  </autoFilter>
  <mergeCells count="9">
    <mergeCell ref="L13:V13"/>
    <mergeCell ref="W13:X13"/>
    <mergeCell ref="Z13:AA13"/>
    <mergeCell ref="B1:C1"/>
    <mergeCell ref="B2:C2"/>
    <mergeCell ref="B3:C3"/>
    <mergeCell ref="A13:C13"/>
    <mergeCell ref="E13:F13"/>
    <mergeCell ref="H13:K13"/>
  </mergeCells>
  <conditionalFormatting sqref="AA15:AA56">
    <cfRule type="containsErrors" dxfId="2" priority="2">
      <formula>ISERROR(AA15)</formula>
    </cfRule>
    <cfRule type="expression" dxfId="1" priority="4" stopIfTrue="1">
      <formula>$AD15&gt;=17</formula>
    </cfRule>
  </conditionalFormatting>
  <conditionalFormatting sqref="Z15:AB56">
    <cfRule type="expression" dxfId="0" priority="3">
      <formula>$AA15&gt;=16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AT301"/>
  <sheetViews>
    <sheetView showGridLines="0" tabSelected="1" workbookViewId="0">
      <selection activeCell="AP9" sqref="AP9"/>
    </sheetView>
  </sheetViews>
  <sheetFormatPr baseColWidth="10" defaultRowHeight="15" x14ac:dyDescent="0.25"/>
  <cols>
    <col min="1" max="1" width="13.42578125" customWidth="1"/>
    <col min="2" max="2" width="12.5703125" customWidth="1"/>
    <col min="3" max="8" width="18.5703125" style="68" hidden="1" customWidth="1"/>
    <col min="9" max="9" width="5.28515625" customWidth="1"/>
    <col min="10" max="10" width="2.42578125" customWidth="1"/>
    <col min="11" max="11" width="3.5703125" bestFit="1" customWidth="1"/>
    <col min="12" max="12" width="4.85546875" customWidth="1"/>
    <col min="13" max="13" width="3.42578125" bestFit="1" customWidth="1"/>
    <col min="14" max="14" width="5.42578125" customWidth="1"/>
    <col min="15" max="15" width="2.42578125" customWidth="1"/>
    <col min="16" max="16" width="3.5703125" bestFit="1" customWidth="1"/>
    <col min="17" max="17" width="5" customWidth="1"/>
    <col min="18" max="18" width="3.42578125" bestFit="1" customWidth="1"/>
    <col min="19" max="19" width="5" customWidth="1"/>
    <col min="20" max="20" width="2.42578125" customWidth="1"/>
    <col min="21" max="21" width="3.5703125" bestFit="1" customWidth="1"/>
    <col min="22" max="22" width="5" customWidth="1"/>
    <col min="23" max="23" width="3.42578125" bestFit="1" customWidth="1"/>
    <col min="24" max="24" width="5.140625" customWidth="1"/>
    <col min="25" max="25" width="2.42578125" customWidth="1"/>
    <col min="26" max="26" width="3.5703125" bestFit="1" customWidth="1"/>
    <col min="27" max="27" width="5.28515625" customWidth="1"/>
    <col min="28" max="28" width="3.42578125" bestFit="1" customWidth="1"/>
    <col min="29" max="29" width="4.85546875" customWidth="1"/>
    <col min="30" max="30" width="2.42578125" customWidth="1"/>
    <col min="31" max="31" width="3.5703125" bestFit="1" customWidth="1"/>
    <col min="32" max="32" width="5.42578125" customWidth="1"/>
    <col min="33" max="33" width="3.42578125" bestFit="1" customWidth="1"/>
    <col min="34" max="34" width="5.5703125" customWidth="1"/>
    <col min="35" max="35" width="3.5703125" bestFit="1" customWidth="1"/>
    <col min="36" max="36" width="5" customWidth="1"/>
    <col min="37" max="37" width="3.42578125" bestFit="1" customWidth="1"/>
    <col min="38" max="38" width="9" style="70" hidden="1" customWidth="1"/>
    <col min="39" max="39" width="6.7109375" style="70" hidden="1" customWidth="1"/>
    <col min="40" max="40" width="9.7109375" style="70" hidden="1" customWidth="1"/>
    <col min="41" max="41" width="9.85546875" style="70" hidden="1" customWidth="1"/>
    <col min="42" max="42" width="9.85546875" style="70" customWidth="1"/>
    <col min="43" max="43" width="16.28515625" customWidth="1"/>
    <col min="44" max="44" width="15.85546875" customWidth="1"/>
    <col min="45" max="45" width="4.42578125" style="70" hidden="1" customWidth="1"/>
    <col min="46" max="46" width="47.7109375" customWidth="1"/>
  </cols>
  <sheetData>
    <row r="1" spans="1:46" ht="23.25" customHeight="1" x14ac:dyDescent="0.25">
      <c r="A1" s="83" t="s">
        <v>101</v>
      </c>
      <c r="B1" s="85" t="s">
        <v>62</v>
      </c>
      <c r="I1" s="86"/>
      <c r="J1" s="86"/>
      <c r="K1" s="86"/>
      <c r="L1" s="84"/>
      <c r="M1" s="84"/>
      <c r="N1" s="96"/>
      <c r="O1" s="96"/>
      <c r="P1" s="96"/>
      <c r="Q1" s="96"/>
      <c r="R1" s="96"/>
      <c r="S1" s="96"/>
      <c r="T1" s="96"/>
      <c r="U1" s="96"/>
      <c r="V1" s="119" t="s">
        <v>61</v>
      </c>
      <c r="W1" s="118"/>
      <c r="X1" s="118"/>
      <c r="Y1" s="118"/>
      <c r="Z1" s="118"/>
      <c r="AA1" s="118"/>
      <c r="AB1" s="118"/>
      <c r="AC1" s="118"/>
      <c r="AD1" s="118"/>
      <c r="AE1" s="118"/>
      <c r="AF1" s="118"/>
      <c r="AG1" s="118"/>
      <c r="AH1" s="118"/>
      <c r="AI1" s="118"/>
      <c r="AJ1" s="118"/>
      <c r="AK1" s="118"/>
      <c r="AL1" s="118"/>
      <c r="AM1" s="118"/>
      <c r="AN1" s="118"/>
      <c r="AO1" s="118"/>
      <c r="AP1" s="118"/>
      <c r="AQ1" s="118"/>
      <c r="AR1" s="84"/>
      <c r="AS1" s="84"/>
      <c r="AT1" s="118" t="s">
        <v>134</v>
      </c>
    </row>
    <row r="2" spans="1:46" ht="23.25" customHeight="1" x14ac:dyDescent="0.25">
      <c r="A2" s="83" t="s">
        <v>63</v>
      </c>
      <c r="B2" s="87">
        <v>22</v>
      </c>
      <c r="I2" s="86"/>
      <c r="J2" s="86"/>
      <c r="K2" s="86"/>
      <c r="L2" s="84"/>
      <c r="M2" s="84"/>
      <c r="N2" s="96"/>
      <c r="O2" s="96"/>
      <c r="P2" s="96"/>
      <c r="Q2" s="96"/>
      <c r="R2" s="96"/>
      <c r="S2" s="96"/>
      <c r="T2" s="96"/>
      <c r="U2" s="96"/>
      <c r="V2" s="118"/>
      <c r="W2" s="118"/>
      <c r="X2" s="118"/>
      <c r="Y2" s="118"/>
      <c r="Z2" s="118"/>
      <c r="AA2" s="118"/>
      <c r="AB2" s="118"/>
      <c r="AC2" s="118"/>
      <c r="AD2" s="118"/>
      <c r="AE2" s="118"/>
      <c r="AF2" s="118"/>
      <c r="AG2" s="118"/>
      <c r="AH2" s="118"/>
      <c r="AI2" s="118"/>
      <c r="AJ2" s="118"/>
      <c r="AK2" s="118"/>
      <c r="AL2" s="118"/>
      <c r="AM2" s="118"/>
      <c r="AN2" s="118"/>
      <c r="AO2" s="118"/>
      <c r="AP2" s="118"/>
      <c r="AQ2" s="118"/>
      <c r="AR2" s="84"/>
      <c r="AS2" s="84"/>
      <c r="AT2" s="118"/>
    </row>
    <row r="3" spans="1:46" ht="21.75" customHeight="1" x14ac:dyDescent="0.25">
      <c r="A3" s="83" t="s">
        <v>102</v>
      </c>
      <c r="B3" s="88">
        <f>+IF(ISNA(VLOOKUP($B$2,Feuil4!$B$1:$F$31,4,FALSE)),"",VLOOKUP($B$2,Feuil4!$B$1:$F$31,4,FALSE))</f>
        <v>42884</v>
      </c>
      <c r="I3" s="86"/>
      <c r="J3" s="86"/>
      <c r="K3" s="86"/>
      <c r="L3" s="84"/>
      <c r="M3" s="84"/>
      <c r="N3" s="96"/>
      <c r="O3" s="96"/>
      <c r="P3" s="96"/>
      <c r="Q3" s="96"/>
      <c r="R3" s="96"/>
      <c r="S3" s="96"/>
      <c r="T3" s="96"/>
      <c r="U3" s="96"/>
      <c r="V3" s="118"/>
      <c r="W3" s="118"/>
      <c r="X3" s="118"/>
      <c r="Y3" s="118"/>
      <c r="Z3" s="118"/>
      <c r="AA3" s="118"/>
      <c r="AB3" s="118"/>
      <c r="AC3" s="118"/>
      <c r="AD3" s="118"/>
      <c r="AE3" s="118"/>
      <c r="AF3" s="118"/>
      <c r="AG3" s="118"/>
      <c r="AH3" s="118"/>
      <c r="AI3" s="118"/>
      <c r="AJ3" s="118"/>
      <c r="AK3" s="118"/>
      <c r="AL3" s="118"/>
      <c r="AM3" s="118"/>
      <c r="AN3" s="118"/>
      <c r="AO3" s="118"/>
      <c r="AP3" s="118"/>
      <c r="AQ3" s="118"/>
      <c r="AR3" s="84"/>
      <c r="AS3" s="84"/>
      <c r="AT3" s="118"/>
    </row>
    <row r="4" spans="1:46" ht="21.75" customHeight="1" x14ac:dyDescent="0.25">
      <c r="A4" s="83" t="s">
        <v>103</v>
      </c>
      <c r="B4" s="88">
        <f>+IF(ISNA(VLOOKUP($B$2,Feuil4!$B$1:$F$31,5,FALSE)),"",VLOOKUP($B$2,Feuil4!$B$1:$F$31,5,FALSE))</f>
        <v>42888</v>
      </c>
      <c r="I4" s="86"/>
      <c r="J4" s="86"/>
      <c r="K4" s="86"/>
      <c r="L4" s="84"/>
      <c r="M4" s="84"/>
      <c r="N4" s="96"/>
      <c r="O4" s="96"/>
      <c r="P4" s="96"/>
      <c r="Q4" s="96"/>
      <c r="R4" s="96"/>
      <c r="S4" s="96"/>
      <c r="T4" s="96"/>
      <c r="U4" s="96"/>
      <c r="V4" s="118"/>
      <c r="W4" s="118"/>
      <c r="X4" s="118"/>
      <c r="Y4" s="118"/>
      <c r="Z4" s="118"/>
      <c r="AA4" s="118"/>
      <c r="AB4" s="118"/>
      <c r="AC4" s="118"/>
      <c r="AD4" s="118"/>
      <c r="AE4" s="118"/>
      <c r="AF4" s="118"/>
      <c r="AG4" s="118"/>
      <c r="AH4" s="118"/>
      <c r="AI4" s="118"/>
      <c r="AJ4" s="118"/>
      <c r="AK4" s="118"/>
      <c r="AL4" s="118"/>
      <c r="AM4" s="118"/>
      <c r="AN4" s="118"/>
      <c r="AO4" s="118"/>
      <c r="AP4" s="118"/>
      <c r="AQ4" s="118"/>
      <c r="AR4" s="84"/>
      <c r="AS4" s="84"/>
      <c r="AT4" s="118"/>
    </row>
    <row r="5" spans="1:46" ht="6.75" customHeight="1" x14ac:dyDescent="0.25"/>
    <row r="6" spans="1:46" ht="6.75" customHeight="1" thickBot="1" x14ac:dyDescent="0.3"/>
    <row r="7" spans="1:46" ht="16.5" thickTop="1" thickBot="1" x14ac:dyDescent="0.3">
      <c r="A7" s="93"/>
      <c r="B7" s="93"/>
      <c r="I7" s="123">
        <f>DATE(AAA,1,3)-WEEKDAY(DATE(AAA,1,3))+7*B2-5</f>
        <v>42884</v>
      </c>
      <c r="J7" s="124"/>
      <c r="K7" s="124"/>
      <c r="L7" s="124"/>
      <c r="M7" s="125"/>
      <c r="N7" s="123">
        <f>DATE(AAA,1,3)-WEEKDAY(DATE(AAA,1,3))+7*B2-4</f>
        <v>42885</v>
      </c>
      <c r="O7" s="124"/>
      <c r="P7" s="124"/>
      <c r="Q7" s="124"/>
      <c r="R7" s="125"/>
      <c r="S7" s="123">
        <f>DATE(AAA,1,3)-WEEKDAY(DATE(AAA,1,3))+7*B2-3</f>
        <v>42886</v>
      </c>
      <c r="T7" s="124"/>
      <c r="U7" s="124"/>
      <c r="V7" s="124"/>
      <c r="W7" s="125"/>
      <c r="X7" s="123">
        <f>DATE(AAA,1,3)-WEEKDAY(DATE(AAA,1,3))+7*B2-2</f>
        <v>42887</v>
      </c>
      <c r="Y7" s="124"/>
      <c r="Z7" s="124"/>
      <c r="AA7" s="124"/>
      <c r="AB7" s="125"/>
      <c r="AC7" s="123">
        <f>DATE(AAA,1,3)-WEEKDAY(DATE(AAA,1,3))+7*B2-1</f>
        <v>42888</v>
      </c>
      <c r="AD7" s="124"/>
      <c r="AE7" s="124"/>
      <c r="AF7" s="124"/>
      <c r="AG7" s="125"/>
      <c r="AH7" s="120" t="s">
        <v>24</v>
      </c>
      <c r="AI7" s="121"/>
      <c r="AJ7" s="121"/>
      <c r="AK7" s="122"/>
      <c r="AL7" s="97"/>
      <c r="AM7" s="97"/>
      <c r="AN7" s="97"/>
      <c r="AO7" s="97"/>
      <c r="AP7" s="97" t="s">
        <v>122</v>
      </c>
      <c r="AQ7" s="95" t="s">
        <v>104</v>
      </c>
      <c r="AR7" s="95" t="s">
        <v>104</v>
      </c>
      <c r="AS7" s="130"/>
    </row>
    <row r="8" spans="1:46" ht="18" thickTop="1" thickBot="1" x14ac:dyDescent="0.3">
      <c r="A8" s="94" t="s">
        <v>34</v>
      </c>
      <c r="B8" s="95" t="s">
        <v>36</v>
      </c>
      <c r="C8" s="69"/>
      <c r="D8" s="69"/>
      <c r="E8" s="69"/>
      <c r="F8" s="69"/>
      <c r="G8" s="69"/>
      <c r="H8" s="69"/>
      <c r="I8" s="89" t="s">
        <v>69</v>
      </c>
      <c r="J8" s="90"/>
      <c r="K8" s="90" t="s">
        <v>70</v>
      </c>
      <c r="L8" s="90" t="s">
        <v>71</v>
      </c>
      <c r="M8" s="91" t="s">
        <v>72</v>
      </c>
      <c r="N8" s="89" t="s">
        <v>69</v>
      </c>
      <c r="O8" s="90"/>
      <c r="P8" s="90" t="s">
        <v>70</v>
      </c>
      <c r="Q8" s="90" t="s">
        <v>71</v>
      </c>
      <c r="R8" s="91" t="s">
        <v>72</v>
      </c>
      <c r="S8" s="89" t="s">
        <v>69</v>
      </c>
      <c r="T8" s="90"/>
      <c r="U8" s="90" t="s">
        <v>70</v>
      </c>
      <c r="V8" s="90" t="s">
        <v>71</v>
      </c>
      <c r="W8" s="91" t="s">
        <v>72</v>
      </c>
      <c r="X8" s="89" t="s">
        <v>69</v>
      </c>
      <c r="Y8" s="90"/>
      <c r="Z8" s="90" t="s">
        <v>70</v>
      </c>
      <c r="AA8" s="90" t="s">
        <v>71</v>
      </c>
      <c r="AB8" s="91" t="s">
        <v>72</v>
      </c>
      <c r="AC8" s="89" t="s">
        <v>69</v>
      </c>
      <c r="AD8" s="90"/>
      <c r="AE8" s="90" t="s">
        <v>70</v>
      </c>
      <c r="AF8" s="90" t="s">
        <v>71</v>
      </c>
      <c r="AG8" s="91" t="s">
        <v>72</v>
      </c>
      <c r="AH8" s="89" t="s">
        <v>69</v>
      </c>
      <c r="AI8" s="90" t="s">
        <v>70</v>
      </c>
      <c r="AJ8" s="90" t="s">
        <v>71</v>
      </c>
      <c r="AK8" s="91" t="s">
        <v>72</v>
      </c>
      <c r="AL8" s="91"/>
      <c r="AM8" s="91"/>
      <c r="AN8" s="91"/>
      <c r="AO8" s="91"/>
      <c r="AP8" s="91"/>
      <c r="AQ8" s="92" t="s">
        <v>105</v>
      </c>
      <c r="AR8" s="92" t="s">
        <v>105</v>
      </c>
      <c r="AS8" s="131"/>
    </row>
    <row r="9" spans="1:46" ht="20.25" customHeight="1" thickTop="1" thickBot="1" x14ac:dyDescent="0.3">
      <c r="A9" s="74" t="str">
        <f ca="1">+F9</f>
        <v>Int 10</v>
      </c>
      <c r="B9" s="75" t="str">
        <f ca="1">+G9</f>
        <v>Int 10</v>
      </c>
      <c r="C9" s="76" t="str">
        <f>IF(AND('Interimaire Juin  2017'!D15=$B$1,'Interimaire Juin  2017'!J15=$B$2),'Interimaire Juin  2017'!E15,"")</f>
        <v/>
      </c>
      <c r="D9" s="76" t="str">
        <f>IF(AND('Interimaire Juin  2017'!D15=$B$1,'Interimaire Juin  2017'!J15=$B$2),'Interimaire Juin  2017'!F15,"")</f>
        <v/>
      </c>
      <c r="E9" s="76" t="str">
        <f>IF(D9="","",ROW())</f>
        <v/>
      </c>
      <c r="F9" s="76" t="str">
        <f t="array" aca="1" ref="F9" ca="1">IFERROR(INDEX(C:C,SMALL($E$2:$E$300,ROW(INDIRECT("1:"&amp;ROWS(C1:C300))))),"")</f>
        <v>Int 10</v>
      </c>
      <c r="G9" s="76" t="str">
        <f t="array" aca="1" ref="G9" ca="1">IFERROR(INDEX(D:D,SMALL($E$2:$E$300,ROW(INDIRECT("1:"&amp;ROWS(D1:D300))))),"")</f>
        <v>Int 10</v>
      </c>
      <c r="H9" s="76"/>
      <c r="I9" s="77">
        <v>7</v>
      </c>
      <c r="J9" s="78">
        <f>+IF(I9&gt;=6,1,0)</f>
        <v>1</v>
      </c>
      <c r="K9" s="79"/>
      <c r="L9" s="79"/>
      <c r="M9" s="80">
        <f>+J9</f>
        <v>1</v>
      </c>
      <c r="N9" s="77">
        <v>7</v>
      </c>
      <c r="O9" s="78">
        <f>+IF(N9&gt;=6,1,0)</f>
        <v>1</v>
      </c>
      <c r="P9" s="79"/>
      <c r="Q9" s="79"/>
      <c r="R9" s="80">
        <f>+O9</f>
        <v>1</v>
      </c>
      <c r="S9" s="77">
        <v>7</v>
      </c>
      <c r="T9" s="78">
        <f>+IF(S9&gt;=6,1,0)</f>
        <v>1</v>
      </c>
      <c r="U9" s="79"/>
      <c r="V9" s="79"/>
      <c r="W9" s="80">
        <f>+T9</f>
        <v>1</v>
      </c>
      <c r="X9" s="77">
        <v>7</v>
      </c>
      <c r="Y9" s="78">
        <f>+IF(X9&gt;=6,1,0)</f>
        <v>1</v>
      </c>
      <c r="Z9" s="79"/>
      <c r="AA9" s="79"/>
      <c r="AB9" s="80">
        <f>+Y9</f>
        <v>1</v>
      </c>
      <c r="AC9" s="77">
        <v>7</v>
      </c>
      <c r="AD9" s="78">
        <f>+IF(AC9&gt;=6,1,0)</f>
        <v>1</v>
      </c>
      <c r="AE9" s="79"/>
      <c r="AF9" s="79"/>
      <c r="AG9" s="80">
        <f>+AD9</f>
        <v>1</v>
      </c>
      <c r="AH9" s="98">
        <f>I9+N9+S9+X9+AC9</f>
        <v>35</v>
      </c>
      <c r="AI9" s="79">
        <f>+IF(AH9&lt;=35,0,AH9-35)</f>
        <v>0</v>
      </c>
      <c r="AJ9" s="79">
        <f>+AF9+AA9+V9+Q9+L9</f>
        <v>0</v>
      </c>
      <c r="AK9" s="81">
        <f>+AG9+AB9+W9+O9+J9</f>
        <v>5</v>
      </c>
      <c r="AL9" s="81" t="str">
        <f>+IF($B$1="","",$B$1)</f>
        <v>CRIT</v>
      </c>
      <c r="AM9" s="81">
        <f>+IF($B$2="","",$B$2)</f>
        <v>22</v>
      </c>
      <c r="AN9" s="99">
        <f>+IF($B$3="","",$B$3)</f>
        <v>42884</v>
      </c>
      <c r="AO9" s="99">
        <f>+IF($B$4="","",$B$4)</f>
        <v>42888</v>
      </c>
      <c r="AP9" s="99"/>
      <c r="AQ9" s="73"/>
      <c r="AR9" s="67"/>
      <c r="AS9" s="132"/>
    </row>
    <row r="10" spans="1:46" ht="20.25" customHeight="1" thickTop="1" thickBot="1" x14ac:dyDescent="0.3">
      <c r="A10" s="74" t="str">
        <f t="shared" ref="A10:A73" ca="1" si="0">+F10</f>
        <v/>
      </c>
      <c r="B10" s="75" t="str">
        <f t="shared" ref="B10:B73" ca="1" si="1">+G10</f>
        <v/>
      </c>
      <c r="C10" s="76" t="str">
        <f>IF(AND('Interimaire Juin  2017'!D16=$B$1,'Interimaire Juin  2017'!J16=$B$2),'Interimaire Juin  2017'!E16,"")</f>
        <v/>
      </c>
      <c r="D10" s="76" t="str">
        <f>IF(AND('Interimaire Juin  2017'!D16=$B$1,'Interimaire Juin  2017'!J16=$B$2),'Interimaire Juin  2017'!F16,"")</f>
        <v/>
      </c>
      <c r="E10" s="76" t="str">
        <f t="shared" ref="E10:E73" si="2">IF(D10="","",ROW())</f>
        <v/>
      </c>
      <c r="F10" s="76" t="str">
        <f t="array" aca="1" ref="F10" ca="1">IFERROR(INDEX(C:C,SMALL($E$2:$E$300,ROW(INDIRECT("2:"&amp;ROWS(C2:C300))))),"")</f>
        <v/>
      </c>
      <c r="G10" s="76" t="str">
        <f t="array" aca="1" ref="G10" ca="1">IFERROR(INDEX(D:D,SMALL($E$2:$E$300,ROW(INDIRECT("2:"&amp;ROWS(D2:D300))))),"")</f>
        <v/>
      </c>
      <c r="H10" s="79"/>
      <c r="I10" s="77">
        <v>7</v>
      </c>
      <c r="J10" s="78">
        <f t="shared" ref="J10:J73" si="3">+IF(I10&gt;=6,1,0)</f>
        <v>1</v>
      </c>
      <c r="K10" s="79"/>
      <c r="L10" s="79"/>
      <c r="M10" s="80">
        <f t="shared" ref="M10:M73" si="4">+J10</f>
        <v>1</v>
      </c>
      <c r="N10" s="77">
        <v>7</v>
      </c>
      <c r="O10" s="78">
        <f t="shared" ref="O10:O73" si="5">+IF(N10&gt;=6,1,0)</f>
        <v>1</v>
      </c>
      <c r="P10" s="79"/>
      <c r="Q10" s="79"/>
      <c r="R10" s="80">
        <f t="shared" ref="R10:R73" si="6">+O10</f>
        <v>1</v>
      </c>
      <c r="S10" s="77">
        <v>7</v>
      </c>
      <c r="T10" s="78">
        <f t="shared" ref="T10:T73" si="7">+IF(S10&gt;=6,1,0)</f>
        <v>1</v>
      </c>
      <c r="U10" s="79"/>
      <c r="V10" s="79"/>
      <c r="W10" s="80">
        <f t="shared" ref="W10:W61" si="8">+T10</f>
        <v>1</v>
      </c>
      <c r="X10" s="77">
        <v>7</v>
      </c>
      <c r="Y10" s="78">
        <f t="shared" ref="Y10:Y73" si="9">+IF(X10&gt;=6,1,0)</f>
        <v>1</v>
      </c>
      <c r="Z10" s="79"/>
      <c r="AA10" s="79"/>
      <c r="AB10" s="80">
        <f t="shared" ref="AB10:AB61" si="10">+Y10</f>
        <v>1</v>
      </c>
      <c r="AC10" s="77">
        <v>7</v>
      </c>
      <c r="AD10" s="78">
        <f t="shared" ref="AD10:AD73" si="11">+IF(AC10&gt;=6,1,0)</f>
        <v>1</v>
      </c>
      <c r="AE10" s="79"/>
      <c r="AF10" s="79"/>
      <c r="AG10" s="80">
        <f t="shared" ref="AG10:AG61" si="12">+AD10</f>
        <v>1</v>
      </c>
      <c r="AH10" s="98">
        <f t="shared" ref="AH10:AH61" si="13">I10+N10+S10+X10+AC10</f>
        <v>35</v>
      </c>
      <c r="AI10" s="79">
        <f t="shared" ref="AI10:AI73" si="14">+IF(AH10&lt;=35,0,AH10-35)</f>
        <v>0</v>
      </c>
      <c r="AJ10" s="79">
        <f t="shared" ref="AJ10:AJ61" si="15">+AF10+AA10+V10+Q10+L10</f>
        <v>0</v>
      </c>
      <c r="AK10" s="81">
        <f t="shared" ref="AK10:AK61" si="16">+AG10+AB10+W10+O10+J10</f>
        <v>5</v>
      </c>
      <c r="AL10" s="81" t="str">
        <f t="shared" ref="AL10:AL73" si="17">+IF($B$1="","",$B$1)</f>
        <v>CRIT</v>
      </c>
      <c r="AM10" s="81">
        <f t="shared" ref="AM10:AM73" si="18">+IF($B$2="","",$B$2)</f>
        <v>22</v>
      </c>
      <c r="AN10" s="99">
        <f t="shared" ref="AN10:AN73" si="19">+IF($B$3="","",$B$3)</f>
        <v>42884</v>
      </c>
      <c r="AO10" s="99">
        <f t="shared" ref="AO10:AO73" si="20">+IF($B$4="","",$B$4)</f>
        <v>42888</v>
      </c>
      <c r="AP10" s="99"/>
      <c r="AQ10" s="73"/>
      <c r="AR10" s="67"/>
      <c r="AS10" s="132"/>
    </row>
    <row r="11" spans="1:46" ht="20.25" customHeight="1" thickTop="1" thickBot="1" x14ac:dyDescent="0.3">
      <c r="A11" s="74" t="str">
        <f t="shared" ca="1" si="0"/>
        <v/>
      </c>
      <c r="B11" s="75" t="str">
        <f t="shared" ca="1" si="1"/>
        <v/>
      </c>
      <c r="C11" s="76" t="str">
        <f>IF(AND('Interimaire Juin  2017'!D17=$B$1,'Interimaire Juin  2017'!J17=$B$2),'Interimaire Juin  2017'!E17,"")</f>
        <v/>
      </c>
      <c r="D11" s="76" t="str">
        <f>IF(AND('Interimaire Juin  2017'!D17=$B$1,'Interimaire Juin  2017'!J17=$B$2),'Interimaire Juin  2017'!F17,"")</f>
        <v/>
      </c>
      <c r="E11" s="76" t="str">
        <f t="shared" si="2"/>
        <v/>
      </c>
      <c r="F11" s="76" t="str">
        <f t="array" aca="1" ref="F11" ca="1">IFERROR(INDEX(C:C,SMALL($E$2:$E$300,ROW(INDIRECT("3:"&amp;ROWS(C3:C301))))),"")</f>
        <v/>
      </c>
      <c r="G11" s="76" t="str">
        <f t="array" aca="1" ref="G11" ca="1">IFERROR(INDEX(D:D,SMALL($E$2:$E$300,ROW(INDIRECT("3:"&amp;ROWS(D3:D301))))),"")</f>
        <v/>
      </c>
      <c r="H11" s="79"/>
      <c r="I11" s="77">
        <v>7</v>
      </c>
      <c r="J11" s="78">
        <f t="shared" si="3"/>
        <v>1</v>
      </c>
      <c r="K11" s="79"/>
      <c r="L11" s="79"/>
      <c r="M11" s="80">
        <f t="shared" si="4"/>
        <v>1</v>
      </c>
      <c r="N11" s="77">
        <v>7</v>
      </c>
      <c r="O11" s="78">
        <f t="shared" si="5"/>
        <v>1</v>
      </c>
      <c r="P11" s="79"/>
      <c r="Q11" s="79"/>
      <c r="R11" s="80">
        <f t="shared" si="6"/>
        <v>1</v>
      </c>
      <c r="S11" s="77">
        <v>7</v>
      </c>
      <c r="T11" s="78">
        <f t="shared" si="7"/>
        <v>1</v>
      </c>
      <c r="U11" s="79"/>
      <c r="V11" s="79"/>
      <c r="W11" s="80">
        <f t="shared" si="8"/>
        <v>1</v>
      </c>
      <c r="X11" s="77">
        <v>7</v>
      </c>
      <c r="Y11" s="78">
        <f t="shared" si="9"/>
        <v>1</v>
      </c>
      <c r="Z11" s="79"/>
      <c r="AA11" s="79"/>
      <c r="AB11" s="80">
        <f t="shared" si="10"/>
        <v>1</v>
      </c>
      <c r="AC11" s="77">
        <v>7</v>
      </c>
      <c r="AD11" s="78">
        <f t="shared" si="11"/>
        <v>1</v>
      </c>
      <c r="AE11" s="79"/>
      <c r="AF11" s="79"/>
      <c r="AG11" s="80">
        <f t="shared" si="12"/>
        <v>1</v>
      </c>
      <c r="AH11" s="98">
        <f t="shared" si="13"/>
        <v>35</v>
      </c>
      <c r="AI11" s="79">
        <f t="shared" si="14"/>
        <v>0</v>
      </c>
      <c r="AJ11" s="79">
        <f t="shared" si="15"/>
        <v>0</v>
      </c>
      <c r="AK11" s="81">
        <f t="shared" si="16"/>
        <v>5</v>
      </c>
      <c r="AL11" s="81" t="str">
        <f t="shared" si="17"/>
        <v>CRIT</v>
      </c>
      <c r="AM11" s="81">
        <f t="shared" si="18"/>
        <v>22</v>
      </c>
      <c r="AN11" s="99">
        <f t="shared" si="19"/>
        <v>42884</v>
      </c>
      <c r="AO11" s="99">
        <f t="shared" si="20"/>
        <v>42888</v>
      </c>
      <c r="AP11" s="99"/>
      <c r="AQ11" s="73"/>
      <c r="AR11" s="67"/>
      <c r="AS11" s="132"/>
    </row>
    <row r="12" spans="1:46" ht="20.25" customHeight="1" thickTop="1" thickBot="1" x14ac:dyDescent="0.3">
      <c r="A12" s="74" t="str">
        <f t="shared" ca="1" si="0"/>
        <v/>
      </c>
      <c r="B12" s="75" t="str">
        <f t="shared" ca="1" si="1"/>
        <v/>
      </c>
      <c r="C12" s="76" t="str">
        <f>IF(AND('Interimaire Juin  2017'!D18=$B$1,'Interimaire Juin  2017'!J18=$B$2),'Interimaire Juin  2017'!E18,"")</f>
        <v/>
      </c>
      <c r="D12" s="76" t="str">
        <f>IF(AND('Interimaire Juin  2017'!D18=$B$1,'Interimaire Juin  2017'!J18=$B$2),'Interimaire Juin  2017'!F18,"")</f>
        <v/>
      </c>
      <c r="E12" s="76" t="str">
        <f t="shared" si="2"/>
        <v/>
      </c>
      <c r="F12" s="76" t="str">
        <f t="array" aca="1" ref="F12" ca="1">IFERROR(INDEX(C:C,SMALL($E$2:$E$300,ROW(INDIRECT("4:"&amp;ROWS(C4:C302))))),"")</f>
        <v/>
      </c>
      <c r="G12" s="76" t="str">
        <f t="array" aca="1" ref="G12" ca="1">IFERROR(INDEX(D:D,SMALL($E$2:$E$300,ROW(INDIRECT("4:"&amp;ROWS(D4:D302))))),"")</f>
        <v/>
      </c>
      <c r="H12" s="79"/>
      <c r="I12" s="77">
        <v>7</v>
      </c>
      <c r="J12" s="78">
        <f t="shared" si="3"/>
        <v>1</v>
      </c>
      <c r="K12" s="79"/>
      <c r="L12" s="79"/>
      <c r="M12" s="80">
        <f t="shared" si="4"/>
        <v>1</v>
      </c>
      <c r="N12" s="77">
        <v>7</v>
      </c>
      <c r="O12" s="78">
        <f t="shared" si="5"/>
        <v>1</v>
      </c>
      <c r="P12" s="79"/>
      <c r="Q12" s="79"/>
      <c r="R12" s="80">
        <f t="shared" si="6"/>
        <v>1</v>
      </c>
      <c r="S12" s="77">
        <v>7</v>
      </c>
      <c r="T12" s="78">
        <f t="shared" si="7"/>
        <v>1</v>
      </c>
      <c r="U12" s="79"/>
      <c r="V12" s="79"/>
      <c r="W12" s="80">
        <f t="shared" si="8"/>
        <v>1</v>
      </c>
      <c r="X12" s="77">
        <v>7</v>
      </c>
      <c r="Y12" s="78">
        <f t="shared" si="9"/>
        <v>1</v>
      </c>
      <c r="Z12" s="79"/>
      <c r="AA12" s="79"/>
      <c r="AB12" s="80">
        <f t="shared" si="10"/>
        <v>1</v>
      </c>
      <c r="AC12" s="77">
        <v>7</v>
      </c>
      <c r="AD12" s="78">
        <f t="shared" si="11"/>
        <v>1</v>
      </c>
      <c r="AE12" s="79"/>
      <c r="AF12" s="79"/>
      <c r="AG12" s="80">
        <f t="shared" si="12"/>
        <v>1</v>
      </c>
      <c r="AH12" s="98">
        <f t="shared" si="13"/>
        <v>35</v>
      </c>
      <c r="AI12" s="79">
        <f t="shared" si="14"/>
        <v>0</v>
      </c>
      <c r="AJ12" s="79">
        <f t="shared" si="15"/>
        <v>0</v>
      </c>
      <c r="AK12" s="81">
        <f t="shared" si="16"/>
        <v>5</v>
      </c>
      <c r="AL12" s="81" t="str">
        <f t="shared" si="17"/>
        <v>CRIT</v>
      </c>
      <c r="AM12" s="81">
        <f t="shared" si="18"/>
        <v>22</v>
      </c>
      <c r="AN12" s="99">
        <f t="shared" si="19"/>
        <v>42884</v>
      </c>
      <c r="AO12" s="99">
        <f t="shared" si="20"/>
        <v>42888</v>
      </c>
      <c r="AP12" s="99"/>
      <c r="AQ12" s="73"/>
      <c r="AR12" s="67"/>
      <c r="AS12" s="132"/>
    </row>
    <row r="13" spans="1:46" ht="20.25" customHeight="1" thickTop="1" thickBot="1" x14ac:dyDescent="0.3">
      <c r="A13" s="74" t="str">
        <f t="shared" ca="1" si="0"/>
        <v/>
      </c>
      <c r="B13" s="75" t="str">
        <f t="shared" ca="1" si="1"/>
        <v/>
      </c>
      <c r="C13" s="76" t="str">
        <f>IF(AND('Interimaire Juin  2017'!D19=$B$1,'Interimaire Juin  2017'!J19=$B$2),'Interimaire Juin  2017'!E19,"")</f>
        <v/>
      </c>
      <c r="D13" s="76" t="str">
        <f>IF(AND('Interimaire Juin  2017'!D19=$B$1,'Interimaire Juin  2017'!J19=$B$2),'Interimaire Juin  2017'!F19,"")</f>
        <v/>
      </c>
      <c r="E13" s="76" t="str">
        <f t="shared" si="2"/>
        <v/>
      </c>
      <c r="F13" s="76" t="str">
        <f t="array" aca="1" ref="F13" ca="1">IFERROR(INDEX(C:C,SMALL($E$2:$E$300,ROW(INDIRECT("5:"&amp;ROWS(C5:C303))))),"")</f>
        <v/>
      </c>
      <c r="G13" s="76" t="str">
        <f t="array" aca="1" ref="G13" ca="1">IFERROR(INDEX(D:D,SMALL($E$2:$E$300,ROW(INDIRECT("5:"&amp;ROWS(D5:D303))))),"")</f>
        <v/>
      </c>
      <c r="H13" s="82"/>
      <c r="I13" s="77">
        <v>7</v>
      </c>
      <c r="J13" s="78">
        <f t="shared" si="3"/>
        <v>1</v>
      </c>
      <c r="K13" s="79"/>
      <c r="L13" s="79"/>
      <c r="M13" s="80">
        <f t="shared" si="4"/>
        <v>1</v>
      </c>
      <c r="N13" s="77">
        <v>7</v>
      </c>
      <c r="O13" s="78">
        <f t="shared" si="5"/>
        <v>1</v>
      </c>
      <c r="P13" s="79"/>
      <c r="Q13" s="79"/>
      <c r="R13" s="80">
        <f t="shared" si="6"/>
        <v>1</v>
      </c>
      <c r="S13" s="77">
        <v>7</v>
      </c>
      <c r="T13" s="78">
        <f t="shared" si="7"/>
        <v>1</v>
      </c>
      <c r="U13" s="79"/>
      <c r="V13" s="79"/>
      <c r="W13" s="80">
        <f t="shared" si="8"/>
        <v>1</v>
      </c>
      <c r="X13" s="77">
        <v>7</v>
      </c>
      <c r="Y13" s="78">
        <f t="shared" si="9"/>
        <v>1</v>
      </c>
      <c r="Z13" s="79"/>
      <c r="AA13" s="79"/>
      <c r="AB13" s="80">
        <f t="shared" si="10"/>
        <v>1</v>
      </c>
      <c r="AC13" s="77">
        <v>7</v>
      </c>
      <c r="AD13" s="78">
        <f t="shared" si="11"/>
        <v>1</v>
      </c>
      <c r="AE13" s="79"/>
      <c r="AF13" s="79"/>
      <c r="AG13" s="80">
        <f t="shared" si="12"/>
        <v>1</v>
      </c>
      <c r="AH13" s="98">
        <f t="shared" si="13"/>
        <v>35</v>
      </c>
      <c r="AI13" s="79">
        <f t="shared" si="14"/>
        <v>0</v>
      </c>
      <c r="AJ13" s="79">
        <f t="shared" si="15"/>
        <v>0</v>
      </c>
      <c r="AK13" s="81">
        <f t="shared" si="16"/>
        <v>5</v>
      </c>
      <c r="AL13" s="81" t="str">
        <f t="shared" si="17"/>
        <v>CRIT</v>
      </c>
      <c r="AM13" s="81">
        <f t="shared" si="18"/>
        <v>22</v>
      </c>
      <c r="AN13" s="99">
        <f t="shared" si="19"/>
        <v>42884</v>
      </c>
      <c r="AO13" s="99">
        <f t="shared" si="20"/>
        <v>42888</v>
      </c>
      <c r="AP13" s="99"/>
      <c r="AQ13" s="73"/>
      <c r="AR13" s="67"/>
      <c r="AS13" s="132"/>
    </row>
    <row r="14" spans="1:46" ht="20.25" customHeight="1" thickTop="1" thickBot="1" x14ac:dyDescent="0.3">
      <c r="A14" s="74" t="str">
        <f t="shared" ca="1" si="0"/>
        <v/>
      </c>
      <c r="B14" s="75" t="str">
        <f t="shared" ca="1" si="1"/>
        <v/>
      </c>
      <c r="C14" s="76" t="str">
        <f>IF(AND('Interimaire Juin  2017'!D20=$B$1,'Interimaire Juin  2017'!J20=$B$2),'Interimaire Juin  2017'!E20,"")</f>
        <v/>
      </c>
      <c r="D14" s="76" t="str">
        <f>IF(AND('Interimaire Juin  2017'!D20=$B$1,'Interimaire Juin  2017'!J20=$B$2),'Interimaire Juin  2017'!F20,"")</f>
        <v/>
      </c>
      <c r="E14" s="76" t="str">
        <f t="shared" si="2"/>
        <v/>
      </c>
      <c r="F14" s="76" t="str">
        <f t="array" aca="1" ref="F14" ca="1">IFERROR(INDEX(C:C,SMALL($E$2:$E$300,ROW(INDIRECT("6:"&amp;ROWS(C6:C304))))),"")</f>
        <v/>
      </c>
      <c r="G14" s="76" t="str">
        <f t="array" aca="1" ref="G14" ca="1">IFERROR(INDEX(D:D,SMALL($E$2:$E$300,ROW(INDIRECT("6:"&amp;ROWS(D6:D304))))),"")</f>
        <v/>
      </c>
      <c r="H14" s="82"/>
      <c r="I14" s="77">
        <v>7</v>
      </c>
      <c r="J14" s="78">
        <f t="shared" si="3"/>
        <v>1</v>
      </c>
      <c r="K14" s="79"/>
      <c r="L14" s="79"/>
      <c r="M14" s="80">
        <f t="shared" si="4"/>
        <v>1</v>
      </c>
      <c r="N14" s="77">
        <v>7</v>
      </c>
      <c r="O14" s="78">
        <f t="shared" si="5"/>
        <v>1</v>
      </c>
      <c r="P14" s="79"/>
      <c r="Q14" s="79"/>
      <c r="R14" s="80">
        <f t="shared" si="6"/>
        <v>1</v>
      </c>
      <c r="S14" s="77">
        <v>7</v>
      </c>
      <c r="T14" s="78">
        <f t="shared" si="7"/>
        <v>1</v>
      </c>
      <c r="U14" s="79"/>
      <c r="V14" s="79"/>
      <c r="W14" s="80">
        <f t="shared" si="8"/>
        <v>1</v>
      </c>
      <c r="X14" s="77">
        <v>7</v>
      </c>
      <c r="Y14" s="78">
        <f t="shared" si="9"/>
        <v>1</v>
      </c>
      <c r="Z14" s="79"/>
      <c r="AA14" s="79"/>
      <c r="AB14" s="80">
        <f t="shared" si="10"/>
        <v>1</v>
      </c>
      <c r="AC14" s="77">
        <v>7</v>
      </c>
      <c r="AD14" s="78">
        <f t="shared" si="11"/>
        <v>1</v>
      </c>
      <c r="AE14" s="79"/>
      <c r="AF14" s="79"/>
      <c r="AG14" s="80">
        <f t="shared" si="12"/>
        <v>1</v>
      </c>
      <c r="AH14" s="98">
        <f t="shared" si="13"/>
        <v>35</v>
      </c>
      <c r="AI14" s="79">
        <f t="shared" si="14"/>
        <v>0</v>
      </c>
      <c r="AJ14" s="79">
        <f t="shared" si="15"/>
        <v>0</v>
      </c>
      <c r="AK14" s="81">
        <f t="shared" si="16"/>
        <v>5</v>
      </c>
      <c r="AL14" s="81" t="str">
        <f t="shared" si="17"/>
        <v>CRIT</v>
      </c>
      <c r="AM14" s="81">
        <f t="shared" si="18"/>
        <v>22</v>
      </c>
      <c r="AN14" s="99">
        <f t="shared" si="19"/>
        <v>42884</v>
      </c>
      <c r="AO14" s="99">
        <f t="shared" si="20"/>
        <v>42888</v>
      </c>
      <c r="AP14" s="99"/>
      <c r="AQ14" s="73"/>
      <c r="AR14" s="67"/>
      <c r="AS14" s="132"/>
    </row>
    <row r="15" spans="1:46" ht="20.25" customHeight="1" thickTop="1" thickBot="1" x14ac:dyDescent="0.3">
      <c r="A15" s="74" t="str">
        <f t="shared" ca="1" si="0"/>
        <v/>
      </c>
      <c r="B15" s="75" t="str">
        <f t="shared" ca="1" si="1"/>
        <v/>
      </c>
      <c r="C15" s="76" t="str">
        <f>IF(AND('Interimaire Juin  2017'!D21=$B$1,'Interimaire Juin  2017'!J21=$B$2),'Interimaire Juin  2017'!E21,"")</f>
        <v/>
      </c>
      <c r="D15" s="76" t="str">
        <f>IF(AND('Interimaire Juin  2017'!D21=$B$1,'Interimaire Juin  2017'!J21=$B$2),'Interimaire Juin  2017'!F21,"")</f>
        <v/>
      </c>
      <c r="E15" s="76" t="str">
        <f t="shared" si="2"/>
        <v/>
      </c>
      <c r="F15" s="76" t="str">
        <f t="array" aca="1" ref="F15" ca="1">IFERROR(INDEX(C:C,SMALL($E$2:$E$300,ROW(INDIRECT("7:"&amp;ROWS(C7:C305))))),"")</f>
        <v/>
      </c>
      <c r="G15" s="76" t="str">
        <f t="array" aca="1" ref="G15" ca="1">IFERROR(INDEX(D:D,SMALL($E$2:$E$300,ROW(INDIRECT("7:"&amp;ROWS(D7:D305))))),"")</f>
        <v/>
      </c>
      <c r="H15" s="82"/>
      <c r="I15" s="77">
        <v>7</v>
      </c>
      <c r="J15" s="78">
        <f t="shared" si="3"/>
        <v>1</v>
      </c>
      <c r="K15" s="79"/>
      <c r="L15" s="79"/>
      <c r="M15" s="80">
        <f t="shared" si="4"/>
        <v>1</v>
      </c>
      <c r="N15" s="77">
        <v>7</v>
      </c>
      <c r="O15" s="78">
        <f t="shared" si="5"/>
        <v>1</v>
      </c>
      <c r="P15" s="79"/>
      <c r="Q15" s="79"/>
      <c r="R15" s="80">
        <f t="shared" si="6"/>
        <v>1</v>
      </c>
      <c r="S15" s="77">
        <v>7</v>
      </c>
      <c r="T15" s="78">
        <f t="shared" si="7"/>
        <v>1</v>
      </c>
      <c r="U15" s="79"/>
      <c r="V15" s="79"/>
      <c r="W15" s="80">
        <f t="shared" si="8"/>
        <v>1</v>
      </c>
      <c r="X15" s="77">
        <v>7</v>
      </c>
      <c r="Y15" s="78">
        <f t="shared" si="9"/>
        <v>1</v>
      </c>
      <c r="Z15" s="79"/>
      <c r="AA15" s="79"/>
      <c r="AB15" s="80">
        <f t="shared" si="10"/>
        <v>1</v>
      </c>
      <c r="AC15" s="77">
        <v>7</v>
      </c>
      <c r="AD15" s="78">
        <f t="shared" si="11"/>
        <v>1</v>
      </c>
      <c r="AE15" s="79"/>
      <c r="AF15" s="79"/>
      <c r="AG15" s="80">
        <f t="shared" si="12"/>
        <v>1</v>
      </c>
      <c r="AH15" s="98">
        <f t="shared" si="13"/>
        <v>35</v>
      </c>
      <c r="AI15" s="79">
        <f t="shared" si="14"/>
        <v>0</v>
      </c>
      <c r="AJ15" s="79">
        <f t="shared" si="15"/>
        <v>0</v>
      </c>
      <c r="AK15" s="81">
        <f t="shared" si="16"/>
        <v>5</v>
      </c>
      <c r="AL15" s="81" t="str">
        <f t="shared" si="17"/>
        <v>CRIT</v>
      </c>
      <c r="AM15" s="81">
        <f t="shared" si="18"/>
        <v>22</v>
      </c>
      <c r="AN15" s="99">
        <f t="shared" si="19"/>
        <v>42884</v>
      </c>
      <c r="AO15" s="99">
        <f t="shared" si="20"/>
        <v>42888</v>
      </c>
      <c r="AP15" s="99"/>
      <c r="AQ15" s="73"/>
      <c r="AR15" s="67"/>
      <c r="AS15" s="132"/>
    </row>
    <row r="16" spans="1:46" ht="25.5" customHeight="1" thickTop="1" thickBot="1" x14ac:dyDescent="0.3">
      <c r="A16" s="74" t="str">
        <f t="shared" ca="1" si="0"/>
        <v/>
      </c>
      <c r="B16" s="75" t="str">
        <f t="shared" ca="1" si="1"/>
        <v/>
      </c>
      <c r="C16" s="76" t="str">
        <f>IF(AND('Interimaire Juin  2017'!D22=$B$1,'Interimaire Juin  2017'!J22=$B$2),'Interimaire Juin  2017'!E22,"")</f>
        <v/>
      </c>
      <c r="D16" s="76" t="str">
        <f>IF(AND('Interimaire Juin  2017'!D22=$B$1,'Interimaire Juin  2017'!J22=$B$2),'Interimaire Juin  2017'!F22,"")</f>
        <v/>
      </c>
      <c r="E16" s="76" t="str">
        <f t="shared" si="2"/>
        <v/>
      </c>
      <c r="F16" s="76" t="str">
        <f t="array" aca="1" ref="F16" ca="1">IFERROR(INDEX(C:C,SMALL($E$2:$E$300,ROW(INDIRECT("8:"&amp;ROWS(C8:C306))))),"")</f>
        <v/>
      </c>
      <c r="G16" s="76" t="str">
        <f t="array" aca="1" ref="G16" ca="1">IFERROR(INDEX(D:D,SMALL($E$2:$E$300,ROW(INDIRECT("8:"&amp;ROWS(D8:D306))))),"")</f>
        <v/>
      </c>
      <c r="H16" s="82"/>
      <c r="I16" s="77">
        <v>7</v>
      </c>
      <c r="J16" s="78">
        <f t="shared" si="3"/>
        <v>1</v>
      </c>
      <c r="K16" s="79"/>
      <c r="L16" s="79"/>
      <c r="M16" s="80">
        <f t="shared" si="4"/>
        <v>1</v>
      </c>
      <c r="N16" s="77">
        <v>7</v>
      </c>
      <c r="O16" s="78">
        <f t="shared" si="5"/>
        <v>1</v>
      </c>
      <c r="P16" s="79"/>
      <c r="Q16" s="79"/>
      <c r="R16" s="80">
        <f t="shared" si="6"/>
        <v>1</v>
      </c>
      <c r="S16" s="77">
        <v>7</v>
      </c>
      <c r="T16" s="78">
        <f t="shared" si="7"/>
        <v>1</v>
      </c>
      <c r="U16" s="79"/>
      <c r="V16" s="79"/>
      <c r="W16" s="80">
        <f t="shared" si="8"/>
        <v>1</v>
      </c>
      <c r="X16" s="77">
        <v>7</v>
      </c>
      <c r="Y16" s="78">
        <f t="shared" si="9"/>
        <v>1</v>
      </c>
      <c r="Z16" s="79"/>
      <c r="AA16" s="79"/>
      <c r="AB16" s="80">
        <f t="shared" si="10"/>
        <v>1</v>
      </c>
      <c r="AC16" s="77">
        <v>7</v>
      </c>
      <c r="AD16" s="78">
        <f t="shared" si="11"/>
        <v>1</v>
      </c>
      <c r="AE16" s="79"/>
      <c r="AF16" s="79"/>
      <c r="AG16" s="80">
        <f t="shared" si="12"/>
        <v>1</v>
      </c>
      <c r="AH16" s="98">
        <f t="shared" si="13"/>
        <v>35</v>
      </c>
      <c r="AI16" s="79">
        <f t="shared" si="14"/>
        <v>0</v>
      </c>
      <c r="AJ16" s="79">
        <f t="shared" si="15"/>
        <v>0</v>
      </c>
      <c r="AK16" s="81">
        <f t="shared" si="16"/>
        <v>5</v>
      </c>
      <c r="AL16" s="81" t="str">
        <f t="shared" si="17"/>
        <v>CRIT</v>
      </c>
      <c r="AM16" s="81">
        <f t="shared" si="18"/>
        <v>22</v>
      </c>
      <c r="AN16" s="99">
        <f t="shared" si="19"/>
        <v>42884</v>
      </c>
      <c r="AO16" s="99">
        <f t="shared" si="20"/>
        <v>42888</v>
      </c>
      <c r="AP16" s="99"/>
      <c r="AQ16" s="73"/>
      <c r="AR16" s="67"/>
      <c r="AS16" s="132"/>
    </row>
    <row r="17" spans="1:45" ht="20.25" customHeight="1" thickTop="1" thickBot="1" x14ac:dyDescent="0.3">
      <c r="A17" s="74" t="str">
        <f t="shared" ca="1" si="0"/>
        <v/>
      </c>
      <c r="B17" s="75" t="str">
        <f t="shared" ca="1" si="1"/>
        <v/>
      </c>
      <c r="C17" s="76" t="str">
        <f>IF(AND('Interimaire Juin  2017'!D23=$B$1,'Interimaire Juin  2017'!J23=$B$2),'Interimaire Juin  2017'!E23,"")</f>
        <v/>
      </c>
      <c r="D17" s="76" t="str">
        <f>IF(AND('Interimaire Juin  2017'!D23=$B$1,'Interimaire Juin  2017'!J23=$B$2),'Interimaire Juin  2017'!F23,"")</f>
        <v/>
      </c>
      <c r="E17" s="76" t="str">
        <f t="shared" si="2"/>
        <v/>
      </c>
      <c r="F17" s="76" t="str">
        <f t="array" aca="1" ref="F17" ca="1">IFERROR(INDEX(C:C,SMALL($E$2:$E$300,ROW(INDIRECT("9:"&amp;ROWS(C9:C307))))),"")</f>
        <v/>
      </c>
      <c r="G17" s="76" t="str">
        <f t="array" aca="1" ref="G17" ca="1">IFERROR(INDEX(D:D,SMALL($E$2:$E$300,ROW(INDIRECT("9:"&amp;ROWS(D9:D307))))),"")</f>
        <v/>
      </c>
      <c r="H17" s="82"/>
      <c r="I17" s="77">
        <v>7</v>
      </c>
      <c r="J17" s="78">
        <f t="shared" si="3"/>
        <v>1</v>
      </c>
      <c r="K17" s="79"/>
      <c r="L17" s="79"/>
      <c r="M17" s="80">
        <f t="shared" si="4"/>
        <v>1</v>
      </c>
      <c r="N17" s="77">
        <v>7</v>
      </c>
      <c r="O17" s="78">
        <f t="shared" si="5"/>
        <v>1</v>
      </c>
      <c r="P17" s="79"/>
      <c r="Q17" s="79"/>
      <c r="R17" s="80">
        <f t="shared" si="6"/>
        <v>1</v>
      </c>
      <c r="S17" s="77">
        <v>7</v>
      </c>
      <c r="T17" s="78">
        <f t="shared" si="7"/>
        <v>1</v>
      </c>
      <c r="U17" s="79"/>
      <c r="V17" s="79"/>
      <c r="W17" s="80">
        <f t="shared" si="8"/>
        <v>1</v>
      </c>
      <c r="X17" s="77">
        <v>7</v>
      </c>
      <c r="Y17" s="78">
        <f t="shared" si="9"/>
        <v>1</v>
      </c>
      <c r="Z17" s="79"/>
      <c r="AA17" s="79"/>
      <c r="AB17" s="80">
        <f t="shared" si="10"/>
        <v>1</v>
      </c>
      <c r="AC17" s="77">
        <v>7</v>
      </c>
      <c r="AD17" s="78">
        <f t="shared" si="11"/>
        <v>1</v>
      </c>
      <c r="AE17" s="79"/>
      <c r="AF17" s="79"/>
      <c r="AG17" s="80">
        <f t="shared" si="12"/>
        <v>1</v>
      </c>
      <c r="AH17" s="98">
        <f t="shared" si="13"/>
        <v>35</v>
      </c>
      <c r="AI17" s="79">
        <f t="shared" si="14"/>
        <v>0</v>
      </c>
      <c r="AJ17" s="79">
        <f t="shared" si="15"/>
        <v>0</v>
      </c>
      <c r="AK17" s="81">
        <f t="shared" si="16"/>
        <v>5</v>
      </c>
      <c r="AL17" s="81" t="str">
        <f t="shared" si="17"/>
        <v>CRIT</v>
      </c>
      <c r="AM17" s="81">
        <f t="shared" si="18"/>
        <v>22</v>
      </c>
      <c r="AN17" s="99">
        <f t="shared" si="19"/>
        <v>42884</v>
      </c>
      <c r="AO17" s="99">
        <f t="shared" si="20"/>
        <v>42888</v>
      </c>
      <c r="AP17" s="99"/>
      <c r="AQ17" s="73"/>
      <c r="AR17" s="67"/>
      <c r="AS17" s="132"/>
    </row>
    <row r="18" spans="1:45" ht="20.25" customHeight="1" thickTop="1" thickBot="1" x14ac:dyDescent="0.3">
      <c r="A18" s="74" t="str">
        <f t="shared" ca="1" si="0"/>
        <v/>
      </c>
      <c r="B18" s="75" t="str">
        <f t="shared" ca="1" si="1"/>
        <v/>
      </c>
      <c r="C18" s="76" t="str">
        <f>IF(AND('Interimaire Juin  2017'!D24=$B$1,'Interimaire Juin  2017'!J24=$B$2),'Interimaire Juin  2017'!E24,"")</f>
        <v>Int 10</v>
      </c>
      <c r="D18" s="76" t="str">
        <f>IF(AND('Interimaire Juin  2017'!D24=$B$1,'Interimaire Juin  2017'!J24=$B$2),'Interimaire Juin  2017'!F24,"")</f>
        <v>Int 10</v>
      </c>
      <c r="E18" s="76">
        <f t="shared" si="2"/>
        <v>18</v>
      </c>
      <c r="F18" s="76" t="str">
        <f t="array" aca="1" ref="F18" ca="1">IFERROR(INDEX(C:C,SMALL($E$2:$E$300,ROW(INDIRECT("10:"&amp;ROWS(C10:C308))))),"")</f>
        <v/>
      </c>
      <c r="G18" s="76" t="str">
        <f t="array" aca="1" ref="G18" ca="1">IFERROR(INDEX(D:D,SMALL($E$2:$E$300,ROW(INDIRECT("10:"&amp;ROWS(D10:D308))))),"")</f>
        <v/>
      </c>
      <c r="H18" s="82"/>
      <c r="I18" s="77">
        <v>7</v>
      </c>
      <c r="J18" s="78">
        <f t="shared" si="3"/>
        <v>1</v>
      </c>
      <c r="K18" s="79"/>
      <c r="L18" s="79"/>
      <c r="M18" s="80">
        <f t="shared" si="4"/>
        <v>1</v>
      </c>
      <c r="N18" s="77">
        <v>7</v>
      </c>
      <c r="O18" s="78">
        <f t="shared" si="5"/>
        <v>1</v>
      </c>
      <c r="P18" s="79"/>
      <c r="Q18" s="79"/>
      <c r="R18" s="80">
        <f t="shared" si="6"/>
        <v>1</v>
      </c>
      <c r="S18" s="77">
        <v>7</v>
      </c>
      <c r="T18" s="78">
        <f t="shared" si="7"/>
        <v>1</v>
      </c>
      <c r="U18" s="79"/>
      <c r="V18" s="79"/>
      <c r="W18" s="80">
        <f t="shared" si="8"/>
        <v>1</v>
      </c>
      <c r="X18" s="77">
        <v>7</v>
      </c>
      <c r="Y18" s="78">
        <f t="shared" si="9"/>
        <v>1</v>
      </c>
      <c r="Z18" s="79"/>
      <c r="AA18" s="79"/>
      <c r="AB18" s="80">
        <f t="shared" si="10"/>
        <v>1</v>
      </c>
      <c r="AC18" s="77">
        <v>7</v>
      </c>
      <c r="AD18" s="78">
        <f t="shared" si="11"/>
        <v>1</v>
      </c>
      <c r="AE18" s="79"/>
      <c r="AF18" s="79"/>
      <c r="AG18" s="80">
        <f t="shared" si="12"/>
        <v>1</v>
      </c>
      <c r="AH18" s="98">
        <f t="shared" si="13"/>
        <v>35</v>
      </c>
      <c r="AI18" s="79">
        <f t="shared" si="14"/>
        <v>0</v>
      </c>
      <c r="AJ18" s="79">
        <f t="shared" si="15"/>
        <v>0</v>
      </c>
      <c r="AK18" s="81">
        <f t="shared" si="16"/>
        <v>5</v>
      </c>
      <c r="AL18" s="81" t="str">
        <f t="shared" si="17"/>
        <v>CRIT</v>
      </c>
      <c r="AM18" s="81">
        <f t="shared" si="18"/>
        <v>22</v>
      </c>
      <c r="AN18" s="99">
        <f t="shared" si="19"/>
        <v>42884</v>
      </c>
      <c r="AO18" s="99">
        <f t="shared" si="20"/>
        <v>42888</v>
      </c>
      <c r="AP18" s="99"/>
      <c r="AQ18" s="73"/>
      <c r="AR18" s="67"/>
      <c r="AS18" s="132"/>
    </row>
    <row r="19" spans="1:45" ht="20.25" customHeight="1" thickTop="1" thickBot="1" x14ac:dyDescent="0.3">
      <c r="A19" s="74" t="str">
        <f t="shared" ca="1" si="0"/>
        <v/>
      </c>
      <c r="B19" s="75" t="str">
        <f t="shared" ca="1" si="1"/>
        <v/>
      </c>
      <c r="C19" s="76" t="str">
        <f>IF(AND('Interimaire Juin  2017'!D25=$B$1,'Interimaire Juin  2017'!J25=$B$2),'Interimaire Juin  2017'!E25,"")</f>
        <v/>
      </c>
      <c r="D19" s="76" t="str">
        <f>IF(AND('Interimaire Juin  2017'!D25=$B$1,'Interimaire Juin  2017'!J25=$B$2),'Interimaire Juin  2017'!F25,"")</f>
        <v/>
      </c>
      <c r="E19" s="76" t="str">
        <f t="shared" si="2"/>
        <v/>
      </c>
      <c r="F19" s="76" t="str">
        <f t="array" aca="1" ref="F19" ca="1">IFERROR(INDEX(C:C,SMALL($E$2:$E$300,ROW(INDIRECT("11:"&amp;ROWS(C11:C309))))),"")</f>
        <v/>
      </c>
      <c r="G19" s="76" t="str">
        <f t="array" aca="1" ref="G19" ca="1">IFERROR(INDEX(D:D,SMALL($E$2:$E$300,ROW(INDIRECT("11:"&amp;ROWS(D11:D309))))),"")</f>
        <v/>
      </c>
      <c r="H19" s="82"/>
      <c r="I19" s="77">
        <v>7</v>
      </c>
      <c r="J19" s="78">
        <f t="shared" si="3"/>
        <v>1</v>
      </c>
      <c r="K19" s="79"/>
      <c r="L19" s="79"/>
      <c r="M19" s="80">
        <f t="shared" si="4"/>
        <v>1</v>
      </c>
      <c r="N19" s="77">
        <v>7</v>
      </c>
      <c r="O19" s="78">
        <f t="shared" si="5"/>
        <v>1</v>
      </c>
      <c r="P19" s="79"/>
      <c r="Q19" s="79"/>
      <c r="R19" s="80">
        <f t="shared" si="6"/>
        <v>1</v>
      </c>
      <c r="S19" s="77">
        <v>7</v>
      </c>
      <c r="T19" s="78">
        <f t="shared" si="7"/>
        <v>1</v>
      </c>
      <c r="U19" s="79"/>
      <c r="V19" s="79"/>
      <c r="W19" s="80">
        <f t="shared" si="8"/>
        <v>1</v>
      </c>
      <c r="X19" s="77">
        <v>7</v>
      </c>
      <c r="Y19" s="78">
        <f t="shared" si="9"/>
        <v>1</v>
      </c>
      <c r="Z19" s="79"/>
      <c r="AA19" s="79"/>
      <c r="AB19" s="80">
        <f t="shared" si="10"/>
        <v>1</v>
      </c>
      <c r="AC19" s="77">
        <v>7</v>
      </c>
      <c r="AD19" s="78">
        <f t="shared" si="11"/>
        <v>1</v>
      </c>
      <c r="AE19" s="79"/>
      <c r="AF19" s="79"/>
      <c r="AG19" s="80">
        <f t="shared" si="12"/>
        <v>1</v>
      </c>
      <c r="AH19" s="98">
        <f t="shared" si="13"/>
        <v>35</v>
      </c>
      <c r="AI19" s="79">
        <f t="shared" si="14"/>
        <v>0</v>
      </c>
      <c r="AJ19" s="79">
        <f t="shared" si="15"/>
        <v>0</v>
      </c>
      <c r="AK19" s="81">
        <f t="shared" si="16"/>
        <v>5</v>
      </c>
      <c r="AL19" s="81" t="str">
        <f t="shared" si="17"/>
        <v>CRIT</v>
      </c>
      <c r="AM19" s="81">
        <f t="shared" si="18"/>
        <v>22</v>
      </c>
      <c r="AN19" s="99">
        <f t="shared" si="19"/>
        <v>42884</v>
      </c>
      <c r="AO19" s="99">
        <f t="shared" si="20"/>
        <v>42888</v>
      </c>
      <c r="AP19" s="99"/>
      <c r="AQ19" s="73"/>
      <c r="AR19" s="67"/>
      <c r="AS19" s="132"/>
    </row>
    <row r="20" spans="1:45" ht="20.25" customHeight="1" thickTop="1" thickBot="1" x14ac:dyDescent="0.3">
      <c r="A20" s="74" t="str">
        <f t="shared" ca="1" si="0"/>
        <v/>
      </c>
      <c r="B20" s="75" t="str">
        <f t="shared" ca="1" si="1"/>
        <v/>
      </c>
      <c r="C20" s="76" t="str">
        <f>IF(AND('Interimaire Juin  2017'!D26=$B$1,'Interimaire Juin  2017'!J26=$B$2),'Interimaire Juin  2017'!E26,"")</f>
        <v/>
      </c>
      <c r="D20" s="76" t="str">
        <f>IF(AND('Interimaire Juin  2017'!D26=$B$1,'Interimaire Juin  2017'!J26=$B$2),'Interimaire Juin  2017'!F26,"")</f>
        <v/>
      </c>
      <c r="E20" s="76" t="str">
        <f t="shared" si="2"/>
        <v/>
      </c>
      <c r="F20" s="76" t="str">
        <f t="array" aca="1" ref="F20" ca="1">IFERROR(INDEX(C:C,SMALL($E$2:$E$300,ROW(INDIRECT("12:"&amp;ROWS(C12:C310))))),"")</f>
        <v/>
      </c>
      <c r="G20" s="76" t="str">
        <f t="array" aca="1" ref="G20" ca="1">IFERROR(INDEX(D:D,SMALL($E$2:$E$300,ROW(INDIRECT("12:"&amp;ROWS(D12:D310))))),"")</f>
        <v/>
      </c>
      <c r="H20" s="82"/>
      <c r="I20" s="77">
        <v>7</v>
      </c>
      <c r="J20" s="78">
        <f t="shared" si="3"/>
        <v>1</v>
      </c>
      <c r="K20" s="79"/>
      <c r="L20" s="79"/>
      <c r="M20" s="80">
        <f t="shared" si="4"/>
        <v>1</v>
      </c>
      <c r="N20" s="77">
        <v>7</v>
      </c>
      <c r="O20" s="78">
        <f t="shared" si="5"/>
        <v>1</v>
      </c>
      <c r="P20" s="79"/>
      <c r="Q20" s="79"/>
      <c r="R20" s="80">
        <f t="shared" si="6"/>
        <v>1</v>
      </c>
      <c r="S20" s="77">
        <v>7</v>
      </c>
      <c r="T20" s="78">
        <f t="shared" si="7"/>
        <v>1</v>
      </c>
      <c r="U20" s="79"/>
      <c r="V20" s="79"/>
      <c r="W20" s="80">
        <f t="shared" si="8"/>
        <v>1</v>
      </c>
      <c r="X20" s="77">
        <v>7</v>
      </c>
      <c r="Y20" s="78">
        <f t="shared" si="9"/>
        <v>1</v>
      </c>
      <c r="Z20" s="79"/>
      <c r="AA20" s="79"/>
      <c r="AB20" s="80">
        <f t="shared" si="10"/>
        <v>1</v>
      </c>
      <c r="AC20" s="77">
        <v>7</v>
      </c>
      <c r="AD20" s="78">
        <f t="shared" si="11"/>
        <v>1</v>
      </c>
      <c r="AE20" s="79"/>
      <c r="AF20" s="79"/>
      <c r="AG20" s="80">
        <f t="shared" si="12"/>
        <v>1</v>
      </c>
      <c r="AH20" s="77">
        <f t="shared" si="13"/>
        <v>35</v>
      </c>
      <c r="AI20" s="79">
        <f t="shared" si="14"/>
        <v>0</v>
      </c>
      <c r="AJ20" s="79">
        <f t="shared" si="15"/>
        <v>0</v>
      </c>
      <c r="AK20" s="81">
        <f t="shared" si="16"/>
        <v>5</v>
      </c>
      <c r="AL20" s="81" t="str">
        <f t="shared" si="17"/>
        <v>CRIT</v>
      </c>
      <c r="AM20" s="81">
        <f t="shared" si="18"/>
        <v>22</v>
      </c>
      <c r="AN20" s="99">
        <f t="shared" si="19"/>
        <v>42884</v>
      </c>
      <c r="AO20" s="99">
        <f t="shared" si="20"/>
        <v>42888</v>
      </c>
      <c r="AP20" s="99"/>
      <c r="AQ20" s="73"/>
      <c r="AR20" s="67"/>
      <c r="AS20" s="132"/>
    </row>
    <row r="21" spans="1:45" ht="20.25" customHeight="1" thickTop="1" thickBot="1" x14ac:dyDescent="0.3">
      <c r="A21" s="74" t="str">
        <f t="shared" ca="1" si="0"/>
        <v/>
      </c>
      <c r="B21" s="75" t="str">
        <f t="shared" ca="1" si="1"/>
        <v/>
      </c>
      <c r="C21" s="76" t="str">
        <f>IF(AND('Interimaire Juin  2017'!D27=$B$1,'Interimaire Juin  2017'!J27=$B$2),'Interimaire Juin  2017'!E27,"")</f>
        <v/>
      </c>
      <c r="D21" s="76" t="str">
        <f>IF(AND('Interimaire Juin  2017'!D27=$B$1,'Interimaire Juin  2017'!J27=$B$2),'Interimaire Juin  2017'!F27,"")</f>
        <v/>
      </c>
      <c r="E21" s="76" t="str">
        <f t="shared" si="2"/>
        <v/>
      </c>
      <c r="F21" s="76" t="str">
        <f t="array" aca="1" ref="F21" ca="1">IFERROR(INDEX(C:C,SMALL($E$2:$E$300,ROW(INDIRECT("13:"&amp;ROWS(C13:C311))))),"")</f>
        <v/>
      </c>
      <c r="G21" s="76" t="str">
        <f t="array" aca="1" ref="G21" ca="1">IFERROR(INDEX(D:D,SMALL($E$2:$E$300,ROW(INDIRECT("13:"&amp;ROWS(D13:D311))))),"")</f>
        <v/>
      </c>
      <c r="H21" s="82"/>
      <c r="I21" s="77">
        <v>7</v>
      </c>
      <c r="J21" s="78">
        <f t="shared" si="3"/>
        <v>1</v>
      </c>
      <c r="K21" s="79"/>
      <c r="L21" s="79"/>
      <c r="M21" s="80">
        <f t="shared" si="4"/>
        <v>1</v>
      </c>
      <c r="N21" s="77">
        <v>7</v>
      </c>
      <c r="O21" s="78">
        <f t="shared" si="5"/>
        <v>1</v>
      </c>
      <c r="P21" s="79"/>
      <c r="Q21" s="79"/>
      <c r="R21" s="80">
        <f t="shared" si="6"/>
        <v>1</v>
      </c>
      <c r="S21" s="77">
        <v>7</v>
      </c>
      <c r="T21" s="78">
        <f t="shared" si="7"/>
        <v>1</v>
      </c>
      <c r="U21" s="79"/>
      <c r="V21" s="79"/>
      <c r="W21" s="80">
        <f t="shared" si="8"/>
        <v>1</v>
      </c>
      <c r="X21" s="77">
        <v>7</v>
      </c>
      <c r="Y21" s="78">
        <f t="shared" si="9"/>
        <v>1</v>
      </c>
      <c r="Z21" s="79"/>
      <c r="AA21" s="79"/>
      <c r="AB21" s="80">
        <f t="shared" si="10"/>
        <v>1</v>
      </c>
      <c r="AC21" s="77">
        <v>7</v>
      </c>
      <c r="AD21" s="78">
        <f t="shared" si="11"/>
        <v>1</v>
      </c>
      <c r="AE21" s="79"/>
      <c r="AF21" s="79"/>
      <c r="AG21" s="80">
        <f t="shared" si="12"/>
        <v>1</v>
      </c>
      <c r="AH21" s="77">
        <f t="shared" si="13"/>
        <v>35</v>
      </c>
      <c r="AI21" s="79">
        <f t="shared" si="14"/>
        <v>0</v>
      </c>
      <c r="AJ21" s="79">
        <f t="shared" si="15"/>
        <v>0</v>
      </c>
      <c r="AK21" s="81">
        <f t="shared" si="16"/>
        <v>5</v>
      </c>
      <c r="AL21" s="81" t="str">
        <f t="shared" si="17"/>
        <v>CRIT</v>
      </c>
      <c r="AM21" s="81">
        <f t="shared" si="18"/>
        <v>22</v>
      </c>
      <c r="AN21" s="99">
        <f t="shared" si="19"/>
        <v>42884</v>
      </c>
      <c r="AO21" s="99">
        <f t="shared" si="20"/>
        <v>42888</v>
      </c>
      <c r="AP21" s="99"/>
      <c r="AQ21" s="73"/>
      <c r="AR21" s="67"/>
      <c r="AS21" s="132"/>
    </row>
    <row r="22" spans="1:45" ht="20.25" customHeight="1" thickTop="1" thickBot="1" x14ac:dyDescent="0.3">
      <c r="A22" s="74" t="str">
        <f t="shared" ca="1" si="0"/>
        <v/>
      </c>
      <c r="B22" s="75" t="str">
        <f t="shared" ca="1" si="1"/>
        <v/>
      </c>
      <c r="C22" s="76" t="str">
        <f>IF(AND('Interimaire Juin  2017'!D28=$B$1,'Interimaire Juin  2017'!J28=$B$2),'Interimaire Juin  2017'!E28,"")</f>
        <v/>
      </c>
      <c r="D22" s="76" t="str">
        <f>IF(AND('Interimaire Juin  2017'!D28=$B$1,'Interimaire Juin  2017'!J28=$B$2),'Interimaire Juin  2017'!F28,"")</f>
        <v/>
      </c>
      <c r="E22" s="76" t="str">
        <f t="shared" si="2"/>
        <v/>
      </c>
      <c r="F22" s="76" t="str">
        <f t="array" aca="1" ref="F22" ca="1">IFERROR(INDEX(C:C,SMALL($E$2:$E$300,ROW(INDIRECT("14:"&amp;ROWS(C14:C312))))),"")</f>
        <v/>
      </c>
      <c r="G22" s="76" t="str">
        <f t="array" aca="1" ref="G22" ca="1">IFERROR(INDEX(D:D,SMALL($E$2:$E$300,ROW(INDIRECT("14:"&amp;ROWS(D14:D312))))),"")</f>
        <v/>
      </c>
      <c r="H22" s="82"/>
      <c r="I22" s="77">
        <v>7</v>
      </c>
      <c r="J22" s="78">
        <f t="shared" si="3"/>
        <v>1</v>
      </c>
      <c r="K22" s="79"/>
      <c r="L22" s="79"/>
      <c r="M22" s="80">
        <f t="shared" si="4"/>
        <v>1</v>
      </c>
      <c r="N22" s="77">
        <v>7</v>
      </c>
      <c r="O22" s="78">
        <f t="shared" si="5"/>
        <v>1</v>
      </c>
      <c r="P22" s="79"/>
      <c r="Q22" s="79"/>
      <c r="R22" s="80">
        <f t="shared" si="6"/>
        <v>1</v>
      </c>
      <c r="S22" s="77">
        <v>7</v>
      </c>
      <c r="T22" s="78">
        <f t="shared" si="7"/>
        <v>1</v>
      </c>
      <c r="U22" s="79"/>
      <c r="V22" s="79"/>
      <c r="W22" s="80">
        <f t="shared" si="8"/>
        <v>1</v>
      </c>
      <c r="X22" s="77">
        <v>7</v>
      </c>
      <c r="Y22" s="78">
        <f t="shared" si="9"/>
        <v>1</v>
      </c>
      <c r="Z22" s="79"/>
      <c r="AA22" s="79"/>
      <c r="AB22" s="80">
        <f t="shared" si="10"/>
        <v>1</v>
      </c>
      <c r="AC22" s="77">
        <v>7</v>
      </c>
      <c r="AD22" s="78">
        <f t="shared" si="11"/>
        <v>1</v>
      </c>
      <c r="AE22" s="79"/>
      <c r="AF22" s="79"/>
      <c r="AG22" s="80">
        <f t="shared" si="12"/>
        <v>1</v>
      </c>
      <c r="AH22" s="77">
        <f t="shared" si="13"/>
        <v>35</v>
      </c>
      <c r="AI22" s="79">
        <f t="shared" si="14"/>
        <v>0</v>
      </c>
      <c r="AJ22" s="79">
        <f t="shared" si="15"/>
        <v>0</v>
      </c>
      <c r="AK22" s="81">
        <f t="shared" si="16"/>
        <v>5</v>
      </c>
      <c r="AL22" s="81" t="str">
        <f t="shared" si="17"/>
        <v>CRIT</v>
      </c>
      <c r="AM22" s="81">
        <f t="shared" si="18"/>
        <v>22</v>
      </c>
      <c r="AN22" s="99">
        <f t="shared" si="19"/>
        <v>42884</v>
      </c>
      <c r="AO22" s="99">
        <f t="shared" si="20"/>
        <v>42888</v>
      </c>
      <c r="AP22" s="99"/>
      <c r="AQ22" s="73"/>
      <c r="AR22" s="67"/>
      <c r="AS22" s="132"/>
    </row>
    <row r="23" spans="1:45" ht="20.25" customHeight="1" thickTop="1" thickBot="1" x14ac:dyDescent="0.3">
      <c r="A23" s="74" t="str">
        <f t="shared" ca="1" si="0"/>
        <v/>
      </c>
      <c r="B23" s="75" t="str">
        <f t="shared" ca="1" si="1"/>
        <v/>
      </c>
      <c r="C23" s="76" t="str">
        <f>IF(AND('Interimaire Juin  2017'!D29=$B$1,'Interimaire Juin  2017'!J29=$B$2),'Interimaire Juin  2017'!E29,"")</f>
        <v/>
      </c>
      <c r="D23" s="76" t="str">
        <f>IF(AND('Interimaire Juin  2017'!D29=$B$1,'Interimaire Juin  2017'!J29=$B$2),'Interimaire Juin  2017'!F29,"")</f>
        <v/>
      </c>
      <c r="E23" s="76" t="str">
        <f t="shared" si="2"/>
        <v/>
      </c>
      <c r="F23" s="76" t="str">
        <f t="array" aca="1" ref="F23" ca="1">IFERROR(INDEX(C:C,SMALL($E$2:$E$300,ROW(INDIRECT("15:"&amp;ROWS(C15:C313))))),"")</f>
        <v/>
      </c>
      <c r="G23" s="76" t="str">
        <f t="array" aca="1" ref="G23" ca="1">IFERROR(INDEX(D:D,SMALL($E$2:$E$300,ROW(INDIRECT("15:"&amp;ROWS(D15:D313))))),"")</f>
        <v/>
      </c>
      <c r="H23" s="82"/>
      <c r="I23" s="77">
        <v>7</v>
      </c>
      <c r="J23" s="78">
        <f t="shared" si="3"/>
        <v>1</v>
      </c>
      <c r="K23" s="79"/>
      <c r="L23" s="79"/>
      <c r="M23" s="80">
        <f t="shared" si="4"/>
        <v>1</v>
      </c>
      <c r="N23" s="77">
        <v>7</v>
      </c>
      <c r="O23" s="78">
        <f t="shared" si="5"/>
        <v>1</v>
      </c>
      <c r="P23" s="79"/>
      <c r="Q23" s="79"/>
      <c r="R23" s="80">
        <f t="shared" si="6"/>
        <v>1</v>
      </c>
      <c r="S23" s="77">
        <v>7</v>
      </c>
      <c r="T23" s="78">
        <f t="shared" si="7"/>
        <v>1</v>
      </c>
      <c r="U23" s="79"/>
      <c r="V23" s="79"/>
      <c r="W23" s="80">
        <f t="shared" si="8"/>
        <v>1</v>
      </c>
      <c r="X23" s="77">
        <v>7</v>
      </c>
      <c r="Y23" s="78">
        <f t="shared" si="9"/>
        <v>1</v>
      </c>
      <c r="Z23" s="79"/>
      <c r="AA23" s="79"/>
      <c r="AB23" s="80">
        <f t="shared" si="10"/>
        <v>1</v>
      </c>
      <c r="AC23" s="77">
        <v>7</v>
      </c>
      <c r="AD23" s="78">
        <f t="shared" si="11"/>
        <v>1</v>
      </c>
      <c r="AE23" s="79"/>
      <c r="AF23" s="79"/>
      <c r="AG23" s="80">
        <f t="shared" si="12"/>
        <v>1</v>
      </c>
      <c r="AH23" s="77">
        <f t="shared" si="13"/>
        <v>35</v>
      </c>
      <c r="AI23" s="79">
        <f t="shared" si="14"/>
        <v>0</v>
      </c>
      <c r="AJ23" s="79">
        <f t="shared" si="15"/>
        <v>0</v>
      </c>
      <c r="AK23" s="81">
        <f t="shared" si="16"/>
        <v>5</v>
      </c>
      <c r="AL23" s="81" t="str">
        <f t="shared" si="17"/>
        <v>CRIT</v>
      </c>
      <c r="AM23" s="81">
        <f t="shared" si="18"/>
        <v>22</v>
      </c>
      <c r="AN23" s="99">
        <f t="shared" si="19"/>
        <v>42884</v>
      </c>
      <c r="AO23" s="99">
        <f t="shared" si="20"/>
        <v>42888</v>
      </c>
      <c r="AP23" s="99"/>
      <c r="AQ23" s="73"/>
      <c r="AR23" s="67"/>
      <c r="AS23" s="132"/>
    </row>
    <row r="24" spans="1:45" ht="20.25" customHeight="1" thickTop="1" thickBot="1" x14ac:dyDescent="0.3">
      <c r="A24" s="74" t="str">
        <f t="shared" ca="1" si="0"/>
        <v/>
      </c>
      <c r="B24" s="75" t="str">
        <f t="shared" ca="1" si="1"/>
        <v/>
      </c>
      <c r="C24" s="76" t="str">
        <f>IF(AND('Interimaire Juin  2017'!D30=$B$1,'Interimaire Juin  2017'!J30=$B$2),'Interimaire Juin  2017'!E30,"")</f>
        <v/>
      </c>
      <c r="D24" s="76" t="str">
        <f>IF(AND('Interimaire Juin  2017'!D30=$B$1,'Interimaire Juin  2017'!J30=$B$2),'Interimaire Juin  2017'!F30,"")</f>
        <v/>
      </c>
      <c r="E24" s="76" t="str">
        <f t="shared" si="2"/>
        <v/>
      </c>
      <c r="F24" s="76" t="str">
        <f t="array" aca="1" ref="F24" ca="1">IFERROR(INDEX(C:C,SMALL($E$2:$E$300,ROW(INDIRECT("16:"&amp;ROWS(C16:C314))))),"")</f>
        <v/>
      </c>
      <c r="G24" s="76" t="str">
        <f t="array" aca="1" ref="G24" ca="1">IFERROR(INDEX(D:D,SMALL($E$2:$E$300,ROW(INDIRECT("16:"&amp;ROWS(D16:D314))))),"")</f>
        <v/>
      </c>
      <c r="H24" s="82"/>
      <c r="I24" s="77">
        <v>7</v>
      </c>
      <c r="J24" s="78">
        <f t="shared" si="3"/>
        <v>1</v>
      </c>
      <c r="K24" s="79"/>
      <c r="L24" s="79"/>
      <c r="M24" s="80">
        <f t="shared" si="4"/>
        <v>1</v>
      </c>
      <c r="N24" s="77">
        <v>7</v>
      </c>
      <c r="O24" s="78">
        <f t="shared" si="5"/>
        <v>1</v>
      </c>
      <c r="P24" s="79"/>
      <c r="Q24" s="79"/>
      <c r="R24" s="80">
        <f t="shared" si="6"/>
        <v>1</v>
      </c>
      <c r="S24" s="77">
        <v>7</v>
      </c>
      <c r="T24" s="78">
        <f t="shared" si="7"/>
        <v>1</v>
      </c>
      <c r="U24" s="79"/>
      <c r="V24" s="79"/>
      <c r="W24" s="80">
        <f t="shared" si="8"/>
        <v>1</v>
      </c>
      <c r="X24" s="77">
        <v>7</v>
      </c>
      <c r="Y24" s="78">
        <f t="shared" si="9"/>
        <v>1</v>
      </c>
      <c r="Z24" s="79"/>
      <c r="AA24" s="79"/>
      <c r="AB24" s="80">
        <f t="shared" si="10"/>
        <v>1</v>
      </c>
      <c r="AC24" s="77">
        <v>7</v>
      </c>
      <c r="AD24" s="78">
        <f t="shared" si="11"/>
        <v>1</v>
      </c>
      <c r="AE24" s="79"/>
      <c r="AF24" s="79"/>
      <c r="AG24" s="80">
        <f t="shared" si="12"/>
        <v>1</v>
      </c>
      <c r="AH24" s="77">
        <f t="shared" si="13"/>
        <v>35</v>
      </c>
      <c r="AI24" s="79">
        <f t="shared" si="14"/>
        <v>0</v>
      </c>
      <c r="AJ24" s="79">
        <f t="shared" si="15"/>
        <v>0</v>
      </c>
      <c r="AK24" s="81">
        <f t="shared" si="16"/>
        <v>5</v>
      </c>
      <c r="AL24" s="81" t="str">
        <f t="shared" si="17"/>
        <v>CRIT</v>
      </c>
      <c r="AM24" s="81">
        <f t="shared" si="18"/>
        <v>22</v>
      </c>
      <c r="AN24" s="99">
        <f t="shared" si="19"/>
        <v>42884</v>
      </c>
      <c r="AO24" s="99">
        <f t="shared" si="20"/>
        <v>42888</v>
      </c>
      <c r="AP24" s="99"/>
      <c r="AQ24" s="73"/>
      <c r="AR24" s="67"/>
      <c r="AS24" s="132"/>
    </row>
    <row r="25" spans="1:45" ht="20.25" customHeight="1" thickTop="1" thickBot="1" x14ac:dyDescent="0.3">
      <c r="A25" s="74" t="str">
        <f t="shared" ca="1" si="0"/>
        <v/>
      </c>
      <c r="B25" s="75" t="str">
        <f t="shared" ca="1" si="1"/>
        <v/>
      </c>
      <c r="C25" s="76" t="str">
        <f>IF(AND('Interimaire Juin  2017'!D31=$B$1,'Interimaire Juin  2017'!J31=$B$2),'Interimaire Juin  2017'!E31,"")</f>
        <v/>
      </c>
      <c r="D25" s="76" t="str">
        <f>IF(AND('Interimaire Juin  2017'!D31=$B$1,'Interimaire Juin  2017'!J31=$B$2),'Interimaire Juin  2017'!F31,"")</f>
        <v/>
      </c>
      <c r="E25" s="76" t="str">
        <f t="shared" si="2"/>
        <v/>
      </c>
      <c r="F25" s="76" t="str">
        <f t="array" aca="1" ref="F25" ca="1">IFERROR(INDEX(C:C,SMALL($E$2:$E$300,ROW(INDIRECT("17:"&amp;ROWS(C17:C315))))),"")</f>
        <v/>
      </c>
      <c r="G25" s="76" t="str">
        <f t="array" aca="1" ref="G25" ca="1">IFERROR(INDEX(D:D,SMALL($E$2:$E$300,ROW(INDIRECT("17:"&amp;ROWS(D17:D315))))),"")</f>
        <v/>
      </c>
      <c r="H25" s="82"/>
      <c r="I25" s="77">
        <v>7</v>
      </c>
      <c r="J25" s="78">
        <f t="shared" si="3"/>
        <v>1</v>
      </c>
      <c r="K25" s="79"/>
      <c r="L25" s="79"/>
      <c r="M25" s="80">
        <f t="shared" si="4"/>
        <v>1</v>
      </c>
      <c r="N25" s="77">
        <v>7</v>
      </c>
      <c r="O25" s="78">
        <f t="shared" si="5"/>
        <v>1</v>
      </c>
      <c r="P25" s="79"/>
      <c r="Q25" s="79"/>
      <c r="R25" s="80">
        <f t="shared" si="6"/>
        <v>1</v>
      </c>
      <c r="S25" s="77">
        <v>7</v>
      </c>
      <c r="T25" s="78">
        <f t="shared" si="7"/>
        <v>1</v>
      </c>
      <c r="U25" s="79"/>
      <c r="V25" s="79"/>
      <c r="W25" s="80">
        <f t="shared" si="8"/>
        <v>1</v>
      </c>
      <c r="X25" s="77">
        <v>7</v>
      </c>
      <c r="Y25" s="78">
        <f t="shared" si="9"/>
        <v>1</v>
      </c>
      <c r="Z25" s="79"/>
      <c r="AA25" s="79"/>
      <c r="AB25" s="80">
        <f t="shared" si="10"/>
        <v>1</v>
      </c>
      <c r="AC25" s="77">
        <v>7</v>
      </c>
      <c r="AD25" s="78">
        <f t="shared" si="11"/>
        <v>1</v>
      </c>
      <c r="AE25" s="79"/>
      <c r="AF25" s="79"/>
      <c r="AG25" s="80">
        <f t="shared" si="12"/>
        <v>1</v>
      </c>
      <c r="AH25" s="77">
        <f t="shared" si="13"/>
        <v>35</v>
      </c>
      <c r="AI25" s="79">
        <f t="shared" si="14"/>
        <v>0</v>
      </c>
      <c r="AJ25" s="79">
        <f t="shared" si="15"/>
        <v>0</v>
      </c>
      <c r="AK25" s="81">
        <f t="shared" si="16"/>
        <v>5</v>
      </c>
      <c r="AL25" s="81" t="str">
        <f t="shared" si="17"/>
        <v>CRIT</v>
      </c>
      <c r="AM25" s="81">
        <f t="shared" si="18"/>
        <v>22</v>
      </c>
      <c r="AN25" s="99">
        <f t="shared" si="19"/>
        <v>42884</v>
      </c>
      <c r="AO25" s="99">
        <f t="shared" si="20"/>
        <v>42888</v>
      </c>
      <c r="AP25" s="99"/>
      <c r="AQ25" s="73"/>
      <c r="AR25" s="67"/>
      <c r="AS25" s="132"/>
    </row>
    <row r="26" spans="1:45" ht="20.25" customHeight="1" thickTop="1" thickBot="1" x14ac:dyDescent="0.3">
      <c r="A26" s="74" t="str">
        <f t="shared" ca="1" si="0"/>
        <v/>
      </c>
      <c r="B26" s="75" t="str">
        <f t="shared" ca="1" si="1"/>
        <v/>
      </c>
      <c r="C26" s="76" t="str">
        <f>IF(AND('Interimaire Juin  2017'!D32=$B$1,'Interimaire Juin  2017'!J32=$B$2),'Interimaire Juin  2017'!E32,"")</f>
        <v/>
      </c>
      <c r="D26" s="76" t="str">
        <f>IF(AND('Interimaire Juin  2017'!D32=$B$1,'Interimaire Juin  2017'!J32=$B$2),'Interimaire Juin  2017'!F32,"")</f>
        <v/>
      </c>
      <c r="E26" s="76" t="str">
        <f t="shared" si="2"/>
        <v/>
      </c>
      <c r="F26" s="76" t="str">
        <f t="array" aca="1" ref="F26" ca="1">IFERROR(INDEX(C:C,SMALL($E$2:$E$300,ROW(INDIRECT("18:"&amp;ROWS(C18:C316))))),"")</f>
        <v/>
      </c>
      <c r="G26" s="76" t="str">
        <f t="array" aca="1" ref="G26" ca="1">IFERROR(INDEX(D:D,SMALL($E$2:$E$300,ROW(INDIRECT("18:"&amp;ROWS(D18:D316))))),"")</f>
        <v/>
      </c>
      <c r="H26" s="82"/>
      <c r="I26" s="77">
        <v>7</v>
      </c>
      <c r="J26" s="78">
        <f t="shared" si="3"/>
        <v>1</v>
      </c>
      <c r="K26" s="79"/>
      <c r="L26" s="79"/>
      <c r="M26" s="80">
        <f t="shared" si="4"/>
        <v>1</v>
      </c>
      <c r="N26" s="77">
        <v>7</v>
      </c>
      <c r="O26" s="78">
        <f t="shared" si="5"/>
        <v>1</v>
      </c>
      <c r="P26" s="79"/>
      <c r="Q26" s="79"/>
      <c r="R26" s="80">
        <f t="shared" si="6"/>
        <v>1</v>
      </c>
      <c r="S26" s="77">
        <v>7</v>
      </c>
      <c r="T26" s="78">
        <f t="shared" si="7"/>
        <v>1</v>
      </c>
      <c r="U26" s="79"/>
      <c r="V26" s="79"/>
      <c r="W26" s="80">
        <f t="shared" si="8"/>
        <v>1</v>
      </c>
      <c r="X26" s="77">
        <v>7</v>
      </c>
      <c r="Y26" s="78">
        <f t="shared" si="9"/>
        <v>1</v>
      </c>
      <c r="Z26" s="79"/>
      <c r="AA26" s="79"/>
      <c r="AB26" s="80">
        <f t="shared" si="10"/>
        <v>1</v>
      </c>
      <c r="AC26" s="77">
        <v>7</v>
      </c>
      <c r="AD26" s="78">
        <f t="shared" si="11"/>
        <v>1</v>
      </c>
      <c r="AE26" s="79"/>
      <c r="AF26" s="79"/>
      <c r="AG26" s="80">
        <f t="shared" si="12"/>
        <v>1</v>
      </c>
      <c r="AH26" s="77">
        <f t="shared" si="13"/>
        <v>35</v>
      </c>
      <c r="AI26" s="79">
        <f t="shared" si="14"/>
        <v>0</v>
      </c>
      <c r="AJ26" s="79">
        <f t="shared" si="15"/>
        <v>0</v>
      </c>
      <c r="AK26" s="81">
        <f t="shared" si="16"/>
        <v>5</v>
      </c>
      <c r="AL26" s="81" t="str">
        <f t="shared" si="17"/>
        <v>CRIT</v>
      </c>
      <c r="AM26" s="81">
        <f t="shared" si="18"/>
        <v>22</v>
      </c>
      <c r="AN26" s="99">
        <f t="shared" si="19"/>
        <v>42884</v>
      </c>
      <c r="AO26" s="99">
        <f t="shared" si="20"/>
        <v>42888</v>
      </c>
      <c r="AP26" s="99"/>
      <c r="AQ26" s="73"/>
      <c r="AR26" s="67"/>
      <c r="AS26" s="132"/>
    </row>
    <row r="27" spans="1:45" ht="20.25" customHeight="1" thickTop="1" thickBot="1" x14ac:dyDescent="0.3">
      <c r="A27" s="74" t="str">
        <f t="shared" ca="1" si="0"/>
        <v/>
      </c>
      <c r="B27" s="75" t="str">
        <f t="shared" ca="1" si="1"/>
        <v/>
      </c>
      <c r="C27" s="76" t="str">
        <f>IF(AND('Interimaire Juin  2017'!D33=$B$1,'Interimaire Juin  2017'!J33=$B$2),'Interimaire Juin  2017'!E33,"")</f>
        <v/>
      </c>
      <c r="D27" s="76" t="str">
        <f>IF(AND('Interimaire Juin  2017'!D33=$B$1,'Interimaire Juin  2017'!J33=$B$2),'Interimaire Juin  2017'!F33,"")</f>
        <v/>
      </c>
      <c r="E27" s="76" t="str">
        <f t="shared" si="2"/>
        <v/>
      </c>
      <c r="F27" s="76" t="str">
        <f t="array" aca="1" ref="F27" ca="1">IFERROR(INDEX(C:C,SMALL($E$2:$E$300,ROW(INDIRECT("19:"&amp;ROWS(C19:C317))))),"")</f>
        <v/>
      </c>
      <c r="G27" s="76" t="str">
        <f t="array" aca="1" ref="G27" ca="1">IFERROR(INDEX(D:D,SMALL($E$2:$E$300,ROW(INDIRECT("19:"&amp;ROWS(D19:D317))))),"")</f>
        <v/>
      </c>
      <c r="H27" s="82"/>
      <c r="I27" s="77">
        <v>7</v>
      </c>
      <c r="J27" s="78">
        <f t="shared" si="3"/>
        <v>1</v>
      </c>
      <c r="K27" s="79"/>
      <c r="L27" s="79"/>
      <c r="M27" s="80">
        <f t="shared" si="4"/>
        <v>1</v>
      </c>
      <c r="N27" s="77">
        <v>7</v>
      </c>
      <c r="O27" s="78">
        <f t="shared" si="5"/>
        <v>1</v>
      </c>
      <c r="P27" s="79"/>
      <c r="Q27" s="79"/>
      <c r="R27" s="80">
        <f t="shared" si="6"/>
        <v>1</v>
      </c>
      <c r="S27" s="77">
        <v>7</v>
      </c>
      <c r="T27" s="78">
        <f t="shared" si="7"/>
        <v>1</v>
      </c>
      <c r="U27" s="79"/>
      <c r="V27" s="79"/>
      <c r="W27" s="80">
        <f t="shared" si="8"/>
        <v>1</v>
      </c>
      <c r="X27" s="77">
        <v>7</v>
      </c>
      <c r="Y27" s="78">
        <f t="shared" si="9"/>
        <v>1</v>
      </c>
      <c r="Z27" s="79"/>
      <c r="AA27" s="79"/>
      <c r="AB27" s="80">
        <f t="shared" si="10"/>
        <v>1</v>
      </c>
      <c r="AC27" s="77">
        <v>7</v>
      </c>
      <c r="AD27" s="78">
        <f t="shared" si="11"/>
        <v>1</v>
      </c>
      <c r="AE27" s="79"/>
      <c r="AF27" s="79"/>
      <c r="AG27" s="80">
        <f t="shared" si="12"/>
        <v>1</v>
      </c>
      <c r="AH27" s="77">
        <f t="shared" si="13"/>
        <v>35</v>
      </c>
      <c r="AI27" s="79">
        <f t="shared" si="14"/>
        <v>0</v>
      </c>
      <c r="AJ27" s="79">
        <f t="shared" si="15"/>
        <v>0</v>
      </c>
      <c r="AK27" s="81">
        <f t="shared" si="16"/>
        <v>5</v>
      </c>
      <c r="AL27" s="81" t="str">
        <f t="shared" si="17"/>
        <v>CRIT</v>
      </c>
      <c r="AM27" s="81">
        <f t="shared" si="18"/>
        <v>22</v>
      </c>
      <c r="AN27" s="99">
        <f t="shared" si="19"/>
        <v>42884</v>
      </c>
      <c r="AO27" s="99">
        <f t="shared" si="20"/>
        <v>42888</v>
      </c>
      <c r="AP27" s="99"/>
      <c r="AQ27" s="73"/>
      <c r="AR27" s="67"/>
      <c r="AS27" s="132"/>
    </row>
    <row r="28" spans="1:45" ht="20.25" customHeight="1" thickTop="1" thickBot="1" x14ac:dyDescent="0.3">
      <c r="A28" s="74" t="str">
        <f t="shared" ca="1" si="0"/>
        <v/>
      </c>
      <c r="B28" s="75" t="str">
        <f t="shared" ca="1" si="1"/>
        <v/>
      </c>
      <c r="C28" s="76" t="str">
        <f>IF(AND('Interimaire Juin  2017'!D34=$B$1,'Interimaire Juin  2017'!J34=$B$2),'Interimaire Juin  2017'!E34,"")</f>
        <v/>
      </c>
      <c r="D28" s="76" t="str">
        <f>IF(AND('Interimaire Juin  2017'!D34=$B$1,'Interimaire Juin  2017'!J34=$B$2),'Interimaire Juin  2017'!F34,"")</f>
        <v/>
      </c>
      <c r="E28" s="76" t="str">
        <f t="shared" si="2"/>
        <v/>
      </c>
      <c r="F28" s="76" t="str">
        <f t="array" aca="1" ref="F28" ca="1">IFERROR(INDEX(C:C,SMALL($E$2:$E$300,ROW(INDIRECT("20:"&amp;ROWS(C20:C318))))),"")</f>
        <v/>
      </c>
      <c r="G28" s="76" t="str">
        <f t="array" aca="1" ref="G28" ca="1">IFERROR(INDEX(D:D,SMALL($E$2:$E$300,ROW(INDIRECT("20:"&amp;ROWS(D20:D318))))),"")</f>
        <v/>
      </c>
      <c r="H28" s="82"/>
      <c r="I28" s="77">
        <v>7</v>
      </c>
      <c r="J28" s="78">
        <f t="shared" si="3"/>
        <v>1</v>
      </c>
      <c r="K28" s="79"/>
      <c r="L28" s="79"/>
      <c r="M28" s="80">
        <f t="shared" si="4"/>
        <v>1</v>
      </c>
      <c r="N28" s="77">
        <v>7</v>
      </c>
      <c r="O28" s="78">
        <f t="shared" si="5"/>
        <v>1</v>
      </c>
      <c r="P28" s="79"/>
      <c r="Q28" s="79"/>
      <c r="R28" s="80">
        <f t="shared" si="6"/>
        <v>1</v>
      </c>
      <c r="S28" s="77">
        <v>7</v>
      </c>
      <c r="T28" s="78">
        <f t="shared" si="7"/>
        <v>1</v>
      </c>
      <c r="U28" s="79"/>
      <c r="V28" s="79"/>
      <c r="W28" s="80">
        <f t="shared" si="8"/>
        <v>1</v>
      </c>
      <c r="X28" s="77">
        <v>7</v>
      </c>
      <c r="Y28" s="78">
        <f t="shared" si="9"/>
        <v>1</v>
      </c>
      <c r="Z28" s="79"/>
      <c r="AA28" s="79"/>
      <c r="AB28" s="80">
        <f t="shared" si="10"/>
        <v>1</v>
      </c>
      <c r="AC28" s="77">
        <v>7</v>
      </c>
      <c r="AD28" s="78">
        <f t="shared" si="11"/>
        <v>1</v>
      </c>
      <c r="AE28" s="79"/>
      <c r="AF28" s="79"/>
      <c r="AG28" s="80">
        <f t="shared" si="12"/>
        <v>1</v>
      </c>
      <c r="AH28" s="77">
        <f t="shared" si="13"/>
        <v>35</v>
      </c>
      <c r="AI28" s="79">
        <f t="shared" si="14"/>
        <v>0</v>
      </c>
      <c r="AJ28" s="79">
        <f t="shared" si="15"/>
        <v>0</v>
      </c>
      <c r="AK28" s="81">
        <f t="shared" si="16"/>
        <v>5</v>
      </c>
      <c r="AL28" s="81" t="str">
        <f t="shared" si="17"/>
        <v>CRIT</v>
      </c>
      <c r="AM28" s="81">
        <f t="shared" si="18"/>
        <v>22</v>
      </c>
      <c r="AN28" s="99">
        <f t="shared" si="19"/>
        <v>42884</v>
      </c>
      <c r="AO28" s="99">
        <f t="shared" si="20"/>
        <v>42888</v>
      </c>
      <c r="AP28" s="99"/>
      <c r="AQ28" s="73"/>
      <c r="AR28" s="67"/>
      <c r="AS28" s="132"/>
    </row>
    <row r="29" spans="1:45" ht="20.25" customHeight="1" thickTop="1" thickBot="1" x14ac:dyDescent="0.3">
      <c r="A29" s="74" t="str">
        <f t="shared" ca="1" si="0"/>
        <v/>
      </c>
      <c r="B29" s="75" t="str">
        <f t="shared" ca="1" si="1"/>
        <v/>
      </c>
      <c r="C29" s="76" t="str">
        <f>IF(AND('Interimaire Juin  2017'!D35=$B$1,'Interimaire Juin  2017'!J35=$B$2),'Interimaire Juin  2017'!E35,"")</f>
        <v/>
      </c>
      <c r="D29" s="76" t="str">
        <f>IF(AND('Interimaire Juin  2017'!D35=$B$1,'Interimaire Juin  2017'!J35=$B$2),'Interimaire Juin  2017'!F35,"")</f>
        <v/>
      </c>
      <c r="E29" s="76" t="str">
        <f t="shared" si="2"/>
        <v/>
      </c>
      <c r="F29" s="76" t="str">
        <f t="array" aca="1" ref="F29" ca="1">IFERROR(INDEX(C:C,SMALL($E$2:$E$300,ROW(INDIRECT("21:"&amp;ROWS(C21:C319))))),"")</f>
        <v/>
      </c>
      <c r="G29" s="76" t="str">
        <f t="array" aca="1" ref="G29" ca="1">IFERROR(INDEX(D:D,SMALL($E$2:$E$300,ROW(INDIRECT("21:"&amp;ROWS(D21:D319))))),"")</f>
        <v/>
      </c>
      <c r="H29" s="82"/>
      <c r="I29" s="77">
        <v>7</v>
      </c>
      <c r="J29" s="78">
        <f t="shared" si="3"/>
        <v>1</v>
      </c>
      <c r="K29" s="79"/>
      <c r="L29" s="79"/>
      <c r="M29" s="80">
        <f t="shared" si="4"/>
        <v>1</v>
      </c>
      <c r="N29" s="77">
        <v>7</v>
      </c>
      <c r="O29" s="78">
        <f t="shared" si="5"/>
        <v>1</v>
      </c>
      <c r="P29" s="79"/>
      <c r="Q29" s="79"/>
      <c r="R29" s="80">
        <f t="shared" si="6"/>
        <v>1</v>
      </c>
      <c r="S29" s="77">
        <v>7</v>
      </c>
      <c r="T29" s="78">
        <f t="shared" si="7"/>
        <v>1</v>
      </c>
      <c r="U29" s="79"/>
      <c r="V29" s="79"/>
      <c r="W29" s="80">
        <f t="shared" si="8"/>
        <v>1</v>
      </c>
      <c r="X29" s="77">
        <v>7</v>
      </c>
      <c r="Y29" s="78">
        <f t="shared" si="9"/>
        <v>1</v>
      </c>
      <c r="Z29" s="79"/>
      <c r="AA29" s="79"/>
      <c r="AB29" s="80">
        <f t="shared" si="10"/>
        <v>1</v>
      </c>
      <c r="AC29" s="77">
        <v>7</v>
      </c>
      <c r="AD29" s="78">
        <f t="shared" si="11"/>
        <v>1</v>
      </c>
      <c r="AE29" s="79"/>
      <c r="AF29" s="79"/>
      <c r="AG29" s="80">
        <f t="shared" si="12"/>
        <v>1</v>
      </c>
      <c r="AH29" s="77">
        <f t="shared" si="13"/>
        <v>35</v>
      </c>
      <c r="AI29" s="79">
        <f t="shared" si="14"/>
        <v>0</v>
      </c>
      <c r="AJ29" s="79">
        <f t="shared" si="15"/>
        <v>0</v>
      </c>
      <c r="AK29" s="81">
        <f t="shared" si="16"/>
        <v>5</v>
      </c>
      <c r="AL29" s="81" t="str">
        <f t="shared" si="17"/>
        <v>CRIT</v>
      </c>
      <c r="AM29" s="81">
        <f t="shared" si="18"/>
        <v>22</v>
      </c>
      <c r="AN29" s="99">
        <f t="shared" si="19"/>
        <v>42884</v>
      </c>
      <c r="AO29" s="99">
        <f t="shared" si="20"/>
        <v>42888</v>
      </c>
      <c r="AP29" s="99"/>
      <c r="AQ29" s="73"/>
      <c r="AR29" s="67"/>
      <c r="AS29" s="132"/>
    </row>
    <row r="30" spans="1:45" ht="20.25" customHeight="1" thickTop="1" thickBot="1" x14ac:dyDescent="0.3">
      <c r="A30" s="74" t="str">
        <f t="shared" ca="1" si="0"/>
        <v/>
      </c>
      <c r="B30" s="75" t="str">
        <f t="shared" ca="1" si="1"/>
        <v/>
      </c>
      <c r="C30" s="76" t="str">
        <f>IF(AND('Interimaire Juin  2017'!D36=$B$1,'Interimaire Juin  2017'!J36=$B$2),'Interimaire Juin  2017'!E36,"")</f>
        <v/>
      </c>
      <c r="D30" s="76" t="str">
        <f>IF(AND('Interimaire Juin  2017'!D36=$B$1,'Interimaire Juin  2017'!J36=$B$2),'Interimaire Juin  2017'!F36,"")</f>
        <v/>
      </c>
      <c r="E30" s="76" t="str">
        <f t="shared" si="2"/>
        <v/>
      </c>
      <c r="F30" s="76" t="str">
        <f t="array" aca="1" ref="F30" ca="1">IFERROR(INDEX(C:C,SMALL($E$2:$E$300,ROW(INDIRECT("22:"&amp;ROWS(C22:C320))))),"")</f>
        <v/>
      </c>
      <c r="G30" s="76" t="str">
        <f t="array" aca="1" ref="G30" ca="1">IFERROR(INDEX(D:D,SMALL($E$2:$E$300,ROW(INDIRECT("22:"&amp;ROWS(D22:D320))))),"")</f>
        <v/>
      </c>
      <c r="H30" s="82"/>
      <c r="I30" s="77">
        <v>7</v>
      </c>
      <c r="J30" s="78">
        <f t="shared" si="3"/>
        <v>1</v>
      </c>
      <c r="K30" s="79"/>
      <c r="L30" s="79"/>
      <c r="M30" s="80">
        <f t="shared" si="4"/>
        <v>1</v>
      </c>
      <c r="N30" s="77">
        <v>7</v>
      </c>
      <c r="O30" s="78">
        <f t="shared" si="5"/>
        <v>1</v>
      </c>
      <c r="P30" s="79"/>
      <c r="Q30" s="79"/>
      <c r="R30" s="80">
        <f t="shared" si="6"/>
        <v>1</v>
      </c>
      <c r="S30" s="77">
        <v>7</v>
      </c>
      <c r="T30" s="78">
        <f t="shared" si="7"/>
        <v>1</v>
      </c>
      <c r="U30" s="79"/>
      <c r="V30" s="79"/>
      <c r="W30" s="80">
        <f t="shared" si="8"/>
        <v>1</v>
      </c>
      <c r="X30" s="77">
        <v>7</v>
      </c>
      <c r="Y30" s="78">
        <f t="shared" si="9"/>
        <v>1</v>
      </c>
      <c r="Z30" s="79"/>
      <c r="AA30" s="79"/>
      <c r="AB30" s="80">
        <f t="shared" si="10"/>
        <v>1</v>
      </c>
      <c r="AC30" s="77">
        <v>7</v>
      </c>
      <c r="AD30" s="78">
        <f t="shared" si="11"/>
        <v>1</v>
      </c>
      <c r="AE30" s="79"/>
      <c r="AF30" s="79"/>
      <c r="AG30" s="80">
        <f t="shared" si="12"/>
        <v>1</v>
      </c>
      <c r="AH30" s="77">
        <f t="shared" si="13"/>
        <v>35</v>
      </c>
      <c r="AI30" s="79">
        <f t="shared" si="14"/>
        <v>0</v>
      </c>
      <c r="AJ30" s="79">
        <f t="shared" si="15"/>
        <v>0</v>
      </c>
      <c r="AK30" s="81">
        <f t="shared" si="16"/>
        <v>5</v>
      </c>
      <c r="AL30" s="81" t="str">
        <f t="shared" si="17"/>
        <v>CRIT</v>
      </c>
      <c r="AM30" s="81">
        <f t="shared" si="18"/>
        <v>22</v>
      </c>
      <c r="AN30" s="99">
        <f t="shared" si="19"/>
        <v>42884</v>
      </c>
      <c r="AO30" s="99">
        <f t="shared" si="20"/>
        <v>42888</v>
      </c>
      <c r="AP30" s="99"/>
      <c r="AQ30" s="73"/>
      <c r="AR30" s="67"/>
      <c r="AS30" s="132"/>
    </row>
    <row r="31" spans="1:45" ht="20.25" customHeight="1" thickTop="1" thickBot="1" x14ac:dyDescent="0.3">
      <c r="A31" s="74" t="str">
        <f t="shared" ca="1" si="0"/>
        <v/>
      </c>
      <c r="B31" s="75" t="str">
        <f t="shared" ca="1" si="1"/>
        <v/>
      </c>
      <c r="C31" s="76" t="str">
        <f>IF(AND('Interimaire Juin  2017'!D37=$B$1,'Interimaire Juin  2017'!J37=$B$2),'Interimaire Juin  2017'!E37,"")</f>
        <v/>
      </c>
      <c r="D31" s="76" t="str">
        <f>IF(AND('Interimaire Juin  2017'!D37=$B$1,'Interimaire Juin  2017'!J37=$B$2),'Interimaire Juin  2017'!F37,"")</f>
        <v/>
      </c>
      <c r="E31" s="76" t="str">
        <f t="shared" si="2"/>
        <v/>
      </c>
      <c r="F31" s="76" t="str">
        <f t="array" aca="1" ref="F31" ca="1">IFERROR(INDEX(C:C,SMALL($E$2:$E$300,ROW(INDIRECT("23:"&amp;ROWS(C23:C321))))),"")</f>
        <v/>
      </c>
      <c r="G31" s="76" t="str">
        <f t="array" aca="1" ref="G31" ca="1">IFERROR(INDEX(D:D,SMALL($E$2:$E$300,ROW(INDIRECT("23:"&amp;ROWS(D23:D321))))),"")</f>
        <v/>
      </c>
      <c r="H31" s="82"/>
      <c r="I31" s="77">
        <v>7</v>
      </c>
      <c r="J31" s="78">
        <f t="shared" si="3"/>
        <v>1</v>
      </c>
      <c r="K31" s="79"/>
      <c r="L31" s="79"/>
      <c r="M31" s="80">
        <f t="shared" si="4"/>
        <v>1</v>
      </c>
      <c r="N31" s="77">
        <v>7</v>
      </c>
      <c r="O31" s="78">
        <f t="shared" si="5"/>
        <v>1</v>
      </c>
      <c r="P31" s="79"/>
      <c r="Q31" s="79"/>
      <c r="R31" s="80">
        <f t="shared" si="6"/>
        <v>1</v>
      </c>
      <c r="S31" s="77">
        <v>7</v>
      </c>
      <c r="T31" s="78">
        <f t="shared" si="7"/>
        <v>1</v>
      </c>
      <c r="U31" s="79"/>
      <c r="V31" s="79"/>
      <c r="W31" s="80">
        <f t="shared" si="8"/>
        <v>1</v>
      </c>
      <c r="X31" s="77">
        <v>7</v>
      </c>
      <c r="Y31" s="78">
        <f t="shared" si="9"/>
        <v>1</v>
      </c>
      <c r="Z31" s="79"/>
      <c r="AA31" s="79"/>
      <c r="AB31" s="80">
        <f t="shared" si="10"/>
        <v>1</v>
      </c>
      <c r="AC31" s="77">
        <v>7</v>
      </c>
      <c r="AD31" s="78">
        <f t="shared" si="11"/>
        <v>1</v>
      </c>
      <c r="AE31" s="79"/>
      <c r="AF31" s="79"/>
      <c r="AG31" s="80">
        <f t="shared" si="12"/>
        <v>1</v>
      </c>
      <c r="AH31" s="77">
        <f t="shared" si="13"/>
        <v>35</v>
      </c>
      <c r="AI31" s="79">
        <f t="shared" si="14"/>
        <v>0</v>
      </c>
      <c r="AJ31" s="79">
        <f t="shared" si="15"/>
        <v>0</v>
      </c>
      <c r="AK31" s="81">
        <f t="shared" si="16"/>
        <v>5</v>
      </c>
      <c r="AL31" s="81" t="str">
        <f t="shared" si="17"/>
        <v>CRIT</v>
      </c>
      <c r="AM31" s="81">
        <f t="shared" si="18"/>
        <v>22</v>
      </c>
      <c r="AN31" s="99">
        <f t="shared" si="19"/>
        <v>42884</v>
      </c>
      <c r="AO31" s="99">
        <f t="shared" si="20"/>
        <v>42888</v>
      </c>
      <c r="AP31" s="99"/>
      <c r="AQ31" s="73"/>
      <c r="AR31" s="67"/>
      <c r="AS31" s="132"/>
    </row>
    <row r="32" spans="1:45" ht="20.25" customHeight="1" thickTop="1" thickBot="1" x14ac:dyDescent="0.3">
      <c r="A32" s="74" t="str">
        <f t="shared" ca="1" si="0"/>
        <v/>
      </c>
      <c r="B32" s="75" t="str">
        <f t="shared" ca="1" si="1"/>
        <v/>
      </c>
      <c r="C32" s="76" t="str">
        <f>IF(AND('Interimaire Juin  2017'!D38=$B$1,'Interimaire Juin  2017'!J38=$B$2),'Interimaire Juin  2017'!E38,"")</f>
        <v/>
      </c>
      <c r="D32" s="76" t="str">
        <f>IF(AND('Interimaire Juin  2017'!D38=$B$1,'Interimaire Juin  2017'!J38=$B$2),'Interimaire Juin  2017'!F38,"")</f>
        <v/>
      </c>
      <c r="E32" s="76" t="str">
        <f t="shared" si="2"/>
        <v/>
      </c>
      <c r="F32" s="76" t="str">
        <f t="array" aca="1" ref="F32" ca="1">IFERROR(INDEX(C:C,SMALL($E$2:$E$300,ROW(INDIRECT("24:"&amp;ROWS(C24:C322))))),"")</f>
        <v/>
      </c>
      <c r="G32" s="76" t="str">
        <f t="array" aca="1" ref="G32" ca="1">IFERROR(INDEX(D:D,SMALL($E$2:$E$300,ROW(INDIRECT("24:"&amp;ROWS(D24:D322))))),"")</f>
        <v/>
      </c>
      <c r="H32" s="82"/>
      <c r="I32" s="77">
        <v>7</v>
      </c>
      <c r="J32" s="78">
        <f t="shared" si="3"/>
        <v>1</v>
      </c>
      <c r="K32" s="79"/>
      <c r="L32" s="79"/>
      <c r="M32" s="80">
        <f t="shared" si="4"/>
        <v>1</v>
      </c>
      <c r="N32" s="77">
        <v>7</v>
      </c>
      <c r="O32" s="78">
        <f t="shared" si="5"/>
        <v>1</v>
      </c>
      <c r="P32" s="79"/>
      <c r="Q32" s="79"/>
      <c r="R32" s="80">
        <f t="shared" si="6"/>
        <v>1</v>
      </c>
      <c r="S32" s="77">
        <v>7</v>
      </c>
      <c r="T32" s="78">
        <f t="shared" si="7"/>
        <v>1</v>
      </c>
      <c r="U32" s="79"/>
      <c r="V32" s="79"/>
      <c r="W32" s="80">
        <f t="shared" si="8"/>
        <v>1</v>
      </c>
      <c r="X32" s="77">
        <v>7</v>
      </c>
      <c r="Y32" s="78">
        <f t="shared" si="9"/>
        <v>1</v>
      </c>
      <c r="Z32" s="79"/>
      <c r="AA32" s="79"/>
      <c r="AB32" s="80">
        <f t="shared" si="10"/>
        <v>1</v>
      </c>
      <c r="AC32" s="77">
        <v>7</v>
      </c>
      <c r="AD32" s="78">
        <f t="shared" si="11"/>
        <v>1</v>
      </c>
      <c r="AE32" s="79"/>
      <c r="AF32" s="79"/>
      <c r="AG32" s="80">
        <f t="shared" si="12"/>
        <v>1</v>
      </c>
      <c r="AH32" s="77">
        <f t="shared" si="13"/>
        <v>35</v>
      </c>
      <c r="AI32" s="79">
        <f t="shared" si="14"/>
        <v>0</v>
      </c>
      <c r="AJ32" s="79">
        <f t="shared" si="15"/>
        <v>0</v>
      </c>
      <c r="AK32" s="81">
        <f t="shared" si="16"/>
        <v>5</v>
      </c>
      <c r="AL32" s="81" t="str">
        <f t="shared" si="17"/>
        <v>CRIT</v>
      </c>
      <c r="AM32" s="81">
        <f t="shared" si="18"/>
        <v>22</v>
      </c>
      <c r="AN32" s="99">
        <f t="shared" si="19"/>
        <v>42884</v>
      </c>
      <c r="AO32" s="99">
        <f t="shared" si="20"/>
        <v>42888</v>
      </c>
      <c r="AP32" s="99"/>
      <c r="AQ32" s="73"/>
      <c r="AR32" s="67"/>
      <c r="AS32" s="132"/>
    </row>
    <row r="33" spans="1:45" ht="20.25" customHeight="1" thickTop="1" thickBot="1" x14ac:dyDescent="0.3">
      <c r="A33" s="74" t="str">
        <f t="shared" ca="1" si="0"/>
        <v/>
      </c>
      <c r="B33" s="75" t="str">
        <f t="shared" ca="1" si="1"/>
        <v/>
      </c>
      <c r="C33" s="76" t="str">
        <f>IF(AND('Interimaire Juin  2017'!D39=$B$1,'Interimaire Juin  2017'!J39=$B$2),'Interimaire Juin  2017'!E39,"")</f>
        <v/>
      </c>
      <c r="D33" s="76" t="str">
        <f>IF(AND('Interimaire Juin  2017'!D39=$B$1,'Interimaire Juin  2017'!J39=$B$2),'Interimaire Juin  2017'!F39,"")</f>
        <v/>
      </c>
      <c r="E33" s="76" t="str">
        <f t="shared" si="2"/>
        <v/>
      </c>
      <c r="F33" s="76" t="str">
        <f t="array" aca="1" ref="F33" ca="1">IFERROR(INDEX(C:C,SMALL($E$2:$E$300,ROW(INDIRECT("25:"&amp;ROWS(C25:C323))))),"")</f>
        <v/>
      </c>
      <c r="G33" s="76" t="str">
        <f t="array" aca="1" ref="G33" ca="1">IFERROR(INDEX(D:D,SMALL($E$2:$E$300,ROW(INDIRECT("25:"&amp;ROWS(D25:D323))))),"")</f>
        <v/>
      </c>
      <c r="H33" s="82"/>
      <c r="I33" s="77">
        <v>7</v>
      </c>
      <c r="J33" s="78">
        <f t="shared" si="3"/>
        <v>1</v>
      </c>
      <c r="K33" s="79"/>
      <c r="L33" s="79"/>
      <c r="M33" s="80">
        <f t="shared" si="4"/>
        <v>1</v>
      </c>
      <c r="N33" s="77">
        <v>7</v>
      </c>
      <c r="O33" s="78">
        <f t="shared" si="5"/>
        <v>1</v>
      </c>
      <c r="P33" s="79"/>
      <c r="Q33" s="79"/>
      <c r="R33" s="80">
        <f t="shared" si="6"/>
        <v>1</v>
      </c>
      <c r="S33" s="77">
        <v>7</v>
      </c>
      <c r="T33" s="78">
        <f t="shared" si="7"/>
        <v>1</v>
      </c>
      <c r="U33" s="79"/>
      <c r="V33" s="79"/>
      <c r="W33" s="80">
        <f t="shared" si="8"/>
        <v>1</v>
      </c>
      <c r="X33" s="77">
        <v>7</v>
      </c>
      <c r="Y33" s="78">
        <f t="shared" si="9"/>
        <v>1</v>
      </c>
      <c r="Z33" s="79"/>
      <c r="AA33" s="79"/>
      <c r="AB33" s="80">
        <f t="shared" si="10"/>
        <v>1</v>
      </c>
      <c r="AC33" s="77">
        <v>7</v>
      </c>
      <c r="AD33" s="78">
        <f t="shared" si="11"/>
        <v>1</v>
      </c>
      <c r="AE33" s="79"/>
      <c r="AF33" s="79"/>
      <c r="AG33" s="80">
        <f t="shared" si="12"/>
        <v>1</v>
      </c>
      <c r="AH33" s="77">
        <f t="shared" si="13"/>
        <v>35</v>
      </c>
      <c r="AI33" s="79">
        <f t="shared" si="14"/>
        <v>0</v>
      </c>
      <c r="AJ33" s="79">
        <f t="shared" si="15"/>
        <v>0</v>
      </c>
      <c r="AK33" s="81">
        <f t="shared" si="16"/>
        <v>5</v>
      </c>
      <c r="AL33" s="81" t="str">
        <f t="shared" si="17"/>
        <v>CRIT</v>
      </c>
      <c r="AM33" s="81">
        <f t="shared" si="18"/>
        <v>22</v>
      </c>
      <c r="AN33" s="99">
        <f t="shared" si="19"/>
        <v>42884</v>
      </c>
      <c r="AO33" s="99">
        <f t="shared" si="20"/>
        <v>42888</v>
      </c>
      <c r="AP33" s="99"/>
      <c r="AQ33" s="73"/>
      <c r="AR33" s="67"/>
      <c r="AS33" s="132"/>
    </row>
    <row r="34" spans="1:45" ht="20.25" customHeight="1" thickTop="1" thickBot="1" x14ac:dyDescent="0.3">
      <c r="A34" s="74" t="str">
        <f t="shared" ca="1" si="0"/>
        <v/>
      </c>
      <c r="B34" s="75" t="str">
        <f t="shared" ca="1" si="1"/>
        <v/>
      </c>
      <c r="C34" s="76" t="str">
        <f>IF(AND('Interimaire Juin  2017'!D40=$B$1,'Interimaire Juin  2017'!J40=$B$2),'Interimaire Juin  2017'!E40,"")</f>
        <v/>
      </c>
      <c r="D34" s="76" t="str">
        <f>IF(AND('Interimaire Juin  2017'!D40=$B$1,'Interimaire Juin  2017'!J40=$B$2),'Interimaire Juin  2017'!F40,"")</f>
        <v/>
      </c>
      <c r="E34" s="76" t="str">
        <f t="shared" si="2"/>
        <v/>
      </c>
      <c r="F34" s="76" t="str">
        <f t="array" aca="1" ref="F34" ca="1">IFERROR(INDEX(C:C,SMALL($E$2:$E$300,ROW(INDIRECT("26:"&amp;ROWS(C26:C324))))),"")</f>
        <v/>
      </c>
      <c r="G34" s="76" t="str">
        <f t="array" aca="1" ref="G34" ca="1">IFERROR(INDEX(D:D,SMALL($E$2:$E$300,ROW(INDIRECT("26:"&amp;ROWS(D26:D324))))),"")</f>
        <v/>
      </c>
      <c r="H34" s="82"/>
      <c r="I34" s="77">
        <v>7</v>
      </c>
      <c r="J34" s="78">
        <f t="shared" si="3"/>
        <v>1</v>
      </c>
      <c r="K34" s="79"/>
      <c r="L34" s="79"/>
      <c r="M34" s="80">
        <f t="shared" si="4"/>
        <v>1</v>
      </c>
      <c r="N34" s="77">
        <v>7</v>
      </c>
      <c r="O34" s="78">
        <f t="shared" si="5"/>
        <v>1</v>
      </c>
      <c r="P34" s="79"/>
      <c r="Q34" s="79"/>
      <c r="R34" s="80">
        <f t="shared" si="6"/>
        <v>1</v>
      </c>
      <c r="S34" s="77">
        <v>7</v>
      </c>
      <c r="T34" s="78">
        <f t="shared" si="7"/>
        <v>1</v>
      </c>
      <c r="U34" s="79"/>
      <c r="V34" s="79"/>
      <c r="W34" s="80">
        <f t="shared" si="8"/>
        <v>1</v>
      </c>
      <c r="X34" s="77">
        <v>7</v>
      </c>
      <c r="Y34" s="78">
        <f t="shared" si="9"/>
        <v>1</v>
      </c>
      <c r="Z34" s="79"/>
      <c r="AA34" s="79"/>
      <c r="AB34" s="80">
        <f t="shared" si="10"/>
        <v>1</v>
      </c>
      <c r="AC34" s="77">
        <v>7</v>
      </c>
      <c r="AD34" s="78">
        <f t="shared" si="11"/>
        <v>1</v>
      </c>
      <c r="AE34" s="79"/>
      <c r="AF34" s="79"/>
      <c r="AG34" s="80">
        <f t="shared" si="12"/>
        <v>1</v>
      </c>
      <c r="AH34" s="77">
        <f t="shared" si="13"/>
        <v>35</v>
      </c>
      <c r="AI34" s="79">
        <f t="shared" si="14"/>
        <v>0</v>
      </c>
      <c r="AJ34" s="79">
        <f t="shared" si="15"/>
        <v>0</v>
      </c>
      <c r="AK34" s="81">
        <f t="shared" si="16"/>
        <v>5</v>
      </c>
      <c r="AL34" s="81" t="str">
        <f t="shared" si="17"/>
        <v>CRIT</v>
      </c>
      <c r="AM34" s="81">
        <f t="shared" si="18"/>
        <v>22</v>
      </c>
      <c r="AN34" s="99">
        <f t="shared" si="19"/>
        <v>42884</v>
      </c>
      <c r="AO34" s="99">
        <f t="shared" si="20"/>
        <v>42888</v>
      </c>
      <c r="AP34" s="99"/>
      <c r="AQ34" s="73"/>
      <c r="AR34" s="67"/>
      <c r="AS34" s="132"/>
    </row>
    <row r="35" spans="1:45" ht="20.25" customHeight="1" thickTop="1" thickBot="1" x14ac:dyDescent="0.3">
      <c r="A35" s="74" t="str">
        <f t="shared" ca="1" si="0"/>
        <v/>
      </c>
      <c r="B35" s="75" t="str">
        <f t="shared" ca="1" si="1"/>
        <v/>
      </c>
      <c r="C35" s="76" t="str">
        <f>IF(AND('Interimaire Juin  2017'!D41=$B$1,'Interimaire Juin  2017'!J41=$B$2),'Interimaire Juin  2017'!E41,"")</f>
        <v/>
      </c>
      <c r="D35" s="76" t="str">
        <f>IF(AND('Interimaire Juin  2017'!D41=$B$1,'Interimaire Juin  2017'!J41=$B$2),'Interimaire Juin  2017'!F41,"")</f>
        <v/>
      </c>
      <c r="E35" s="76" t="str">
        <f t="shared" si="2"/>
        <v/>
      </c>
      <c r="F35" s="76" t="str">
        <f t="array" aca="1" ref="F35" ca="1">IFERROR(INDEX(C:C,SMALL($E$2:$E$300,ROW(INDIRECT("27:"&amp;ROWS(C27:C325))))),"")</f>
        <v/>
      </c>
      <c r="G35" s="76" t="str">
        <f t="array" aca="1" ref="G35" ca="1">IFERROR(INDEX(D:D,SMALL($E$2:$E$300,ROW(INDIRECT("27:"&amp;ROWS(D27:D325))))),"")</f>
        <v/>
      </c>
      <c r="H35" s="82"/>
      <c r="I35" s="77">
        <v>7</v>
      </c>
      <c r="J35" s="78">
        <f t="shared" si="3"/>
        <v>1</v>
      </c>
      <c r="K35" s="79"/>
      <c r="L35" s="79"/>
      <c r="M35" s="80">
        <f t="shared" si="4"/>
        <v>1</v>
      </c>
      <c r="N35" s="77">
        <v>7</v>
      </c>
      <c r="O35" s="78">
        <f t="shared" si="5"/>
        <v>1</v>
      </c>
      <c r="P35" s="79"/>
      <c r="Q35" s="79"/>
      <c r="R35" s="80">
        <f t="shared" si="6"/>
        <v>1</v>
      </c>
      <c r="S35" s="77">
        <v>7</v>
      </c>
      <c r="T35" s="78">
        <f t="shared" si="7"/>
        <v>1</v>
      </c>
      <c r="U35" s="79"/>
      <c r="V35" s="79"/>
      <c r="W35" s="80">
        <f t="shared" si="8"/>
        <v>1</v>
      </c>
      <c r="X35" s="77">
        <v>7</v>
      </c>
      <c r="Y35" s="78">
        <f t="shared" si="9"/>
        <v>1</v>
      </c>
      <c r="Z35" s="79"/>
      <c r="AA35" s="79"/>
      <c r="AB35" s="80">
        <f t="shared" si="10"/>
        <v>1</v>
      </c>
      <c r="AC35" s="77">
        <v>7</v>
      </c>
      <c r="AD35" s="78">
        <f t="shared" si="11"/>
        <v>1</v>
      </c>
      <c r="AE35" s="79"/>
      <c r="AF35" s="79"/>
      <c r="AG35" s="80">
        <f t="shared" si="12"/>
        <v>1</v>
      </c>
      <c r="AH35" s="77">
        <f t="shared" si="13"/>
        <v>35</v>
      </c>
      <c r="AI35" s="79">
        <f t="shared" si="14"/>
        <v>0</v>
      </c>
      <c r="AJ35" s="79">
        <f t="shared" si="15"/>
        <v>0</v>
      </c>
      <c r="AK35" s="81">
        <f t="shared" si="16"/>
        <v>5</v>
      </c>
      <c r="AL35" s="81" t="str">
        <f t="shared" si="17"/>
        <v>CRIT</v>
      </c>
      <c r="AM35" s="81">
        <f t="shared" si="18"/>
        <v>22</v>
      </c>
      <c r="AN35" s="99">
        <f t="shared" si="19"/>
        <v>42884</v>
      </c>
      <c r="AO35" s="99">
        <f t="shared" si="20"/>
        <v>42888</v>
      </c>
      <c r="AP35" s="99"/>
      <c r="AQ35" s="73"/>
      <c r="AR35" s="67"/>
      <c r="AS35" s="132"/>
    </row>
    <row r="36" spans="1:45" ht="20.25" customHeight="1" thickTop="1" thickBot="1" x14ac:dyDescent="0.3">
      <c r="A36" s="74" t="str">
        <f t="shared" ca="1" si="0"/>
        <v/>
      </c>
      <c r="B36" s="75" t="str">
        <f t="shared" ca="1" si="1"/>
        <v/>
      </c>
      <c r="C36" s="76" t="str">
        <f>IF(AND('Interimaire Juin  2017'!D42=$B$1,'Interimaire Juin  2017'!J42=$B$2),'Interimaire Juin  2017'!E42,"")</f>
        <v/>
      </c>
      <c r="D36" s="76" t="str">
        <f>IF(AND('Interimaire Juin  2017'!D42=$B$1,'Interimaire Juin  2017'!J42=$B$2),'Interimaire Juin  2017'!F42,"")</f>
        <v/>
      </c>
      <c r="E36" s="76" t="str">
        <f t="shared" si="2"/>
        <v/>
      </c>
      <c r="F36" s="76" t="str">
        <f t="array" aca="1" ref="F36" ca="1">IFERROR(INDEX(C:C,SMALL($E$2:$E$300,ROW(INDIRECT("28:"&amp;ROWS(C28:C326))))),"")</f>
        <v/>
      </c>
      <c r="G36" s="76" t="str">
        <f t="array" aca="1" ref="G36" ca="1">IFERROR(INDEX(D:D,SMALL($E$2:$E$300,ROW(INDIRECT("28:"&amp;ROWS(D28:D326))))),"")</f>
        <v/>
      </c>
      <c r="H36" s="82"/>
      <c r="I36" s="77">
        <v>7</v>
      </c>
      <c r="J36" s="78">
        <f t="shared" si="3"/>
        <v>1</v>
      </c>
      <c r="K36" s="79"/>
      <c r="L36" s="79"/>
      <c r="M36" s="80">
        <f t="shared" si="4"/>
        <v>1</v>
      </c>
      <c r="N36" s="77">
        <v>7</v>
      </c>
      <c r="O36" s="78">
        <f t="shared" si="5"/>
        <v>1</v>
      </c>
      <c r="P36" s="79"/>
      <c r="Q36" s="79"/>
      <c r="R36" s="80">
        <f t="shared" si="6"/>
        <v>1</v>
      </c>
      <c r="S36" s="77">
        <v>7</v>
      </c>
      <c r="T36" s="78">
        <f t="shared" si="7"/>
        <v>1</v>
      </c>
      <c r="U36" s="79"/>
      <c r="V36" s="79"/>
      <c r="W36" s="80">
        <f t="shared" si="8"/>
        <v>1</v>
      </c>
      <c r="X36" s="77">
        <v>7</v>
      </c>
      <c r="Y36" s="78">
        <f t="shared" si="9"/>
        <v>1</v>
      </c>
      <c r="Z36" s="79"/>
      <c r="AA36" s="79"/>
      <c r="AB36" s="80">
        <f t="shared" si="10"/>
        <v>1</v>
      </c>
      <c r="AC36" s="77">
        <v>7</v>
      </c>
      <c r="AD36" s="78">
        <f t="shared" si="11"/>
        <v>1</v>
      </c>
      <c r="AE36" s="79"/>
      <c r="AF36" s="79"/>
      <c r="AG36" s="80">
        <f t="shared" si="12"/>
        <v>1</v>
      </c>
      <c r="AH36" s="77">
        <f t="shared" si="13"/>
        <v>35</v>
      </c>
      <c r="AI36" s="79">
        <f t="shared" si="14"/>
        <v>0</v>
      </c>
      <c r="AJ36" s="79">
        <f t="shared" si="15"/>
        <v>0</v>
      </c>
      <c r="AK36" s="81">
        <f t="shared" si="16"/>
        <v>5</v>
      </c>
      <c r="AL36" s="81" t="str">
        <f t="shared" si="17"/>
        <v>CRIT</v>
      </c>
      <c r="AM36" s="81">
        <f t="shared" si="18"/>
        <v>22</v>
      </c>
      <c r="AN36" s="99">
        <f t="shared" si="19"/>
        <v>42884</v>
      </c>
      <c r="AO36" s="99">
        <f t="shared" si="20"/>
        <v>42888</v>
      </c>
      <c r="AP36" s="99"/>
      <c r="AQ36" s="73"/>
      <c r="AR36" s="67"/>
      <c r="AS36" s="132"/>
    </row>
    <row r="37" spans="1:45" ht="20.25" customHeight="1" thickTop="1" thickBot="1" x14ac:dyDescent="0.3">
      <c r="A37" s="74" t="str">
        <f t="shared" ca="1" si="0"/>
        <v/>
      </c>
      <c r="B37" s="75" t="str">
        <f t="shared" ca="1" si="1"/>
        <v/>
      </c>
      <c r="C37" s="76" t="str">
        <f>IF(AND('Interimaire Juin  2017'!D43=$B$1,'Interimaire Juin  2017'!J43=$B$2),'Interimaire Juin  2017'!E43,"")</f>
        <v/>
      </c>
      <c r="D37" s="76" t="str">
        <f>IF(AND('Interimaire Juin  2017'!D43=$B$1,'Interimaire Juin  2017'!J43=$B$2),'Interimaire Juin  2017'!F43,"")</f>
        <v/>
      </c>
      <c r="E37" s="76" t="str">
        <f t="shared" si="2"/>
        <v/>
      </c>
      <c r="F37" s="76" t="str">
        <f t="array" aca="1" ref="F37" ca="1">IFERROR(INDEX(C:C,SMALL($E$2:$E$300,ROW(INDIRECT("29:"&amp;ROWS(C29:C327))))),"")</f>
        <v/>
      </c>
      <c r="G37" s="76" t="str">
        <f t="array" aca="1" ref="G37" ca="1">IFERROR(INDEX(D:D,SMALL($E$2:$E$300,ROW(INDIRECT("29:"&amp;ROWS(D29:D327))))),"")</f>
        <v/>
      </c>
      <c r="H37" s="82"/>
      <c r="I37" s="77">
        <v>7</v>
      </c>
      <c r="J37" s="78">
        <f t="shared" si="3"/>
        <v>1</v>
      </c>
      <c r="K37" s="79"/>
      <c r="L37" s="79"/>
      <c r="M37" s="80">
        <f t="shared" si="4"/>
        <v>1</v>
      </c>
      <c r="N37" s="77">
        <v>7</v>
      </c>
      <c r="O37" s="78">
        <f t="shared" si="5"/>
        <v>1</v>
      </c>
      <c r="P37" s="79"/>
      <c r="Q37" s="79"/>
      <c r="R37" s="80">
        <f t="shared" si="6"/>
        <v>1</v>
      </c>
      <c r="S37" s="77">
        <v>7</v>
      </c>
      <c r="T37" s="78">
        <f t="shared" si="7"/>
        <v>1</v>
      </c>
      <c r="U37" s="79"/>
      <c r="V37" s="79"/>
      <c r="W37" s="80">
        <f t="shared" si="8"/>
        <v>1</v>
      </c>
      <c r="X37" s="77">
        <v>7</v>
      </c>
      <c r="Y37" s="78">
        <f t="shared" si="9"/>
        <v>1</v>
      </c>
      <c r="Z37" s="79"/>
      <c r="AA37" s="79"/>
      <c r="AB37" s="80">
        <f t="shared" si="10"/>
        <v>1</v>
      </c>
      <c r="AC37" s="77">
        <v>7</v>
      </c>
      <c r="AD37" s="78">
        <f t="shared" si="11"/>
        <v>1</v>
      </c>
      <c r="AE37" s="79"/>
      <c r="AF37" s="79"/>
      <c r="AG37" s="80">
        <f t="shared" si="12"/>
        <v>1</v>
      </c>
      <c r="AH37" s="77">
        <f t="shared" si="13"/>
        <v>35</v>
      </c>
      <c r="AI37" s="79">
        <f t="shared" si="14"/>
        <v>0</v>
      </c>
      <c r="AJ37" s="79">
        <f t="shared" si="15"/>
        <v>0</v>
      </c>
      <c r="AK37" s="81">
        <f t="shared" si="16"/>
        <v>5</v>
      </c>
      <c r="AL37" s="81" t="str">
        <f t="shared" si="17"/>
        <v>CRIT</v>
      </c>
      <c r="AM37" s="81">
        <f t="shared" si="18"/>
        <v>22</v>
      </c>
      <c r="AN37" s="99">
        <f t="shared" si="19"/>
        <v>42884</v>
      </c>
      <c r="AO37" s="99">
        <f t="shared" si="20"/>
        <v>42888</v>
      </c>
      <c r="AP37" s="99"/>
      <c r="AQ37" s="73"/>
      <c r="AR37" s="67"/>
      <c r="AS37" s="132"/>
    </row>
    <row r="38" spans="1:45" ht="20.25" customHeight="1" thickTop="1" thickBot="1" x14ac:dyDescent="0.3">
      <c r="A38" s="74" t="str">
        <f t="shared" ca="1" si="0"/>
        <v/>
      </c>
      <c r="B38" s="75" t="str">
        <f t="shared" ca="1" si="1"/>
        <v/>
      </c>
      <c r="C38" s="76" t="str">
        <f>IF(AND('Interimaire Juin  2017'!D44=$B$1,'Interimaire Juin  2017'!J44=$B$2),'Interimaire Juin  2017'!E44,"")</f>
        <v/>
      </c>
      <c r="D38" s="76" t="str">
        <f>IF(AND('Interimaire Juin  2017'!D44=$B$1,'Interimaire Juin  2017'!J44=$B$2),'Interimaire Juin  2017'!F44,"")</f>
        <v/>
      </c>
      <c r="E38" s="76" t="str">
        <f t="shared" si="2"/>
        <v/>
      </c>
      <c r="F38" s="76" t="str">
        <f t="array" aca="1" ref="F38" ca="1">IFERROR(INDEX(C:C,SMALL($E$2:$E$300,ROW(INDIRECT("30:"&amp;ROWS(C30:C328))))),"")</f>
        <v/>
      </c>
      <c r="G38" s="76" t="str">
        <f t="array" aca="1" ref="G38" ca="1">IFERROR(INDEX(D:D,SMALL($E$2:$E$300,ROW(INDIRECT("30:"&amp;ROWS(D30:D328))))),"")</f>
        <v/>
      </c>
      <c r="H38" s="82"/>
      <c r="I38" s="77">
        <v>7</v>
      </c>
      <c r="J38" s="78">
        <f t="shared" si="3"/>
        <v>1</v>
      </c>
      <c r="K38" s="79"/>
      <c r="L38" s="79"/>
      <c r="M38" s="80">
        <f t="shared" si="4"/>
        <v>1</v>
      </c>
      <c r="N38" s="77">
        <v>7</v>
      </c>
      <c r="O38" s="78">
        <f t="shared" si="5"/>
        <v>1</v>
      </c>
      <c r="P38" s="79"/>
      <c r="Q38" s="79"/>
      <c r="R38" s="80">
        <f t="shared" si="6"/>
        <v>1</v>
      </c>
      <c r="S38" s="77">
        <v>7</v>
      </c>
      <c r="T38" s="78">
        <f t="shared" si="7"/>
        <v>1</v>
      </c>
      <c r="U38" s="79"/>
      <c r="V38" s="79"/>
      <c r="W38" s="80">
        <f t="shared" si="8"/>
        <v>1</v>
      </c>
      <c r="X38" s="77">
        <v>7</v>
      </c>
      <c r="Y38" s="78">
        <f t="shared" si="9"/>
        <v>1</v>
      </c>
      <c r="Z38" s="79"/>
      <c r="AA38" s="79"/>
      <c r="AB38" s="80">
        <f t="shared" si="10"/>
        <v>1</v>
      </c>
      <c r="AC38" s="77">
        <v>7</v>
      </c>
      <c r="AD38" s="78">
        <f t="shared" si="11"/>
        <v>1</v>
      </c>
      <c r="AE38" s="79"/>
      <c r="AF38" s="79"/>
      <c r="AG38" s="80">
        <f t="shared" si="12"/>
        <v>1</v>
      </c>
      <c r="AH38" s="77">
        <f t="shared" si="13"/>
        <v>35</v>
      </c>
      <c r="AI38" s="79">
        <f t="shared" si="14"/>
        <v>0</v>
      </c>
      <c r="AJ38" s="79">
        <f t="shared" si="15"/>
        <v>0</v>
      </c>
      <c r="AK38" s="81">
        <f t="shared" si="16"/>
        <v>5</v>
      </c>
      <c r="AL38" s="81" t="str">
        <f t="shared" si="17"/>
        <v>CRIT</v>
      </c>
      <c r="AM38" s="81">
        <f t="shared" si="18"/>
        <v>22</v>
      </c>
      <c r="AN38" s="99">
        <f t="shared" si="19"/>
        <v>42884</v>
      </c>
      <c r="AO38" s="99">
        <f t="shared" si="20"/>
        <v>42888</v>
      </c>
      <c r="AP38" s="99"/>
      <c r="AQ38" s="73"/>
      <c r="AR38" s="67"/>
      <c r="AS38" s="132"/>
    </row>
    <row r="39" spans="1:45" ht="20.25" customHeight="1" thickTop="1" thickBot="1" x14ac:dyDescent="0.3">
      <c r="A39" s="74" t="str">
        <f t="shared" ca="1" si="0"/>
        <v/>
      </c>
      <c r="B39" s="75" t="str">
        <f t="shared" ca="1" si="1"/>
        <v/>
      </c>
      <c r="C39" s="76" t="str">
        <f>IF(AND('Interimaire Juin  2017'!D45=$B$1,'Interimaire Juin  2017'!J45=$B$2),'Interimaire Juin  2017'!E45,"")</f>
        <v/>
      </c>
      <c r="D39" s="76" t="str">
        <f>IF(AND('Interimaire Juin  2017'!D45=$B$1,'Interimaire Juin  2017'!J45=$B$2),'Interimaire Juin  2017'!F45,"")</f>
        <v/>
      </c>
      <c r="E39" s="76" t="str">
        <f t="shared" si="2"/>
        <v/>
      </c>
      <c r="F39" s="76" t="str">
        <f t="array" aca="1" ref="F39" ca="1">IFERROR(INDEX(C:C,SMALL($E$2:$E$300,ROW(INDIRECT("31:"&amp;ROWS(C31:C329))))),"")</f>
        <v/>
      </c>
      <c r="G39" s="76" t="str">
        <f t="array" aca="1" ref="G39" ca="1">IFERROR(INDEX(D:D,SMALL($E$2:$E$300,ROW(INDIRECT("31:"&amp;ROWS(D31:D329))))),"")</f>
        <v/>
      </c>
      <c r="H39" s="82"/>
      <c r="I39" s="77">
        <v>7</v>
      </c>
      <c r="J39" s="78">
        <f t="shared" si="3"/>
        <v>1</v>
      </c>
      <c r="K39" s="79"/>
      <c r="L39" s="79"/>
      <c r="M39" s="80">
        <f t="shared" si="4"/>
        <v>1</v>
      </c>
      <c r="N39" s="77">
        <v>7</v>
      </c>
      <c r="O39" s="78">
        <f t="shared" si="5"/>
        <v>1</v>
      </c>
      <c r="P39" s="79"/>
      <c r="Q39" s="79"/>
      <c r="R39" s="80">
        <f t="shared" si="6"/>
        <v>1</v>
      </c>
      <c r="S39" s="77">
        <v>7</v>
      </c>
      <c r="T39" s="78">
        <f t="shared" si="7"/>
        <v>1</v>
      </c>
      <c r="U39" s="79"/>
      <c r="V39" s="79"/>
      <c r="W39" s="80">
        <f t="shared" si="8"/>
        <v>1</v>
      </c>
      <c r="X39" s="77">
        <v>7</v>
      </c>
      <c r="Y39" s="78">
        <f t="shared" si="9"/>
        <v>1</v>
      </c>
      <c r="Z39" s="79"/>
      <c r="AA39" s="79"/>
      <c r="AB39" s="80">
        <f t="shared" si="10"/>
        <v>1</v>
      </c>
      <c r="AC39" s="77">
        <v>7</v>
      </c>
      <c r="AD39" s="78">
        <f t="shared" si="11"/>
        <v>1</v>
      </c>
      <c r="AE39" s="79"/>
      <c r="AF39" s="79"/>
      <c r="AG39" s="80">
        <f t="shared" si="12"/>
        <v>1</v>
      </c>
      <c r="AH39" s="77">
        <f t="shared" si="13"/>
        <v>35</v>
      </c>
      <c r="AI39" s="79">
        <f t="shared" si="14"/>
        <v>0</v>
      </c>
      <c r="AJ39" s="79">
        <f t="shared" si="15"/>
        <v>0</v>
      </c>
      <c r="AK39" s="81">
        <f t="shared" si="16"/>
        <v>5</v>
      </c>
      <c r="AL39" s="81" t="str">
        <f t="shared" si="17"/>
        <v>CRIT</v>
      </c>
      <c r="AM39" s="81">
        <f t="shared" si="18"/>
        <v>22</v>
      </c>
      <c r="AN39" s="99">
        <f t="shared" si="19"/>
        <v>42884</v>
      </c>
      <c r="AO39" s="99">
        <f t="shared" si="20"/>
        <v>42888</v>
      </c>
      <c r="AP39" s="99"/>
      <c r="AQ39" s="73"/>
      <c r="AR39" s="67"/>
      <c r="AS39" s="132"/>
    </row>
    <row r="40" spans="1:45" ht="20.25" customHeight="1" thickTop="1" thickBot="1" x14ac:dyDescent="0.3">
      <c r="A40" s="74" t="str">
        <f t="shared" ca="1" si="0"/>
        <v/>
      </c>
      <c r="B40" s="75" t="str">
        <f t="shared" ca="1" si="1"/>
        <v/>
      </c>
      <c r="C40" s="76" t="str">
        <f>IF(AND('Interimaire Juin  2017'!D46=$B$1,'Interimaire Juin  2017'!J46=$B$2),'Interimaire Juin  2017'!E46,"")</f>
        <v/>
      </c>
      <c r="D40" s="76" t="str">
        <f>IF(AND('Interimaire Juin  2017'!D46=$B$1,'Interimaire Juin  2017'!J46=$B$2),'Interimaire Juin  2017'!F46,"")</f>
        <v/>
      </c>
      <c r="E40" s="76" t="str">
        <f t="shared" si="2"/>
        <v/>
      </c>
      <c r="F40" s="76" t="str">
        <f t="array" aca="1" ref="F40" ca="1">IFERROR(INDEX(C:C,SMALL($E$2:$E$300,ROW(INDIRECT("32:"&amp;ROWS(C32:C330))))),"")</f>
        <v/>
      </c>
      <c r="G40" s="76" t="str">
        <f t="array" aca="1" ref="G40" ca="1">IFERROR(INDEX(D:D,SMALL($E$2:$E$300,ROW(INDIRECT("32:"&amp;ROWS(D32:D330))))),"")</f>
        <v/>
      </c>
      <c r="H40" s="82"/>
      <c r="I40" s="77">
        <v>7</v>
      </c>
      <c r="J40" s="78">
        <f t="shared" si="3"/>
        <v>1</v>
      </c>
      <c r="K40" s="79"/>
      <c r="L40" s="79"/>
      <c r="M40" s="80">
        <f t="shared" si="4"/>
        <v>1</v>
      </c>
      <c r="N40" s="77">
        <v>7</v>
      </c>
      <c r="O40" s="78">
        <f t="shared" si="5"/>
        <v>1</v>
      </c>
      <c r="P40" s="79"/>
      <c r="Q40" s="79"/>
      <c r="R40" s="80">
        <f t="shared" si="6"/>
        <v>1</v>
      </c>
      <c r="S40" s="77">
        <v>7</v>
      </c>
      <c r="T40" s="78">
        <f t="shared" si="7"/>
        <v>1</v>
      </c>
      <c r="U40" s="79"/>
      <c r="V40" s="79"/>
      <c r="W40" s="80">
        <f t="shared" si="8"/>
        <v>1</v>
      </c>
      <c r="X40" s="77">
        <v>7</v>
      </c>
      <c r="Y40" s="78">
        <f t="shared" si="9"/>
        <v>1</v>
      </c>
      <c r="Z40" s="79"/>
      <c r="AA40" s="79"/>
      <c r="AB40" s="80">
        <f t="shared" si="10"/>
        <v>1</v>
      </c>
      <c r="AC40" s="77">
        <v>7</v>
      </c>
      <c r="AD40" s="78">
        <f t="shared" si="11"/>
        <v>1</v>
      </c>
      <c r="AE40" s="79"/>
      <c r="AF40" s="79"/>
      <c r="AG40" s="80">
        <f t="shared" si="12"/>
        <v>1</v>
      </c>
      <c r="AH40" s="77">
        <f t="shared" si="13"/>
        <v>35</v>
      </c>
      <c r="AI40" s="79">
        <f t="shared" si="14"/>
        <v>0</v>
      </c>
      <c r="AJ40" s="79">
        <f t="shared" si="15"/>
        <v>0</v>
      </c>
      <c r="AK40" s="81">
        <f t="shared" si="16"/>
        <v>5</v>
      </c>
      <c r="AL40" s="81" t="str">
        <f t="shared" si="17"/>
        <v>CRIT</v>
      </c>
      <c r="AM40" s="81">
        <f t="shared" si="18"/>
        <v>22</v>
      </c>
      <c r="AN40" s="99">
        <f t="shared" si="19"/>
        <v>42884</v>
      </c>
      <c r="AO40" s="99">
        <f t="shared" si="20"/>
        <v>42888</v>
      </c>
      <c r="AP40" s="99"/>
      <c r="AQ40" s="73"/>
      <c r="AR40" s="67"/>
      <c r="AS40" s="132"/>
    </row>
    <row r="41" spans="1:45" ht="20.25" customHeight="1" thickTop="1" thickBot="1" x14ac:dyDescent="0.3">
      <c r="A41" s="74" t="str">
        <f t="shared" ca="1" si="0"/>
        <v/>
      </c>
      <c r="B41" s="75" t="str">
        <f t="shared" ca="1" si="1"/>
        <v/>
      </c>
      <c r="C41" s="76" t="str">
        <f>IF(AND('Interimaire Juin  2017'!D47=$B$1,'Interimaire Juin  2017'!J47=$B$2),'Interimaire Juin  2017'!E47,"")</f>
        <v/>
      </c>
      <c r="D41" s="76" t="str">
        <f>IF(AND('Interimaire Juin  2017'!D47=$B$1,'Interimaire Juin  2017'!J47=$B$2),'Interimaire Juin  2017'!F47,"")</f>
        <v/>
      </c>
      <c r="E41" s="76" t="str">
        <f t="shared" si="2"/>
        <v/>
      </c>
      <c r="F41" s="76" t="str">
        <f t="array" aca="1" ref="F41" ca="1">IFERROR(INDEX(C:C,SMALL($E$2:$E$300,ROW(INDIRECT("33:"&amp;ROWS(C33:C331))))),"")</f>
        <v/>
      </c>
      <c r="G41" s="76" t="str">
        <f t="array" aca="1" ref="G41" ca="1">IFERROR(INDEX(D:D,SMALL($E$2:$E$300,ROW(INDIRECT("33:"&amp;ROWS(D33:D331))))),"")</f>
        <v/>
      </c>
      <c r="H41" s="82"/>
      <c r="I41" s="77">
        <v>7</v>
      </c>
      <c r="J41" s="78">
        <f t="shared" si="3"/>
        <v>1</v>
      </c>
      <c r="K41" s="79"/>
      <c r="L41" s="79"/>
      <c r="M41" s="80">
        <f t="shared" si="4"/>
        <v>1</v>
      </c>
      <c r="N41" s="77">
        <v>7</v>
      </c>
      <c r="O41" s="78">
        <f t="shared" si="5"/>
        <v>1</v>
      </c>
      <c r="P41" s="79"/>
      <c r="Q41" s="79"/>
      <c r="R41" s="80">
        <f t="shared" si="6"/>
        <v>1</v>
      </c>
      <c r="S41" s="77">
        <v>7</v>
      </c>
      <c r="T41" s="78">
        <f t="shared" si="7"/>
        <v>1</v>
      </c>
      <c r="U41" s="79"/>
      <c r="V41" s="79"/>
      <c r="W41" s="80">
        <f t="shared" si="8"/>
        <v>1</v>
      </c>
      <c r="X41" s="77">
        <v>7</v>
      </c>
      <c r="Y41" s="78">
        <f t="shared" si="9"/>
        <v>1</v>
      </c>
      <c r="Z41" s="79"/>
      <c r="AA41" s="79"/>
      <c r="AB41" s="80">
        <f t="shared" si="10"/>
        <v>1</v>
      </c>
      <c r="AC41" s="77">
        <v>7</v>
      </c>
      <c r="AD41" s="78">
        <f t="shared" si="11"/>
        <v>1</v>
      </c>
      <c r="AE41" s="79"/>
      <c r="AF41" s="79"/>
      <c r="AG41" s="80">
        <f t="shared" si="12"/>
        <v>1</v>
      </c>
      <c r="AH41" s="77">
        <f t="shared" si="13"/>
        <v>35</v>
      </c>
      <c r="AI41" s="79">
        <f t="shared" si="14"/>
        <v>0</v>
      </c>
      <c r="AJ41" s="79">
        <f t="shared" si="15"/>
        <v>0</v>
      </c>
      <c r="AK41" s="81">
        <f t="shared" si="16"/>
        <v>5</v>
      </c>
      <c r="AL41" s="81" t="str">
        <f t="shared" si="17"/>
        <v>CRIT</v>
      </c>
      <c r="AM41" s="81">
        <f t="shared" si="18"/>
        <v>22</v>
      </c>
      <c r="AN41" s="99">
        <f t="shared" si="19"/>
        <v>42884</v>
      </c>
      <c r="AO41" s="99">
        <f t="shared" si="20"/>
        <v>42888</v>
      </c>
      <c r="AP41" s="99"/>
      <c r="AQ41" s="73"/>
      <c r="AR41" s="67"/>
      <c r="AS41" s="132"/>
    </row>
    <row r="42" spans="1:45" ht="20.25" customHeight="1" thickTop="1" thickBot="1" x14ac:dyDescent="0.3">
      <c r="A42" s="74" t="str">
        <f t="shared" ca="1" si="0"/>
        <v/>
      </c>
      <c r="B42" s="75" t="str">
        <f t="shared" ca="1" si="1"/>
        <v/>
      </c>
      <c r="C42" s="76" t="str">
        <f>IF(AND('Interimaire Juin  2017'!D48=$B$1,'Interimaire Juin  2017'!J48=$B$2),'Interimaire Juin  2017'!E48,"")</f>
        <v/>
      </c>
      <c r="D42" s="76" t="str">
        <f>IF(AND('Interimaire Juin  2017'!D48=$B$1,'Interimaire Juin  2017'!J48=$B$2),'Interimaire Juin  2017'!F48,"")</f>
        <v/>
      </c>
      <c r="E42" s="76" t="str">
        <f t="shared" si="2"/>
        <v/>
      </c>
      <c r="F42" s="76" t="str">
        <f t="array" aca="1" ref="F42" ca="1">IFERROR(INDEX(C:C,SMALL($E$2:$E$300,ROW(INDIRECT("34:"&amp;ROWS(C34:C332))))),"")</f>
        <v/>
      </c>
      <c r="G42" s="76" t="str">
        <f t="array" aca="1" ref="G42" ca="1">IFERROR(INDEX(D:D,SMALL($E$2:$E$300,ROW(INDIRECT("34:"&amp;ROWS(D34:D332))))),"")</f>
        <v/>
      </c>
      <c r="H42" s="82"/>
      <c r="I42" s="77">
        <v>7</v>
      </c>
      <c r="J42" s="78">
        <f t="shared" si="3"/>
        <v>1</v>
      </c>
      <c r="K42" s="79"/>
      <c r="L42" s="79"/>
      <c r="M42" s="80">
        <f t="shared" si="4"/>
        <v>1</v>
      </c>
      <c r="N42" s="77">
        <v>7</v>
      </c>
      <c r="O42" s="78">
        <f t="shared" si="5"/>
        <v>1</v>
      </c>
      <c r="P42" s="79"/>
      <c r="Q42" s="79"/>
      <c r="R42" s="80">
        <f t="shared" si="6"/>
        <v>1</v>
      </c>
      <c r="S42" s="77">
        <v>7</v>
      </c>
      <c r="T42" s="78">
        <f t="shared" si="7"/>
        <v>1</v>
      </c>
      <c r="U42" s="79"/>
      <c r="V42" s="79"/>
      <c r="W42" s="80">
        <f t="shared" si="8"/>
        <v>1</v>
      </c>
      <c r="X42" s="77">
        <v>7</v>
      </c>
      <c r="Y42" s="78">
        <f t="shared" si="9"/>
        <v>1</v>
      </c>
      <c r="Z42" s="79"/>
      <c r="AA42" s="79"/>
      <c r="AB42" s="80">
        <f t="shared" si="10"/>
        <v>1</v>
      </c>
      <c r="AC42" s="77">
        <v>7</v>
      </c>
      <c r="AD42" s="78">
        <f t="shared" si="11"/>
        <v>1</v>
      </c>
      <c r="AE42" s="79"/>
      <c r="AF42" s="79"/>
      <c r="AG42" s="80">
        <f t="shared" si="12"/>
        <v>1</v>
      </c>
      <c r="AH42" s="77">
        <f t="shared" si="13"/>
        <v>35</v>
      </c>
      <c r="AI42" s="79">
        <f t="shared" si="14"/>
        <v>0</v>
      </c>
      <c r="AJ42" s="79">
        <f t="shared" si="15"/>
        <v>0</v>
      </c>
      <c r="AK42" s="81">
        <f t="shared" si="16"/>
        <v>5</v>
      </c>
      <c r="AL42" s="81" t="str">
        <f t="shared" si="17"/>
        <v>CRIT</v>
      </c>
      <c r="AM42" s="81">
        <f t="shared" si="18"/>
        <v>22</v>
      </c>
      <c r="AN42" s="99">
        <f t="shared" si="19"/>
        <v>42884</v>
      </c>
      <c r="AO42" s="99">
        <f t="shared" si="20"/>
        <v>42888</v>
      </c>
      <c r="AP42" s="99"/>
      <c r="AQ42" s="73"/>
      <c r="AR42" s="67"/>
      <c r="AS42" s="132"/>
    </row>
    <row r="43" spans="1:45" ht="20.25" customHeight="1" thickTop="1" thickBot="1" x14ac:dyDescent="0.3">
      <c r="A43" s="74" t="str">
        <f t="shared" ca="1" si="0"/>
        <v/>
      </c>
      <c r="B43" s="75" t="str">
        <f t="shared" ca="1" si="1"/>
        <v/>
      </c>
      <c r="C43" s="76" t="str">
        <f>IF(AND('Interimaire Juin  2017'!D49=$B$1,'Interimaire Juin  2017'!J49=$B$2),'Interimaire Juin  2017'!E49,"")</f>
        <v/>
      </c>
      <c r="D43" s="76" t="str">
        <f>IF(AND('Interimaire Juin  2017'!D49=$B$1,'Interimaire Juin  2017'!J49=$B$2),'Interimaire Juin  2017'!F49,"")</f>
        <v/>
      </c>
      <c r="E43" s="76" t="str">
        <f t="shared" si="2"/>
        <v/>
      </c>
      <c r="F43" s="76" t="str">
        <f t="array" aca="1" ref="F43" ca="1">IFERROR(INDEX(C:C,SMALL($E$2:$E$300,ROW(INDIRECT("35:"&amp;ROWS(C35:C333))))),"")</f>
        <v/>
      </c>
      <c r="G43" s="76" t="str">
        <f t="array" aca="1" ref="G43" ca="1">IFERROR(INDEX(D:D,SMALL($E$2:$E$300,ROW(INDIRECT("35:"&amp;ROWS(D35:D333))))),"")</f>
        <v/>
      </c>
      <c r="H43" s="82"/>
      <c r="I43" s="77">
        <v>7</v>
      </c>
      <c r="J43" s="78">
        <f t="shared" si="3"/>
        <v>1</v>
      </c>
      <c r="K43" s="79"/>
      <c r="L43" s="79"/>
      <c r="M43" s="80">
        <f t="shared" si="4"/>
        <v>1</v>
      </c>
      <c r="N43" s="77">
        <v>7</v>
      </c>
      <c r="O43" s="78">
        <f t="shared" si="5"/>
        <v>1</v>
      </c>
      <c r="P43" s="79"/>
      <c r="Q43" s="79"/>
      <c r="R43" s="80">
        <f t="shared" si="6"/>
        <v>1</v>
      </c>
      <c r="S43" s="77">
        <v>7</v>
      </c>
      <c r="T43" s="78">
        <f t="shared" si="7"/>
        <v>1</v>
      </c>
      <c r="U43" s="79"/>
      <c r="V43" s="79"/>
      <c r="W43" s="80">
        <f t="shared" si="8"/>
        <v>1</v>
      </c>
      <c r="X43" s="77">
        <v>7</v>
      </c>
      <c r="Y43" s="78">
        <f t="shared" si="9"/>
        <v>1</v>
      </c>
      <c r="Z43" s="79"/>
      <c r="AA43" s="79"/>
      <c r="AB43" s="80">
        <f t="shared" si="10"/>
        <v>1</v>
      </c>
      <c r="AC43" s="77">
        <v>7</v>
      </c>
      <c r="AD43" s="78">
        <f t="shared" si="11"/>
        <v>1</v>
      </c>
      <c r="AE43" s="79"/>
      <c r="AF43" s="79"/>
      <c r="AG43" s="80">
        <f t="shared" si="12"/>
        <v>1</v>
      </c>
      <c r="AH43" s="77">
        <f t="shared" si="13"/>
        <v>35</v>
      </c>
      <c r="AI43" s="79">
        <f t="shared" si="14"/>
        <v>0</v>
      </c>
      <c r="AJ43" s="79">
        <f t="shared" si="15"/>
        <v>0</v>
      </c>
      <c r="AK43" s="81">
        <f t="shared" si="16"/>
        <v>5</v>
      </c>
      <c r="AL43" s="81" t="str">
        <f t="shared" si="17"/>
        <v>CRIT</v>
      </c>
      <c r="AM43" s="81">
        <f t="shared" si="18"/>
        <v>22</v>
      </c>
      <c r="AN43" s="99">
        <f t="shared" si="19"/>
        <v>42884</v>
      </c>
      <c r="AO43" s="99">
        <f t="shared" si="20"/>
        <v>42888</v>
      </c>
      <c r="AP43" s="99"/>
      <c r="AQ43" s="73"/>
      <c r="AR43" s="67"/>
      <c r="AS43" s="132"/>
    </row>
    <row r="44" spans="1:45" ht="20.25" customHeight="1" thickTop="1" thickBot="1" x14ac:dyDescent="0.3">
      <c r="A44" s="74" t="str">
        <f t="shared" ca="1" si="0"/>
        <v/>
      </c>
      <c r="B44" s="75" t="str">
        <f t="shared" ca="1" si="1"/>
        <v/>
      </c>
      <c r="C44" s="76" t="str">
        <f>IF(AND('Interimaire Juin  2017'!D50=$B$1,'Interimaire Juin  2017'!J50=$B$2),'Interimaire Juin  2017'!E50,"")</f>
        <v/>
      </c>
      <c r="D44" s="76" t="str">
        <f>IF(AND('Interimaire Juin  2017'!D50=$B$1,'Interimaire Juin  2017'!J50=$B$2),'Interimaire Juin  2017'!F50,"")</f>
        <v/>
      </c>
      <c r="E44" s="76" t="str">
        <f t="shared" si="2"/>
        <v/>
      </c>
      <c r="F44" s="76" t="str">
        <f t="array" aca="1" ref="F44" ca="1">IFERROR(INDEX(C:C,SMALL($E$2:$E$300,ROW(INDIRECT("36:"&amp;ROWS(C36:C334))))),"")</f>
        <v/>
      </c>
      <c r="G44" s="76" t="str">
        <f t="array" aca="1" ref="G44" ca="1">IFERROR(INDEX(D:D,SMALL($E$2:$E$300,ROW(INDIRECT("36:"&amp;ROWS(D36:D334))))),"")</f>
        <v/>
      </c>
      <c r="H44" s="82"/>
      <c r="I44" s="77">
        <v>7</v>
      </c>
      <c r="J44" s="78">
        <f t="shared" si="3"/>
        <v>1</v>
      </c>
      <c r="K44" s="79"/>
      <c r="L44" s="79"/>
      <c r="M44" s="80">
        <f t="shared" si="4"/>
        <v>1</v>
      </c>
      <c r="N44" s="77">
        <v>7</v>
      </c>
      <c r="O44" s="78">
        <f t="shared" si="5"/>
        <v>1</v>
      </c>
      <c r="P44" s="79"/>
      <c r="Q44" s="79"/>
      <c r="R44" s="80">
        <f t="shared" si="6"/>
        <v>1</v>
      </c>
      <c r="S44" s="77">
        <v>7</v>
      </c>
      <c r="T44" s="78">
        <f t="shared" si="7"/>
        <v>1</v>
      </c>
      <c r="U44" s="79"/>
      <c r="V44" s="79"/>
      <c r="W44" s="80">
        <f t="shared" si="8"/>
        <v>1</v>
      </c>
      <c r="X44" s="77">
        <v>7</v>
      </c>
      <c r="Y44" s="78">
        <f t="shared" si="9"/>
        <v>1</v>
      </c>
      <c r="Z44" s="79"/>
      <c r="AA44" s="79"/>
      <c r="AB44" s="80">
        <f t="shared" si="10"/>
        <v>1</v>
      </c>
      <c r="AC44" s="77">
        <v>7</v>
      </c>
      <c r="AD44" s="78">
        <f t="shared" si="11"/>
        <v>1</v>
      </c>
      <c r="AE44" s="79"/>
      <c r="AF44" s="79"/>
      <c r="AG44" s="80">
        <f t="shared" si="12"/>
        <v>1</v>
      </c>
      <c r="AH44" s="77">
        <f t="shared" si="13"/>
        <v>35</v>
      </c>
      <c r="AI44" s="79">
        <f t="shared" si="14"/>
        <v>0</v>
      </c>
      <c r="AJ44" s="79">
        <f t="shared" si="15"/>
        <v>0</v>
      </c>
      <c r="AK44" s="81">
        <f t="shared" si="16"/>
        <v>5</v>
      </c>
      <c r="AL44" s="81" t="str">
        <f t="shared" si="17"/>
        <v>CRIT</v>
      </c>
      <c r="AM44" s="81">
        <f t="shared" si="18"/>
        <v>22</v>
      </c>
      <c r="AN44" s="99">
        <f t="shared" si="19"/>
        <v>42884</v>
      </c>
      <c r="AO44" s="99">
        <f t="shared" si="20"/>
        <v>42888</v>
      </c>
      <c r="AP44" s="99"/>
      <c r="AQ44" s="73"/>
      <c r="AR44" s="67"/>
      <c r="AS44" s="132"/>
    </row>
    <row r="45" spans="1:45" ht="20.25" customHeight="1" thickTop="1" thickBot="1" x14ac:dyDescent="0.3">
      <c r="A45" s="74" t="str">
        <f t="shared" ca="1" si="0"/>
        <v/>
      </c>
      <c r="B45" s="75" t="str">
        <f t="shared" ca="1" si="1"/>
        <v/>
      </c>
      <c r="C45" s="76" t="str">
        <f>IF(AND('Interimaire Juin  2017'!D51=$B$1,'Interimaire Juin  2017'!J51=$B$2),'Interimaire Juin  2017'!E51,"")</f>
        <v/>
      </c>
      <c r="D45" s="76" t="str">
        <f>IF(AND('Interimaire Juin  2017'!D51=$B$1,'Interimaire Juin  2017'!J51=$B$2),'Interimaire Juin  2017'!F51,"")</f>
        <v/>
      </c>
      <c r="E45" s="76" t="str">
        <f t="shared" si="2"/>
        <v/>
      </c>
      <c r="F45" s="76" t="str">
        <f t="array" aca="1" ref="F45" ca="1">IFERROR(INDEX(C:C,SMALL($E$2:$E$300,ROW(INDIRECT("37:"&amp;ROWS(C37:C335))))),"")</f>
        <v/>
      </c>
      <c r="G45" s="76" t="str">
        <f t="array" aca="1" ref="G45" ca="1">IFERROR(INDEX(D:D,SMALL($E$2:$E$300,ROW(INDIRECT("37:"&amp;ROWS(D37:D335))))),"")</f>
        <v/>
      </c>
      <c r="H45" s="82"/>
      <c r="I45" s="77">
        <v>7</v>
      </c>
      <c r="J45" s="78">
        <f t="shared" si="3"/>
        <v>1</v>
      </c>
      <c r="K45" s="79"/>
      <c r="L45" s="79"/>
      <c r="M45" s="80">
        <f t="shared" si="4"/>
        <v>1</v>
      </c>
      <c r="N45" s="77">
        <v>7</v>
      </c>
      <c r="O45" s="78">
        <f t="shared" si="5"/>
        <v>1</v>
      </c>
      <c r="P45" s="79"/>
      <c r="Q45" s="79"/>
      <c r="R45" s="80">
        <f t="shared" si="6"/>
        <v>1</v>
      </c>
      <c r="S45" s="77">
        <v>7</v>
      </c>
      <c r="T45" s="78">
        <f t="shared" si="7"/>
        <v>1</v>
      </c>
      <c r="U45" s="79"/>
      <c r="V45" s="79"/>
      <c r="W45" s="80">
        <f t="shared" si="8"/>
        <v>1</v>
      </c>
      <c r="X45" s="77">
        <v>7</v>
      </c>
      <c r="Y45" s="78">
        <f t="shared" si="9"/>
        <v>1</v>
      </c>
      <c r="Z45" s="79"/>
      <c r="AA45" s="79"/>
      <c r="AB45" s="80">
        <f t="shared" si="10"/>
        <v>1</v>
      </c>
      <c r="AC45" s="77">
        <v>7</v>
      </c>
      <c r="AD45" s="78">
        <f t="shared" si="11"/>
        <v>1</v>
      </c>
      <c r="AE45" s="79"/>
      <c r="AF45" s="79"/>
      <c r="AG45" s="80">
        <f t="shared" si="12"/>
        <v>1</v>
      </c>
      <c r="AH45" s="77">
        <f t="shared" si="13"/>
        <v>35</v>
      </c>
      <c r="AI45" s="79">
        <f t="shared" si="14"/>
        <v>0</v>
      </c>
      <c r="AJ45" s="79">
        <f t="shared" si="15"/>
        <v>0</v>
      </c>
      <c r="AK45" s="81">
        <f t="shared" si="16"/>
        <v>5</v>
      </c>
      <c r="AL45" s="81" t="str">
        <f t="shared" si="17"/>
        <v>CRIT</v>
      </c>
      <c r="AM45" s="81">
        <f t="shared" si="18"/>
        <v>22</v>
      </c>
      <c r="AN45" s="99">
        <f t="shared" si="19"/>
        <v>42884</v>
      </c>
      <c r="AO45" s="99">
        <f t="shared" si="20"/>
        <v>42888</v>
      </c>
      <c r="AP45" s="99"/>
      <c r="AQ45" s="73"/>
      <c r="AR45" s="67"/>
      <c r="AS45" s="132"/>
    </row>
    <row r="46" spans="1:45" ht="20.25" customHeight="1" thickTop="1" thickBot="1" x14ac:dyDescent="0.3">
      <c r="A46" s="74" t="str">
        <f t="shared" ca="1" si="0"/>
        <v/>
      </c>
      <c r="B46" s="75" t="str">
        <f t="shared" ca="1" si="1"/>
        <v/>
      </c>
      <c r="C46" s="76" t="str">
        <f>IF(AND('Interimaire Juin  2017'!D52=$B$1,'Interimaire Juin  2017'!J52=$B$2),'Interimaire Juin  2017'!E52,"")</f>
        <v/>
      </c>
      <c r="D46" s="76" t="str">
        <f>IF(AND('Interimaire Juin  2017'!D52=$B$1,'Interimaire Juin  2017'!J52=$B$2),'Interimaire Juin  2017'!F52,"")</f>
        <v/>
      </c>
      <c r="E46" s="76" t="str">
        <f t="shared" si="2"/>
        <v/>
      </c>
      <c r="F46" s="76" t="str">
        <f t="array" aca="1" ref="F46" ca="1">IFERROR(INDEX(C:C,SMALL($E$2:$E$300,ROW(INDIRECT("38:"&amp;ROWS(C38:C336))))),"")</f>
        <v/>
      </c>
      <c r="G46" s="76" t="str">
        <f t="array" aca="1" ref="G46" ca="1">IFERROR(INDEX(D:D,SMALL($E$2:$E$300,ROW(INDIRECT("38:"&amp;ROWS(D38:D336))))),"")</f>
        <v/>
      </c>
      <c r="H46" s="82"/>
      <c r="I46" s="77">
        <v>7</v>
      </c>
      <c r="J46" s="78">
        <f t="shared" si="3"/>
        <v>1</v>
      </c>
      <c r="K46" s="79"/>
      <c r="L46" s="79"/>
      <c r="M46" s="80">
        <f t="shared" si="4"/>
        <v>1</v>
      </c>
      <c r="N46" s="77">
        <v>7</v>
      </c>
      <c r="O46" s="78">
        <f t="shared" si="5"/>
        <v>1</v>
      </c>
      <c r="P46" s="79"/>
      <c r="Q46" s="79"/>
      <c r="R46" s="80">
        <f t="shared" si="6"/>
        <v>1</v>
      </c>
      <c r="S46" s="77">
        <v>7</v>
      </c>
      <c r="T46" s="78">
        <f t="shared" si="7"/>
        <v>1</v>
      </c>
      <c r="U46" s="79"/>
      <c r="V46" s="79"/>
      <c r="W46" s="80">
        <f t="shared" si="8"/>
        <v>1</v>
      </c>
      <c r="X46" s="77">
        <v>7</v>
      </c>
      <c r="Y46" s="78">
        <f t="shared" si="9"/>
        <v>1</v>
      </c>
      <c r="Z46" s="79"/>
      <c r="AA46" s="79"/>
      <c r="AB46" s="80">
        <f t="shared" si="10"/>
        <v>1</v>
      </c>
      <c r="AC46" s="77">
        <v>7</v>
      </c>
      <c r="AD46" s="78">
        <f t="shared" si="11"/>
        <v>1</v>
      </c>
      <c r="AE46" s="79"/>
      <c r="AF46" s="79"/>
      <c r="AG46" s="80">
        <f t="shared" si="12"/>
        <v>1</v>
      </c>
      <c r="AH46" s="77">
        <f t="shared" si="13"/>
        <v>35</v>
      </c>
      <c r="AI46" s="79">
        <f t="shared" si="14"/>
        <v>0</v>
      </c>
      <c r="AJ46" s="79">
        <f t="shared" si="15"/>
        <v>0</v>
      </c>
      <c r="AK46" s="81">
        <f t="shared" si="16"/>
        <v>5</v>
      </c>
      <c r="AL46" s="81" t="str">
        <f t="shared" si="17"/>
        <v>CRIT</v>
      </c>
      <c r="AM46" s="81">
        <f t="shared" si="18"/>
        <v>22</v>
      </c>
      <c r="AN46" s="99">
        <f t="shared" si="19"/>
        <v>42884</v>
      </c>
      <c r="AO46" s="99">
        <f t="shared" si="20"/>
        <v>42888</v>
      </c>
      <c r="AP46" s="99"/>
      <c r="AQ46" s="73"/>
      <c r="AR46" s="67"/>
      <c r="AS46" s="132"/>
    </row>
    <row r="47" spans="1:45" ht="20.25" customHeight="1" thickTop="1" thickBot="1" x14ac:dyDescent="0.3">
      <c r="A47" s="74" t="str">
        <f t="shared" ca="1" si="0"/>
        <v/>
      </c>
      <c r="B47" s="75" t="str">
        <f t="shared" ca="1" si="1"/>
        <v/>
      </c>
      <c r="C47" s="76" t="str">
        <f>IF(AND('Interimaire Juin  2017'!D53=$B$1,'Interimaire Juin  2017'!J53=$B$2),'Interimaire Juin  2017'!E53,"")</f>
        <v/>
      </c>
      <c r="D47" s="76" t="str">
        <f>IF(AND('Interimaire Juin  2017'!D53=$B$1,'Interimaire Juin  2017'!J53=$B$2),'Interimaire Juin  2017'!F53,"")</f>
        <v/>
      </c>
      <c r="E47" s="76" t="str">
        <f t="shared" si="2"/>
        <v/>
      </c>
      <c r="F47" s="76" t="str">
        <f t="array" aca="1" ref="F47" ca="1">IFERROR(INDEX(C:C,SMALL($E$2:$E$300,ROW(INDIRECT("39:"&amp;ROWS(C39:C337))))),"")</f>
        <v/>
      </c>
      <c r="G47" s="76" t="str">
        <f t="array" aca="1" ref="G47" ca="1">IFERROR(INDEX(D:D,SMALL($E$2:$E$300,ROW(INDIRECT("39:"&amp;ROWS(D39:D337))))),"")</f>
        <v/>
      </c>
      <c r="H47" s="82"/>
      <c r="I47" s="77">
        <v>7</v>
      </c>
      <c r="J47" s="78">
        <f t="shared" si="3"/>
        <v>1</v>
      </c>
      <c r="K47" s="79"/>
      <c r="L47" s="79"/>
      <c r="M47" s="80">
        <f t="shared" si="4"/>
        <v>1</v>
      </c>
      <c r="N47" s="77">
        <v>7</v>
      </c>
      <c r="O47" s="78">
        <f t="shared" si="5"/>
        <v>1</v>
      </c>
      <c r="P47" s="79"/>
      <c r="Q47" s="79"/>
      <c r="R47" s="80">
        <f t="shared" si="6"/>
        <v>1</v>
      </c>
      <c r="S47" s="77">
        <v>7</v>
      </c>
      <c r="T47" s="78">
        <f t="shared" si="7"/>
        <v>1</v>
      </c>
      <c r="U47" s="79"/>
      <c r="V47" s="79"/>
      <c r="W47" s="80">
        <f t="shared" si="8"/>
        <v>1</v>
      </c>
      <c r="X47" s="77">
        <v>7</v>
      </c>
      <c r="Y47" s="78">
        <f t="shared" si="9"/>
        <v>1</v>
      </c>
      <c r="Z47" s="79"/>
      <c r="AA47" s="79"/>
      <c r="AB47" s="80">
        <f t="shared" si="10"/>
        <v>1</v>
      </c>
      <c r="AC47" s="77">
        <v>7</v>
      </c>
      <c r="AD47" s="78">
        <f t="shared" si="11"/>
        <v>1</v>
      </c>
      <c r="AE47" s="79"/>
      <c r="AF47" s="79"/>
      <c r="AG47" s="80">
        <f t="shared" si="12"/>
        <v>1</v>
      </c>
      <c r="AH47" s="77">
        <f t="shared" si="13"/>
        <v>35</v>
      </c>
      <c r="AI47" s="79">
        <f t="shared" si="14"/>
        <v>0</v>
      </c>
      <c r="AJ47" s="79">
        <f t="shared" si="15"/>
        <v>0</v>
      </c>
      <c r="AK47" s="81">
        <f t="shared" si="16"/>
        <v>5</v>
      </c>
      <c r="AL47" s="81" t="str">
        <f t="shared" si="17"/>
        <v>CRIT</v>
      </c>
      <c r="AM47" s="81">
        <f t="shared" si="18"/>
        <v>22</v>
      </c>
      <c r="AN47" s="99">
        <f t="shared" si="19"/>
        <v>42884</v>
      </c>
      <c r="AO47" s="99">
        <f t="shared" si="20"/>
        <v>42888</v>
      </c>
      <c r="AP47" s="99"/>
      <c r="AQ47" s="73"/>
      <c r="AR47" s="67"/>
      <c r="AS47" s="132"/>
    </row>
    <row r="48" spans="1:45" ht="20.25" customHeight="1" thickTop="1" thickBot="1" x14ac:dyDescent="0.3">
      <c r="A48" s="74" t="str">
        <f t="shared" ca="1" si="0"/>
        <v/>
      </c>
      <c r="B48" s="75" t="str">
        <f t="shared" ca="1" si="1"/>
        <v/>
      </c>
      <c r="C48" s="76" t="str">
        <f>IF(AND('Interimaire Juin  2017'!D54=$B$1,'Interimaire Juin  2017'!J54=$B$2),'Interimaire Juin  2017'!E54,"")</f>
        <v/>
      </c>
      <c r="D48" s="76" t="str">
        <f>IF(AND('Interimaire Juin  2017'!D54=$B$1,'Interimaire Juin  2017'!J54=$B$2),'Interimaire Juin  2017'!F54,"")</f>
        <v/>
      </c>
      <c r="E48" s="76" t="str">
        <f t="shared" si="2"/>
        <v/>
      </c>
      <c r="F48" s="76" t="str">
        <f t="array" aca="1" ref="F48" ca="1">IFERROR(INDEX(C:C,SMALL($E$2:$E$300,ROW(INDIRECT("40:"&amp;ROWS(C40:C338))))),"")</f>
        <v/>
      </c>
      <c r="G48" s="76" t="str">
        <f t="array" aca="1" ref="G48" ca="1">IFERROR(INDEX(D:D,SMALL($E$2:$E$300,ROW(INDIRECT("40:"&amp;ROWS(D40:D338))))),"")</f>
        <v/>
      </c>
      <c r="H48" s="82"/>
      <c r="I48" s="77">
        <v>7</v>
      </c>
      <c r="J48" s="78">
        <f t="shared" si="3"/>
        <v>1</v>
      </c>
      <c r="K48" s="79"/>
      <c r="L48" s="79"/>
      <c r="M48" s="80">
        <f t="shared" si="4"/>
        <v>1</v>
      </c>
      <c r="N48" s="77">
        <v>7</v>
      </c>
      <c r="O48" s="78">
        <f t="shared" si="5"/>
        <v>1</v>
      </c>
      <c r="P48" s="79"/>
      <c r="Q48" s="79"/>
      <c r="R48" s="80">
        <f t="shared" si="6"/>
        <v>1</v>
      </c>
      <c r="S48" s="77">
        <v>7</v>
      </c>
      <c r="T48" s="78">
        <f t="shared" si="7"/>
        <v>1</v>
      </c>
      <c r="U48" s="79"/>
      <c r="V48" s="79"/>
      <c r="W48" s="80">
        <f t="shared" si="8"/>
        <v>1</v>
      </c>
      <c r="X48" s="77">
        <v>7</v>
      </c>
      <c r="Y48" s="78">
        <f t="shared" si="9"/>
        <v>1</v>
      </c>
      <c r="Z48" s="79"/>
      <c r="AA48" s="79"/>
      <c r="AB48" s="80">
        <f t="shared" si="10"/>
        <v>1</v>
      </c>
      <c r="AC48" s="77">
        <v>7</v>
      </c>
      <c r="AD48" s="78">
        <f t="shared" si="11"/>
        <v>1</v>
      </c>
      <c r="AE48" s="79"/>
      <c r="AF48" s="79"/>
      <c r="AG48" s="80">
        <f t="shared" si="12"/>
        <v>1</v>
      </c>
      <c r="AH48" s="77">
        <f t="shared" si="13"/>
        <v>35</v>
      </c>
      <c r="AI48" s="79">
        <f t="shared" si="14"/>
        <v>0</v>
      </c>
      <c r="AJ48" s="79">
        <f t="shared" si="15"/>
        <v>0</v>
      </c>
      <c r="AK48" s="81">
        <f t="shared" si="16"/>
        <v>5</v>
      </c>
      <c r="AL48" s="81" t="str">
        <f t="shared" si="17"/>
        <v>CRIT</v>
      </c>
      <c r="AM48" s="81">
        <f t="shared" si="18"/>
        <v>22</v>
      </c>
      <c r="AN48" s="99">
        <f t="shared" si="19"/>
        <v>42884</v>
      </c>
      <c r="AO48" s="99">
        <f t="shared" si="20"/>
        <v>42888</v>
      </c>
      <c r="AP48" s="99"/>
      <c r="AQ48" s="73"/>
      <c r="AR48" s="67"/>
      <c r="AS48" s="132"/>
    </row>
    <row r="49" spans="1:45" ht="20.25" customHeight="1" thickTop="1" thickBot="1" x14ac:dyDescent="0.3">
      <c r="A49" s="74" t="str">
        <f t="shared" ca="1" si="0"/>
        <v/>
      </c>
      <c r="B49" s="75" t="str">
        <f t="shared" ca="1" si="1"/>
        <v/>
      </c>
      <c r="C49" s="76" t="str">
        <f>IF(AND('Interimaire Juin  2017'!D55=$B$1,'Interimaire Juin  2017'!J55=$B$2),'Interimaire Juin  2017'!E55,"")</f>
        <v/>
      </c>
      <c r="D49" s="76" t="str">
        <f>IF(AND('Interimaire Juin  2017'!D55=$B$1,'Interimaire Juin  2017'!J55=$B$2),'Interimaire Juin  2017'!F55,"")</f>
        <v/>
      </c>
      <c r="E49" s="76" t="str">
        <f t="shared" si="2"/>
        <v/>
      </c>
      <c r="F49" s="76" t="str">
        <f t="array" aca="1" ref="F49" ca="1">IFERROR(INDEX(C:C,SMALL($E$2:$E$300,ROW(INDIRECT("41:"&amp;ROWS(C41:C339))))),"")</f>
        <v/>
      </c>
      <c r="G49" s="76" t="str">
        <f t="array" aca="1" ref="G49" ca="1">IFERROR(INDEX(D:D,SMALL($E$2:$E$300,ROW(INDIRECT("41:"&amp;ROWS(D41:D339))))),"")</f>
        <v/>
      </c>
      <c r="H49" s="82"/>
      <c r="I49" s="77">
        <v>7</v>
      </c>
      <c r="J49" s="78">
        <f t="shared" si="3"/>
        <v>1</v>
      </c>
      <c r="K49" s="79"/>
      <c r="L49" s="79"/>
      <c r="M49" s="80">
        <f t="shared" si="4"/>
        <v>1</v>
      </c>
      <c r="N49" s="77">
        <v>7</v>
      </c>
      <c r="O49" s="78">
        <f t="shared" si="5"/>
        <v>1</v>
      </c>
      <c r="P49" s="79"/>
      <c r="Q49" s="79"/>
      <c r="R49" s="80">
        <f t="shared" si="6"/>
        <v>1</v>
      </c>
      <c r="S49" s="77">
        <v>7</v>
      </c>
      <c r="T49" s="78">
        <f t="shared" si="7"/>
        <v>1</v>
      </c>
      <c r="U49" s="79"/>
      <c r="V49" s="79"/>
      <c r="W49" s="80">
        <f t="shared" si="8"/>
        <v>1</v>
      </c>
      <c r="X49" s="77">
        <v>7</v>
      </c>
      <c r="Y49" s="78">
        <f t="shared" si="9"/>
        <v>1</v>
      </c>
      <c r="Z49" s="79"/>
      <c r="AA49" s="79"/>
      <c r="AB49" s="80">
        <f t="shared" si="10"/>
        <v>1</v>
      </c>
      <c r="AC49" s="77">
        <v>7</v>
      </c>
      <c r="AD49" s="78">
        <f t="shared" si="11"/>
        <v>1</v>
      </c>
      <c r="AE49" s="79"/>
      <c r="AF49" s="79"/>
      <c r="AG49" s="80">
        <f t="shared" si="12"/>
        <v>1</v>
      </c>
      <c r="AH49" s="77">
        <f t="shared" si="13"/>
        <v>35</v>
      </c>
      <c r="AI49" s="79">
        <f t="shared" si="14"/>
        <v>0</v>
      </c>
      <c r="AJ49" s="79">
        <f t="shared" si="15"/>
        <v>0</v>
      </c>
      <c r="AK49" s="81">
        <f t="shared" si="16"/>
        <v>5</v>
      </c>
      <c r="AL49" s="81" t="str">
        <f t="shared" si="17"/>
        <v>CRIT</v>
      </c>
      <c r="AM49" s="81">
        <f t="shared" si="18"/>
        <v>22</v>
      </c>
      <c r="AN49" s="99">
        <f t="shared" si="19"/>
        <v>42884</v>
      </c>
      <c r="AO49" s="99">
        <f t="shared" si="20"/>
        <v>42888</v>
      </c>
      <c r="AP49" s="99"/>
      <c r="AQ49" s="73"/>
      <c r="AR49" s="67"/>
      <c r="AS49" s="132"/>
    </row>
    <row r="50" spans="1:45" ht="20.25" customHeight="1" thickTop="1" thickBot="1" x14ac:dyDescent="0.3">
      <c r="A50" s="74" t="str">
        <f t="shared" ca="1" si="0"/>
        <v/>
      </c>
      <c r="B50" s="75" t="str">
        <f t="shared" ca="1" si="1"/>
        <v/>
      </c>
      <c r="C50" s="76" t="str">
        <f>IF(AND('Interimaire Juin  2017'!D56=$B$1,'Interimaire Juin  2017'!J56=$B$2),'Interimaire Juin  2017'!E56,"")</f>
        <v/>
      </c>
      <c r="D50" s="76" t="str">
        <f>IF(AND('Interimaire Juin  2017'!D56=$B$1,'Interimaire Juin  2017'!J56=$B$2),'Interimaire Juin  2017'!F56,"")</f>
        <v/>
      </c>
      <c r="E50" s="76" t="str">
        <f t="shared" si="2"/>
        <v/>
      </c>
      <c r="F50" s="76" t="str">
        <f t="array" aca="1" ref="F50" ca="1">IFERROR(INDEX(C:C,SMALL($E$2:$E$300,ROW(INDIRECT("42:"&amp;ROWS(C42:C340))))),"")</f>
        <v/>
      </c>
      <c r="G50" s="76" t="str">
        <f t="array" aca="1" ref="G50" ca="1">IFERROR(INDEX(D:D,SMALL($E$2:$E$300,ROW(INDIRECT("42:"&amp;ROWS(D42:D340))))),"")</f>
        <v/>
      </c>
      <c r="H50" s="82"/>
      <c r="I50" s="77">
        <v>7</v>
      </c>
      <c r="J50" s="78">
        <f t="shared" si="3"/>
        <v>1</v>
      </c>
      <c r="K50" s="79"/>
      <c r="L50" s="79"/>
      <c r="M50" s="80">
        <f t="shared" si="4"/>
        <v>1</v>
      </c>
      <c r="N50" s="77">
        <v>7</v>
      </c>
      <c r="O50" s="78">
        <f t="shared" si="5"/>
        <v>1</v>
      </c>
      <c r="P50" s="79"/>
      <c r="Q50" s="79"/>
      <c r="R50" s="80">
        <f t="shared" si="6"/>
        <v>1</v>
      </c>
      <c r="S50" s="77">
        <v>7</v>
      </c>
      <c r="T50" s="78">
        <f t="shared" si="7"/>
        <v>1</v>
      </c>
      <c r="U50" s="79"/>
      <c r="V50" s="79"/>
      <c r="W50" s="80">
        <f t="shared" si="8"/>
        <v>1</v>
      </c>
      <c r="X50" s="77">
        <v>7</v>
      </c>
      <c r="Y50" s="78">
        <f t="shared" si="9"/>
        <v>1</v>
      </c>
      <c r="Z50" s="79"/>
      <c r="AA50" s="79"/>
      <c r="AB50" s="80">
        <f t="shared" si="10"/>
        <v>1</v>
      </c>
      <c r="AC50" s="77">
        <v>7</v>
      </c>
      <c r="AD50" s="78">
        <f t="shared" si="11"/>
        <v>1</v>
      </c>
      <c r="AE50" s="79"/>
      <c r="AF50" s="79"/>
      <c r="AG50" s="80">
        <f t="shared" si="12"/>
        <v>1</v>
      </c>
      <c r="AH50" s="77">
        <f t="shared" si="13"/>
        <v>35</v>
      </c>
      <c r="AI50" s="79">
        <f t="shared" si="14"/>
        <v>0</v>
      </c>
      <c r="AJ50" s="79">
        <f t="shared" si="15"/>
        <v>0</v>
      </c>
      <c r="AK50" s="81">
        <f t="shared" si="16"/>
        <v>5</v>
      </c>
      <c r="AL50" s="81" t="str">
        <f t="shared" si="17"/>
        <v>CRIT</v>
      </c>
      <c r="AM50" s="81">
        <f t="shared" si="18"/>
        <v>22</v>
      </c>
      <c r="AN50" s="99">
        <f t="shared" si="19"/>
        <v>42884</v>
      </c>
      <c r="AO50" s="99">
        <f t="shared" si="20"/>
        <v>42888</v>
      </c>
      <c r="AP50" s="99"/>
      <c r="AQ50" s="73"/>
      <c r="AR50" s="67"/>
      <c r="AS50" s="132"/>
    </row>
    <row r="51" spans="1:45" ht="20.25" customHeight="1" thickTop="1" thickBot="1" x14ac:dyDescent="0.3">
      <c r="A51" s="74" t="str">
        <f t="shared" ca="1" si="0"/>
        <v/>
      </c>
      <c r="B51" s="75" t="str">
        <f t="shared" ca="1" si="1"/>
        <v/>
      </c>
      <c r="C51" s="76" t="str">
        <f>IF(AND('Interimaire Juin  2017'!D57=$B$1,'Interimaire Juin  2017'!J57=$B$2),'Interimaire Juin  2017'!E57,"")</f>
        <v/>
      </c>
      <c r="D51" s="76" t="str">
        <f>IF(AND('Interimaire Juin  2017'!D57=$B$1,'Interimaire Juin  2017'!J57=$B$2),'Interimaire Juin  2017'!F57,"")</f>
        <v/>
      </c>
      <c r="E51" s="76" t="str">
        <f t="shared" si="2"/>
        <v/>
      </c>
      <c r="F51" s="76" t="str">
        <f t="array" aca="1" ref="F51" ca="1">IFERROR(INDEX(C:C,SMALL($E$2:$E$300,ROW(INDIRECT("43:"&amp;ROWS(C43:C341))))),"")</f>
        <v/>
      </c>
      <c r="G51" s="76" t="str">
        <f t="array" aca="1" ref="G51" ca="1">IFERROR(INDEX(D:D,SMALL($E$2:$E$300,ROW(INDIRECT("43:"&amp;ROWS(D43:D341))))),"")</f>
        <v/>
      </c>
      <c r="H51" s="82"/>
      <c r="I51" s="77">
        <v>7</v>
      </c>
      <c r="J51" s="78">
        <f t="shared" si="3"/>
        <v>1</v>
      </c>
      <c r="K51" s="79"/>
      <c r="L51" s="79"/>
      <c r="M51" s="80">
        <f t="shared" si="4"/>
        <v>1</v>
      </c>
      <c r="N51" s="77">
        <v>7</v>
      </c>
      <c r="O51" s="78">
        <f t="shared" si="5"/>
        <v>1</v>
      </c>
      <c r="P51" s="79"/>
      <c r="Q51" s="79"/>
      <c r="R51" s="80">
        <f t="shared" si="6"/>
        <v>1</v>
      </c>
      <c r="S51" s="77">
        <v>7</v>
      </c>
      <c r="T51" s="78">
        <f t="shared" si="7"/>
        <v>1</v>
      </c>
      <c r="U51" s="79"/>
      <c r="V51" s="79"/>
      <c r="W51" s="80">
        <f t="shared" si="8"/>
        <v>1</v>
      </c>
      <c r="X51" s="77">
        <v>7</v>
      </c>
      <c r="Y51" s="78">
        <f t="shared" si="9"/>
        <v>1</v>
      </c>
      <c r="Z51" s="79"/>
      <c r="AA51" s="79"/>
      <c r="AB51" s="80">
        <f t="shared" si="10"/>
        <v>1</v>
      </c>
      <c r="AC51" s="77">
        <v>7</v>
      </c>
      <c r="AD51" s="78">
        <f t="shared" si="11"/>
        <v>1</v>
      </c>
      <c r="AE51" s="79"/>
      <c r="AF51" s="79"/>
      <c r="AG51" s="80">
        <f t="shared" si="12"/>
        <v>1</v>
      </c>
      <c r="AH51" s="77">
        <f t="shared" si="13"/>
        <v>35</v>
      </c>
      <c r="AI51" s="79">
        <f t="shared" si="14"/>
        <v>0</v>
      </c>
      <c r="AJ51" s="79">
        <f t="shared" si="15"/>
        <v>0</v>
      </c>
      <c r="AK51" s="81">
        <f t="shared" si="16"/>
        <v>5</v>
      </c>
      <c r="AL51" s="81" t="str">
        <f t="shared" si="17"/>
        <v>CRIT</v>
      </c>
      <c r="AM51" s="81">
        <f t="shared" si="18"/>
        <v>22</v>
      </c>
      <c r="AN51" s="99">
        <f t="shared" si="19"/>
        <v>42884</v>
      </c>
      <c r="AO51" s="99">
        <f t="shared" si="20"/>
        <v>42888</v>
      </c>
      <c r="AP51" s="99"/>
      <c r="AQ51" s="73"/>
      <c r="AR51" s="67"/>
      <c r="AS51" s="132"/>
    </row>
    <row r="52" spans="1:45" ht="20.25" customHeight="1" thickTop="1" thickBot="1" x14ac:dyDescent="0.3">
      <c r="A52" s="74" t="str">
        <f t="shared" ca="1" si="0"/>
        <v/>
      </c>
      <c r="B52" s="75" t="str">
        <f t="shared" ca="1" si="1"/>
        <v/>
      </c>
      <c r="C52" s="76" t="str">
        <f>IF(AND('Interimaire Juin  2017'!D58=$B$1,'Interimaire Juin  2017'!J58=$B$2),'Interimaire Juin  2017'!E58,"")</f>
        <v/>
      </c>
      <c r="D52" s="76" t="str">
        <f>IF(AND('Interimaire Juin  2017'!D58=$B$1,'Interimaire Juin  2017'!J58=$B$2),'Interimaire Juin  2017'!F58,"")</f>
        <v/>
      </c>
      <c r="E52" s="76" t="str">
        <f t="shared" si="2"/>
        <v/>
      </c>
      <c r="F52" s="76" t="str">
        <f t="array" aca="1" ref="F52" ca="1">IFERROR(INDEX(C:C,SMALL($E$2:$E$300,ROW(INDIRECT("44:"&amp;ROWS(C44:C342))))),"")</f>
        <v/>
      </c>
      <c r="G52" s="76" t="str">
        <f t="array" aca="1" ref="G52" ca="1">IFERROR(INDEX(D:D,SMALL($E$2:$E$300,ROW(INDIRECT("44:"&amp;ROWS(D44:D342))))),"")</f>
        <v/>
      </c>
      <c r="H52" s="82"/>
      <c r="I52" s="77">
        <v>7</v>
      </c>
      <c r="J52" s="78">
        <f t="shared" si="3"/>
        <v>1</v>
      </c>
      <c r="K52" s="79"/>
      <c r="L52" s="79"/>
      <c r="M52" s="80">
        <f t="shared" si="4"/>
        <v>1</v>
      </c>
      <c r="N52" s="77">
        <v>7</v>
      </c>
      <c r="O52" s="78">
        <f t="shared" si="5"/>
        <v>1</v>
      </c>
      <c r="P52" s="79"/>
      <c r="Q52" s="79"/>
      <c r="R52" s="80">
        <f t="shared" si="6"/>
        <v>1</v>
      </c>
      <c r="S52" s="77">
        <v>7</v>
      </c>
      <c r="T52" s="78">
        <f t="shared" si="7"/>
        <v>1</v>
      </c>
      <c r="U52" s="79"/>
      <c r="V52" s="79"/>
      <c r="W52" s="80">
        <f t="shared" si="8"/>
        <v>1</v>
      </c>
      <c r="X52" s="77">
        <v>7</v>
      </c>
      <c r="Y52" s="78">
        <f t="shared" si="9"/>
        <v>1</v>
      </c>
      <c r="Z52" s="79"/>
      <c r="AA52" s="79"/>
      <c r="AB52" s="80">
        <f t="shared" si="10"/>
        <v>1</v>
      </c>
      <c r="AC52" s="77">
        <v>7</v>
      </c>
      <c r="AD52" s="78">
        <f t="shared" si="11"/>
        <v>1</v>
      </c>
      <c r="AE52" s="79"/>
      <c r="AF52" s="79"/>
      <c r="AG52" s="80">
        <f t="shared" si="12"/>
        <v>1</v>
      </c>
      <c r="AH52" s="77">
        <f t="shared" si="13"/>
        <v>35</v>
      </c>
      <c r="AI52" s="79">
        <f t="shared" si="14"/>
        <v>0</v>
      </c>
      <c r="AJ52" s="79">
        <f t="shared" si="15"/>
        <v>0</v>
      </c>
      <c r="AK52" s="81">
        <f t="shared" si="16"/>
        <v>5</v>
      </c>
      <c r="AL52" s="81" t="str">
        <f t="shared" si="17"/>
        <v>CRIT</v>
      </c>
      <c r="AM52" s="81">
        <f t="shared" si="18"/>
        <v>22</v>
      </c>
      <c r="AN52" s="99">
        <f t="shared" si="19"/>
        <v>42884</v>
      </c>
      <c r="AO52" s="99">
        <f t="shared" si="20"/>
        <v>42888</v>
      </c>
      <c r="AP52" s="99"/>
      <c r="AQ52" s="73"/>
      <c r="AR52" s="67"/>
      <c r="AS52" s="132"/>
    </row>
    <row r="53" spans="1:45" ht="20.25" customHeight="1" thickTop="1" thickBot="1" x14ac:dyDescent="0.3">
      <c r="A53" s="74" t="str">
        <f t="shared" ca="1" si="0"/>
        <v/>
      </c>
      <c r="B53" s="75" t="str">
        <f t="shared" ca="1" si="1"/>
        <v/>
      </c>
      <c r="C53" s="76" t="str">
        <f>IF(AND('Interimaire Juin  2017'!D59=$B$1,'Interimaire Juin  2017'!J59=$B$2),'Interimaire Juin  2017'!E59,"")</f>
        <v/>
      </c>
      <c r="D53" s="76" t="str">
        <f>IF(AND('Interimaire Juin  2017'!D59=$B$1,'Interimaire Juin  2017'!J59=$B$2),'Interimaire Juin  2017'!F59,"")</f>
        <v/>
      </c>
      <c r="E53" s="76" t="str">
        <f t="shared" si="2"/>
        <v/>
      </c>
      <c r="F53" s="76" t="str">
        <f t="array" aca="1" ref="F53" ca="1">IFERROR(INDEX(C:C,SMALL($E$2:$E$300,ROW(INDIRECT("45:"&amp;ROWS(C45:C343))))),"")</f>
        <v/>
      </c>
      <c r="G53" s="76" t="str">
        <f t="array" aca="1" ref="G53" ca="1">IFERROR(INDEX(D:D,SMALL($E$2:$E$300,ROW(INDIRECT("45:"&amp;ROWS(D45:D343))))),"")</f>
        <v/>
      </c>
      <c r="H53" s="82"/>
      <c r="I53" s="77">
        <v>7</v>
      </c>
      <c r="J53" s="78">
        <f t="shared" si="3"/>
        <v>1</v>
      </c>
      <c r="K53" s="79"/>
      <c r="L53" s="79"/>
      <c r="M53" s="80">
        <f t="shared" si="4"/>
        <v>1</v>
      </c>
      <c r="N53" s="77">
        <v>7</v>
      </c>
      <c r="O53" s="78">
        <f t="shared" si="5"/>
        <v>1</v>
      </c>
      <c r="P53" s="79"/>
      <c r="Q53" s="79"/>
      <c r="R53" s="80">
        <f t="shared" si="6"/>
        <v>1</v>
      </c>
      <c r="S53" s="77">
        <v>7</v>
      </c>
      <c r="T53" s="78">
        <f t="shared" si="7"/>
        <v>1</v>
      </c>
      <c r="U53" s="79"/>
      <c r="V53" s="79"/>
      <c r="W53" s="80">
        <f t="shared" si="8"/>
        <v>1</v>
      </c>
      <c r="X53" s="77">
        <v>7</v>
      </c>
      <c r="Y53" s="78">
        <f t="shared" si="9"/>
        <v>1</v>
      </c>
      <c r="Z53" s="79"/>
      <c r="AA53" s="79"/>
      <c r="AB53" s="80">
        <f t="shared" si="10"/>
        <v>1</v>
      </c>
      <c r="AC53" s="77">
        <v>7</v>
      </c>
      <c r="AD53" s="78">
        <f t="shared" si="11"/>
        <v>1</v>
      </c>
      <c r="AE53" s="79"/>
      <c r="AF53" s="79"/>
      <c r="AG53" s="80">
        <f t="shared" si="12"/>
        <v>1</v>
      </c>
      <c r="AH53" s="77">
        <f t="shared" si="13"/>
        <v>35</v>
      </c>
      <c r="AI53" s="79">
        <f t="shared" si="14"/>
        <v>0</v>
      </c>
      <c r="AJ53" s="79">
        <f t="shared" si="15"/>
        <v>0</v>
      </c>
      <c r="AK53" s="81">
        <f t="shared" si="16"/>
        <v>5</v>
      </c>
      <c r="AL53" s="81" t="str">
        <f t="shared" si="17"/>
        <v>CRIT</v>
      </c>
      <c r="AM53" s="81">
        <f t="shared" si="18"/>
        <v>22</v>
      </c>
      <c r="AN53" s="99">
        <f t="shared" si="19"/>
        <v>42884</v>
      </c>
      <c r="AO53" s="99">
        <f t="shared" si="20"/>
        <v>42888</v>
      </c>
      <c r="AP53" s="99"/>
      <c r="AQ53" s="73"/>
      <c r="AR53" s="67"/>
      <c r="AS53" s="132"/>
    </row>
    <row r="54" spans="1:45" ht="20.25" customHeight="1" thickTop="1" thickBot="1" x14ac:dyDescent="0.3">
      <c r="A54" s="74" t="str">
        <f t="shared" ca="1" si="0"/>
        <v/>
      </c>
      <c r="B54" s="75" t="str">
        <f t="shared" ca="1" si="1"/>
        <v/>
      </c>
      <c r="C54" s="76" t="str">
        <f>IF(AND('Interimaire Juin  2017'!D60=$B$1,'Interimaire Juin  2017'!J60=$B$2),'Interimaire Juin  2017'!E60,"")</f>
        <v/>
      </c>
      <c r="D54" s="76" t="str">
        <f>IF(AND('Interimaire Juin  2017'!D60=$B$1,'Interimaire Juin  2017'!J60=$B$2),'Interimaire Juin  2017'!F60,"")</f>
        <v/>
      </c>
      <c r="E54" s="76" t="str">
        <f t="shared" si="2"/>
        <v/>
      </c>
      <c r="F54" s="76" t="str">
        <f t="array" aca="1" ref="F54" ca="1">IFERROR(INDEX(C:C,SMALL($E$2:$E$300,ROW(INDIRECT("46:"&amp;ROWS(C46:C344))))),"")</f>
        <v/>
      </c>
      <c r="G54" s="76" t="str">
        <f t="array" aca="1" ref="G54" ca="1">IFERROR(INDEX(D:D,SMALL($E$2:$E$300,ROW(INDIRECT("46:"&amp;ROWS(D46:D344))))),"")</f>
        <v/>
      </c>
      <c r="H54" s="82"/>
      <c r="I54" s="77">
        <v>7</v>
      </c>
      <c r="J54" s="78">
        <f t="shared" si="3"/>
        <v>1</v>
      </c>
      <c r="K54" s="79"/>
      <c r="L54" s="79"/>
      <c r="M54" s="80">
        <f t="shared" si="4"/>
        <v>1</v>
      </c>
      <c r="N54" s="77">
        <v>7</v>
      </c>
      <c r="O54" s="78">
        <f t="shared" si="5"/>
        <v>1</v>
      </c>
      <c r="P54" s="79"/>
      <c r="Q54" s="79"/>
      <c r="R54" s="80">
        <f t="shared" si="6"/>
        <v>1</v>
      </c>
      <c r="S54" s="77">
        <v>7</v>
      </c>
      <c r="T54" s="78">
        <f t="shared" si="7"/>
        <v>1</v>
      </c>
      <c r="U54" s="79"/>
      <c r="V54" s="79"/>
      <c r="W54" s="80">
        <f t="shared" si="8"/>
        <v>1</v>
      </c>
      <c r="X54" s="77">
        <v>7</v>
      </c>
      <c r="Y54" s="78">
        <f t="shared" si="9"/>
        <v>1</v>
      </c>
      <c r="Z54" s="79"/>
      <c r="AA54" s="79"/>
      <c r="AB54" s="80">
        <f t="shared" si="10"/>
        <v>1</v>
      </c>
      <c r="AC54" s="77">
        <v>7</v>
      </c>
      <c r="AD54" s="78">
        <f t="shared" si="11"/>
        <v>1</v>
      </c>
      <c r="AE54" s="79"/>
      <c r="AF54" s="79"/>
      <c r="AG54" s="80">
        <f t="shared" si="12"/>
        <v>1</v>
      </c>
      <c r="AH54" s="77">
        <f t="shared" si="13"/>
        <v>35</v>
      </c>
      <c r="AI54" s="79">
        <f t="shared" si="14"/>
        <v>0</v>
      </c>
      <c r="AJ54" s="79">
        <f t="shared" si="15"/>
        <v>0</v>
      </c>
      <c r="AK54" s="81">
        <f t="shared" si="16"/>
        <v>5</v>
      </c>
      <c r="AL54" s="81" t="str">
        <f t="shared" si="17"/>
        <v>CRIT</v>
      </c>
      <c r="AM54" s="81">
        <f t="shared" si="18"/>
        <v>22</v>
      </c>
      <c r="AN54" s="99">
        <f t="shared" si="19"/>
        <v>42884</v>
      </c>
      <c r="AO54" s="99">
        <f t="shared" si="20"/>
        <v>42888</v>
      </c>
      <c r="AP54" s="99"/>
      <c r="AQ54" s="73"/>
      <c r="AR54" s="67"/>
      <c r="AS54" s="132"/>
    </row>
    <row r="55" spans="1:45" ht="20.25" customHeight="1" thickTop="1" thickBot="1" x14ac:dyDescent="0.3">
      <c r="A55" s="74" t="str">
        <f t="shared" ca="1" si="0"/>
        <v/>
      </c>
      <c r="B55" s="75" t="str">
        <f t="shared" ca="1" si="1"/>
        <v/>
      </c>
      <c r="C55" s="76" t="str">
        <f>IF(AND('Interimaire Juin  2017'!D61=$B$1,'Interimaire Juin  2017'!J61=$B$2),'Interimaire Juin  2017'!E61,"")</f>
        <v/>
      </c>
      <c r="D55" s="76" t="str">
        <f>IF(AND('Interimaire Juin  2017'!D61=$B$1,'Interimaire Juin  2017'!J61=$B$2),'Interimaire Juin  2017'!F61,"")</f>
        <v/>
      </c>
      <c r="E55" s="76" t="str">
        <f t="shared" si="2"/>
        <v/>
      </c>
      <c r="F55" s="76" t="str">
        <f t="array" aca="1" ref="F55" ca="1">IFERROR(INDEX(C:C,SMALL($E$2:$E$300,ROW(INDIRECT("47:"&amp;ROWS(C47:C345))))),"")</f>
        <v/>
      </c>
      <c r="G55" s="76" t="str">
        <f t="array" aca="1" ref="G55" ca="1">IFERROR(INDEX(D:D,SMALL($E$2:$E$300,ROW(INDIRECT("47:"&amp;ROWS(D47:D345))))),"")</f>
        <v/>
      </c>
      <c r="H55" s="82"/>
      <c r="I55" s="77">
        <v>7</v>
      </c>
      <c r="J55" s="78">
        <f t="shared" si="3"/>
        <v>1</v>
      </c>
      <c r="K55" s="79"/>
      <c r="L55" s="79"/>
      <c r="M55" s="80">
        <f t="shared" si="4"/>
        <v>1</v>
      </c>
      <c r="N55" s="77">
        <v>7</v>
      </c>
      <c r="O55" s="78">
        <f t="shared" si="5"/>
        <v>1</v>
      </c>
      <c r="P55" s="79"/>
      <c r="Q55" s="79"/>
      <c r="R55" s="80">
        <f t="shared" si="6"/>
        <v>1</v>
      </c>
      <c r="S55" s="77">
        <v>7</v>
      </c>
      <c r="T55" s="78">
        <f t="shared" si="7"/>
        <v>1</v>
      </c>
      <c r="U55" s="79"/>
      <c r="V55" s="79"/>
      <c r="W55" s="80">
        <f t="shared" si="8"/>
        <v>1</v>
      </c>
      <c r="X55" s="77">
        <v>7</v>
      </c>
      <c r="Y55" s="78">
        <f t="shared" si="9"/>
        <v>1</v>
      </c>
      <c r="Z55" s="79"/>
      <c r="AA55" s="79"/>
      <c r="AB55" s="80">
        <f t="shared" si="10"/>
        <v>1</v>
      </c>
      <c r="AC55" s="77">
        <v>7</v>
      </c>
      <c r="AD55" s="78">
        <f t="shared" si="11"/>
        <v>1</v>
      </c>
      <c r="AE55" s="79"/>
      <c r="AF55" s="79"/>
      <c r="AG55" s="80">
        <f t="shared" si="12"/>
        <v>1</v>
      </c>
      <c r="AH55" s="77">
        <f t="shared" si="13"/>
        <v>35</v>
      </c>
      <c r="AI55" s="79">
        <f t="shared" si="14"/>
        <v>0</v>
      </c>
      <c r="AJ55" s="79">
        <f t="shared" si="15"/>
        <v>0</v>
      </c>
      <c r="AK55" s="81">
        <f t="shared" si="16"/>
        <v>5</v>
      </c>
      <c r="AL55" s="81" t="str">
        <f t="shared" si="17"/>
        <v>CRIT</v>
      </c>
      <c r="AM55" s="81">
        <f t="shared" si="18"/>
        <v>22</v>
      </c>
      <c r="AN55" s="99">
        <f t="shared" si="19"/>
        <v>42884</v>
      </c>
      <c r="AO55" s="99">
        <f t="shared" si="20"/>
        <v>42888</v>
      </c>
      <c r="AP55" s="99"/>
      <c r="AQ55" s="73"/>
      <c r="AR55" s="67"/>
      <c r="AS55" s="132"/>
    </row>
    <row r="56" spans="1:45" ht="20.25" customHeight="1" thickTop="1" thickBot="1" x14ac:dyDescent="0.3">
      <c r="A56" s="74" t="str">
        <f t="shared" ca="1" si="0"/>
        <v/>
      </c>
      <c r="B56" s="75" t="str">
        <f t="shared" ca="1" si="1"/>
        <v/>
      </c>
      <c r="C56" s="76" t="str">
        <f>IF(AND('Interimaire Juin  2017'!D62=$B$1,'Interimaire Juin  2017'!J62=$B$2),'Interimaire Juin  2017'!E62,"")</f>
        <v/>
      </c>
      <c r="D56" s="76" t="str">
        <f>IF(AND('Interimaire Juin  2017'!D62=$B$1,'Interimaire Juin  2017'!J62=$B$2),'Interimaire Juin  2017'!F62,"")</f>
        <v/>
      </c>
      <c r="E56" s="76" t="str">
        <f t="shared" si="2"/>
        <v/>
      </c>
      <c r="F56" s="76" t="str">
        <f t="array" aca="1" ref="F56" ca="1">IFERROR(INDEX(C:C,SMALL($E$2:$E$300,ROW(INDIRECT("48:"&amp;ROWS(C48:C346))))),"")</f>
        <v/>
      </c>
      <c r="G56" s="76" t="str">
        <f t="array" aca="1" ref="G56" ca="1">IFERROR(INDEX(D:D,SMALL($E$2:$E$300,ROW(INDIRECT("48:"&amp;ROWS(D48:D346))))),"")</f>
        <v/>
      </c>
      <c r="H56" s="82"/>
      <c r="I56" s="77">
        <v>7</v>
      </c>
      <c r="J56" s="78">
        <f t="shared" si="3"/>
        <v>1</v>
      </c>
      <c r="K56" s="79"/>
      <c r="L56" s="79"/>
      <c r="M56" s="80">
        <f t="shared" si="4"/>
        <v>1</v>
      </c>
      <c r="N56" s="77">
        <v>7</v>
      </c>
      <c r="O56" s="78">
        <f t="shared" si="5"/>
        <v>1</v>
      </c>
      <c r="P56" s="79"/>
      <c r="Q56" s="79"/>
      <c r="R56" s="80">
        <f t="shared" si="6"/>
        <v>1</v>
      </c>
      <c r="S56" s="77">
        <v>7</v>
      </c>
      <c r="T56" s="78">
        <f t="shared" si="7"/>
        <v>1</v>
      </c>
      <c r="U56" s="79"/>
      <c r="V56" s="79"/>
      <c r="W56" s="80">
        <f t="shared" si="8"/>
        <v>1</v>
      </c>
      <c r="X56" s="77">
        <v>7</v>
      </c>
      <c r="Y56" s="78">
        <f t="shared" si="9"/>
        <v>1</v>
      </c>
      <c r="Z56" s="79"/>
      <c r="AA56" s="79"/>
      <c r="AB56" s="80">
        <f t="shared" si="10"/>
        <v>1</v>
      </c>
      <c r="AC56" s="77">
        <v>7</v>
      </c>
      <c r="AD56" s="78">
        <f t="shared" si="11"/>
        <v>1</v>
      </c>
      <c r="AE56" s="79"/>
      <c r="AF56" s="79"/>
      <c r="AG56" s="80">
        <f t="shared" si="12"/>
        <v>1</v>
      </c>
      <c r="AH56" s="77">
        <f t="shared" si="13"/>
        <v>35</v>
      </c>
      <c r="AI56" s="79">
        <f t="shared" si="14"/>
        <v>0</v>
      </c>
      <c r="AJ56" s="79">
        <f t="shared" si="15"/>
        <v>0</v>
      </c>
      <c r="AK56" s="81">
        <f t="shared" si="16"/>
        <v>5</v>
      </c>
      <c r="AL56" s="81" t="str">
        <f t="shared" si="17"/>
        <v>CRIT</v>
      </c>
      <c r="AM56" s="81">
        <f t="shared" si="18"/>
        <v>22</v>
      </c>
      <c r="AN56" s="99">
        <f t="shared" si="19"/>
        <v>42884</v>
      </c>
      <c r="AO56" s="99">
        <f t="shared" si="20"/>
        <v>42888</v>
      </c>
      <c r="AP56" s="99"/>
      <c r="AQ56" s="73"/>
      <c r="AR56" s="67"/>
      <c r="AS56" s="132"/>
    </row>
    <row r="57" spans="1:45" ht="20.25" customHeight="1" thickTop="1" thickBot="1" x14ac:dyDescent="0.3">
      <c r="A57" s="74" t="str">
        <f t="shared" ca="1" si="0"/>
        <v/>
      </c>
      <c r="B57" s="75" t="str">
        <f t="shared" ca="1" si="1"/>
        <v/>
      </c>
      <c r="C57" s="76" t="str">
        <f>IF(AND('Interimaire Juin  2017'!D63=$B$1,'Interimaire Juin  2017'!J63=$B$2),'Interimaire Juin  2017'!E63,"")</f>
        <v/>
      </c>
      <c r="D57" s="76" t="str">
        <f>IF(AND('Interimaire Juin  2017'!D63=$B$1,'Interimaire Juin  2017'!J63=$B$2),'Interimaire Juin  2017'!F63,"")</f>
        <v/>
      </c>
      <c r="E57" s="76" t="str">
        <f t="shared" si="2"/>
        <v/>
      </c>
      <c r="F57" s="76" t="str">
        <f t="array" aca="1" ref="F57" ca="1">IFERROR(INDEX(C:C,SMALL($E$2:$E$300,ROW(INDIRECT("49:"&amp;ROWS(C49:C347))))),"")</f>
        <v/>
      </c>
      <c r="G57" s="76" t="str">
        <f t="array" aca="1" ref="G57" ca="1">IFERROR(INDEX(D:D,SMALL($E$2:$E$300,ROW(INDIRECT("49:"&amp;ROWS(D49:D347))))),"")</f>
        <v/>
      </c>
      <c r="H57" s="82"/>
      <c r="I57" s="77">
        <v>7</v>
      </c>
      <c r="J57" s="78">
        <f t="shared" si="3"/>
        <v>1</v>
      </c>
      <c r="K57" s="79"/>
      <c r="L57" s="79"/>
      <c r="M57" s="80">
        <f t="shared" si="4"/>
        <v>1</v>
      </c>
      <c r="N57" s="77">
        <v>7</v>
      </c>
      <c r="O57" s="78">
        <f t="shared" si="5"/>
        <v>1</v>
      </c>
      <c r="P57" s="79"/>
      <c r="Q57" s="79"/>
      <c r="R57" s="80">
        <f t="shared" si="6"/>
        <v>1</v>
      </c>
      <c r="S57" s="77">
        <v>7</v>
      </c>
      <c r="T57" s="78">
        <f t="shared" si="7"/>
        <v>1</v>
      </c>
      <c r="U57" s="79"/>
      <c r="V57" s="79"/>
      <c r="W57" s="80">
        <f t="shared" si="8"/>
        <v>1</v>
      </c>
      <c r="X57" s="77">
        <v>7</v>
      </c>
      <c r="Y57" s="78">
        <f t="shared" si="9"/>
        <v>1</v>
      </c>
      <c r="Z57" s="79"/>
      <c r="AA57" s="79"/>
      <c r="AB57" s="80">
        <f t="shared" si="10"/>
        <v>1</v>
      </c>
      <c r="AC57" s="77">
        <v>7</v>
      </c>
      <c r="AD57" s="78">
        <f t="shared" si="11"/>
        <v>1</v>
      </c>
      <c r="AE57" s="79"/>
      <c r="AF57" s="79"/>
      <c r="AG57" s="80">
        <f t="shared" si="12"/>
        <v>1</v>
      </c>
      <c r="AH57" s="77">
        <f t="shared" si="13"/>
        <v>35</v>
      </c>
      <c r="AI57" s="79">
        <f t="shared" si="14"/>
        <v>0</v>
      </c>
      <c r="AJ57" s="79">
        <f t="shared" si="15"/>
        <v>0</v>
      </c>
      <c r="AK57" s="81">
        <f t="shared" si="16"/>
        <v>5</v>
      </c>
      <c r="AL57" s="81" t="str">
        <f t="shared" si="17"/>
        <v>CRIT</v>
      </c>
      <c r="AM57" s="81">
        <f t="shared" si="18"/>
        <v>22</v>
      </c>
      <c r="AN57" s="99">
        <f t="shared" si="19"/>
        <v>42884</v>
      </c>
      <c r="AO57" s="99">
        <f t="shared" si="20"/>
        <v>42888</v>
      </c>
      <c r="AP57" s="99"/>
      <c r="AQ57" s="73"/>
      <c r="AR57" s="67"/>
      <c r="AS57" s="132"/>
    </row>
    <row r="58" spans="1:45" ht="20.25" customHeight="1" thickTop="1" thickBot="1" x14ac:dyDescent="0.3">
      <c r="A58" s="74" t="str">
        <f t="shared" ca="1" si="0"/>
        <v/>
      </c>
      <c r="B58" s="75" t="str">
        <f t="shared" ca="1" si="1"/>
        <v/>
      </c>
      <c r="C58" s="76" t="str">
        <f>IF(AND('Interimaire Juin  2017'!D64=$B$1,'Interimaire Juin  2017'!J64=$B$2),'Interimaire Juin  2017'!E64,"")</f>
        <v/>
      </c>
      <c r="D58" s="76" t="str">
        <f>IF(AND('Interimaire Juin  2017'!D64=$B$1,'Interimaire Juin  2017'!J64=$B$2),'Interimaire Juin  2017'!F64,"")</f>
        <v/>
      </c>
      <c r="E58" s="76" t="str">
        <f t="shared" si="2"/>
        <v/>
      </c>
      <c r="F58" s="76" t="str">
        <f t="array" aca="1" ref="F58" ca="1">IFERROR(INDEX(C:C,SMALL($E$2:$E$300,ROW(INDIRECT("50:"&amp;ROWS(C50:C348))))),"")</f>
        <v/>
      </c>
      <c r="G58" s="76" t="str">
        <f t="array" aca="1" ref="G58" ca="1">IFERROR(INDEX(D:D,SMALL($E$2:$E$300,ROW(INDIRECT("50:"&amp;ROWS(D50:D348))))),"")</f>
        <v/>
      </c>
      <c r="H58" s="82"/>
      <c r="I58" s="77">
        <v>7</v>
      </c>
      <c r="J58" s="78">
        <f t="shared" si="3"/>
        <v>1</v>
      </c>
      <c r="K58" s="79"/>
      <c r="L58" s="79"/>
      <c r="M58" s="80">
        <f t="shared" si="4"/>
        <v>1</v>
      </c>
      <c r="N58" s="77">
        <v>7</v>
      </c>
      <c r="O58" s="78">
        <f t="shared" si="5"/>
        <v>1</v>
      </c>
      <c r="P58" s="79"/>
      <c r="Q58" s="79"/>
      <c r="R58" s="80">
        <f t="shared" si="6"/>
        <v>1</v>
      </c>
      <c r="S58" s="77">
        <v>7</v>
      </c>
      <c r="T58" s="78">
        <f t="shared" si="7"/>
        <v>1</v>
      </c>
      <c r="U58" s="79"/>
      <c r="V58" s="79"/>
      <c r="W58" s="80">
        <f t="shared" si="8"/>
        <v>1</v>
      </c>
      <c r="X58" s="77">
        <v>7</v>
      </c>
      <c r="Y58" s="78">
        <f t="shared" si="9"/>
        <v>1</v>
      </c>
      <c r="Z58" s="79"/>
      <c r="AA58" s="79"/>
      <c r="AB58" s="80">
        <f t="shared" si="10"/>
        <v>1</v>
      </c>
      <c r="AC58" s="77">
        <v>7</v>
      </c>
      <c r="AD58" s="78">
        <f t="shared" si="11"/>
        <v>1</v>
      </c>
      <c r="AE58" s="79"/>
      <c r="AF58" s="79"/>
      <c r="AG58" s="80">
        <f t="shared" si="12"/>
        <v>1</v>
      </c>
      <c r="AH58" s="77">
        <f t="shared" si="13"/>
        <v>35</v>
      </c>
      <c r="AI58" s="79">
        <f t="shared" si="14"/>
        <v>0</v>
      </c>
      <c r="AJ58" s="79">
        <f t="shared" si="15"/>
        <v>0</v>
      </c>
      <c r="AK58" s="81">
        <f t="shared" si="16"/>
        <v>5</v>
      </c>
      <c r="AL58" s="81" t="str">
        <f t="shared" si="17"/>
        <v>CRIT</v>
      </c>
      <c r="AM58" s="81">
        <f t="shared" si="18"/>
        <v>22</v>
      </c>
      <c r="AN58" s="99">
        <f t="shared" si="19"/>
        <v>42884</v>
      </c>
      <c r="AO58" s="99">
        <f t="shared" si="20"/>
        <v>42888</v>
      </c>
      <c r="AP58" s="99"/>
      <c r="AQ58" s="73"/>
      <c r="AR58" s="67"/>
      <c r="AS58" s="132"/>
    </row>
    <row r="59" spans="1:45" ht="20.25" customHeight="1" thickTop="1" thickBot="1" x14ac:dyDescent="0.3">
      <c r="A59" s="74" t="str">
        <f t="shared" ca="1" si="0"/>
        <v/>
      </c>
      <c r="B59" s="75" t="str">
        <f t="shared" ca="1" si="1"/>
        <v/>
      </c>
      <c r="C59" s="76" t="str">
        <f>IF(AND('Interimaire Juin  2017'!D65=$B$1,'Interimaire Juin  2017'!J65=$B$2),'Interimaire Juin  2017'!E65,"")</f>
        <v/>
      </c>
      <c r="D59" s="76" t="str">
        <f>IF(AND('Interimaire Juin  2017'!D65=$B$1,'Interimaire Juin  2017'!J65=$B$2),'Interimaire Juin  2017'!F65,"")</f>
        <v/>
      </c>
      <c r="E59" s="76" t="str">
        <f t="shared" si="2"/>
        <v/>
      </c>
      <c r="F59" s="76" t="str">
        <f t="array" aca="1" ref="F59" ca="1">IFERROR(INDEX(C:C,SMALL($E$2:$E$300,ROW(INDIRECT("51:"&amp;ROWS(C51:C349))))),"")</f>
        <v/>
      </c>
      <c r="G59" s="76" t="str">
        <f t="array" aca="1" ref="G59" ca="1">IFERROR(INDEX(D:D,SMALL($E$2:$E$300,ROW(INDIRECT("51:"&amp;ROWS(D51:D349))))),"")</f>
        <v/>
      </c>
      <c r="H59" s="82"/>
      <c r="I59" s="77">
        <v>7</v>
      </c>
      <c r="J59" s="78">
        <f t="shared" si="3"/>
        <v>1</v>
      </c>
      <c r="K59" s="79"/>
      <c r="L59" s="79"/>
      <c r="M59" s="80">
        <f t="shared" si="4"/>
        <v>1</v>
      </c>
      <c r="N59" s="77">
        <v>7</v>
      </c>
      <c r="O59" s="78">
        <f t="shared" si="5"/>
        <v>1</v>
      </c>
      <c r="P59" s="79"/>
      <c r="Q59" s="79"/>
      <c r="R59" s="80">
        <f t="shared" si="6"/>
        <v>1</v>
      </c>
      <c r="S59" s="77">
        <v>7</v>
      </c>
      <c r="T59" s="78">
        <f t="shared" si="7"/>
        <v>1</v>
      </c>
      <c r="U59" s="79"/>
      <c r="V59" s="79"/>
      <c r="W59" s="80">
        <f t="shared" si="8"/>
        <v>1</v>
      </c>
      <c r="X59" s="77">
        <v>7</v>
      </c>
      <c r="Y59" s="78">
        <f t="shared" si="9"/>
        <v>1</v>
      </c>
      <c r="Z59" s="79"/>
      <c r="AA59" s="79"/>
      <c r="AB59" s="80">
        <f t="shared" si="10"/>
        <v>1</v>
      </c>
      <c r="AC59" s="77">
        <v>7</v>
      </c>
      <c r="AD59" s="78">
        <f t="shared" si="11"/>
        <v>1</v>
      </c>
      <c r="AE59" s="79"/>
      <c r="AF59" s="79"/>
      <c r="AG59" s="80">
        <f t="shared" si="12"/>
        <v>1</v>
      </c>
      <c r="AH59" s="77">
        <f t="shared" si="13"/>
        <v>35</v>
      </c>
      <c r="AI59" s="79">
        <f t="shared" si="14"/>
        <v>0</v>
      </c>
      <c r="AJ59" s="79">
        <f t="shared" si="15"/>
        <v>0</v>
      </c>
      <c r="AK59" s="81">
        <f t="shared" si="16"/>
        <v>5</v>
      </c>
      <c r="AL59" s="81" t="str">
        <f t="shared" si="17"/>
        <v>CRIT</v>
      </c>
      <c r="AM59" s="81">
        <f t="shared" si="18"/>
        <v>22</v>
      </c>
      <c r="AN59" s="99">
        <f t="shared" si="19"/>
        <v>42884</v>
      </c>
      <c r="AO59" s="99">
        <f t="shared" si="20"/>
        <v>42888</v>
      </c>
      <c r="AP59" s="99"/>
      <c r="AQ59" s="73"/>
      <c r="AR59" s="67"/>
      <c r="AS59" s="132"/>
    </row>
    <row r="60" spans="1:45" ht="20.25" customHeight="1" thickTop="1" thickBot="1" x14ac:dyDescent="0.3">
      <c r="A60" s="74" t="str">
        <f t="shared" ca="1" si="0"/>
        <v/>
      </c>
      <c r="B60" s="75" t="str">
        <f t="shared" ca="1" si="1"/>
        <v/>
      </c>
      <c r="C60" s="76" t="str">
        <f>IF(AND('Interimaire Juin  2017'!D66=$B$1,'Interimaire Juin  2017'!J66=$B$2),'Interimaire Juin  2017'!E66,"")</f>
        <v/>
      </c>
      <c r="D60" s="76" t="str">
        <f>IF(AND('Interimaire Juin  2017'!D66=$B$1,'Interimaire Juin  2017'!J66=$B$2),'Interimaire Juin  2017'!F66,"")</f>
        <v/>
      </c>
      <c r="E60" s="76" t="str">
        <f t="shared" si="2"/>
        <v/>
      </c>
      <c r="F60" s="76" t="str">
        <f t="array" aca="1" ref="F60" ca="1">IFERROR(INDEX(C:C,SMALL($E$2:$E$300,ROW(INDIRECT("52:"&amp;ROWS(C52:C350))))),"")</f>
        <v/>
      </c>
      <c r="G60" s="76" t="str">
        <f t="array" aca="1" ref="G60" ca="1">IFERROR(INDEX(D:D,SMALL($E$2:$E$300,ROW(INDIRECT("52:"&amp;ROWS(D52:D350))))),"")</f>
        <v/>
      </c>
      <c r="H60" s="82"/>
      <c r="I60" s="77">
        <v>7</v>
      </c>
      <c r="J60" s="78">
        <f t="shared" si="3"/>
        <v>1</v>
      </c>
      <c r="K60" s="79"/>
      <c r="L60" s="79"/>
      <c r="M60" s="80">
        <f t="shared" si="4"/>
        <v>1</v>
      </c>
      <c r="N60" s="77">
        <v>7</v>
      </c>
      <c r="O60" s="78">
        <f t="shared" si="5"/>
        <v>1</v>
      </c>
      <c r="P60" s="79"/>
      <c r="Q60" s="79"/>
      <c r="R60" s="80">
        <f t="shared" si="6"/>
        <v>1</v>
      </c>
      <c r="S60" s="77">
        <v>7</v>
      </c>
      <c r="T60" s="78">
        <f t="shared" si="7"/>
        <v>1</v>
      </c>
      <c r="U60" s="79"/>
      <c r="V60" s="79"/>
      <c r="W60" s="80">
        <f t="shared" si="8"/>
        <v>1</v>
      </c>
      <c r="X60" s="77">
        <v>7</v>
      </c>
      <c r="Y60" s="78">
        <f t="shared" si="9"/>
        <v>1</v>
      </c>
      <c r="Z60" s="79"/>
      <c r="AA60" s="79"/>
      <c r="AB60" s="80">
        <f t="shared" si="10"/>
        <v>1</v>
      </c>
      <c r="AC60" s="77">
        <v>7</v>
      </c>
      <c r="AD60" s="78">
        <f t="shared" si="11"/>
        <v>1</v>
      </c>
      <c r="AE60" s="79"/>
      <c r="AF60" s="79"/>
      <c r="AG60" s="80">
        <f t="shared" si="12"/>
        <v>1</v>
      </c>
      <c r="AH60" s="77">
        <f t="shared" si="13"/>
        <v>35</v>
      </c>
      <c r="AI60" s="79">
        <f t="shared" si="14"/>
        <v>0</v>
      </c>
      <c r="AJ60" s="79">
        <f t="shared" si="15"/>
        <v>0</v>
      </c>
      <c r="AK60" s="81">
        <f t="shared" si="16"/>
        <v>5</v>
      </c>
      <c r="AL60" s="81" t="str">
        <f t="shared" si="17"/>
        <v>CRIT</v>
      </c>
      <c r="AM60" s="81">
        <f t="shared" si="18"/>
        <v>22</v>
      </c>
      <c r="AN60" s="99">
        <f t="shared" si="19"/>
        <v>42884</v>
      </c>
      <c r="AO60" s="99">
        <f t="shared" si="20"/>
        <v>42888</v>
      </c>
      <c r="AP60" s="99"/>
      <c r="AQ60" s="73"/>
      <c r="AR60" s="67"/>
      <c r="AS60" s="132"/>
    </row>
    <row r="61" spans="1:45" ht="20.25" customHeight="1" thickTop="1" thickBot="1" x14ac:dyDescent="0.3">
      <c r="A61" s="74" t="str">
        <f t="shared" ca="1" si="0"/>
        <v/>
      </c>
      <c r="B61" s="75" t="str">
        <f t="shared" ca="1" si="1"/>
        <v/>
      </c>
      <c r="C61" s="76" t="str">
        <f>IF(AND('Interimaire Juin  2017'!D67=$B$1,'Interimaire Juin  2017'!J67=$B$2),'Interimaire Juin  2017'!E67,"")</f>
        <v/>
      </c>
      <c r="D61" s="76" t="str">
        <f>IF(AND('Interimaire Juin  2017'!D67=$B$1,'Interimaire Juin  2017'!J67=$B$2),'Interimaire Juin  2017'!F67,"")</f>
        <v/>
      </c>
      <c r="E61" s="76" t="str">
        <f t="shared" si="2"/>
        <v/>
      </c>
      <c r="F61" s="76" t="str">
        <f t="array" aca="1" ref="F61" ca="1">IFERROR(INDEX(C:C,SMALL($E$2:$E$300,ROW(INDIRECT("53:"&amp;ROWS(C53:C351))))),"")</f>
        <v/>
      </c>
      <c r="G61" s="76" t="str">
        <f t="array" aca="1" ref="G61" ca="1">IFERROR(INDEX(D:D,SMALL($E$2:$E$300,ROW(INDIRECT("53:"&amp;ROWS(D53:D351))))),"")</f>
        <v/>
      </c>
      <c r="H61" s="82"/>
      <c r="I61" s="77">
        <v>7</v>
      </c>
      <c r="J61" s="78">
        <f t="shared" si="3"/>
        <v>1</v>
      </c>
      <c r="K61" s="79"/>
      <c r="L61" s="79"/>
      <c r="M61" s="80">
        <f t="shared" si="4"/>
        <v>1</v>
      </c>
      <c r="N61" s="77">
        <v>7</v>
      </c>
      <c r="O61" s="78">
        <f t="shared" si="5"/>
        <v>1</v>
      </c>
      <c r="P61" s="79"/>
      <c r="Q61" s="79"/>
      <c r="R61" s="80">
        <f t="shared" si="6"/>
        <v>1</v>
      </c>
      <c r="S61" s="77">
        <v>7</v>
      </c>
      <c r="T61" s="78">
        <f t="shared" si="7"/>
        <v>1</v>
      </c>
      <c r="U61" s="79"/>
      <c r="V61" s="79"/>
      <c r="W61" s="80">
        <f t="shared" si="8"/>
        <v>1</v>
      </c>
      <c r="X61" s="77">
        <v>7</v>
      </c>
      <c r="Y61" s="78">
        <f t="shared" si="9"/>
        <v>1</v>
      </c>
      <c r="Z61" s="79"/>
      <c r="AA61" s="79"/>
      <c r="AB61" s="80">
        <f t="shared" si="10"/>
        <v>1</v>
      </c>
      <c r="AC61" s="77">
        <v>7</v>
      </c>
      <c r="AD61" s="78">
        <f t="shared" si="11"/>
        <v>1</v>
      </c>
      <c r="AE61" s="79"/>
      <c r="AF61" s="79"/>
      <c r="AG61" s="80">
        <f t="shared" si="12"/>
        <v>1</v>
      </c>
      <c r="AH61" s="77">
        <f t="shared" si="13"/>
        <v>35</v>
      </c>
      <c r="AI61" s="79">
        <f t="shared" si="14"/>
        <v>0</v>
      </c>
      <c r="AJ61" s="79">
        <f t="shared" si="15"/>
        <v>0</v>
      </c>
      <c r="AK61" s="81">
        <f t="shared" si="16"/>
        <v>5</v>
      </c>
      <c r="AL61" s="81" t="str">
        <f t="shared" si="17"/>
        <v>CRIT</v>
      </c>
      <c r="AM61" s="81">
        <f t="shared" si="18"/>
        <v>22</v>
      </c>
      <c r="AN61" s="99">
        <f t="shared" si="19"/>
        <v>42884</v>
      </c>
      <c r="AO61" s="99">
        <f t="shared" si="20"/>
        <v>42888</v>
      </c>
      <c r="AP61" s="99"/>
      <c r="AQ61" s="73"/>
      <c r="AR61" s="67"/>
      <c r="AS61" s="132"/>
    </row>
    <row r="62" spans="1:45" ht="20.25" customHeight="1" thickTop="1" thickBot="1" x14ac:dyDescent="0.3">
      <c r="A62" s="74" t="str">
        <f t="shared" ca="1" si="0"/>
        <v/>
      </c>
      <c r="B62" s="75" t="str">
        <f t="shared" ca="1" si="1"/>
        <v/>
      </c>
      <c r="C62" s="76" t="str">
        <f>IF(AND('Interimaire Juin  2017'!D68=$B$1,'Interimaire Juin  2017'!J68=$B$2),'Interimaire Juin  2017'!E68,"")</f>
        <v/>
      </c>
      <c r="D62" s="76" t="str">
        <f>IF(AND('Interimaire Juin  2017'!D68=$B$1,'Interimaire Juin  2017'!J68=$B$2),'Interimaire Juin  2017'!F68,"")</f>
        <v/>
      </c>
      <c r="E62" s="76" t="str">
        <f t="shared" si="2"/>
        <v/>
      </c>
      <c r="F62" s="76" t="str">
        <f t="array" aca="1" ref="F62" ca="1">IFERROR(INDEX(C:C,SMALL($E$2:$E$300,ROW(INDIRECT("54:"&amp;ROWS(C54:C352))))),"")</f>
        <v/>
      </c>
      <c r="G62" s="76" t="str">
        <f t="array" aca="1" ref="G62" ca="1">IFERROR(INDEX(D:D,SMALL($E$2:$E$300,ROW(INDIRECT("54:"&amp;ROWS(D54:D352))))),"")</f>
        <v/>
      </c>
      <c r="H62" s="82"/>
      <c r="I62" s="77">
        <v>7</v>
      </c>
      <c r="J62" s="78">
        <f t="shared" si="3"/>
        <v>1</v>
      </c>
      <c r="K62" s="82"/>
      <c r="L62" s="82"/>
      <c r="M62" s="80">
        <f t="shared" si="4"/>
        <v>1</v>
      </c>
      <c r="N62" s="77">
        <v>7</v>
      </c>
      <c r="O62" s="78">
        <f t="shared" si="5"/>
        <v>1</v>
      </c>
      <c r="P62" s="82"/>
      <c r="Q62" s="82"/>
      <c r="R62" s="80">
        <f t="shared" si="6"/>
        <v>1</v>
      </c>
      <c r="S62" s="77">
        <v>7</v>
      </c>
      <c r="T62" s="78">
        <f t="shared" si="7"/>
        <v>1</v>
      </c>
      <c r="U62" s="79"/>
      <c r="V62" s="79"/>
      <c r="W62" s="80">
        <f t="shared" ref="W62:W100" si="21">+T62</f>
        <v>1</v>
      </c>
      <c r="X62" s="77">
        <v>7</v>
      </c>
      <c r="Y62" s="78">
        <f t="shared" si="9"/>
        <v>1</v>
      </c>
      <c r="Z62" s="79"/>
      <c r="AA62" s="79"/>
      <c r="AB62" s="80">
        <f t="shared" ref="AB62:AB100" si="22">+Y62</f>
        <v>1</v>
      </c>
      <c r="AC62" s="77">
        <v>7</v>
      </c>
      <c r="AD62" s="78">
        <f t="shared" si="11"/>
        <v>1</v>
      </c>
      <c r="AE62" s="79"/>
      <c r="AF62" s="79"/>
      <c r="AG62" s="80">
        <f t="shared" ref="AG62:AG100" si="23">+AD62</f>
        <v>1</v>
      </c>
      <c r="AH62" s="77">
        <f t="shared" ref="AH62:AH100" si="24">I62+N62+S62+X62+AC62</f>
        <v>35</v>
      </c>
      <c r="AI62" s="79">
        <f t="shared" si="14"/>
        <v>0</v>
      </c>
      <c r="AJ62" s="79">
        <f t="shared" ref="AJ62:AJ100" si="25">+AF62+AA62+V62+Q62+L62</f>
        <v>0</v>
      </c>
      <c r="AK62" s="81">
        <f t="shared" ref="AK62:AK100" si="26">+AG62+AB62+W62+O62+J62</f>
        <v>5</v>
      </c>
      <c r="AL62" s="81" t="str">
        <f t="shared" si="17"/>
        <v>CRIT</v>
      </c>
      <c r="AM62" s="81">
        <f t="shared" si="18"/>
        <v>22</v>
      </c>
      <c r="AN62" s="99">
        <f t="shared" si="19"/>
        <v>42884</v>
      </c>
      <c r="AO62" s="99">
        <f t="shared" si="20"/>
        <v>42888</v>
      </c>
      <c r="AP62" s="99"/>
      <c r="AQ62" s="73"/>
      <c r="AR62" s="67"/>
      <c r="AS62" s="132"/>
    </row>
    <row r="63" spans="1:45" ht="20.25" customHeight="1" thickTop="1" thickBot="1" x14ac:dyDescent="0.3">
      <c r="A63" s="74" t="str">
        <f t="shared" ca="1" si="0"/>
        <v/>
      </c>
      <c r="B63" s="75" t="str">
        <f t="shared" ca="1" si="1"/>
        <v/>
      </c>
      <c r="C63" s="76" t="str">
        <f>IF(AND('Interimaire Juin  2017'!D69=$B$1,'Interimaire Juin  2017'!J69=$B$2),'Interimaire Juin  2017'!E69,"")</f>
        <v/>
      </c>
      <c r="D63" s="76" t="str">
        <f>IF(AND('Interimaire Juin  2017'!D69=$B$1,'Interimaire Juin  2017'!J69=$B$2),'Interimaire Juin  2017'!F69,"")</f>
        <v/>
      </c>
      <c r="E63" s="76" t="str">
        <f t="shared" si="2"/>
        <v/>
      </c>
      <c r="F63" s="76" t="str">
        <f t="array" aca="1" ref="F63" ca="1">IFERROR(INDEX(C:C,SMALL($E$2:$E$300,ROW(INDIRECT("55:"&amp;ROWS(C55:C353))))),"")</f>
        <v/>
      </c>
      <c r="G63" s="76" t="str">
        <f t="array" aca="1" ref="G63" ca="1">IFERROR(INDEX(D:D,SMALL($E$2:$E$300,ROW(INDIRECT("55:"&amp;ROWS(D55:D353))))),"")</f>
        <v/>
      </c>
      <c r="H63" s="82"/>
      <c r="I63" s="77">
        <v>7</v>
      </c>
      <c r="J63" s="78">
        <f t="shared" si="3"/>
        <v>1</v>
      </c>
      <c r="K63" s="82"/>
      <c r="L63" s="82"/>
      <c r="M63" s="80">
        <f t="shared" si="4"/>
        <v>1</v>
      </c>
      <c r="N63" s="77">
        <v>7</v>
      </c>
      <c r="O63" s="78">
        <f t="shared" si="5"/>
        <v>1</v>
      </c>
      <c r="P63" s="82"/>
      <c r="Q63" s="82"/>
      <c r="R63" s="80">
        <f t="shared" si="6"/>
        <v>1</v>
      </c>
      <c r="S63" s="77">
        <v>7</v>
      </c>
      <c r="T63" s="78">
        <f t="shared" si="7"/>
        <v>1</v>
      </c>
      <c r="U63" s="79"/>
      <c r="V63" s="79"/>
      <c r="W63" s="80">
        <f t="shared" si="21"/>
        <v>1</v>
      </c>
      <c r="X63" s="77">
        <v>7</v>
      </c>
      <c r="Y63" s="78">
        <f t="shared" si="9"/>
        <v>1</v>
      </c>
      <c r="Z63" s="79"/>
      <c r="AA63" s="79"/>
      <c r="AB63" s="80">
        <f t="shared" si="22"/>
        <v>1</v>
      </c>
      <c r="AC63" s="77">
        <v>7</v>
      </c>
      <c r="AD63" s="78">
        <f t="shared" si="11"/>
        <v>1</v>
      </c>
      <c r="AE63" s="79"/>
      <c r="AF63" s="79"/>
      <c r="AG63" s="80">
        <f t="shared" si="23"/>
        <v>1</v>
      </c>
      <c r="AH63" s="77">
        <f t="shared" si="24"/>
        <v>35</v>
      </c>
      <c r="AI63" s="79">
        <f t="shared" si="14"/>
        <v>0</v>
      </c>
      <c r="AJ63" s="79">
        <f t="shared" si="25"/>
        <v>0</v>
      </c>
      <c r="AK63" s="81">
        <f t="shared" si="26"/>
        <v>5</v>
      </c>
      <c r="AL63" s="81" t="str">
        <f t="shared" si="17"/>
        <v>CRIT</v>
      </c>
      <c r="AM63" s="81">
        <f t="shared" si="18"/>
        <v>22</v>
      </c>
      <c r="AN63" s="99">
        <f t="shared" si="19"/>
        <v>42884</v>
      </c>
      <c r="AO63" s="99">
        <f t="shared" si="20"/>
        <v>42888</v>
      </c>
      <c r="AP63" s="99"/>
      <c r="AQ63" s="73"/>
      <c r="AR63" s="67"/>
      <c r="AS63" s="132"/>
    </row>
    <row r="64" spans="1:45" ht="20.25" customHeight="1" thickTop="1" thickBot="1" x14ac:dyDescent="0.3">
      <c r="A64" s="74" t="str">
        <f t="shared" ca="1" si="0"/>
        <v/>
      </c>
      <c r="B64" s="75" t="str">
        <f t="shared" ca="1" si="1"/>
        <v/>
      </c>
      <c r="C64" s="76" t="str">
        <f>IF(AND('Interimaire Juin  2017'!D70=$B$1,'Interimaire Juin  2017'!J70=$B$2),'Interimaire Juin  2017'!E70,"")</f>
        <v/>
      </c>
      <c r="D64" s="76" t="str">
        <f>IF(AND('Interimaire Juin  2017'!D70=$B$1,'Interimaire Juin  2017'!J70=$B$2),'Interimaire Juin  2017'!F70,"")</f>
        <v/>
      </c>
      <c r="E64" s="76" t="str">
        <f t="shared" si="2"/>
        <v/>
      </c>
      <c r="F64" s="76" t="str">
        <f t="array" aca="1" ref="F64" ca="1">IFERROR(INDEX(C:C,SMALL($E$2:$E$300,ROW(INDIRECT("56:"&amp;ROWS(C56:C354))))),"")</f>
        <v/>
      </c>
      <c r="G64" s="76" t="str">
        <f t="array" aca="1" ref="G64" ca="1">IFERROR(INDEX(D:D,SMALL($E$2:$E$300,ROW(INDIRECT("56:"&amp;ROWS(D56:D354))))),"")</f>
        <v/>
      </c>
      <c r="H64" s="82"/>
      <c r="I64" s="77">
        <v>7</v>
      </c>
      <c r="J64" s="78">
        <f t="shared" si="3"/>
        <v>1</v>
      </c>
      <c r="K64" s="82"/>
      <c r="L64" s="82"/>
      <c r="M64" s="80">
        <f t="shared" si="4"/>
        <v>1</v>
      </c>
      <c r="N64" s="77">
        <v>7</v>
      </c>
      <c r="O64" s="78">
        <f t="shared" si="5"/>
        <v>1</v>
      </c>
      <c r="P64" s="82"/>
      <c r="Q64" s="82"/>
      <c r="R64" s="80">
        <f t="shared" si="6"/>
        <v>1</v>
      </c>
      <c r="S64" s="77">
        <v>7</v>
      </c>
      <c r="T64" s="78">
        <f t="shared" si="7"/>
        <v>1</v>
      </c>
      <c r="U64" s="79"/>
      <c r="V64" s="79"/>
      <c r="W64" s="80">
        <f t="shared" si="21"/>
        <v>1</v>
      </c>
      <c r="X64" s="77">
        <v>7</v>
      </c>
      <c r="Y64" s="78">
        <f t="shared" si="9"/>
        <v>1</v>
      </c>
      <c r="Z64" s="79"/>
      <c r="AA64" s="79"/>
      <c r="AB64" s="80">
        <f t="shared" si="22"/>
        <v>1</v>
      </c>
      <c r="AC64" s="77">
        <v>7</v>
      </c>
      <c r="AD64" s="78">
        <f t="shared" si="11"/>
        <v>1</v>
      </c>
      <c r="AE64" s="79"/>
      <c r="AF64" s="79"/>
      <c r="AG64" s="80">
        <f t="shared" si="23"/>
        <v>1</v>
      </c>
      <c r="AH64" s="77">
        <f t="shared" si="24"/>
        <v>35</v>
      </c>
      <c r="AI64" s="79">
        <f t="shared" si="14"/>
        <v>0</v>
      </c>
      <c r="AJ64" s="79">
        <f t="shared" si="25"/>
        <v>0</v>
      </c>
      <c r="AK64" s="81">
        <f t="shared" si="26"/>
        <v>5</v>
      </c>
      <c r="AL64" s="81" t="str">
        <f t="shared" si="17"/>
        <v>CRIT</v>
      </c>
      <c r="AM64" s="81">
        <f t="shared" si="18"/>
        <v>22</v>
      </c>
      <c r="AN64" s="99">
        <f t="shared" si="19"/>
        <v>42884</v>
      </c>
      <c r="AO64" s="99">
        <f t="shared" si="20"/>
        <v>42888</v>
      </c>
      <c r="AP64" s="99"/>
      <c r="AQ64" s="73"/>
      <c r="AR64" s="67"/>
      <c r="AS64" s="132"/>
    </row>
    <row r="65" spans="1:45" ht="20.25" customHeight="1" thickTop="1" thickBot="1" x14ac:dyDescent="0.3">
      <c r="A65" s="74" t="str">
        <f t="shared" ca="1" si="0"/>
        <v/>
      </c>
      <c r="B65" s="75" t="str">
        <f t="shared" ca="1" si="1"/>
        <v/>
      </c>
      <c r="C65" s="76" t="str">
        <f>IF(AND('Interimaire Juin  2017'!D71=$B$1,'Interimaire Juin  2017'!J71=$B$2),'Interimaire Juin  2017'!E71,"")</f>
        <v/>
      </c>
      <c r="D65" s="76" t="str">
        <f>IF(AND('Interimaire Juin  2017'!D71=$B$1,'Interimaire Juin  2017'!J71=$B$2),'Interimaire Juin  2017'!F71,"")</f>
        <v/>
      </c>
      <c r="E65" s="76" t="str">
        <f t="shared" si="2"/>
        <v/>
      </c>
      <c r="F65" s="76" t="str">
        <f t="array" aca="1" ref="F65" ca="1">IFERROR(INDEX(C:C,SMALL($E$2:$E$300,ROW(INDIRECT("57:"&amp;ROWS(C57:C355))))),"")</f>
        <v/>
      </c>
      <c r="G65" s="76" t="str">
        <f t="array" aca="1" ref="G65" ca="1">IFERROR(INDEX(D:D,SMALL($E$2:$E$300,ROW(INDIRECT("57:"&amp;ROWS(D57:D355))))),"")</f>
        <v/>
      </c>
      <c r="H65" s="82"/>
      <c r="I65" s="77">
        <v>7</v>
      </c>
      <c r="J65" s="78">
        <f t="shared" si="3"/>
        <v>1</v>
      </c>
      <c r="K65" s="82"/>
      <c r="L65" s="82"/>
      <c r="M65" s="80">
        <f t="shared" si="4"/>
        <v>1</v>
      </c>
      <c r="N65" s="77">
        <v>7</v>
      </c>
      <c r="O65" s="78">
        <f t="shared" si="5"/>
        <v>1</v>
      </c>
      <c r="P65" s="82"/>
      <c r="Q65" s="82"/>
      <c r="R65" s="80">
        <f t="shared" si="6"/>
        <v>1</v>
      </c>
      <c r="S65" s="77">
        <v>7</v>
      </c>
      <c r="T65" s="78">
        <f t="shared" si="7"/>
        <v>1</v>
      </c>
      <c r="U65" s="79"/>
      <c r="V65" s="79"/>
      <c r="W65" s="80">
        <f t="shared" si="21"/>
        <v>1</v>
      </c>
      <c r="X65" s="77">
        <v>7</v>
      </c>
      <c r="Y65" s="78">
        <f t="shared" si="9"/>
        <v>1</v>
      </c>
      <c r="Z65" s="79"/>
      <c r="AA65" s="79"/>
      <c r="AB65" s="80">
        <f t="shared" si="22"/>
        <v>1</v>
      </c>
      <c r="AC65" s="77">
        <v>7</v>
      </c>
      <c r="AD65" s="78">
        <f t="shared" si="11"/>
        <v>1</v>
      </c>
      <c r="AE65" s="79"/>
      <c r="AF65" s="79"/>
      <c r="AG65" s="80">
        <f t="shared" si="23"/>
        <v>1</v>
      </c>
      <c r="AH65" s="77">
        <f t="shared" si="24"/>
        <v>35</v>
      </c>
      <c r="AI65" s="79">
        <f t="shared" si="14"/>
        <v>0</v>
      </c>
      <c r="AJ65" s="79">
        <f t="shared" si="25"/>
        <v>0</v>
      </c>
      <c r="AK65" s="81">
        <f t="shared" si="26"/>
        <v>5</v>
      </c>
      <c r="AL65" s="81" t="str">
        <f t="shared" si="17"/>
        <v>CRIT</v>
      </c>
      <c r="AM65" s="81">
        <f t="shared" si="18"/>
        <v>22</v>
      </c>
      <c r="AN65" s="99">
        <f t="shared" si="19"/>
        <v>42884</v>
      </c>
      <c r="AO65" s="99">
        <f t="shared" si="20"/>
        <v>42888</v>
      </c>
      <c r="AP65" s="99"/>
      <c r="AQ65" s="73"/>
      <c r="AR65" s="67"/>
      <c r="AS65" s="132"/>
    </row>
    <row r="66" spans="1:45" ht="20.25" customHeight="1" thickTop="1" thickBot="1" x14ac:dyDescent="0.3">
      <c r="A66" s="74" t="str">
        <f t="shared" ca="1" si="0"/>
        <v/>
      </c>
      <c r="B66" s="75" t="str">
        <f t="shared" ca="1" si="1"/>
        <v/>
      </c>
      <c r="C66" s="76" t="str">
        <f>IF(AND('Interimaire Juin  2017'!D72=$B$1,'Interimaire Juin  2017'!J72=$B$2),'Interimaire Juin  2017'!E72,"")</f>
        <v/>
      </c>
      <c r="D66" s="76" t="str">
        <f>IF(AND('Interimaire Juin  2017'!D72=$B$1,'Interimaire Juin  2017'!J72=$B$2),'Interimaire Juin  2017'!F72,"")</f>
        <v/>
      </c>
      <c r="E66" s="76" t="str">
        <f t="shared" si="2"/>
        <v/>
      </c>
      <c r="F66" s="76" t="str">
        <f t="array" aca="1" ref="F66" ca="1">IFERROR(INDEX(C:C,SMALL($E$2:$E$300,ROW(INDIRECT("58:"&amp;ROWS(C58:C356))))),"")</f>
        <v/>
      </c>
      <c r="G66" s="76" t="str">
        <f t="array" aca="1" ref="G66" ca="1">IFERROR(INDEX(D:D,SMALL($E$2:$E$300,ROW(INDIRECT("58:"&amp;ROWS(D58:D356))))),"")</f>
        <v/>
      </c>
      <c r="H66" s="82"/>
      <c r="I66" s="77">
        <v>7</v>
      </c>
      <c r="J66" s="78">
        <f t="shared" si="3"/>
        <v>1</v>
      </c>
      <c r="K66" s="82"/>
      <c r="L66" s="82"/>
      <c r="M66" s="80">
        <f t="shared" si="4"/>
        <v>1</v>
      </c>
      <c r="N66" s="77">
        <v>7</v>
      </c>
      <c r="O66" s="78">
        <f t="shared" si="5"/>
        <v>1</v>
      </c>
      <c r="P66" s="82"/>
      <c r="Q66" s="82"/>
      <c r="R66" s="80">
        <f t="shared" si="6"/>
        <v>1</v>
      </c>
      <c r="S66" s="77">
        <v>7</v>
      </c>
      <c r="T66" s="78">
        <f t="shared" si="7"/>
        <v>1</v>
      </c>
      <c r="U66" s="79"/>
      <c r="V66" s="79"/>
      <c r="W66" s="80">
        <f t="shared" si="21"/>
        <v>1</v>
      </c>
      <c r="X66" s="77">
        <v>7</v>
      </c>
      <c r="Y66" s="78">
        <f t="shared" si="9"/>
        <v>1</v>
      </c>
      <c r="Z66" s="79"/>
      <c r="AA66" s="79"/>
      <c r="AB66" s="80">
        <f t="shared" si="22"/>
        <v>1</v>
      </c>
      <c r="AC66" s="77">
        <v>7</v>
      </c>
      <c r="AD66" s="78">
        <f t="shared" si="11"/>
        <v>1</v>
      </c>
      <c r="AE66" s="79"/>
      <c r="AF66" s="79"/>
      <c r="AG66" s="80">
        <f t="shared" si="23"/>
        <v>1</v>
      </c>
      <c r="AH66" s="77">
        <f t="shared" si="24"/>
        <v>35</v>
      </c>
      <c r="AI66" s="79">
        <f t="shared" si="14"/>
        <v>0</v>
      </c>
      <c r="AJ66" s="79">
        <f t="shared" si="25"/>
        <v>0</v>
      </c>
      <c r="AK66" s="81">
        <f t="shared" si="26"/>
        <v>5</v>
      </c>
      <c r="AL66" s="81" t="str">
        <f t="shared" si="17"/>
        <v>CRIT</v>
      </c>
      <c r="AM66" s="81">
        <f t="shared" si="18"/>
        <v>22</v>
      </c>
      <c r="AN66" s="99">
        <f t="shared" si="19"/>
        <v>42884</v>
      </c>
      <c r="AO66" s="99">
        <f t="shared" si="20"/>
        <v>42888</v>
      </c>
      <c r="AP66" s="99"/>
      <c r="AQ66" s="73"/>
      <c r="AR66" s="67"/>
      <c r="AS66" s="132"/>
    </row>
    <row r="67" spans="1:45" ht="20.25" customHeight="1" thickTop="1" thickBot="1" x14ac:dyDescent="0.3">
      <c r="A67" s="74" t="str">
        <f t="shared" ca="1" si="0"/>
        <v/>
      </c>
      <c r="B67" s="75" t="str">
        <f t="shared" ca="1" si="1"/>
        <v/>
      </c>
      <c r="C67" s="76" t="str">
        <f>IF(AND('Interimaire Juin  2017'!D73=$B$1,'Interimaire Juin  2017'!J73=$B$2),'Interimaire Juin  2017'!E73,"")</f>
        <v/>
      </c>
      <c r="D67" s="76" t="str">
        <f>IF(AND('Interimaire Juin  2017'!D73=$B$1,'Interimaire Juin  2017'!J73=$B$2),'Interimaire Juin  2017'!F73,"")</f>
        <v/>
      </c>
      <c r="E67" s="76" t="str">
        <f t="shared" si="2"/>
        <v/>
      </c>
      <c r="F67" s="76" t="str">
        <f t="array" aca="1" ref="F67" ca="1">IFERROR(INDEX(C:C,SMALL($E$2:$E$300,ROW(INDIRECT("59:"&amp;ROWS(C59:C357))))),"")</f>
        <v/>
      </c>
      <c r="G67" s="76" t="str">
        <f t="array" aca="1" ref="G67" ca="1">IFERROR(INDEX(D:D,SMALL($E$2:$E$300,ROW(INDIRECT("59:"&amp;ROWS(D59:D357))))),"")</f>
        <v/>
      </c>
      <c r="H67" s="82"/>
      <c r="I67" s="77">
        <v>7</v>
      </c>
      <c r="J67" s="78">
        <f t="shared" si="3"/>
        <v>1</v>
      </c>
      <c r="K67" s="82"/>
      <c r="L67" s="82"/>
      <c r="M67" s="80">
        <f t="shared" si="4"/>
        <v>1</v>
      </c>
      <c r="N67" s="77">
        <v>7</v>
      </c>
      <c r="O67" s="78">
        <f t="shared" si="5"/>
        <v>1</v>
      </c>
      <c r="P67" s="82"/>
      <c r="Q67" s="82"/>
      <c r="R67" s="80">
        <f t="shared" si="6"/>
        <v>1</v>
      </c>
      <c r="S67" s="77">
        <v>7</v>
      </c>
      <c r="T67" s="78">
        <f t="shared" si="7"/>
        <v>1</v>
      </c>
      <c r="U67" s="79"/>
      <c r="V67" s="79"/>
      <c r="W67" s="80">
        <f t="shared" si="21"/>
        <v>1</v>
      </c>
      <c r="X67" s="77">
        <v>7</v>
      </c>
      <c r="Y67" s="78">
        <f t="shared" si="9"/>
        <v>1</v>
      </c>
      <c r="Z67" s="79"/>
      <c r="AA67" s="79"/>
      <c r="AB67" s="80">
        <f t="shared" si="22"/>
        <v>1</v>
      </c>
      <c r="AC67" s="77">
        <v>7</v>
      </c>
      <c r="AD67" s="78">
        <f t="shared" si="11"/>
        <v>1</v>
      </c>
      <c r="AE67" s="79"/>
      <c r="AF67" s="79"/>
      <c r="AG67" s="80">
        <f t="shared" si="23"/>
        <v>1</v>
      </c>
      <c r="AH67" s="77">
        <f t="shared" si="24"/>
        <v>35</v>
      </c>
      <c r="AI67" s="79">
        <f t="shared" si="14"/>
        <v>0</v>
      </c>
      <c r="AJ67" s="79">
        <f t="shared" si="25"/>
        <v>0</v>
      </c>
      <c r="AK67" s="81">
        <f t="shared" si="26"/>
        <v>5</v>
      </c>
      <c r="AL67" s="81" t="str">
        <f t="shared" si="17"/>
        <v>CRIT</v>
      </c>
      <c r="AM67" s="81">
        <f t="shared" si="18"/>
        <v>22</v>
      </c>
      <c r="AN67" s="99">
        <f t="shared" si="19"/>
        <v>42884</v>
      </c>
      <c r="AO67" s="99">
        <f t="shared" si="20"/>
        <v>42888</v>
      </c>
      <c r="AP67" s="99"/>
      <c r="AQ67" s="73"/>
      <c r="AR67" s="67"/>
      <c r="AS67" s="132"/>
    </row>
    <row r="68" spans="1:45" ht="20.25" customHeight="1" thickTop="1" thickBot="1" x14ac:dyDescent="0.3">
      <c r="A68" s="74" t="str">
        <f t="shared" ca="1" si="0"/>
        <v/>
      </c>
      <c r="B68" s="75" t="str">
        <f t="shared" ca="1" si="1"/>
        <v/>
      </c>
      <c r="C68" s="76" t="str">
        <f>IF(AND('Interimaire Juin  2017'!D74=$B$1,'Interimaire Juin  2017'!J74=$B$2),'Interimaire Juin  2017'!E74,"")</f>
        <v/>
      </c>
      <c r="D68" s="76" t="str">
        <f>IF(AND('Interimaire Juin  2017'!D74=$B$1,'Interimaire Juin  2017'!J74=$B$2),'Interimaire Juin  2017'!F74,"")</f>
        <v/>
      </c>
      <c r="E68" s="76" t="str">
        <f t="shared" si="2"/>
        <v/>
      </c>
      <c r="F68" s="76" t="str">
        <f t="array" aca="1" ref="F68" ca="1">IFERROR(INDEX(C:C,SMALL($E$2:$E$300,ROW(INDIRECT("60:"&amp;ROWS(C60:C358))))),"")</f>
        <v/>
      </c>
      <c r="G68" s="76" t="str">
        <f t="array" aca="1" ref="G68" ca="1">IFERROR(INDEX(D:D,SMALL($E$2:$E$300,ROW(INDIRECT("60:"&amp;ROWS(D60:D358))))),"")</f>
        <v/>
      </c>
      <c r="H68" s="82"/>
      <c r="I68" s="77">
        <v>7</v>
      </c>
      <c r="J68" s="78">
        <f t="shared" si="3"/>
        <v>1</v>
      </c>
      <c r="K68" s="82"/>
      <c r="L68" s="82"/>
      <c r="M68" s="80">
        <f t="shared" si="4"/>
        <v>1</v>
      </c>
      <c r="N68" s="77">
        <v>7</v>
      </c>
      <c r="O68" s="78">
        <f t="shared" si="5"/>
        <v>1</v>
      </c>
      <c r="P68" s="82"/>
      <c r="Q68" s="82"/>
      <c r="R68" s="80">
        <f t="shared" si="6"/>
        <v>1</v>
      </c>
      <c r="S68" s="77">
        <v>7</v>
      </c>
      <c r="T68" s="78">
        <f t="shared" si="7"/>
        <v>1</v>
      </c>
      <c r="U68" s="79"/>
      <c r="V68" s="79"/>
      <c r="W68" s="80">
        <f t="shared" si="21"/>
        <v>1</v>
      </c>
      <c r="X68" s="77">
        <v>7</v>
      </c>
      <c r="Y68" s="78">
        <f t="shared" si="9"/>
        <v>1</v>
      </c>
      <c r="Z68" s="79"/>
      <c r="AA68" s="79"/>
      <c r="AB68" s="80">
        <f t="shared" si="22"/>
        <v>1</v>
      </c>
      <c r="AC68" s="77">
        <v>7</v>
      </c>
      <c r="AD68" s="78">
        <f t="shared" si="11"/>
        <v>1</v>
      </c>
      <c r="AE68" s="79"/>
      <c r="AF68" s="79"/>
      <c r="AG68" s="80">
        <f t="shared" si="23"/>
        <v>1</v>
      </c>
      <c r="AH68" s="77">
        <f t="shared" si="24"/>
        <v>35</v>
      </c>
      <c r="AI68" s="79">
        <f t="shared" si="14"/>
        <v>0</v>
      </c>
      <c r="AJ68" s="79">
        <f t="shared" si="25"/>
        <v>0</v>
      </c>
      <c r="AK68" s="81">
        <f t="shared" si="26"/>
        <v>5</v>
      </c>
      <c r="AL68" s="81" t="str">
        <f t="shared" si="17"/>
        <v>CRIT</v>
      </c>
      <c r="AM68" s="81">
        <f t="shared" si="18"/>
        <v>22</v>
      </c>
      <c r="AN68" s="99">
        <f t="shared" si="19"/>
        <v>42884</v>
      </c>
      <c r="AO68" s="99">
        <f t="shared" si="20"/>
        <v>42888</v>
      </c>
      <c r="AP68" s="99"/>
      <c r="AQ68" s="73"/>
      <c r="AR68" s="67"/>
      <c r="AS68" s="132"/>
    </row>
    <row r="69" spans="1:45" ht="20.25" customHeight="1" thickTop="1" thickBot="1" x14ac:dyDescent="0.3">
      <c r="A69" s="74" t="str">
        <f t="shared" ca="1" si="0"/>
        <v/>
      </c>
      <c r="B69" s="75" t="str">
        <f t="shared" ca="1" si="1"/>
        <v/>
      </c>
      <c r="C69" s="76" t="str">
        <f>IF(AND('Interimaire Juin  2017'!D75=$B$1,'Interimaire Juin  2017'!J75=$B$2),'Interimaire Juin  2017'!E75,"")</f>
        <v/>
      </c>
      <c r="D69" s="76" t="str">
        <f>IF(AND('Interimaire Juin  2017'!D75=$B$1,'Interimaire Juin  2017'!J75=$B$2),'Interimaire Juin  2017'!F75,"")</f>
        <v/>
      </c>
      <c r="E69" s="76" t="str">
        <f t="shared" si="2"/>
        <v/>
      </c>
      <c r="F69" s="76" t="str">
        <f t="array" aca="1" ref="F69" ca="1">IFERROR(INDEX(C:C,SMALL($E$2:$E$300,ROW(INDIRECT("61:"&amp;ROWS(C61:C359))))),"")</f>
        <v/>
      </c>
      <c r="G69" s="76" t="str">
        <f t="array" aca="1" ref="G69" ca="1">IFERROR(INDEX(D:D,SMALL($E$2:$E$300,ROW(INDIRECT("61:"&amp;ROWS(D61:D359))))),"")</f>
        <v/>
      </c>
      <c r="H69" s="82"/>
      <c r="I69" s="77">
        <v>7</v>
      </c>
      <c r="J69" s="78">
        <f t="shared" si="3"/>
        <v>1</v>
      </c>
      <c r="K69" s="82"/>
      <c r="L69" s="82"/>
      <c r="M69" s="80">
        <f t="shared" si="4"/>
        <v>1</v>
      </c>
      <c r="N69" s="77">
        <v>7</v>
      </c>
      <c r="O69" s="78">
        <f t="shared" si="5"/>
        <v>1</v>
      </c>
      <c r="P69" s="82"/>
      <c r="Q69" s="82"/>
      <c r="R69" s="80">
        <f t="shared" si="6"/>
        <v>1</v>
      </c>
      <c r="S69" s="77">
        <v>7</v>
      </c>
      <c r="T69" s="78">
        <f t="shared" si="7"/>
        <v>1</v>
      </c>
      <c r="U69" s="79"/>
      <c r="V69" s="79"/>
      <c r="W69" s="80">
        <f t="shared" si="21"/>
        <v>1</v>
      </c>
      <c r="X69" s="77">
        <v>7</v>
      </c>
      <c r="Y69" s="78">
        <f t="shared" si="9"/>
        <v>1</v>
      </c>
      <c r="Z69" s="79"/>
      <c r="AA69" s="79"/>
      <c r="AB69" s="80">
        <f t="shared" si="22"/>
        <v>1</v>
      </c>
      <c r="AC69" s="77">
        <v>7</v>
      </c>
      <c r="AD69" s="78">
        <f t="shared" si="11"/>
        <v>1</v>
      </c>
      <c r="AE69" s="79"/>
      <c r="AF69" s="79"/>
      <c r="AG69" s="80">
        <f t="shared" si="23"/>
        <v>1</v>
      </c>
      <c r="AH69" s="77">
        <f t="shared" si="24"/>
        <v>35</v>
      </c>
      <c r="AI69" s="79">
        <f t="shared" si="14"/>
        <v>0</v>
      </c>
      <c r="AJ69" s="79">
        <f t="shared" si="25"/>
        <v>0</v>
      </c>
      <c r="AK69" s="81">
        <f t="shared" si="26"/>
        <v>5</v>
      </c>
      <c r="AL69" s="81" t="str">
        <f t="shared" si="17"/>
        <v>CRIT</v>
      </c>
      <c r="AM69" s="81">
        <f t="shared" si="18"/>
        <v>22</v>
      </c>
      <c r="AN69" s="99">
        <f t="shared" si="19"/>
        <v>42884</v>
      </c>
      <c r="AO69" s="99">
        <f t="shared" si="20"/>
        <v>42888</v>
      </c>
      <c r="AP69" s="99"/>
      <c r="AQ69" s="73"/>
      <c r="AR69" s="67"/>
      <c r="AS69" s="132"/>
    </row>
    <row r="70" spans="1:45" ht="20.25" customHeight="1" thickTop="1" thickBot="1" x14ac:dyDescent="0.3">
      <c r="A70" s="74" t="str">
        <f t="shared" ca="1" si="0"/>
        <v/>
      </c>
      <c r="B70" s="75" t="str">
        <f t="shared" ca="1" si="1"/>
        <v/>
      </c>
      <c r="C70" s="76" t="str">
        <f>IF(AND('Interimaire Juin  2017'!D76=$B$1,'Interimaire Juin  2017'!J76=$B$2),'Interimaire Juin  2017'!E76,"")</f>
        <v/>
      </c>
      <c r="D70" s="76" t="str">
        <f>IF(AND('Interimaire Juin  2017'!D76=$B$1,'Interimaire Juin  2017'!J76=$B$2),'Interimaire Juin  2017'!F76,"")</f>
        <v/>
      </c>
      <c r="E70" s="76" t="str">
        <f t="shared" si="2"/>
        <v/>
      </c>
      <c r="F70" s="76" t="str">
        <f t="array" aca="1" ref="F70" ca="1">IFERROR(INDEX(C:C,SMALL($E$2:$E$300,ROW(INDIRECT("62:"&amp;ROWS(C62:C360))))),"")</f>
        <v/>
      </c>
      <c r="G70" s="76" t="str">
        <f t="array" aca="1" ref="G70" ca="1">IFERROR(INDEX(D:D,SMALL($E$2:$E$300,ROW(INDIRECT("62:"&amp;ROWS(D62:D360))))),"")</f>
        <v/>
      </c>
      <c r="H70" s="82"/>
      <c r="I70" s="77">
        <v>7</v>
      </c>
      <c r="J70" s="78">
        <f t="shared" si="3"/>
        <v>1</v>
      </c>
      <c r="K70" s="82"/>
      <c r="L70" s="82"/>
      <c r="M70" s="80">
        <f t="shared" si="4"/>
        <v>1</v>
      </c>
      <c r="N70" s="77">
        <v>7</v>
      </c>
      <c r="O70" s="78">
        <f t="shared" si="5"/>
        <v>1</v>
      </c>
      <c r="P70" s="82"/>
      <c r="Q70" s="82"/>
      <c r="R70" s="80">
        <f t="shared" si="6"/>
        <v>1</v>
      </c>
      <c r="S70" s="77">
        <v>7</v>
      </c>
      <c r="T70" s="78">
        <f t="shared" si="7"/>
        <v>1</v>
      </c>
      <c r="U70" s="79"/>
      <c r="V70" s="79"/>
      <c r="W70" s="80">
        <f t="shared" si="21"/>
        <v>1</v>
      </c>
      <c r="X70" s="77">
        <v>7</v>
      </c>
      <c r="Y70" s="78">
        <f t="shared" si="9"/>
        <v>1</v>
      </c>
      <c r="Z70" s="79"/>
      <c r="AA70" s="79"/>
      <c r="AB70" s="80">
        <f t="shared" si="22"/>
        <v>1</v>
      </c>
      <c r="AC70" s="77">
        <v>7</v>
      </c>
      <c r="AD70" s="78">
        <f t="shared" si="11"/>
        <v>1</v>
      </c>
      <c r="AE70" s="79"/>
      <c r="AF70" s="79"/>
      <c r="AG70" s="80">
        <f t="shared" si="23"/>
        <v>1</v>
      </c>
      <c r="AH70" s="77">
        <f t="shared" si="24"/>
        <v>35</v>
      </c>
      <c r="AI70" s="79">
        <f t="shared" si="14"/>
        <v>0</v>
      </c>
      <c r="AJ70" s="79">
        <f t="shared" si="25"/>
        <v>0</v>
      </c>
      <c r="AK70" s="81">
        <f t="shared" si="26"/>
        <v>5</v>
      </c>
      <c r="AL70" s="81" t="str">
        <f t="shared" si="17"/>
        <v>CRIT</v>
      </c>
      <c r="AM70" s="81">
        <f t="shared" si="18"/>
        <v>22</v>
      </c>
      <c r="AN70" s="99">
        <f t="shared" si="19"/>
        <v>42884</v>
      </c>
      <c r="AO70" s="99">
        <f t="shared" si="20"/>
        <v>42888</v>
      </c>
      <c r="AP70" s="99"/>
      <c r="AQ70" s="73"/>
      <c r="AR70" s="67"/>
      <c r="AS70" s="132"/>
    </row>
    <row r="71" spans="1:45" ht="20.25" customHeight="1" thickTop="1" thickBot="1" x14ac:dyDescent="0.3">
      <c r="A71" s="74" t="str">
        <f t="shared" ca="1" si="0"/>
        <v/>
      </c>
      <c r="B71" s="75" t="str">
        <f t="shared" ca="1" si="1"/>
        <v/>
      </c>
      <c r="C71" s="76" t="str">
        <f>IF(AND('Interimaire Juin  2017'!D77=$B$1,'Interimaire Juin  2017'!J77=$B$2),'Interimaire Juin  2017'!E77,"")</f>
        <v/>
      </c>
      <c r="D71" s="76" t="str">
        <f>IF(AND('Interimaire Juin  2017'!D77=$B$1,'Interimaire Juin  2017'!J77=$B$2),'Interimaire Juin  2017'!F77,"")</f>
        <v/>
      </c>
      <c r="E71" s="76" t="str">
        <f t="shared" si="2"/>
        <v/>
      </c>
      <c r="F71" s="76" t="str">
        <f t="array" aca="1" ref="F71" ca="1">IFERROR(INDEX(C:C,SMALL($E$2:$E$300,ROW(INDIRECT("63:"&amp;ROWS(C63:C361))))),"")</f>
        <v/>
      </c>
      <c r="G71" s="76" t="str">
        <f t="array" aca="1" ref="G71" ca="1">IFERROR(INDEX(D:D,SMALL($E$2:$E$300,ROW(INDIRECT("63:"&amp;ROWS(D63:D361))))),"")</f>
        <v/>
      </c>
      <c r="H71" s="82"/>
      <c r="I71" s="77">
        <v>7</v>
      </c>
      <c r="J71" s="78">
        <f t="shared" si="3"/>
        <v>1</v>
      </c>
      <c r="K71" s="82"/>
      <c r="L71" s="82"/>
      <c r="M71" s="80">
        <f t="shared" si="4"/>
        <v>1</v>
      </c>
      <c r="N71" s="77">
        <v>7</v>
      </c>
      <c r="O71" s="78">
        <f t="shared" si="5"/>
        <v>1</v>
      </c>
      <c r="P71" s="82"/>
      <c r="Q71" s="82"/>
      <c r="R71" s="80">
        <f t="shared" si="6"/>
        <v>1</v>
      </c>
      <c r="S71" s="77">
        <v>7</v>
      </c>
      <c r="T71" s="78">
        <f t="shared" si="7"/>
        <v>1</v>
      </c>
      <c r="U71" s="79"/>
      <c r="V71" s="79"/>
      <c r="W71" s="80">
        <f t="shared" si="21"/>
        <v>1</v>
      </c>
      <c r="X71" s="77">
        <v>7</v>
      </c>
      <c r="Y71" s="78">
        <f t="shared" si="9"/>
        <v>1</v>
      </c>
      <c r="Z71" s="79"/>
      <c r="AA71" s="79"/>
      <c r="AB71" s="80">
        <f t="shared" si="22"/>
        <v>1</v>
      </c>
      <c r="AC71" s="77">
        <v>7</v>
      </c>
      <c r="AD71" s="78">
        <f t="shared" si="11"/>
        <v>1</v>
      </c>
      <c r="AE71" s="79"/>
      <c r="AF71" s="79"/>
      <c r="AG71" s="80">
        <f t="shared" si="23"/>
        <v>1</v>
      </c>
      <c r="AH71" s="77">
        <f t="shared" si="24"/>
        <v>35</v>
      </c>
      <c r="AI71" s="79">
        <f t="shared" si="14"/>
        <v>0</v>
      </c>
      <c r="AJ71" s="79">
        <f t="shared" si="25"/>
        <v>0</v>
      </c>
      <c r="AK71" s="81">
        <f t="shared" si="26"/>
        <v>5</v>
      </c>
      <c r="AL71" s="81" t="str">
        <f t="shared" si="17"/>
        <v>CRIT</v>
      </c>
      <c r="AM71" s="81">
        <f t="shared" si="18"/>
        <v>22</v>
      </c>
      <c r="AN71" s="99">
        <f t="shared" si="19"/>
        <v>42884</v>
      </c>
      <c r="AO71" s="99">
        <f t="shared" si="20"/>
        <v>42888</v>
      </c>
      <c r="AP71" s="99"/>
      <c r="AQ71" s="73"/>
      <c r="AR71" s="67"/>
      <c r="AS71" s="132"/>
    </row>
    <row r="72" spans="1:45" ht="20.25" customHeight="1" thickTop="1" thickBot="1" x14ac:dyDescent="0.3">
      <c r="A72" s="74" t="str">
        <f t="shared" ca="1" si="0"/>
        <v/>
      </c>
      <c r="B72" s="75" t="str">
        <f t="shared" ca="1" si="1"/>
        <v/>
      </c>
      <c r="C72" s="76" t="str">
        <f>IF(AND('Interimaire Juin  2017'!D78=$B$1,'Interimaire Juin  2017'!J78=$B$2),'Interimaire Juin  2017'!E78,"")</f>
        <v/>
      </c>
      <c r="D72" s="76" t="str">
        <f>IF(AND('Interimaire Juin  2017'!D78=$B$1,'Interimaire Juin  2017'!J78=$B$2),'Interimaire Juin  2017'!F78,"")</f>
        <v/>
      </c>
      <c r="E72" s="76" t="str">
        <f t="shared" si="2"/>
        <v/>
      </c>
      <c r="F72" s="76" t="str">
        <f t="array" aca="1" ref="F72" ca="1">IFERROR(INDEX(C:C,SMALL($E$2:$E$300,ROW(INDIRECT("64:"&amp;ROWS(C64:C362))))),"")</f>
        <v/>
      </c>
      <c r="G72" s="76" t="str">
        <f t="array" aca="1" ref="G72" ca="1">IFERROR(INDEX(D:D,SMALL($E$2:$E$300,ROW(INDIRECT("64:"&amp;ROWS(D64:D362))))),"")</f>
        <v/>
      </c>
      <c r="H72" s="82"/>
      <c r="I72" s="77">
        <v>7</v>
      </c>
      <c r="J72" s="78">
        <f t="shared" si="3"/>
        <v>1</v>
      </c>
      <c r="K72" s="82"/>
      <c r="L72" s="82"/>
      <c r="M72" s="80">
        <f t="shared" si="4"/>
        <v>1</v>
      </c>
      <c r="N72" s="77">
        <v>7</v>
      </c>
      <c r="O72" s="78">
        <f t="shared" si="5"/>
        <v>1</v>
      </c>
      <c r="P72" s="82"/>
      <c r="Q72" s="82"/>
      <c r="R72" s="80">
        <f t="shared" si="6"/>
        <v>1</v>
      </c>
      <c r="S72" s="77">
        <v>7</v>
      </c>
      <c r="T72" s="78">
        <f t="shared" si="7"/>
        <v>1</v>
      </c>
      <c r="U72" s="79"/>
      <c r="V72" s="79"/>
      <c r="W72" s="80">
        <f t="shared" si="21"/>
        <v>1</v>
      </c>
      <c r="X72" s="77">
        <v>7</v>
      </c>
      <c r="Y72" s="78">
        <f t="shared" si="9"/>
        <v>1</v>
      </c>
      <c r="Z72" s="79"/>
      <c r="AA72" s="79"/>
      <c r="AB72" s="80">
        <f t="shared" si="22"/>
        <v>1</v>
      </c>
      <c r="AC72" s="77">
        <v>7</v>
      </c>
      <c r="AD72" s="78">
        <f t="shared" si="11"/>
        <v>1</v>
      </c>
      <c r="AE72" s="79"/>
      <c r="AF72" s="79"/>
      <c r="AG72" s="80">
        <f t="shared" si="23"/>
        <v>1</v>
      </c>
      <c r="AH72" s="77">
        <f t="shared" si="24"/>
        <v>35</v>
      </c>
      <c r="AI72" s="79">
        <f t="shared" si="14"/>
        <v>0</v>
      </c>
      <c r="AJ72" s="79">
        <f t="shared" si="25"/>
        <v>0</v>
      </c>
      <c r="AK72" s="81">
        <f t="shared" si="26"/>
        <v>5</v>
      </c>
      <c r="AL72" s="81" t="str">
        <f t="shared" si="17"/>
        <v>CRIT</v>
      </c>
      <c r="AM72" s="81">
        <f t="shared" si="18"/>
        <v>22</v>
      </c>
      <c r="AN72" s="99">
        <f t="shared" si="19"/>
        <v>42884</v>
      </c>
      <c r="AO72" s="99">
        <f t="shared" si="20"/>
        <v>42888</v>
      </c>
      <c r="AP72" s="99"/>
      <c r="AQ72" s="73"/>
      <c r="AR72" s="67"/>
      <c r="AS72" s="132"/>
    </row>
    <row r="73" spans="1:45" ht="20.25" customHeight="1" thickTop="1" thickBot="1" x14ac:dyDescent="0.3">
      <c r="A73" s="74" t="str">
        <f t="shared" ca="1" si="0"/>
        <v/>
      </c>
      <c r="B73" s="75" t="str">
        <f t="shared" ca="1" si="1"/>
        <v/>
      </c>
      <c r="C73" s="76" t="str">
        <f>IF(AND('Interimaire Juin  2017'!D79=$B$1,'Interimaire Juin  2017'!J79=$B$2),'Interimaire Juin  2017'!E79,"")</f>
        <v/>
      </c>
      <c r="D73" s="76" t="str">
        <f>IF(AND('Interimaire Juin  2017'!D79=$B$1,'Interimaire Juin  2017'!J79=$B$2),'Interimaire Juin  2017'!F79,"")</f>
        <v/>
      </c>
      <c r="E73" s="76" t="str">
        <f t="shared" si="2"/>
        <v/>
      </c>
      <c r="F73" s="76" t="str">
        <f t="array" aca="1" ref="F73" ca="1">IFERROR(INDEX(C:C,SMALL($E$2:$E$300,ROW(INDIRECT("65:"&amp;ROWS(C65:C363))))),"")</f>
        <v/>
      </c>
      <c r="G73" s="76" t="str">
        <f t="array" aca="1" ref="G73" ca="1">IFERROR(INDEX(D:D,SMALL($E$2:$E$300,ROW(INDIRECT("65:"&amp;ROWS(D65:D363))))),"")</f>
        <v/>
      </c>
      <c r="H73" s="82"/>
      <c r="I73" s="77">
        <v>7</v>
      </c>
      <c r="J73" s="78">
        <f t="shared" si="3"/>
        <v>1</v>
      </c>
      <c r="K73" s="82"/>
      <c r="L73" s="82"/>
      <c r="M73" s="80">
        <f t="shared" si="4"/>
        <v>1</v>
      </c>
      <c r="N73" s="77">
        <v>7</v>
      </c>
      <c r="O73" s="78">
        <f t="shared" si="5"/>
        <v>1</v>
      </c>
      <c r="P73" s="82"/>
      <c r="Q73" s="82"/>
      <c r="R73" s="80">
        <f t="shared" si="6"/>
        <v>1</v>
      </c>
      <c r="S73" s="77">
        <v>7</v>
      </c>
      <c r="T73" s="78">
        <f t="shared" si="7"/>
        <v>1</v>
      </c>
      <c r="U73" s="79"/>
      <c r="V73" s="79"/>
      <c r="W73" s="80">
        <f t="shared" si="21"/>
        <v>1</v>
      </c>
      <c r="X73" s="77">
        <v>7</v>
      </c>
      <c r="Y73" s="78">
        <f t="shared" si="9"/>
        <v>1</v>
      </c>
      <c r="Z73" s="79"/>
      <c r="AA73" s="79"/>
      <c r="AB73" s="80">
        <f t="shared" si="22"/>
        <v>1</v>
      </c>
      <c r="AC73" s="77">
        <v>7</v>
      </c>
      <c r="AD73" s="78">
        <f t="shared" si="11"/>
        <v>1</v>
      </c>
      <c r="AE73" s="79"/>
      <c r="AF73" s="79"/>
      <c r="AG73" s="80">
        <f t="shared" si="23"/>
        <v>1</v>
      </c>
      <c r="AH73" s="77">
        <f t="shared" si="24"/>
        <v>35</v>
      </c>
      <c r="AI73" s="79">
        <f t="shared" si="14"/>
        <v>0</v>
      </c>
      <c r="AJ73" s="79">
        <f t="shared" si="25"/>
        <v>0</v>
      </c>
      <c r="AK73" s="81">
        <f t="shared" si="26"/>
        <v>5</v>
      </c>
      <c r="AL73" s="81" t="str">
        <f t="shared" si="17"/>
        <v>CRIT</v>
      </c>
      <c r="AM73" s="81">
        <f t="shared" si="18"/>
        <v>22</v>
      </c>
      <c r="AN73" s="99">
        <f t="shared" si="19"/>
        <v>42884</v>
      </c>
      <c r="AO73" s="99">
        <f t="shared" si="20"/>
        <v>42888</v>
      </c>
      <c r="AP73" s="99"/>
      <c r="AQ73" s="73"/>
      <c r="AR73" s="67"/>
      <c r="AS73" s="132"/>
    </row>
    <row r="74" spans="1:45" ht="20.25" customHeight="1" thickTop="1" thickBot="1" x14ac:dyDescent="0.3">
      <c r="A74" s="74" t="str">
        <f t="shared" ref="A74:A137" ca="1" si="27">+F74</f>
        <v/>
      </c>
      <c r="B74" s="75" t="str">
        <f t="shared" ref="B74:B137" ca="1" si="28">+G74</f>
        <v/>
      </c>
      <c r="C74" s="76" t="str">
        <f>IF(AND('Interimaire Juin  2017'!D80=$B$1,'Interimaire Juin  2017'!J80=$B$2),'Interimaire Juin  2017'!E80,"")</f>
        <v/>
      </c>
      <c r="D74" s="76" t="str">
        <f>IF(AND('Interimaire Juin  2017'!D80=$B$1,'Interimaire Juin  2017'!J80=$B$2),'Interimaire Juin  2017'!F80,"")</f>
        <v/>
      </c>
      <c r="E74" s="76" t="str">
        <f t="shared" ref="E74:E137" si="29">IF(D74="","",ROW())</f>
        <v/>
      </c>
      <c r="F74" s="76" t="str">
        <f t="array" aca="1" ref="F74" ca="1">IFERROR(INDEX(C:C,SMALL($E$2:$E$300,ROW(INDIRECT("66:"&amp;ROWS(C66:C364))))),"")</f>
        <v/>
      </c>
      <c r="G74" s="76" t="str">
        <f t="array" aca="1" ref="G74" ca="1">IFERROR(INDEX(D:D,SMALL($E$2:$E$300,ROW(INDIRECT("66:"&amp;ROWS(D66:D364))))),"")</f>
        <v/>
      </c>
      <c r="H74" s="82"/>
      <c r="I74" s="77">
        <v>7</v>
      </c>
      <c r="J74" s="78">
        <f t="shared" ref="J74:J137" si="30">+IF(I74&gt;=6,1,0)</f>
        <v>1</v>
      </c>
      <c r="K74" s="82"/>
      <c r="L74" s="82"/>
      <c r="M74" s="80">
        <f t="shared" ref="M74:M100" si="31">+J74</f>
        <v>1</v>
      </c>
      <c r="N74" s="77">
        <v>7</v>
      </c>
      <c r="O74" s="78">
        <f t="shared" ref="O74:O137" si="32">+IF(N74&gt;=6,1,0)</f>
        <v>1</v>
      </c>
      <c r="P74" s="82"/>
      <c r="Q74" s="82"/>
      <c r="R74" s="80">
        <f t="shared" ref="R74:R100" si="33">+O74</f>
        <v>1</v>
      </c>
      <c r="S74" s="77">
        <v>7</v>
      </c>
      <c r="T74" s="78">
        <f t="shared" ref="T74:T137" si="34">+IF(S74&gt;=6,1,0)</f>
        <v>1</v>
      </c>
      <c r="U74" s="79"/>
      <c r="V74" s="79"/>
      <c r="W74" s="80">
        <f t="shared" si="21"/>
        <v>1</v>
      </c>
      <c r="X74" s="77">
        <v>7</v>
      </c>
      <c r="Y74" s="78">
        <f t="shared" ref="Y74:Y137" si="35">+IF(X74&gt;=6,1,0)</f>
        <v>1</v>
      </c>
      <c r="Z74" s="79"/>
      <c r="AA74" s="79"/>
      <c r="AB74" s="80">
        <f t="shared" si="22"/>
        <v>1</v>
      </c>
      <c r="AC74" s="77">
        <v>7</v>
      </c>
      <c r="AD74" s="78">
        <f t="shared" ref="AD74:AD137" si="36">+IF(AC74&gt;=6,1,0)</f>
        <v>1</v>
      </c>
      <c r="AE74" s="79"/>
      <c r="AF74" s="79"/>
      <c r="AG74" s="80">
        <f t="shared" si="23"/>
        <v>1</v>
      </c>
      <c r="AH74" s="77">
        <f t="shared" si="24"/>
        <v>35</v>
      </c>
      <c r="AI74" s="79">
        <f t="shared" ref="AI74:AI137" si="37">+IF(AH74&lt;=35,0,AH74-35)</f>
        <v>0</v>
      </c>
      <c r="AJ74" s="79">
        <f t="shared" si="25"/>
        <v>0</v>
      </c>
      <c r="AK74" s="81">
        <f t="shared" si="26"/>
        <v>5</v>
      </c>
      <c r="AL74" s="81" t="str">
        <f t="shared" ref="AL74:AL137" si="38">+IF($B$1="","",$B$1)</f>
        <v>CRIT</v>
      </c>
      <c r="AM74" s="81">
        <f t="shared" ref="AM74:AM137" si="39">+IF($B$2="","",$B$2)</f>
        <v>22</v>
      </c>
      <c r="AN74" s="99">
        <f t="shared" ref="AN74:AN137" si="40">+IF($B$3="","",$B$3)</f>
        <v>42884</v>
      </c>
      <c r="AO74" s="99">
        <f t="shared" ref="AO74:AO137" si="41">+IF($B$4="","",$B$4)</f>
        <v>42888</v>
      </c>
      <c r="AP74" s="99"/>
      <c r="AQ74" s="73"/>
      <c r="AR74" s="67"/>
      <c r="AS74" s="132"/>
    </row>
    <row r="75" spans="1:45" ht="20.25" customHeight="1" thickTop="1" thickBot="1" x14ac:dyDescent="0.3">
      <c r="A75" s="74" t="str">
        <f t="shared" ca="1" si="27"/>
        <v/>
      </c>
      <c r="B75" s="75" t="str">
        <f t="shared" ca="1" si="28"/>
        <v/>
      </c>
      <c r="C75" s="76" t="str">
        <f>IF(AND('Interimaire Juin  2017'!D81=$B$1,'Interimaire Juin  2017'!J81=$B$2),'Interimaire Juin  2017'!E81,"")</f>
        <v/>
      </c>
      <c r="D75" s="76" t="str">
        <f>IF(AND('Interimaire Juin  2017'!D81=$B$1,'Interimaire Juin  2017'!J81=$B$2),'Interimaire Juin  2017'!F81,"")</f>
        <v/>
      </c>
      <c r="E75" s="76" t="str">
        <f t="shared" si="29"/>
        <v/>
      </c>
      <c r="F75" s="76" t="str">
        <f t="array" aca="1" ref="F75" ca="1">IFERROR(INDEX(C:C,SMALL($E$2:$E$300,ROW(INDIRECT("67:"&amp;ROWS(C67:C365))))),"")</f>
        <v/>
      </c>
      <c r="G75" s="76" t="str">
        <f t="array" aca="1" ref="G75" ca="1">IFERROR(INDEX(D:D,SMALL($E$2:$E$300,ROW(INDIRECT("67:"&amp;ROWS(D67:D365))))),"")</f>
        <v/>
      </c>
      <c r="H75" s="82"/>
      <c r="I75" s="77">
        <v>7</v>
      </c>
      <c r="J75" s="78">
        <f t="shared" si="30"/>
        <v>1</v>
      </c>
      <c r="K75" s="82"/>
      <c r="L75" s="82"/>
      <c r="M75" s="80">
        <f t="shared" si="31"/>
        <v>1</v>
      </c>
      <c r="N75" s="77">
        <v>7</v>
      </c>
      <c r="O75" s="78">
        <f t="shared" si="32"/>
        <v>1</v>
      </c>
      <c r="P75" s="82"/>
      <c r="Q75" s="82"/>
      <c r="R75" s="80">
        <f t="shared" si="33"/>
        <v>1</v>
      </c>
      <c r="S75" s="77">
        <v>7</v>
      </c>
      <c r="T75" s="78">
        <f t="shared" si="34"/>
        <v>1</v>
      </c>
      <c r="U75" s="79"/>
      <c r="V75" s="79"/>
      <c r="W75" s="80">
        <f t="shared" si="21"/>
        <v>1</v>
      </c>
      <c r="X75" s="77">
        <v>7</v>
      </c>
      <c r="Y75" s="78">
        <f t="shared" si="35"/>
        <v>1</v>
      </c>
      <c r="Z75" s="79"/>
      <c r="AA75" s="79"/>
      <c r="AB75" s="80">
        <f t="shared" si="22"/>
        <v>1</v>
      </c>
      <c r="AC75" s="77">
        <v>7</v>
      </c>
      <c r="AD75" s="78">
        <f t="shared" si="36"/>
        <v>1</v>
      </c>
      <c r="AE75" s="79"/>
      <c r="AF75" s="79"/>
      <c r="AG75" s="80">
        <f t="shared" si="23"/>
        <v>1</v>
      </c>
      <c r="AH75" s="77">
        <f t="shared" si="24"/>
        <v>35</v>
      </c>
      <c r="AI75" s="79">
        <f t="shared" si="37"/>
        <v>0</v>
      </c>
      <c r="AJ75" s="79">
        <f t="shared" si="25"/>
        <v>0</v>
      </c>
      <c r="AK75" s="81">
        <f t="shared" si="26"/>
        <v>5</v>
      </c>
      <c r="AL75" s="81" t="str">
        <f t="shared" si="38"/>
        <v>CRIT</v>
      </c>
      <c r="AM75" s="81">
        <f t="shared" si="39"/>
        <v>22</v>
      </c>
      <c r="AN75" s="99">
        <f t="shared" si="40"/>
        <v>42884</v>
      </c>
      <c r="AO75" s="99">
        <f t="shared" si="41"/>
        <v>42888</v>
      </c>
      <c r="AP75" s="99"/>
      <c r="AQ75" s="73"/>
      <c r="AR75" s="67"/>
      <c r="AS75" s="132"/>
    </row>
    <row r="76" spans="1:45" ht="20.25" customHeight="1" thickTop="1" thickBot="1" x14ac:dyDescent="0.3">
      <c r="A76" s="74" t="str">
        <f t="shared" ca="1" si="27"/>
        <v/>
      </c>
      <c r="B76" s="75" t="str">
        <f t="shared" ca="1" si="28"/>
        <v/>
      </c>
      <c r="C76" s="76" t="str">
        <f>IF(AND('Interimaire Juin  2017'!D82=$B$1,'Interimaire Juin  2017'!J82=$B$2),'Interimaire Juin  2017'!E82,"")</f>
        <v/>
      </c>
      <c r="D76" s="76" t="str">
        <f>IF(AND('Interimaire Juin  2017'!D82=$B$1,'Interimaire Juin  2017'!J82=$B$2),'Interimaire Juin  2017'!F82,"")</f>
        <v/>
      </c>
      <c r="E76" s="76" t="str">
        <f t="shared" si="29"/>
        <v/>
      </c>
      <c r="F76" s="76" t="str">
        <f t="array" aca="1" ref="F76" ca="1">IFERROR(INDEX(C:C,SMALL($E$2:$E$300,ROW(INDIRECT("68:"&amp;ROWS(C68:C366))))),"")</f>
        <v/>
      </c>
      <c r="G76" s="76" t="str">
        <f t="array" aca="1" ref="G76" ca="1">IFERROR(INDEX(D:D,SMALL($E$2:$E$300,ROW(INDIRECT("68:"&amp;ROWS(D68:D366))))),"")</f>
        <v/>
      </c>
      <c r="H76" s="82"/>
      <c r="I76" s="77">
        <v>7</v>
      </c>
      <c r="J76" s="78">
        <f t="shared" si="30"/>
        <v>1</v>
      </c>
      <c r="K76" s="82"/>
      <c r="L76" s="82"/>
      <c r="M76" s="80">
        <f t="shared" si="31"/>
        <v>1</v>
      </c>
      <c r="N76" s="77">
        <v>7</v>
      </c>
      <c r="O76" s="78">
        <f t="shared" si="32"/>
        <v>1</v>
      </c>
      <c r="P76" s="82"/>
      <c r="Q76" s="82"/>
      <c r="R76" s="80">
        <f t="shared" si="33"/>
        <v>1</v>
      </c>
      <c r="S76" s="77">
        <v>7</v>
      </c>
      <c r="T76" s="78">
        <f t="shared" si="34"/>
        <v>1</v>
      </c>
      <c r="U76" s="79"/>
      <c r="V76" s="79"/>
      <c r="W76" s="80">
        <f t="shared" si="21"/>
        <v>1</v>
      </c>
      <c r="X76" s="77">
        <v>7</v>
      </c>
      <c r="Y76" s="78">
        <f t="shared" si="35"/>
        <v>1</v>
      </c>
      <c r="Z76" s="79"/>
      <c r="AA76" s="79"/>
      <c r="AB76" s="80">
        <f t="shared" si="22"/>
        <v>1</v>
      </c>
      <c r="AC76" s="77">
        <v>7</v>
      </c>
      <c r="AD76" s="78">
        <f t="shared" si="36"/>
        <v>1</v>
      </c>
      <c r="AE76" s="79"/>
      <c r="AF76" s="79"/>
      <c r="AG76" s="80">
        <f t="shared" si="23"/>
        <v>1</v>
      </c>
      <c r="AH76" s="77">
        <f t="shared" si="24"/>
        <v>35</v>
      </c>
      <c r="AI76" s="79">
        <f t="shared" si="37"/>
        <v>0</v>
      </c>
      <c r="AJ76" s="79">
        <f t="shared" si="25"/>
        <v>0</v>
      </c>
      <c r="AK76" s="81">
        <f t="shared" si="26"/>
        <v>5</v>
      </c>
      <c r="AL76" s="81" t="str">
        <f t="shared" si="38"/>
        <v>CRIT</v>
      </c>
      <c r="AM76" s="81">
        <f t="shared" si="39"/>
        <v>22</v>
      </c>
      <c r="AN76" s="99">
        <f t="shared" si="40"/>
        <v>42884</v>
      </c>
      <c r="AO76" s="99">
        <f t="shared" si="41"/>
        <v>42888</v>
      </c>
      <c r="AP76" s="99"/>
      <c r="AQ76" s="73"/>
      <c r="AR76" s="67"/>
      <c r="AS76" s="132"/>
    </row>
    <row r="77" spans="1:45" ht="20.25" customHeight="1" thickTop="1" thickBot="1" x14ac:dyDescent="0.3">
      <c r="A77" s="74" t="str">
        <f t="shared" ca="1" si="27"/>
        <v/>
      </c>
      <c r="B77" s="75" t="str">
        <f t="shared" ca="1" si="28"/>
        <v/>
      </c>
      <c r="C77" s="76" t="str">
        <f>IF(AND('Interimaire Juin  2017'!D83=$B$1,'Interimaire Juin  2017'!J83=$B$2),'Interimaire Juin  2017'!E83,"")</f>
        <v/>
      </c>
      <c r="D77" s="76" t="str">
        <f>IF(AND('Interimaire Juin  2017'!D83=$B$1,'Interimaire Juin  2017'!J83=$B$2),'Interimaire Juin  2017'!F83,"")</f>
        <v/>
      </c>
      <c r="E77" s="76" t="str">
        <f t="shared" si="29"/>
        <v/>
      </c>
      <c r="F77" s="76" t="str">
        <f t="array" aca="1" ref="F77" ca="1">IFERROR(INDEX(C:C,SMALL($E$2:$E$300,ROW(INDIRECT("69:"&amp;ROWS(C69:C367))))),"")</f>
        <v/>
      </c>
      <c r="G77" s="76" t="str">
        <f t="array" aca="1" ref="G77" ca="1">IFERROR(INDEX(D:D,SMALL($E$2:$E$300,ROW(INDIRECT("69:"&amp;ROWS(D69:D367))))),"")</f>
        <v/>
      </c>
      <c r="H77" s="82"/>
      <c r="I77" s="77">
        <v>7</v>
      </c>
      <c r="J77" s="78">
        <f t="shared" si="30"/>
        <v>1</v>
      </c>
      <c r="K77" s="82"/>
      <c r="L77" s="82"/>
      <c r="M77" s="80">
        <f t="shared" si="31"/>
        <v>1</v>
      </c>
      <c r="N77" s="77">
        <v>7</v>
      </c>
      <c r="O77" s="78">
        <f t="shared" si="32"/>
        <v>1</v>
      </c>
      <c r="P77" s="82"/>
      <c r="Q77" s="82"/>
      <c r="R77" s="80">
        <f t="shared" si="33"/>
        <v>1</v>
      </c>
      <c r="S77" s="77">
        <v>7</v>
      </c>
      <c r="T77" s="78">
        <f t="shared" si="34"/>
        <v>1</v>
      </c>
      <c r="U77" s="79"/>
      <c r="V77" s="79"/>
      <c r="W77" s="80">
        <f t="shared" si="21"/>
        <v>1</v>
      </c>
      <c r="X77" s="77">
        <v>7</v>
      </c>
      <c r="Y77" s="78">
        <f t="shared" si="35"/>
        <v>1</v>
      </c>
      <c r="Z77" s="79"/>
      <c r="AA77" s="79"/>
      <c r="AB77" s="80">
        <f t="shared" si="22"/>
        <v>1</v>
      </c>
      <c r="AC77" s="77">
        <v>7</v>
      </c>
      <c r="AD77" s="78">
        <f t="shared" si="36"/>
        <v>1</v>
      </c>
      <c r="AE77" s="79"/>
      <c r="AF77" s="79"/>
      <c r="AG77" s="80">
        <f t="shared" si="23"/>
        <v>1</v>
      </c>
      <c r="AH77" s="77">
        <f t="shared" si="24"/>
        <v>35</v>
      </c>
      <c r="AI77" s="79">
        <f t="shared" si="37"/>
        <v>0</v>
      </c>
      <c r="AJ77" s="79">
        <f t="shared" si="25"/>
        <v>0</v>
      </c>
      <c r="AK77" s="81">
        <f t="shared" si="26"/>
        <v>5</v>
      </c>
      <c r="AL77" s="81" t="str">
        <f t="shared" si="38"/>
        <v>CRIT</v>
      </c>
      <c r="AM77" s="81">
        <f t="shared" si="39"/>
        <v>22</v>
      </c>
      <c r="AN77" s="99">
        <f t="shared" si="40"/>
        <v>42884</v>
      </c>
      <c r="AO77" s="99">
        <f t="shared" si="41"/>
        <v>42888</v>
      </c>
      <c r="AP77" s="99"/>
      <c r="AQ77" s="73"/>
      <c r="AR77" s="67"/>
      <c r="AS77" s="132"/>
    </row>
    <row r="78" spans="1:45" ht="20.25" customHeight="1" thickTop="1" thickBot="1" x14ac:dyDescent="0.3">
      <c r="A78" s="74" t="str">
        <f t="shared" ca="1" si="27"/>
        <v/>
      </c>
      <c r="B78" s="75" t="str">
        <f t="shared" ca="1" si="28"/>
        <v/>
      </c>
      <c r="C78" s="76" t="str">
        <f>IF(AND('Interimaire Juin  2017'!D84=$B$1,'Interimaire Juin  2017'!J84=$B$2),'Interimaire Juin  2017'!E84,"")</f>
        <v/>
      </c>
      <c r="D78" s="76" t="str">
        <f>IF(AND('Interimaire Juin  2017'!D84=$B$1,'Interimaire Juin  2017'!J84=$B$2),'Interimaire Juin  2017'!F84,"")</f>
        <v/>
      </c>
      <c r="E78" s="76" t="str">
        <f t="shared" si="29"/>
        <v/>
      </c>
      <c r="F78" s="76" t="str">
        <f t="array" aca="1" ref="F78" ca="1">IFERROR(INDEX(C:C,SMALL($E$2:$E$300,ROW(INDIRECT("70:"&amp;ROWS(C70:C368))))),"")</f>
        <v/>
      </c>
      <c r="G78" s="76" t="str">
        <f t="array" aca="1" ref="G78" ca="1">IFERROR(INDEX(D:D,SMALL($E$2:$E$300,ROW(INDIRECT("70:"&amp;ROWS(D70:D368))))),"")</f>
        <v/>
      </c>
      <c r="H78" s="82"/>
      <c r="I78" s="77">
        <v>7</v>
      </c>
      <c r="J78" s="78">
        <f t="shared" si="30"/>
        <v>1</v>
      </c>
      <c r="K78" s="82"/>
      <c r="L78" s="82"/>
      <c r="M78" s="80">
        <f t="shared" si="31"/>
        <v>1</v>
      </c>
      <c r="N78" s="77">
        <v>7</v>
      </c>
      <c r="O78" s="78">
        <f t="shared" si="32"/>
        <v>1</v>
      </c>
      <c r="P78" s="82"/>
      <c r="Q78" s="82"/>
      <c r="R78" s="80">
        <f t="shared" si="33"/>
        <v>1</v>
      </c>
      <c r="S78" s="77">
        <v>7</v>
      </c>
      <c r="T78" s="78">
        <f t="shared" si="34"/>
        <v>1</v>
      </c>
      <c r="U78" s="79"/>
      <c r="V78" s="79"/>
      <c r="W78" s="80">
        <f t="shared" si="21"/>
        <v>1</v>
      </c>
      <c r="X78" s="77">
        <v>7</v>
      </c>
      <c r="Y78" s="78">
        <f t="shared" si="35"/>
        <v>1</v>
      </c>
      <c r="Z78" s="79"/>
      <c r="AA78" s="79"/>
      <c r="AB78" s="80">
        <f t="shared" si="22"/>
        <v>1</v>
      </c>
      <c r="AC78" s="77">
        <v>7</v>
      </c>
      <c r="AD78" s="78">
        <f t="shared" si="36"/>
        <v>1</v>
      </c>
      <c r="AE78" s="79"/>
      <c r="AF78" s="79"/>
      <c r="AG78" s="80">
        <f t="shared" si="23"/>
        <v>1</v>
      </c>
      <c r="AH78" s="77">
        <f t="shared" si="24"/>
        <v>35</v>
      </c>
      <c r="AI78" s="79">
        <f t="shared" si="37"/>
        <v>0</v>
      </c>
      <c r="AJ78" s="79">
        <f t="shared" si="25"/>
        <v>0</v>
      </c>
      <c r="AK78" s="81">
        <f t="shared" si="26"/>
        <v>5</v>
      </c>
      <c r="AL78" s="81" t="str">
        <f t="shared" si="38"/>
        <v>CRIT</v>
      </c>
      <c r="AM78" s="81">
        <f t="shared" si="39"/>
        <v>22</v>
      </c>
      <c r="AN78" s="99">
        <f t="shared" si="40"/>
        <v>42884</v>
      </c>
      <c r="AO78" s="99">
        <f t="shared" si="41"/>
        <v>42888</v>
      </c>
      <c r="AP78" s="99"/>
      <c r="AQ78" s="73"/>
      <c r="AR78" s="67"/>
      <c r="AS78" s="132"/>
    </row>
    <row r="79" spans="1:45" ht="20.25" customHeight="1" thickTop="1" thickBot="1" x14ac:dyDescent="0.3">
      <c r="A79" s="74" t="str">
        <f t="shared" ca="1" si="27"/>
        <v/>
      </c>
      <c r="B79" s="75" t="str">
        <f t="shared" ca="1" si="28"/>
        <v/>
      </c>
      <c r="C79" s="76" t="str">
        <f>IF(AND('Interimaire Juin  2017'!D85=$B$1,'Interimaire Juin  2017'!J85=$B$2),'Interimaire Juin  2017'!E85,"")</f>
        <v/>
      </c>
      <c r="D79" s="76" t="str">
        <f>IF(AND('Interimaire Juin  2017'!D85=$B$1,'Interimaire Juin  2017'!J85=$B$2),'Interimaire Juin  2017'!F85,"")</f>
        <v/>
      </c>
      <c r="E79" s="76" t="str">
        <f t="shared" si="29"/>
        <v/>
      </c>
      <c r="F79" s="76" t="str">
        <f t="array" aca="1" ref="F79" ca="1">IFERROR(INDEX(C:C,SMALL($E$2:$E$300,ROW(INDIRECT("71:"&amp;ROWS(C71:C369))))),"")</f>
        <v/>
      </c>
      <c r="G79" s="76" t="str">
        <f t="array" aca="1" ref="G79" ca="1">IFERROR(INDEX(D:D,SMALL($E$2:$E$300,ROW(INDIRECT("71:"&amp;ROWS(D71:D369))))),"")</f>
        <v/>
      </c>
      <c r="H79" s="82"/>
      <c r="I79" s="77">
        <v>7</v>
      </c>
      <c r="J79" s="78">
        <f t="shared" si="30"/>
        <v>1</v>
      </c>
      <c r="K79" s="82"/>
      <c r="L79" s="82"/>
      <c r="M79" s="80">
        <f t="shared" si="31"/>
        <v>1</v>
      </c>
      <c r="N79" s="77">
        <v>7</v>
      </c>
      <c r="O79" s="78">
        <f t="shared" si="32"/>
        <v>1</v>
      </c>
      <c r="P79" s="82"/>
      <c r="Q79" s="82"/>
      <c r="R79" s="80">
        <f t="shared" si="33"/>
        <v>1</v>
      </c>
      <c r="S79" s="77">
        <v>7</v>
      </c>
      <c r="T79" s="78">
        <f t="shared" si="34"/>
        <v>1</v>
      </c>
      <c r="U79" s="79"/>
      <c r="V79" s="79"/>
      <c r="W79" s="80">
        <f t="shared" si="21"/>
        <v>1</v>
      </c>
      <c r="X79" s="77">
        <v>7</v>
      </c>
      <c r="Y79" s="78">
        <f t="shared" si="35"/>
        <v>1</v>
      </c>
      <c r="Z79" s="79"/>
      <c r="AA79" s="79"/>
      <c r="AB79" s="80">
        <f t="shared" si="22"/>
        <v>1</v>
      </c>
      <c r="AC79" s="77">
        <v>7</v>
      </c>
      <c r="AD79" s="78">
        <f t="shared" si="36"/>
        <v>1</v>
      </c>
      <c r="AE79" s="79"/>
      <c r="AF79" s="79"/>
      <c r="AG79" s="80">
        <f t="shared" si="23"/>
        <v>1</v>
      </c>
      <c r="AH79" s="77">
        <f t="shared" si="24"/>
        <v>35</v>
      </c>
      <c r="AI79" s="79">
        <f t="shared" si="37"/>
        <v>0</v>
      </c>
      <c r="AJ79" s="79">
        <f t="shared" si="25"/>
        <v>0</v>
      </c>
      <c r="AK79" s="81">
        <f t="shared" si="26"/>
        <v>5</v>
      </c>
      <c r="AL79" s="81" t="str">
        <f t="shared" si="38"/>
        <v>CRIT</v>
      </c>
      <c r="AM79" s="81">
        <f t="shared" si="39"/>
        <v>22</v>
      </c>
      <c r="AN79" s="99">
        <f t="shared" si="40"/>
        <v>42884</v>
      </c>
      <c r="AO79" s="99">
        <f t="shared" si="41"/>
        <v>42888</v>
      </c>
      <c r="AP79" s="99"/>
      <c r="AQ79" s="73"/>
      <c r="AR79" s="67"/>
      <c r="AS79" s="132"/>
    </row>
    <row r="80" spans="1:45" ht="20.25" customHeight="1" thickTop="1" thickBot="1" x14ac:dyDescent="0.3">
      <c r="A80" s="74" t="str">
        <f t="shared" ca="1" si="27"/>
        <v/>
      </c>
      <c r="B80" s="75" t="str">
        <f t="shared" ca="1" si="28"/>
        <v/>
      </c>
      <c r="C80" s="76" t="str">
        <f>IF(AND('Interimaire Juin  2017'!D86=$B$1,'Interimaire Juin  2017'!J86=$B$2),'Interimaire Juin  2017'!E86,"")</f>
        <v/>
      </c>
      <c r="D80" s="76" t="str">
        <f>IF(AND('Interimaire Juin  2017'!D86=$B$1,'Interimaire Juin  2017'!J86=$B$2),'Interimaire Juin  2017'!F86,"")</f>
        <v/>
      </c>
      <c r="E80" s="76" t="str">
        <f t="shared" si="29"/>
        <v/>
      </c>
      <c r="F80" s="76" t="str">
        <f t="array" aca="1" ref="F80" ca="1">IFERROR(INDEX(C:C,SMALL($E$2:$E$300,ROW(INDIRECT("72:"&amp;ROWS(C72:C370))))),"")</f>
        <v/>
      </c>
      <c r="G80" s="76" t="str">
        <f t="array" aca="1" ref="G80" ca="1">IFERROR(INDEX(D:D,SMALL($E$2:$E$300,ROW(INDIRECT("72:"&amp;ROWS(D72:D370))))),"")</f>
        <v/>
      </c>
      <c r="H80" s="82"/>
      <c r="I80" s="77">
        <v>7</v>
      </c>
      <c r="J80" s="78">
        <f t="shared" si="30"/>
        <v>1</v>
      </c>
      <c r="K80" s="82"/>
      <c r="L80" s="82"/>
      <c r="M80" s="80">
        <f t="shared" si="31"/>
        <v>1</v>
      </c>
      <c r="N80" s="77">
        <v>7</v>
      </c>
      <c r="O80" s="78">
        <f t="shared" si="32"/>
        <v>1</v>
      </c>
      <c r="P80" s="82"/>
      <c r="Q80" s="82"/>
      <c r="R80" s="80">
        <f t="shared" si="33"/>
        <v>1</v>
      </c>
      <c r="S80" s="77">
        <v>7</v>
      </c>
      <c r="T80" s="78">
        <f t="shared" si="34"/>
        <v>1</v>
      </c>
      <c r="U80" s="79"/>
      <c r="V80" s="79"/>
      <c r="W80" s="80">
        <f t="shared" si="21"/>
        <v>1</v>
      </c>
      <c r="X80" s="77">
        <v>7</v>
      </c>
      <c r="Y80" s="78">
        <f t="shared" si="35"/>
        <v>1</v>
      </c>
      <c r="Z80" s="79"/>
      <c r="AA80" s="79"/>
      <c r="AB80" s="80">
        <f t="shared" si="22"/>
        <v>1</v>
      </c>
      <c r="AC80" s="77">
        <v>7</v>
      </c>
      <c r="AD80" s="78">
        <f t="shared" si="36"/>
        <v>1</v>
      </c>
      <c r="AE80" s="79"/>
      <c r="AF80" s="79"/>
      <c r="AG80" s="80">
        <f t="shared" si="23"/>
        <v>1</v>
      </c>
      <c r="AH80" s="77">
        <f t="shared" si="24"/>
        <v>35</v>
      </c>
      <c r="AI80" s="79">
        <f t="shared" si="37"/>
        <v>0</v>
      </c>
      <c r="AJ80" s="79">
        <f t="shared" si="25"/>
        <v>0</v>
      </c>
      <c r="AK80" s="81">
        <f t="shared" si="26"/>
        <v>5</v>
      </c>
      <c r="AL80" s="81" t="str">
        <f t="shared" si="38"/>
        <v>CRIT</v>
      </c>
      <c r="AM80" s="81">
        <f t="shared" si="39"/>
        <v>22</v>
      </c>
      <c r="AN80" s="99">
        <f t="shared" si="40"/>
        <v>42884</v>
      </c>
      <c r="AO80" s="99">
        <f t="shared" si="41"/>
        <v>42888</v>
      </c>
      <c r="AP80" s="99"/>
      <c r="AQ80" s="73"/>
      <c r="AR80" s="67"/>
      <c r="AS80" s="132"/>
    </row>
    <row r="81" spans="1:45" ht="20.25" customHeight="1" thickTop="1" thickBot="1" x14ac:dyDescent="0.3">
      <c r="A81" s="74" t="str">
        <f t="shared" ca="1" si="27"/>
        <v/>
      </c>
      <c r="B81" s="75" t="str">
        <f t="shared" ca="1" si="28"/>
        <v/>
      </c>
      <c r="C81" s="76" t="str">
        <f>IF(AND('Interimaire Juin  2017'!D87=$B$1,'Interimaire Juin  2017'!J87=$B$2),'Interimaire Juin  2017'!E87,"")</f>
        <v/>
      </c>
      <c r="D81" s="76" t="str">
        <f>IF(AND('Interimaire Juin  2017'!D87=$B$1,'Interimaire Juin  2017'!J87=$B$2),'Interimaire Juin  2017'!F87,"")</f>
        <v/>
      </c>
      <c r="E81" s="76" t="str">
        <f t="shared" si="29"/>
        <v/>
      </c>
      <c r="F81" s="76" t="str">
        <f t="array" aca="1" ref="F81" ca="1">IFERROR(INDEX(C:C,SMALL($E$2:$E$300,ROW(INDIRECT("73:"&amp;ROWS(C73:C371))))),"")</f>
        <v/>
      </c>
      <c r="G81" s="76" t="str">
        <f t="array" aca="1" ref="G81" ca="1">IFERROR(INDEX(D:D,SMALL($E$2:$E$300,ROW(INDIRECT("73:"&amp;ROWS(D73:D371))))),"")</f>
        <v/>
      </c>
      <c r="H81" s="82"/>
      <c r="I81" s="77">
        <v>7</v>
      </c>
      <c r="J81" s="78">
        <f t="shared" si="30"/>
        <v>1</v>
      </c>
      <c r="K81" s="82"/>
      <c r="L81" s="82"/>
      <c r="M81" s="80">
        <f t="shared" si="31"/>
        <v>1</v>
      </c>
      <c r="N81" s="77">
        <v>7</v>
      </c>
      <c r="O81" s="78">
        <f t="shared" si="32"/>
        <v>1</v>
      </c>
      <c r="P81" s="82"/>
      <c r="Q81" s="82"/>
      <c r="R81" s="80">
        <f t="shared" si="33"/>
        <v>1</v>
      </c>
      <c r="S81" s="77">
        <v>7</v>
      </c>
      <c r="T81" s="78">
        <f t="shared" si="34"/>
        <v>1</v>
      </c>
      <c r="U81" s="79"/>
      <c r="V81" s="79"/>
      <c r="W81" s="80">
        <f t="shared" si="21"/>
        <v>1</v>
      </c>
      <c r="X81" s="77">
        <v>7</v>
      </c>
      <c r="Y81" s="78">
        <f t="shared" si="35"/>
        <v>1</v>
      </c>
      <c r="Z81" s="79"/>
      <c r="AA81" s="79"/>
      <c r="AB81" s="80">
        <f t="shared" si="22"/>
        <v>1</v>
      </c>
      <c r="AC81" s="77">
        <v>7</v>
      </c>
      <c r="AD81" s="78">
        <f t="shared" si="36"/>
        <v>1</v>
      </c>
      <c r="AE81" s="79"/>
      <c r="AF81" s="79"/>
      <c r="AG81" s="80">
        <f t="shared" si="23"/>
        <v>1</v>
      </c>
      <c r="AH81" s="77">
        <f t="shared" si="24"/>
        <v>35</v>
      </c>
      <c r="AI81" s="79">
        <f t="shared" si="37"/>
        <v>0</v>
      </c>
      <c r="AJ81" s="79">
        <f t="shared" si="25"/>
        <v>0</v>
      </c>
      <c r="AK81" s="81">
        <f t="shared" si="26"/>
        <v>5</v>
      </c>
      <c r="AL81" s="81" t="str">
        <f t="shared" si="38"/>
        <v>CRIT</v>
      </c>
      <c r="AM81" s="81">
        <f t="shared" si="39"/>
        <v>22</v>
      </c>
      <c r="AN81" s="99">
        <f t="shared" si="40"/>
        <v>42884</v>
      </c>
      <c r="AO81" s="99">
        <f t="shared" si="41"/>
        <v>42888</v>
      </c>
      <c r="AP81" s="99"/>
      <c r="AQ81" s="73"/>
      <c r="AR81" s="67"/>
      <c r="AS81" s="132"/>
    </row>
    <row r="82" spans="1:45" ht="20.25" customHeight="1" thickTop="1" thickBot="1" x14ac:dyDescent="0.3">
      <c r="A82" s="74" t="str">
        <f t="shared" ca="1" si="27"/>
        <v/>
      </c>
      <c r="B82" s="75" t="str">
        <f t="shared" ca="1" si="28"/>
        <v/>
      </c>
      <c r="C82" s="76" t="str">
        <f>IF(AND('Interimaire Juin  2017'!D88=$B$1,'Interimaire Juin  2017'!J88=$B$2),'Interimaire Juin  2017'!E88,"")</f>
        <v/>
      </c>
      <c r="D82" s="76" t="str">
        <f>IF(AND('Interimaire Juin  2017'!D88=$B$1,'Interimaire Juin  2017'!J88=$B$2),'Interimaire Juin  2017'!F88,"")</f>
        <v/>
      </c>
      <c r="E82" s="76" t="str">
        <f t="shared" si="29"/>
        <v/>
      </c>
      <c r="F82" s="76" t="str">
        <f t="array" aca="1" ref="F82" ca="1">IFERROR(INDEX(C:C,SMALL($E$2:$E$300,ROW(INDIRECT("74:"&amp;ROWS(C74:C372))))),"")</f>
        <v/>
      </c>
      <c r="G82" s="76" t="str">
        <f t="array" aca="1" ref="G82" ca="1">IFERROR(INDEX(D:D,SMALL($E$2:$E$300,ROW(INDIRECT("74:"&amp;ROWS(D74:D372))))),"")</f>
        <v/>
      </c>
      <c r="H82" s="82"/>
      <c r="I82" s="77">
        <v>7</v>
      </c>
      <c r="J82" s="78">
        <f t="shared" si="30"/>
        <v>1</v>
      </c>
      <c r="K82" s="82"/>
      <c r="L82" s="82"/>
      <c r="M82" s="80">
        <f t="shared" si="31"/>
        <v>1</v>
      </c>
      <c r="N82" s="77">
        <v>7</v>
      </c>
      <c r="O82" s="78">
        <f t="shared" si="32"/>
        <v>1</v>
      </c>
      <c r="P82" s="82"/>
      <c r="Q82" s="82"/>
      <c r="R82" s="80">
        <f t="shared" si="33"/>
        <v>1</v>
      </c>
      <c r="S82" s="77">
        <v>7</v>
      </c>
      <c r="T82" s="78">
        <f t="shared" si="34"/>
        <v>1</v>
      </c>
      <c r="U82" s="79"/>
      <c r="V82" s="79"/>
      <c r="W82" s="80">
        <f t="shared" si="21"/>
        <v>1</v>
      </c>
      <c r="X82" s="77">
        <v>7</v>
      </c>
      <c r="Y82" s="78">
        <f t="shared" si="35"/>
        <v>1</v>
      </c>
      <c r="Z82" s="79"/>
      <c r="AA82" s="79"/>
      <c r="AB82" s="80">
        <f t="shared" si="22"/>
        <v>1</v>
      </c>
      <c r="AC82" s="77">
        <v>7</v>
      </c>
      <c r="AD82" s="78">
        <f t="shared" si="36"/>
        <v>1</v>
      </c>
      <c r="AE82" s="79"/>
      <c r="AF82" s="79"/>
      <c r="AG82" s="80">
        <f t="shared" si="23"/>
        <v>1</v>
      </c>
      <c r="AH82" s="77">
        <f t="shared" si="24"/>
        <v>35</v>
      </c>
      <c r="AI82" s="79">
        <f t="shared" si="37"/>
        <v>0</v>
      </c>
      <c r="AJ82" s="79">
        <f t="shared" si="25"/>
        <v>0</v>
      </c>
      <c r="AK82" s="81">
        <f t="shared" si="26"/>
        <v>5</v>
      </c>
      <c r="AL82" s="81" t="str">
        <f t="shared" si="38"/>
        <v>CRIT</v>
      </c>
      <c r="AM82" s="81">
        <f t="shared" si="39"/>
        <v>22</v>
      </c>
      <c r="AN82" s="99">
        <f t="shared" si="40"/>
        <v>42884</v>
      </c>
      <c r="AO82" s="99">
        <f t="shared" si="41"/>
        <v>42888</v>
      </c>
      <c r="AP82" s="99"/>
      <c r="AQ82" s="73"/>
      <c r="AR82" s="67"/>
      <c r="AS82" s="132"/>
    </row>
    <row r="83" spans="1:45" ht="20.25" customHeight="1" thickTop="1" thickBot="1" x14ac:dyDescent="0.3">
      <c r="A83" s="74" t="str">
        <f t="shared" ca="1" si="27"/>
        <v/>
      </c>
      <c r="B83" s="75" t="str">
        <f t="shared" ca="1" si="28"/>
        <v/>
      </c>
      <c r="C83" s="76" t="str">
        <f>IF(AND('Interimaire Juin  2017'!D89=$B$1,'Interimaire Juin  2017'!J89=$B$2),'Interimaire Juin  2017'!E89,"")</f>
        <v/>
      </c>
      <c r="D83" s="76" t="str">
        <f>IF(AND('Interimaire Juin  2017'!D89=$B$1,'Interimaire Juin  2017'!J89=$B$2),'Interimaire Juin  2017'!F89,"")</f>
        <v/>
      </c>
      <c r="E83" s="76" t="str">
        <f t="shared" si="29"/>
        <v/>
      </c>
      <c r="F83" s="76" t="str">
        <f t="array" aca="1" ref="F83" ca="1">IFERROR(INDEX(C:C,SMALL($E$2:$E$300,ROW(INDIRECT("75:"&amp;ROWS(C75:C373))))),"")</f>
        <v/>
      </c>
      <c r="G83" s="76" t="str">
        <f t="array" aca="1" ref="G83" ca="1">IFERROR(INDEX(D:D,SMALL($E$2:$E$300,ROW(INDIRECT("75:"&amp;ROWS(D75:D373))))),"")</f>
        <v/>
      </c>
      <c r="H83" s="82"/>
      <c r="I83" s="77">
        <v>7</v>
      </c>
      <c r="J83" s="78">
        <f t="shared" si="30"/>
        <v>1</v>
      </c>
      <c r="K83" s="82"/>
      <c r="L83" s="82"/>
      <c r="M83" s="80">
        <f t="shared" si="31"/>
        <v>1</v>
      </c>
      <c r="N83" s="77">
        <v>7</v>
      </c>
      <c r="O83" s="78">
        <f t="shared" si="32"/>
        <v>1</v>
      </c>
      <c r="P83" s="82"/>
      <c r="Q83" s="82"/>
      <c r="R83" s="80">
        <f t="shared" si="33"/>
        <v>1</v>
      </c>
      <c r="S83" s="77">
        <v>7</v>
      </c>
      <c r="T83" s="78">
        <f t="shared" si="34"/>
        <v>1</v>
      </c>
      <c r="U83" s="79"/>
      <c r="V83" s="79"/>
      <c r="W83" s="80">
        <f t="shared" si="21"/>
        <v>1</v>
      </c>
      <c r="X83" s="77">
        <v>7</v>
      </c>
      <c r="Y83" s="78">
        <f t="shared" si="35"/>
        <v>1</v>
      </c>
      <c r="Z83" s="79"/>
      <c r="AA83" s="79"/>
      <c r="AB83" s="80">
        <f t="shared" si="22"/>
        <v>1</v>
      </c>
      <c r="AC83" s="77">
        <v>7</v>
      </c>
      <c r="AD83" s="78">
        <f t="shared" si="36"/>
        <v>1</v>
      </c>
      <c r="AE83" s="79"/>
      <c r="AF83" s="79"/>
      <c r="AG83" s="80">
        <f t="shared" si="23"/>
        <v>1</v>
      </c>
      <c r="AH83" s="77">
        <f t="shared" si="24"/>
        <v>35</v>
      </c>
      <c r="AI83" s="79">
        <f t="shared" si="37"/>
        <v>0</v>
      </c>
      <c r="AJ83" s="79">
        <f t="shared" si="25"/>
        <v>0</v>
      </c>
      <c r="AK83" s="81">
        <f t="shared" si="26"/>
        <v>5</v>
      </c>
      <c r="AL83" s="81" t="str">
        <f t="shared" si="38"/>
        <v>CRIT</v>
      </c>
      <c r="AM83" s="81">
        <f t="shared" si="39"/>
        <v>22</v>
      </c>
      <c r="AN83" s="99">
        <f t="shared" si="40"/>
        <v>42884</v>
      </c>
      <c r="AO83" s="99">
        <f t="shared" si="41"/>
        <v>42888</v>
      </c>
      <c r="AP83" s="99"/>
      <c r="AQ83" s="73"/>
      <c r="AR83" s="67"/>
      <c r="AS83" s="132"/>
    </row>
    <row r="84" spans="1:45" ht="20.25" customHeight="1" thickTop="1" thickBot="1" x14ac:dyDescent="0.3">
      <c r="A84" s="74" t="str">
        <f t="shared" ca="1" si="27"/>
        <v/>
      </c>
      <c r="B84" s="75" t="str">
        <f t="shared" ca="1" si="28"/>
        <v/>
      </c>
      <c r="C84" s="76" t="str">
        <f>IF(AND('Interimaire Juin  2017'!D90=$B$1,'Interimaire Juin  2017'!J90=$B$2),'Interimaire Juin  2017'!E90,"")</f>
        <v/>
      </c>
      <c r="D84" s="76" t="str">
        <f>IF(AND('Interimaire Juin  2017'!D90=$B$1,'Interimaire Juin  2017'!J90=$B$2),'Interimaire Juin  2017'!F90,"")</f>
        <v/>
      </c>
      <c r="E84" s="76" t="str">
        <f t="shared" si="29"/>
        <v/>
      </c>
      <c r="F84" s="76" t="str">
        <f t="array" aca="1" ref="F84" ca="1">IFERROR(INDEX(C:C,SMALL($E$2:$E$300,ROW(INDIRECT("76:"&amp;ROWS(C76:C374))))),"")</f>
        <v/>
      </c>
      <c r="G84" s="76" t="str">
        <f t="array" aca="1" ref="G84" ca="1">IFERROR(INDEX(D:D,SMALL($E$2:$E$300,ROW(INDIRECT("76:"&amp;ROWS(D76:D374))))),"")</f>
        <v/>
      </c>
      <c r="H84" s="82"/>
      <c r="I84" s="77">
        <v>7</v>
      </c>
      <c r="J84" s="78">
        <f t="shared" si="30"/>
        <v>1</v>
      </c>
      <c r="K84" s="82"/>
      <c r="L84" s="82"/>
      <c r="M84" s="80">
        <f t="shared" si="31"/>
        <v>1</v>
      </c>
      <c r="N84" s="77">
        <v>7</v>
      </c>
      <c r="O84" s="78">
        <f t="shared" si="32"/>
        <v>1</v>
      </c>
      <c r="P84" s="82"/>
      <c r="Q84" s="82"/>
      <c r="R84" s="80">
        <f t="shared" si="33"/>
        <v>1</v>
      </c>
      <c r="S84" s="77">
        <v>7</v>
      </c>
      <c r="T84" s="78">
        <f t="shared" si="34"/>
        <v>1</v>
      </c>
      <c r="U84" s="79"/>
      <c r="V84" s="79"/>
      <c r="W84" s="80">
        <f t="shared" si="21"/>
        <v>1</v>
      </c>
      <c r="X84" s="77">
        <v>7</v>
      </c>
      <c r="Y84" s="78">
        <f t="shared" si="35"/>
        <v>1</v>
      </c>
      <c r="Z84" s="79"/>
      <c r="AA84" s="79"/>
      <c r="AB84" s="80">
        <f t="shared" si="22"/>
        <v>1</v>
      </c>
      <c r="AC84" s="77">
        <v>7</v>
      </c>
      <c r="AD84" s="78">
        <f t="shared" si="36"/>
        <v>1</v>
      </c>
      <c r="AE84" s="79"/>
      <c r="AF84" s="79"/>
      <c r="AG84" s="80">
        <f t="shared" si="23"/>
        <v>1</v>
      </c>
      <c r="AH84" s="77">
        <f t="shared" si="24"/>
        <v>35</v>
      </c>
      <c r="AI84" s="79">
        <f t="shared" si="37"/>
        <v>0</v>
      </c>
      <c r="AJ84" s="79">
        <f t="shared" si="25"/>
        <v>0</v>
      </c>
      <c r="AK84" s="81">
        <f t="shared" si="26"/>
        <v>5</v>
      </c>
      <c r="AL84" s="81" t="str">
        <f t="shared" si="38"/>
        <v>CRIT</v>
      </c>
      <c r="AM84" s="81">
        <f t="shared" si="39"/>
        <v>22</v>
      </c>
      <c r="AN84" s="99">
        <f t="shared" si="40"/>
        <v>42884</v>
      </c>
      <c r="AO84" s="99">
        <f t="shared" si="41"/>
        <v>42888</v>
      </c>
      <c r="AP84" s="99"/>
      <c r="AQ84" s="73"/>
      <c r="AR84" s="67"/>
      <c r="AS84" s="132"/>
    </row>
    <row r="85" spans="1:45" ht="20.25" customHeight="1" thickTop="1" thickBot="1" x14ac:dyDescent="0.3">
      <c r="A85" s="74" t="str">
        <f t="shared" ca="1" si="27"/>
        <v/>
      </c>
      <c r="B85" s="75" t="str">
        <f t="shared" ca="1" si="28"/>
        <v/>
      </c>
      <c r="C85" s="76" t="str">
        <f>IF(AND('Interimaire Juin  2017'!D91=$B$1,'Interimaire Juin  2017'!J91=$B$2),'Interimaire Juin  2017'!E91,"")</f>
        <v/>
      </c>
      <c r="D85" s="76" t="str">
        <f>IF(AND('Interimaire Juin  2017'!D91=$B$1,'Interimaire Juin  2017'!J91=$B$2),'Interimaire Juin  2017'!F91,"")</f>
        <v/>
      </c>
      <c r="E85" s="76" t="str">
        <f t="shared" si="29"/>
        <v/>
      </c>
      <c r="F85" s="76" t="str">
        <f t="array" aca="1" ref="F85" ca="1">IFERROR(INDEX(C:C,SMALL($E$2:$E$300,ROW(INDIRECT("77:"&amp;ROWS(C77:C375))))),"")</f>
        <v/>
      </c>
      <c r="G85" s="76" t="str">
        <f t="array" aca="1" ref="G85" ca="1">IFERROR(INDEX(D:D,SMALL($E$2:$E$300,ROW(INDIRECT("77:"&amp;ROWS(D77:D375))))),"")</f>
        <v/>
      </c>
      <c r="H85" s="82"/>
      <c r="I85" s="77">
        <v>7</v>
      </c>
      <c r="J85" s="78">
        <f t="shared" si="30"/>
        <v>1</v>
      </c>
      <c r="K85" s="82"/>
      <c r="L85" s="82"/>
      <c r="M85" s="80">
        <f t="shared" si="31"/>
        <v>1</v>
      </c>
      <c r="N85" s="77">
        <v>7</v>
      </c>
      <c r="O85" s="78">
        <f t="shared" si="32"/>
        <v>1</v>
      </c>
      <c r="P85" s="82"/>
      <c r="Q85" s="82"/>
      <c r="R85" s="80">
        <f t="shared" si="33"/>
        <v>1</v>
      </c>
      <c r="S85" s="77">
        <v>7</v>
      </c>
      <c r="T85" s="78">
        <f t="shared" si="34"/>
        <v>1</v>
      </c>
      <c r="U85" s="79"/>
      <c r="V85" s="79"/>
      <c r="W85" s="80">
        <f t="shared" si="21"/>
        <v>1</v>
      </c>
      <c r="X85" s="77">
        <v>7</v>
      </c>
      <c r="Y85" s="78">
        <f t="shared" si="35"/>
        <v>1</v>
      </c>
      <c r="Z85" s="79"/>
      <c r="AA85" s="79"/>
      <c r="AB85" s="80">
        <f t="shared" si="22"/>
        <v>1</v>
      </c>
      <c r="AC85" s="77">
        <v>7</v>
      </c>
      <c r="AD85" s="78">
        <f t="shared" si="36"/>
        <v>1</v>
      </c>
      <c r="AE85" s="79"/>
      <c r="AF85" s="79"/>
      <c r="AG85" s="80">
        <f t="shared" si="23"/>
        <v>1</v>
      </c>
      <c r="AH85" s="77">
        <f t="shared" si="24"/>
        <v>35</v>
      </c>
      <c r="AI85" s="79">
        <f t="shared" si="37"/>
        <v>0</v>
      </c>
      <c r="AJ85" s="79">
        <f t="shared" si="25"/>
        <v>0</v>
      </c>
      <c r="AK85" s="81">
        <f t="shared" si="26"/>
        <v>5</v>
      </c>
      <c r="AL85" s="81" t="str">
        <f t="shared" si="38"/>
        <v>CRIT</v>
      </c>
      <c r="AM85" s="81">
        <f t="shared" si="39"/>
        <v>22</v>
      </c>
      <c r="AN85" s="99">
        <f t="shared" si="40"/>
        <v>42884</v>
      </c>
      <c r="AO85" s="99">
        <f t="shared" si="41"/>
        <v>42888</v>
      </c>
      <c r="AP85" s="99"/>
      <c r="AQ85" s="73"/>
      <c r="AR85" s="67"/>
      <c r="AS85" s="132"/>
    </row>
    <row r="86" spans="1:45" ht="20.25" customHeight="1" thickTop="1" thickBot="1" x14ac:dyDescent="0.3">
      <c r="A86" s="74" t="str">
        <f t="shared" ca="1" si="27"/>
        <v/>
      </c>
      <c r="B86" s="75" t="str">
        <f t="shared" ca="1" si="28"/>
        <v/>
      </c>
      <c r="C86" s="76" t="str">
        <f>IF(AND('Interimaire Juin  2017'!D92=$B$1,'Interimaire Juin  2017'!J92=$B$2),'Interimaire Juin  2017'!E92,"")</f>
        <v/>
      </c>
      <c r="D86" s="76" t="str">
        <f>IF(AND('Interimaire Juin  2017'!D92=$B$1,'Interimaire Juin  2017'!J92=$B$2),'Interimaire Juin  2017'!F92,"")</f>
        <v/>
      </c>
      <c r="E86" s="76" t="str">
        <f t="shared" si="29"/>
        <v/>
      </c>
      <c r="F86" s="76" t="str">
        <f t="array" aca="1" ref="F86" ca="1">IFERROR(INDEX(C:C,SMALL($E$2:$E$300,ROW(INDIRECT("78:"&amp;ROWS(C78:C376))))),"")</f>
        <v/>
      </c>
      <c r="G86" s="76" t="str">
        <f t="array" aca="1" ref="G86" ca="1">IFERROR(INDEX(D:D,SMALL($E$2:$E$300,ROW(INDIRECT("78:"&amp;ROWS(D78:D376))))),"")</f>
        <v/>
      </c>
      <c r="H86" s="82"/>
      <c r="I86" s="77">
        <v>7</v>
      </c>
      <c r="J86" s="78">
        <f t="shared" si="30"/>
        <v>1</v>
      </c>
      <c r="K86" s="82"/>
      <c r="L86" s="82"/>
      <c r="M86" s="80">
        <f t="shared" si="31"/>
        <v>1</v>
      </c>
      <c r="N86" s="77">
        <v>7</v>
      </c>
      <c r="O86" s="78">
        <f t="shared" si="32"/>
        <v>1</v>
      </c>
      <c r="P86" s="82"/>
      <c r="Q86" s="82"/>
      <c r="R86" s="80">
        <f t="shared" si="33"/>
        <v>1</v>
      </c>
      <c r="S86" s="77">
        <v>7</v>
      </c>
      <c r="T86" s="78">
        <f t="shared" si="34"/>
        <v>1</v>
      </c>
      <c r="U86" s="79"/>
      <c r="V86" s="79"/>
      <c r="W86" s="80">
        <f t="shared" si="21"/>
        <v>1</v>
      </c>
      <c r="X86" s="77">
        <v>7</v>
      </c>
      <c r="Y86" s="78">
        <f t="shared" si="35"/>
        <v>1</v>
      </c>
      <c r="Z86" s="79"/>
      <c r="AA86" s="79"/>
      <c r="AB86" s="80">
        <f t="shared" si="22"/>
        <v>1</v>
      </c>
      <c r="AC86" s="77">
        <v>7</v>
      </c>
      <c r="AD86" s="78">
        <f t="shared" si="36"/>
        <v>1</v>
      </c>
      <c r="AE86" s="79"/>
      <c r="AF86" s="79"/>
      <c r="AG86" s="80">
        <f t="shared" si="23"/>
        <v>1</v>
      </c>
      <c r="AH86" s="77">
        <f t="shared" si="24"/>
        <v>35</v>
      </c>
      <c r="AI86" s="79">
        <f t="shared" si="37"/>
        <v>0</v>
      </c>
      <c r="AJ86" s="79">
        <f t="shared" si="25"/>
        <v>0</v>
      </c>
      <c r="AK86" s="81">
        <f t="shared" si="26"/>
        <v>5</v>
      </c>
      <c r="AL86" s="81" t="str">
        <f t="shared" si="38"/>
        <v>CRIT</v>
      </c>
      <c r="AM86" s="81">
        <f t="shared" si="39"/>
        <v>22</v>
      </c>
      <c r="AN86" s="99">
        <f t="shared" si="40"/>
        <v>42884</v>
      </c>
      <c r="AO86" s="99">
        <f t="shared" si="41"/>
        <v>42888</v>
      </c>
      <c r="AP86" s="99"/>
      <c r="AQ86" s="73"/>
      <c r="AR86" s="67"/>
      <c r="AS86" s="132"/>
    </row>
    <row r="87" spans="1:45" ht="20.25" customHeight="1" thickTop="1" thickBot="1" x14ac:dyDescent="0.3">
      <c r="A87" s="74" t="str">
        <f t="shared" ca="1" si="27"/>
        <v/>
      </c>
      <c r="B87" s="75" t="str">
        <f t="shared" ca="1" si="28"/>
        <v/>
      </c>
      <c r="C87" s="76" t="str">
        <f>IF(AND('Interimaire Juin  2017'!D93=$B$1,'Interimaire Juin  2017'!J93=$B$2),'Interimaire Juin  2017'!E93,"")</f>
        <v/>
      </c>
      <c r="D87" s="76" t="str">
        <f>IF(AND('Interimaire Juin  2017'!D93=$B$1,'Interimaire Juin  2017'!J93=$B$2),'Interimaire Juin  2017'!F93,"")</f>
        <v/>
      </c>
      <c r="E87" s="76" t="str">
        <f t="shared" si="29"/>
        <v/>
      </c>
      <c r="F87" s="76" t="str">
        <f t="array" aca="1" ref="F87" ca="1">IFERROR(INDEX(C:C,SMALL($E$2:$E$300,ROW(INDIRECT("79:"&amp;ROWS(C79:C377))))),"")</f>
        <v/>
      </c>
      <c r="G87" s="76" t="str">
        <f t="array" aca="1" ref="G87" ca="1">IFERROR(INDEX(D:D,SMALL($E$2:$E$300,ROW(INDIRECT("79:"&amp;ROWS(D79:D377))))),"")</f>
        <v/>
      </c>
      <c r="H87" s="82"/>
      <c r="I87" s="77">
        <v>7</v>
      </c>
      <c r="J87" s="78">
        <f t="shared" si="30"/>
        <v>1</v>
      </c>
      <c r="K87" s="82"/>
      <c r="L87" s="82"/>
      <c r="M87" s="80">
        <f t="shared" si="31"/>
        <v>1</v>
      </c>
      <c r="N87" s="77">
        <v>7</v>
      </c>
      <c r="O87" s="78">
        <f t="shared" si="32"/>
        <v>1</v>
      </c>
      <c r="P87" s="82"/>
      <c r="Q87" s="82"/>
      <c r="R87" s="80">
        <f t="shared" si="33"/>
        <v>1</v>
      </c>
      <c r="S87" s="77">
        <v>7</v>
      </c>
      <c r="T87" s="78">
        <f t="shared" si="34"/>
        <v>1</v>
      </c>
      <c r="U87" s="79"/>
      <c r="V87" s="79"/>
      <c r="W87" s="80">
        <f t="shared" si="21"/>
        <v>1</v>
      </c>
      <c r="X87" s="77">
        <v>7</v>
      </c>
      <c r="Y87" s="78">
        <f t="shared" si="35"/>
        <v>1</v>
      </c>
      <c r="Z87" s="79"/>
      <c r="AA87" s="79"/>
      <c r="AB87" s="80">
        <f t="shared" si="22"/>
        <v>1</v>
      </c>
      <c r="AC87" s="77">
        <v>7</v>
      </c>
      <c r="AD87" s="78">
        <f t="shared" si="36"/>
        <v>1</v>
      </c>
      <c r="AE87" s="79"/>
      <c r="AF87" s="79"/>
      <c r="AG87" s="80">
        <f t="shared" si="23"/>
        <v>1</v>
      </c>
      <c r="AH87" s="77">
        <f t="shared" si="24"/>
        <v>35</v>
      </c>
      <c r="AI87" s="79">
        <f t="shared" si="37"/>
        <v>0</v>
      </c>
      <c r="AJ87" s="79">
        <f t="shared" si="25"/>
        <v>0</v>
      </c>
      <c r="AK87" s="81">
        <f t="shared" si="26"/>
        <v>5</v>
      </c>
      <c r="AL87" s="81" t="str">
        <f t="shared" si="38"/>
        <v>CRIT</v>
      </c>
      <c r="AM87" s="81">
        <f t="shared" si="39"/>
        <v>22</v>
      </c>
      <c r="AN87" s="99">
        <f t="shared" si="40"/>
        <v>42884</v>
      </c>
      <c r="AO87" s="99">
        <f t="shared" si="41"/>
        <v>42888</v>
      </c>
      <c r="AP87" s="99"/>
      <c r="AQ87" s="73"/>
      <c r="AR87" s="67"/>
      <c r="AS87" s="132"/>
    </row>
    <row r="88" spans="1:45" ht="20.25" customHeight="1" thickTop="1" thickBot="1" x14ac:dyDescent="0.3">
      <c r="A88" s="74" t="str">
        <f t="shared" ca="1" si="27"/>
        <v/>
      </c>
      <c r="B88" s="75" t="str">
        <f t="shared" ca="1" si="28"/>
        <v/>
      </c>
      <c r="C88" s="76" t="str">
        <f>IF(AND('Interimaire Juin  2017'!D94=$B$1,'Interimaire Juin  2017'!J94=$B$2),'Interimaire Juin  2017'!E94,"")</f>
        <v/>
      </c>
      <c r="D88" s="76" t="str">
        <f>IF(AND('Interimaire Juin  2017'!D94=$B$1,'Interimaire Juin  2017'!J94=$B$2),'Interimaire Juin  2017'!F94,"")</f>
        <v/>
      </c>
      <c r="E88" s="76" t="str">
        <f t="shared" si="29"/>
        <v/>
      </c>
      <c r="F88" s="76" t="str">
        <f t="array" aca="1" ref="F88" ca="1">IFERROR(INDEX(C:C,SMALL($E$2:$E$300,ROW(INDIRECT("80:"&amp;ROWS(C80:C378))))),"")</f>
        <v/>
      </c>
      <c r="G88" s="76" t="str">
        <f t="array" aca="1" ref="G88" ca="1">IFERROR(INDEX(D:D,SMALL($E$2:$E$300,ROW(INDIRECT("80:"&amp;ROWS(D80:D378))))),"")</f>
        <v/>
      </c>
      <c r="H88" s="82"/>
      <c r="I88" s="77">
        <v>7</v>
      </c>
      <c r="J88" s="78">
        <f t="shared" si="30"/>
        <v>1</v>
      </c>
      <c r="K88" s="82"/>
      <c r="L88" s="82"/>
      <c r="M88" s="80">
        <f t="shared" si="31"/>
        <v>1</v>
      </c>
      <c r="N88" s="77">
        <v>7</v>
      </c>
      <c r="O88" s="78">
        <f t="shared" si="32"/>
        <v>1</v>
      </c>
      <c r="P88" s="82"/>
      <c r="Q88" s="82"/>
      <c r="R88" s="80">
        <f t="shared" si="33"/>
        <v>1</v>
      </c>
      <c r="S88" s="77">
        <v>7</v>
      </c>
      <c r="T88" s="78">
        <f t="shared" si="34"/>
        <v>1</v>
      </c>
      <c r="U88" s="79"/>
      <c r="V88" s="79"/>
      <c r="W88" s="80">
        <f t="shared" si="21"/>
        <v>1</v>
      </c>
      <c r="X88" s="77">
        <v>7</v>
      </c>
      <c r="Y88" s="78">
        <f t="shared" si="35"/>
        <v>1</v>
      </c>
      <c r="Z88" s="79"/>
      <c r="AA88" s="79"/>
      <c r="AB88" s="80">
        <f t="shared" si="22"/>
        <v>1</v>
      </c>
      <c r="AC88" s="77">
        <v>7</v>
      </c>
      <c r="AD88" s="78">
        <f t="shared" si="36"/>
        <v>1</v>
      </c>
      <c r="AE88" s="79"/>
      <c r="AF88" s="79"/>
      <c r="AG88" s="80">
        <f t="shared" si="23"/>
        <v>1</v>
      </c>
      <c r="AH88" s="77">
        <f t="shared" si="24"/>
        <v>35</v>
      </c>
      <c r="AI88" s="79">
        <f t="shared" si="37"/>
        <v>0</v>
      </c>
      <c r="AJ88" s="79">
        <f t="shared" si="25"/>
        <v>0</v>
      </c>
      <c r="AK88" s="81">
        <f t="shared" si="26"/>
        <v>5</v>
      </c>
      <c r="AL88" s="81" t="str">
        <f t="shared" si="38"/>
        <v>CRIT</v>
      </c>
      <c r="AM88" s="81">
        <f t="shared" si="39"/>
        <v>22</v>
      </c>
      <c r="AN88" s="99">
        <f t="shared" si="40"/>
        <v>42884</v>
      </c>
      <c r="AO88" s="99">
        <f t="shared" si="41"/>
        <v>42888</v>
      </c>
      <c r="AP88" s="99"/>
      <c r="AQ88" s="73"/>
      <c r="AR88" s="67"/>
      <c r="AS88" s="132"/>
    </row>
    <row r="89" spans="1:45" ht="20.25" customHeight="1" thickTop="1" thickBot="1" x14ac:dyDescent="0.3">
      <c r="A89" s="74" t="str">
        <f t="shared" ca="1" si="27"/>
        <v/>
      </c>
      <c r="B89" s="75" t="str">
        <f t="shared" ca="1" si="28"/>
        <v/>
      </c>
      <c r="C89" s="76" t="str">
        <f>IF(AND('Interimaire Juin  2017'!D95=$B$1,'Interimaire Juin  2017'!J95=$B$2),'Interimaire Juin  2017'!E95,"")</f>
        <v/>
      </c>
      <c r="D89" s="76" t="str">
        <f>IF(AND('Interimaire Juin  2017'!D95=$B$1,'Interimaire Juin  2017'!J95=$B$2),'Interimaire Juin  2017'!F95,"")</f>
        <v/>
      </c>
      <c r="E89" s="76" t="str">
        <f t="shared" si="29"/>
        <v/>
      </c>
      <c r="F89" s="76" t="str">
        <f t="array" aca="1" ref="F89" ca="1">IFERROR(INDEX(C:C,SMALL($E$2:$E$300,ROW(INDIRECT("81:"&amp;ROWS(C81:C379))))),"")</f>
        <v/>
      </c>
      <c r="G89" s="76" t="str">
        <f t="array" aca="1" ref="G89" ca="1">IFERROR(INDEX(D:D,SMALL($E$2:$E$300,ROW(INDIRECT("81:"&amp;ROWS(D81:D379))))),"")</f>
        <v/>
      </c>
      <c r="H89" s="82"/>
      <c r="I89" s="77">
        <v>7</v>
      </c>
      <c r="J89" s="78">
        <f t="shared" si="30"/>
        <v>1</v>
      </c>
      <c r="K89" s="82"/>
      <c r="L89" s="82"/>
      <c r="M89" s="80">
        <f t="shared" si="31"/>
        <v>1</v>
      </c>
      <c r="N89" s="77">
        <v>7</v>
      </c>
      <c r="O89" s="78">
        <f t="shared" si="32"/>
        <v>1</v>
      </c>
      <c r="P89" s="82"/>
      <c r="Q89" s="82"/>
      <c r="R89" s="80">
        <f t="shared" si="33"/>
        <v>1</v>
      </c>
      <c r="S89" s="77">
        <v>7</v>
      </c>
      <c r="T89" s="78">
        <f t="shared" si="34"/>
        <v>1</v>
      </c>
      <c r="U89" s="79"/>
      <c r="V89" s="79"/>
      <c r="W89" s="80">
        <f t="shared" si="21"/>
        <v>1</v>
      </c>
      <c r="X89" s="77">
        <v>7</v>
      </c>
      <c r="Y89" s="78">
        <f t="shared" si="35"/>
        <v>1</v>
      </c>
      <c r="Z89" s="79"/>
      <c r="AA89" s="79"/>
      <c r="AB89" s="80">
        <f t="shared" si="22"/>
        <v>1</v>
      </c>
      <c r="AC89" s="77">
        <v>7</v>
      </c>
      <c r="AD89" s="78">
        <f t="shared" si="36"/>
        <v>1</v>
      </c>
      <c r="AE89" s="79"/>
      <c r="AF89" s="79"/>
      <c r="AG89" s="80">
        <f t="shared" si="23"/>
        <v>1</v>
      </c>
      <c r="AH89" s="77">
        <f t="shared" si="24"/>
        <v>35</v>
      </c>
      <c r="AI89" s="79">
        <f t="shared" si="37"/>
        <v>0</v>
      </c>
      <c r="AJ89" s="79">
        <f t="shared" si="25"/>
        <v>0</v>
      </c>
      <c r="AK89" s="81">
        <f t="shared" si="26"/>
        <v>5</v>
      </c>
      <c r="AL89" s="81" t="str">
        <f t="shared" si="38"/>
        <v>CRIT</v>
      </c>
      <c r="AM89" s="81">
        <f t="shared" si="39"/>
        <v>22</v>
      </c>
      <c r="AN89" s="99">
        <f t="shared" si="40"/>
        <v>42884</v>
      </c>
      <c r="AO89" s="99">
        <f t="shared" si="41"/>
        <v>42888</v>
      </c>
      <c r="AP89" s="99"/>
      <c r="AQ89" s="73"/>
      <c r="AR89" s="67"/>
      <c r="AS89" s="132"/>
    </row>
    <row r="90" spans="1:45" ht="20.25" customHeight="1" thickTop="1" thickBot="1" x14ac:dyDescent="0.3">
      <c r="A90" s="74" t="str">
        <f t="shared" ca="1" si="27"/>
        <v/>
      </c>
      <c r="B90" s="75" t="str">
        <f t="shared" ca="1" si="28"/>
        <v/>
      </c>
      <c r="C90" s="76" t="str">
        <f>IF(AND('Interimaire Juin  2017'!D96=$B$1,'Interimaire Juin  2017'!J96=$B$2),'Interimaire Juin  2017'!E96,"")</f>
        <v/>
      </c>
      <c r="D90" s="76" t="str">
        <f>IF(AND('Interimaire Juin  2017'!D96=$B$1,'Interimaire Juin  2017'!J96=$B$2),'Interimaire Juin  2017'!F96,"")</f>
        <v/>
      </c>
      <c r="E90" s="76" t="str">
        <f t="shared" si="29"/>
        <v/>
      </c>
      <c r="F90" s="76" t="str">
        <f t="array" aca="1" ref="F90" ca="1">IFERROR(INDEX(C:C,SMALL($E$2:$E$300,ROW(INDIRECT("82:"&amp;ROWS(C82:C380))))),"")</f>
        <v/>
      </c>
      <c r="G90" s="76" t="str">
        <f t="array" aca="1" ref="G90" ca="1">IFERROR(INDEX(D:D,SMALL($E$2:$E$300,ROW(INDIRECT("82:"&amp;ROWS(D82:D380))))),"")</f>
        <v/>
      </c>
      <c r="H90" s="82"/>
      <c r="I90" s="77">
        <v>7</v>
      </c>
      <c r="J90" s="78">
        <f t="shared" si="30"/>
        <v>1</v>
      </c>
      <c r="K90" s="82"/>
      <c r="L90" s="82"/>
      <c r="M90" s="80">
        <f t="shared" si="31"/>
        <v>1</v>
      </c>
      <c r="N90" s="77">
        <v>7</v>
      </c>
      <c r="O90" s="78">
        <f t="shared" si="32"/>
        <v>1</v>
      </c>
      <c r="P90" s="82"/>
      <c r="Q90" s="82"/>
      <c r="R90" s="80">
        <f t="shared" si="33"/>
        <v>1</v>
      </c>
      <c r="S90" s="77">
        <v>7</v>
      </c>
      <c r="T90" s="78">
        <f t="shared" si="34"/>
        <v>1</v>
      </c>
      <c r="U90" s="79"/>
      <c r="V90" s="79"/>
      <c r="W90" s="80">
        <f t="shared" si="21"/>
        <v>1</v>
      </c>
      <c r="X90" s="77">
        <v>7</v>
      </c>
      <c r="Y90" s="78">
        <f t="shared" si="35"/>
        <v>1</v>
      </c>
      <c r="Z90" s="79"/>
      <c r="AA90" s="79"/>
      <c r="AB90" s="80">
        <f t="shared" si="22"/>
        <v>1</v>
      </c>
      <c r="AC90" s="77">
        <v>7</v>
      </c>
      <c r="AD90" s="78">
        <f t="shared" si="36"/>
        <v>1</v>
      </c>
      <c r="AE90" s="79"/>
      <c r="AF90" s="79"/>
      <c r="AG90" s="80">
        <f t="shared" si="23"/>
        <v>1</v>
      </c>
      <c r="AH90" s="77">
        <f t="shared" si="24"/>
        <v>35</v>
      </c>
      <c r="AI90" s="79">
        <f t="shared" si="37"/>
        <v>0</v>
      </c>
      <c r="AJ90" s="79">
        <f t="shared" si="25"/>
        <v>0</v>
      </c>
      <c r="AK90" s="81">
        <f t="shared" si="26"/>
        <v>5</v>
      </c>
      <c r="AL90" s="81" t="str">
        <f t="shared" si="38"/>
        <v>CRIT</v>
      </c>
      <c r="AM90" s="81">
        <f t="shared" si="39"/>
        <v>22</v>
      </c>
      <c r="AN90" s="99">
        <f t="shared" si="40"/>
        <v>42884</v>
      </c>
      <c r="AO90" s="99">
        <f t="shared" si="41"/>
        <v>42888</v>
      </c>
      <c r="AP90" s="99"/>
      <c r="AQ90" s="73"/>
      <c r="AR90" s="67"/>
      <c r="AS90" s="132"/>
    </row>
    <row r="91" spans="1:45" ht="20.25" customHeight="1" thickTop="1" thickBot="1" x14ac:dyDescent="0.3">
      <c r="A91" s="74" t="str">
        <f t="shared" ca="1" si="27"/>
        <v/>
      </c>
      <c r="B91" s="75" t="str">
        <f t="shared" ca="1" si="28"/>
        <v/>
      </c>
      <c r="C91" s="76" t="str">
        <f>IF(AND('Interimaire Juin  2017'!D97=$B$1,'Interimaire Juin  2017'!J97=$B$2),'Interimaire Juin  2017'!E97,"")</f>
        <v/>
      </c>
      <c r="D91" s="76" t="str">
        <f>IF(AND('Interimaire Juin  2017'!D97=$B$1,'Interimaire Juin  2017'!J97=$B$2),'Interimaire Juin  2017'!F97,"")</f>
        <v/>
      </c>
      <c r="E91" s="76" t="str">
        <f t="shared" si="29"/>
        <v/>
      </c>
      <c r="F91" s="76" t="str">
        <f t="array" aca="1" ref="F91" ca="1">IFERROR(INDEX(C:C,SMALL($E$2:$E$300,ROW(INDIRECT("83:"&amp;ROWS(C83:C381))))),"")</f>
        <v/>
      </c>
      <c r="G91" s="76" t="str">
        <f t="array" aca="1" ref="G91" ca="1">IFERROR(INDEX(D:D,SMALL($E$2:$E$300,ROW(INDIRECT("83:"&amp;ROWS(D83:D381))))),"")</f>
        <v/>
      </c>
      <c r="H91" s="82"/>
      <c r="I91" s="77">
        <v>7</v>
      </c>
      <c r="J91" s="78">
        <f t="shared" si="30"/>
        <v>1</v>
      </c>
      <c r="K91" s="82"/>
      <c r="L91" s="82"/>
      <c r="M91" s="80">
        <f t="shared" si="31"/>
        <v>1</v>
      </c>
      <c r="N91" s="77">
        <v>7</v>
      </c>
      <c r="O91" s="78">
        <f t="shared" si="32"/>
        <v>1</v>
      </c>
      <c r="P91" s="82"/>
      <c r="Q91" s="82"/>
      <c r="R91" s="80">
        <f t="shared" si="33"/>
        <v>1</v>
      </c>
      <c r="S91" s="77">
        <v>7</v>
      </c>
      <c r="T91" s="78">
        <f t="shared" si="34"/>
        <v>1</v>
      </c>
      <c r="U91" s="79"/>
      <c r="V91" s="79"/>
      <c r="W91" s="80">
        <f t="shared" si="21"/>
        <v>1</v>
      </c>
      <c r="X91" s="77">
        <v>7</v>
      </c>
      <c r="Y91" s="78">
        <f t="shared" si="35"/>
        <v>1</v>
      </c>
      <c r="Z91" s="79"/>
      <c r="AA91" s="79"/>
      <c r="AB91" s="80">
        <f t="shared" si="22"/>
        <v>1</v>
      </c>
      <c r="AC91" s="77">
        <v>7</v>
      </c>
      <c r="AD91" s="78">
        <f t="shared" si="36"/>
        <v>1</v>
      </c>
      <c r="AE91" s="79"/>
      <c r="AF91" s="79"/>
      <c r="AG91" s="80">
        <f t="shared" si="23"/>
        <v>1</v>
      </c>
      <c r="AH91" s="77">
        <f t="shared" si="24"/>
        <v>35</v>
      </c>
      <c r="AI91" s="79">
        <f t="shared" si="37"/>
        <v>0</v>
      </c>
      <c r="AJ91" s="79">
        <f t="shared" si="25"/>
        <v>0</v>
      </c>
      <c r="AK91" s="81">
        <f t="shared" si="26"/>
        <v>5</v>
      </c>
      <c r="AL91" s="81" t="str">
        <f t="shared" si="38"/>
        <v>CRIT</v>
      </c>
      <c r="AM91" s="81">
        <f t="shared" si="39"/>
        <v>22</v>
      </c>
      <c r="AN91" s="99">
        <f t="shared" si="40"/>
        <v>42884</v>
      </c>
      <c r="AO91" s="99">
        <f t="shared" si="41"/>
        <v>42888</v>
      </c>
      <c r="AP91" s="99"/>
      <c r="AQ91" s="73"/>
      <c r="AR91" s="67"/>
      <c r="AS91" s="132"/>
    </row>
    <row r="92" spans="1:45" ht="20.25" customHeight="1" thickTop="1" thickBot="1" x14ac:dyDescent="0.3">
      <c r="A92" s="74" t="str">
        <f t="shared" ca="1" si="27"/>
        <v/>
      </c>
      <c r="B92" s="75" t="str">
        <f t="shared" ca="1" si="28"/>
        <v/>
      </c>
      <c r="C92" s="76" t="str">
        <f>IF(AND('Interimaire Juin  2017'!D98=$B$1,'Interimaire Juin  2017'!J98=$B$2),'Interimaire Juin  2017'!E98,"")</f>
        <v/>
      </c>
      <c r="D92" s="76" t="str">
        <f>IF(AND('Interimaire Juin  2017'!D98=$B$1,'Interimaire Juin  2017'!J98=$B$2),'Interimaire Juin  2017'!F98,"")</f>
        <v/>
      </c>
      <c r="E92" s="76" t="str">
        <f t="shared" si="29"/>
        <v/>
      </c>
      <c r="F92" s="76" t="str">
        <f t="array" aca="1" ref="F92" ca="1">IFERROR(INDEX(C:C,SMALL($E$2:$E$300,ROW(INDIRECT("84:"&amp;ROWS(C84:C382))))),"")</f>
        <v/>
      </c>
      <c r="G92" s="76" t="str">
        <f t="array" aca="1" ref="G92" ca="1">IFERROR(INDEX(D:D,SMALL($E$2:$E$300,ROW(INDIRECT("84:"&amp;ROWS(D84:D382))))),"")</f>
        <v/>
      </c>
      <c r="H92" s="82"/>
      <c r="I92" s="77">
        <v>7</v>
      </c>
      <c r="J92" s="78">
        <f t="shared" si="30"/>
        <v>1</v>
      </c>
      <c r="K92" s="82"/>
      <c r="L92" s="82"/>
      <c r="M92" s="80">
        <f t="shared" si="31"/>
        <v>1</v>
      </c>
      <c r="N92" s="77">
        <v>7</v>
      </c>
      <c r="O92" s="78">
        <f t="shared" si="32"/>
        <v>1</v>
      </c>
      <c r="P92" s="82"/>
      <c r="Q92" s="82"/>
      <c r="R92" s="80">
        <f t="shared" si="33"/>
        <v>1</v>
      </c>
      <c r="S92" s="77">
        <v>7</v>
      </c>
      <c r="T92" s="78">
        <f t="shared" si="34"/>
        <v>1</v>
      </c>
      <c r="U92" s="79"/>
      <c r="V92" s="79"/>
      <c r="W92" s="80">
        <f t="shared" si="21"/>
        <v>1</v>
      </c>
      <c r="X92" s="77">
        <v>7</v>
      </c>
      <c r="Y92" s="78">
        <f t="shared" si="35"/>
        <v>1</v>
      </c>
      <c r="Z92" s="79"/>
      <c r="AA92" s="79"/>
      <c r="AB92" s="80">
        <f t="shared" si="22"/>
        <v>1</v>
      </c>
      <c r="AC92" s="77">
        <v>7</v>
      </c>
      <c r="AD92" s="78">
        <f t="shared" si="36"/>
        <v>1</v>
      </c>
      <c r="AE92" s="79"/>
      <c r="AF92" s="79"/>
      <c r="AG92" s="80">
        <f t="shared" si="23"/>
        <v>1</v>
      </c>
      <c r="AH92" s="77">
        <f t="shared" si="24"/>
        <v>35</v>
      </c>
      <c r="AI92" s="79">
        <f t="shared" si="37"/>
        <v>0</v>
      </c>
      <c r="AJ92" s="79">
        <f t="shared" si="25"/>
        <v>0</v>
      </c>
      <c r="AK92" s="81">
        <f t="shared" si="26"/>
        <v>5</v>
      </c>
      <c r="AL92" s="81" t="str">
        <f t="shared" si="38"/>
        <v>CRIT</v>
      </c>
      <c r="AM92" s="81">
        <f t="shared" si="39"/>
        <v>22</v>
      </c>
      <c r="AN92" s="99">
        <f t="shared" si="40"/>
        <v>42884</v>
      </c>
      <c r="AO92" s="99">
        <f t="shared" si="41"/>
        <v>42888</v>
      </c>
      <c r="AP92" s="99"/>
      <c r="AQ92" s="73"/>
      <c r="AR92" s="67"/>
      <c r="AS92" s="132"/>
    </row>
    <row r="93" spans="1:45" ht="20.25" customHeight="1" thickTop="1" thickBot="1" x14ac:dyDescent="0.3">
      <c r="A93" s="74" t="str">
        <f t="shared" ca="1" si="27"/>
        <v/>
      </c>
      <c r="B93" s="75" t="str">
        <f t="shared" ca="1" si="28"/>
        <v/>
      </c>
      <c r="C93" s="76" t="str">
        <f>IF(AND('Interimaire Juin  2017'!D99=$B$1,'Interimaire Juin  2017'!J99=$B$2),'Interimaire Juin  2017'!E99,"")</f>
        <v/>
      </c>
      <c r="D93" s="76" t="str">
        <f>IF(AND('Interimaire Juin  2017'!D99=$B$1,'Interimaire Juin  2017'!J99=$B$2),'Interimaire Juin  2017'!F99,"")</f>
        <v/>
      </c>
      <c r="E93" s="76" t="str">
        <f t="shared" si="29"/>
        <v/>
      </c>
      <c r="F93" s="76" t="str">
        <f t="array" aca="1" ref="F93" ca="1">IFERROR(INDEX(C:C,SMALL($E$2:$E$300,ROW(INDIRECT("85:"&amp;ROWS(C85:C383))))),"")</f>
        <v/>
      </c>
      <c r="G93" s="76" t="str">
        <f t="array" aca="1" ref="G93" ca="1">IFERROR(INDEX(D:D,SMALL($E$2:$E$300,ROW(INDIRECT("85:"&amp;ROWS(D85:D383))))),"")</f>
        <v/>
      </c>
      <c r="H93" s="82"/>
      <c r="I93" s="77">
        <v>7</v>
      </c>
      <c r="J93" s="78">
        <f t="shared" si="30"/>
        <v>1</v>
      </c>
      <c r="K93" s="82"/>
      <c r="L93" s="82"/>
      <c r="M93" s="80">
        <f t="shared" si="31"/>
        <v>1</v>
      </c>
      <c r="N93" s="77">
        <v>7</v>
      </c>
      <c r="O93" s="78">
        <f t="shared" si="32"/>
        <v>1</v>
      </c>
      <c r="P93" s="82"/>
      <c r="Q93" s="82"/>
      <c r="R93" s="80">
        <f t="shared" si="33"/>
        <v>1</v>
      </c>
      <c r="S93" s="77">
        <v>7</v>
      </c>
      <c r="T93" s="78">
        <f t="shared" si="34"/>
        <v>1</v>
      </c>
      <c r="U93" s="79"/>
      <c r="V93" s="79"/>
      <c r="W93" s="80">
        <f t="shared" si="21"/>
        <v>1</v>
      </c>
      <c r="X93" s="77">
        <v>7</v>
      </c>
      <c r="Y93" s="78">
        <f t="shared" si="35"/>
        <v>1</v>
      </c>
      <c r="Z93" s="79"/>
      <c r="AA93" s="79"/>
      <c r="AB93" s="80">
        <f t="shared" si="22"/>
        <v>1</v>
      </c>
      <c r="AC93" s="77">
        <v>7</v>
      </c>
      <c r="AD93" s="78">
        <f t="shared" si="36"/>
        <v>1</v>
      </c>
      <c r="AE93" s="79"/>
      <c r="AF93" s="79"/>
      <c r="AG93" s="80">
        <f t="shared" si="23"/>
        <v>1</v>
      </c>
      <c r="AH93" s="77">
        <f t="shared" si="24"/>
        <v>35</v>
      </c>
      <c r="AI93" s="79">
        <f t="shared" si="37"/>
        <v>0</v>
      </c>
      <c r="AJ93" s="79">
        <f t="shared" si="25"/>
        <v>0</v>
      </c>
      <c r="AK93" s="81">
        <f t="shared" si="26"/>
        <v>5</v>
      </c>
      <c r="AL93" s="81" t="str">
        <f t="shared" si="38"/>
        <v>CRIT</v>
      </c>
      <c r="AM93" s="81">
        <f t="shared" si="39"/>
        <v>22</v>
      </c>
      <c r="AN93" s="99">
        <f t="shared" si="40"/>
        <v>42884</v>
      </c>
      <c r="AO93" s="99">
        <f t="shared" si="41"/>
        <v>42888</v>
      </c>
      <c r="AP93" s="99"/>
      <c r="AQ93" s="73"/>
      <c r="AR93" s="67"/>
      <c r="AS93" s="132"/>
    </row>
    <row r="94" spans="1:45" ht="20.25" customHeight="1" thickTop="1" thickBot="1" x14ac:dyDescent="0.3">
      <c r="A94" s="74" t="str">
        <f t="shared" ca="1" si="27"/>
        <v/>
      </c>
      <c r="B94" s="75" t="str">
        <f t="shared" ca="1" si="28"/>
        <v/>
      </c>
      <c r="C94" s="76" t="str">
        <f>IF(AND('Interimaire Juin  2017'!D100=$B$1,'Interimaire Juin  2017'!J100=$B$2),'Interimaire Juin  2017'!E100,"")</f>
        <v/>
      </c>
      <c r="D94" s="76" t="str">
        <f>IF(AND('Interimaire Juin  2017'!D100=$B$1,'Interimaire Juin  2017'!J100=$B$2),'Interimaire Juin  2017'!F100,"")</f>
        <v/>
      </c>
      <c r="E94" s="76" t="str">
        <f t="shared" si="29"/>
        <v/>
      </c>
      <c r="F94" s="76" t="str">
        <f t="array" aca="1" ref="F94" ca="1">IFERROR(INDEX(C:C,SMALL($E$2:$E$300,ROW(INDIRECT("86:"&amp;ROWS(C86:C384))))),"")</f>
        <v/>
      </c>
      <c r="G94" s="76" t="str">
        <f t="array" aca="1" ref="G94" ca="1">IFERROR(INDEX(D:D,SMALL($E$2:$E$300,ROW(INDIRECT("86:"&amp;ROWS(D86:D384))))),"")</f>
        <v/>
      </c>
      <c r="H94" s="82"/>
      <c r="I94" s="77">
        <v>7</v>
      </c>
      <c r="J94" s="78">
        <f t="shared" si="30"/>
        <v>1</v>
      </c>
      <c r="K94" s="82"/>
      <c r="L94" s="82"/>
      <c r="M94" s="80">
        <f t="shared" si="31"/>
        <v>1</v>
      </c>
      <c r="N94" s="77">
        <v>7</v>
      </c>
      <c r="O94" s="78">
        <f t="shared" si="32"/>
        <v>1</v>
      </c>
      <c r="P94" s="82"/>
      <c r="Q94" s="82"/>
      <c r="R94" s="80">
        <f t="shared" si="33"/>
        <v>1</v>
      </c>
      <c r="S94" s="77">
        <v>7</v>
      </c>
      <c r="T94" s="78">
        <f t="shared" si="34"/>
        <v>1</v>
      </c>
      <c r="U94" s="79"/>
      <c r="V94" s="79"/>
      <c r="W94" s="80">
        <f t="shared" si="21"/>
        <v>1</v>
      </c>
      <c r="X94" s="77">
        <v>7</v>
      </c>
      <c r="Y94" s="78">
        <f t="shared" si="35"/>
        <v>1</v>
      </c>
      <c r="Z94" s="79"/>
      <c r="AA94" s="79"/>
      <c r="AB94" s="80">
        <f t="shared" si="22"/>
        <v>1</v>
      </c>
      <c r="AC94" s="77">
        <v>7</v>
      </c>
      <c r="AD94" s="78">
        <f t="shared" si="36"/>
        <v>1</v>
      </c>
      <c r="AE94" s="79"/>
      <c r="AF94" s="79"/>
      <c r="AG94" s="80">
        <f t="shared" si="23"/>
        <v>1</v>
      </c>
      <c r="AH94" s="77">
        <f t="shared" si="24"/>
        <v>35</v>
      </c>
      <c r="AI94" s="79">
        <f t="shared" si="37"/>
        <v>0</v>
      </c>
      <c r="AJ94" s="79">
        <f t="shared" si="25"/>
        <v>0</v>
      </c>
      <c r="AK94" s="81">
        <f t="shared" si="26"/>
        <v>5</v>
      </c>
      <c r="AL94" s="81" t="str">
        <f t="shared" si="38"/>
        <v>CRIT</v>
      </c>
      <c r="AM94" s="81">
        <f t="shared" si="39"/>
        <v>22</v>
      </c>
      <c r="AN94" s="99">
        <f t="shared" si="40"/>
        <v>42884</v>
      </c>
      <c r="AO94" s="99">
        <f t="shared" si="41"/>
        <v>42888</v>
      </c>
      <c r="AP94" s="99"/>
      <c r="AQ94" s="73"/>
      <c r="AR94" s="67"/>
      <c r="AS94" s="132"/>
    </row>
    <row r="95" spans="1:45" ht="20.25" customHeight="1" thickTop="1" thickBot="1" x14ac:dyDescent="0.3">
      <c r="A95" s="74" t="str">
        <f t="shared" ca="1" si="27"/>
        <v/>
      </c>
      <c r="B95" s="75" t="str">
        <f t="shared" ca="1" si="28"/>
        <v/>
      </c>
      <c r="C95" s="76" t="str">
        <f>IF(AND('Interimaire Juin  2017'!D101=$B$1,'Interimaire Juin  2017'!J101=$B$2),'Interimaire Juin  2017'!E101,"")</f>
        <v/>
      </c>
      <c r="D95" s="76" t="str">
        <f>IF(AND('Interimaire Juin  2017'!D101=$B$1,'Interimaire Juin  2017'!J101=$B$2),'Interimaire Juin  2017'!F101,"")</f>
        <v/>
      </c>
      <c r="E95" s="76" t="str">
        <f t="shared" si="29"/>
        <v/>
      </c>
      <c r="F95" s="76" t="str">
        <f t="array" aca="1" ref="F95" ca="1">IFERROR(INDEX(C:C,SMALL($E$2:$E$300,ROW(INDIRECT("87:"&amp;ROWS(C87:C385))))),"")</f>
        <v/>
      </c>
      <c r="G95" s="76" t="str">
        <f t="array" aca="1" ref="G95" ca="1">IFERROR(INDEX(D:D,SMALL($E$2:$E$300,ROW(INDIRECT("87:"&amp;ROWS(D87:D385))))),"")</f>
        <v/>
      </c>
      <c r="H95" s="82"/>
      <c r="I95" s="77">
        <v>7</v>
      </c>
      <c r="J95" s="78">
        <f t="shared" si="30"/>
        <v>1</v>
      </c>
      <c r="K95" s="82"/>
      <c r="L95" s="82"/>
      <c r="M95" s="80">
        <f t="shared" si="31"/>
        <v>1</v>
      </c>
      <c r="N95" s="77">
        <v>7</v>
      </c>
      <c r="O95" s="78">
        <f t="shared" si="32"/>
        <v>1</v>
      </c>
      <c r="P95" s="82"/>
      <c r="Q95" s="82"/>
      <c r="R95" s="80">
        <f t="shared" si="33"/>
        <v>1</v>
      </c>
      <c r="S95" s="77">
        <v>7</v>
      </c>
      <c r="T95" s="78">
        <f t="shared" si="34"/>
        <v>1</v>
      </c>
      <c r="U95" s="79"/>
      <c r="V95" s="79"/>
      <c r="W95" s="80">
        <f t="shared" si="21"/>
        <v>1</v>
      </c>
      <c r="X95" s="77">
        <v>7</v>
      </c>
      <c r="Y95" s="78">
        <f t="shared" si="35"/>
        <v>1</v>
      </c>
      <c r="Z95" s="79"/>
      <c r="AA95" s="79"/>
      <c r="AB95" s="80">
        <f t="shared" si="22"/>
        <v>1</v>
      </c>
      <c r="AC95" s="77">
        <v>7</v>
      </c>
      <c r="AD95" s="78">
        <f t="shared" si="36"/>
        <v>1</v>
      </c>
      <c r="AE95" s="79"/>
      <c r="AF95" s="79"/>
      <c r="AG95" s="80">
        <f t="shared" si="23"/>
        <v>1</v>
      </c>
      <c r="AH95" s="77">
        <f t="shared" si="24"/>
        <v>35</v>
      </c>
      <c r="AI95" s="79">
        <f t="shared" si="37"/>
        <v>0</v>
      </c>
      <c r="AJ95" s="79">
        <f t="shared" si="25"/>
        <v>0</v>
      </c>
      <c r="AK95" s="81">
        <f t="shared" si="26"/>
        <v>5</v>
      </c>
      <c r="AL95" s="81" t="str">
        <f t="shared" si="38"/>
        <v>CRIT</v>
      </c>
      <c r="AM95" s="81">
        <f t="shared" si="39"/>
        <v>22</v>
      </c>
      <c r="AN95" s="99">
        <f t="shared" si="40"/>
        <v>42884</v>
      </c>
      <c r="AO95" s="99">
        <f t="shared" si="41"/>
        <v>42888</v>
      </c>
      <c r="AP95" s="99"/>
      <c r="AQ95" s="73"/>
      <c r="AR95" s="67"/>
      <c r="AS95" s="132"/>
    </row>
    <row r="96" spans="1:45" ht="20.25" customHeight="1" thickTop="1" thickBot="1" x14ac:dyDescent="0.3">
      <c r="A96" s="74" t="str">
        <f t="shared" ca="1" si="27"/>
        <v/>
      </c>
      <c r="B96" s="75" t="str">
        <f t="shared" ca="1" si="28"/>
        <v/>
      </c>
      <c r="C96" s="76" t="str">
        <f>IF(AND('Interimaire Juin  2017'!D102=$B$1,'Interimaire Juin  2017'!J102=$B$2),'Interimaire Juin  2017'!E102,"")</f>
        <v/>
      </c>
      <c r="D96" s="76" t="str">
        <f>IF(AND('Interimaire Juin  2017'!D102=$B$1,'Interimaire Juin  2017'!J102=$B$2),'Interimaire Juin  2017'!F102,"")</f>
        <v/>
      </c>
      <c r="E96" s="76" t="str">
        <f t="shared" si="29"/>
        <v/>
      </c>
      <c r="F96" s="76" t="str">
        <f t="array" aca="1" ref="F96" ca="1">IFERROR(INDEX(C:C,SMALL($E$2:$E$300,ROW(INDIRECT("88:"&amp;ROWS(C88:C386))))),"")</f>
        <v/>
      </c>
      <c r="G96" s="76" t="str">
        <f t="array" aca="1" ref="G96" ca="1">IFERROR(INDEX(D:D,SMALL($E$2:$E$300,ROW(INDIRECT("88:"&amp;ROWS(D88:D386))))),"")</f>
        <v/>
      </c>
      <c r="H96" s="82"/>
      <c r="I96" s="77">
        <v>7</v>
      </c>
      <c r="J96" s="78">
        <f t="shared" si="30"/>
        <v>1</v>
      </c>
      <c r="K96" s="82"/>
      <c r="L96" s="82"/>
      <c r="M96" s="80">
        <f t="shared" si="31"/>
        <v>1</v>
      </c>
      <c r="N96" s="77">
        <v>7</v>
      </c>
      <c r="O96" s="78">
        <f t="shared" si="32"/>
        <v>1</v>
      </c>
      <c r="P96" s="82"/>
      <c r="Q96" s="82"/>
      <c r="R96" s="80">
        <f t="shared" si="33"/>
        <v>1</v>
      </c>
      <c r="S96" s="77">
        <v>7</v>
      </c>
      <c r="T96" s="78">
        <f t="shared" si="34"/>
        <v>1</v>
      </c>
      <c r="U96" s="79"/>
      <c r="V96" s="79"/>
      <c r="W96" s="80">
        <f t="shared" si="21"/>
        <v>1</v>
      </c>
      <c r="X96" s="77">
        <v>7</v>
      </c>
      <c r="Y96" s="78">
        <f t="shared" si="35"/>
        <v>1</v>
      </c>
      <c r="Z96" s="79"/>
      <c r="AA96" s="79"/>
      <c r="AB96" s="80">
        <f t="shared" si="22"/>
        <v>1</v>
      </c>
      <c r="AC96" s="77">
        <v>7</v>
      </c>
      <c r="AD96" s="78">
        <f t="shared" si="36"/>
        <v>1</v>
      </c>
      <c r="AE96" s="79"/>
      <c r="AF96" s="79"/>
      <c r="AG96" s="80">
        <f t="shared" si="23"/>
        <v>1</v>
      </c>
      <c r="AH96" s="77">
        <f t="shared" si="24"/>
        <v>35</v>
      </c>
      <c r="AI96" s="79">
        <f t="shared" si="37"/>
        <v>0</v>
      </c>
      <c r="AJ96" s="79">
        <f t="shared" si="25"/>
        <v>0</v>
      </c>
      <c r="AK96" s="81">
        <f t="shared" si="26"/>
        <v>5</v>
      </c>
      <c r="AL96" s="81" t="str">
        <f t="shared" si="38"/>
        <v>CRIT</v>
      </c>
      <c r="AM96" s="81">
        <f t="shared" si="39"/>
        <v>22</v>
      </c>
      <c r="AN96" s="99">
        <f t="shared" si="40"/>
        <v>42884</v>
      </c>
      <c r="AO96" s="99">
        <f t="shared" si="41"/>
        <v>42888</v>
      </c>
      <c r="AP96" s="99"/>
      <c r="AQ96" s="73"/>
      <c r="AR96" s="67"/>
      <c r="AS96" s="132"/>
    </row>
    <row r="97" spans="1:45" ht="20.25" customHeight="1" thickTop="1" thickBot="1" x14ac:dyDescent="0.3">
      <c r="A97" s="74" t="str">
        <f t="shared" ca="1" si="27"/>
        <v/>
      </c>
      <c r="B97" s="75" t="str">
        <f t="shared" ca="1" si="28"/>
        <v/>
      </c>
      <c r="C97" s="76" t="str">
        <f>IF(AND('Interimaire Juin  2017'!D103=$B$1,'Interimaire Juin  2017'!J103=$B$2),'Interimaire Juin  2017'!E103,"")</f>
        <v/>
      </c>
      <c r="D97" s="76" t="str">
        <f>IF(AND('Interimaire Juin  2017'!D103=$B$1,'Interimaire Juin  2017'!J103=$B$2),'Interimaire Juin  2017'!F103,"")</f>
        <v/>
      </c>
      <c r="E97" s="76" t="str">
        <f t="shared" si="29"/>
        <v/>
      </c>
      <c r="F97" s="76" t="str">
        <f t="array" aca="1" ref="F97" ca="1">IFERROR(INDEX(C:C,SMALL($E$2:$E$300,ROW(INDIRECT("89:"&amp;ROWS(C89:C387))))),"")</f>
        <v/>
      </c>
      <c r="G97" s="76" t="str">
        <f t="array" aca="1" ref="G97" ca="1">IFERROR(INDEX(D:D,SMALL($E$2:$E$300,ROW(INDIRECT("89:"&amp;ROWS(D89:D387))))),"")</f>
        <v/>
      </c>
      <c r="H97" s="82"/>
      <c r="I97" s="77">
        <v>7</v>
      </c>
      <c r="J97" s="78">
        <f t="shared" si="30"/>
        <v>1</v>
      </c>
      <c r="K97" s="82"/>
      <c r="L97" s="82"/>
      <c r="M97" s="80">
        <f t="shared" si="31"/>
        <v>1</v>
      </c>
      <c r="N97" s="77">
        <v>7</v>
      </c>
      <c r="O97" s="78">
        <f t="shared" si="32"/>
        <v>1</v>
      </c>
      <c r="P97" s="82"/>
      <c r="Q97" s="82"/>
      <c r="R97" s="80">
        <f t="shared" si="33"/>
        <v>1</v>
      </c>
      <c r="S97" s="77">
        <v>7</v>
      </c>
      <c r="T97" s="78">
        <f t="shared" si="34"/>
        <v>1</v>
      </c>
      <c r="U97" s="79"/>
      <c r="V97" s="79"/>
      <c r="W97" s="80">
        <f t="shared" si="21"/>
        <v>1</v>
      </c>
      <c r="X97" s="77">
        <v>7</v>
      </c>
      <c r="Y97" s="78">
        <f t="shared" si="35"/>
        <v>1</v>
      </c>
      <c r="Z97" s="79"/>
      <c r="AA97" s="79"/>
      <c r="AB97" s="80">
        <f t="shared" si="22"/>
        <v>1</v>
      </c>
      <c r="AC97" s="77">
        <v>7</v>
      </c>
      <c r="AD97" s="78">
        <f t="shared" si="36"/>
        <v>1</v>
      </c>
      <c r="AE97" s="79"/>
      <c r="AF97" s="79"/>
      <c r="AG97" s="80">
        <f t="shared" si="23"/>
        <v>1</v>
      </c>
      <c r="AH97" s="77">
        <f t="shared" si="24"/>
        <v>35</v>
      </c>
      <c r="AI97" s="79">
        <f t="shared" si="37"/>
        <v>0</v>
      </c>
      <c r="AJ97" s="79">
        <f t="shared" si="25"/>
        <v>0</v>
      </c>
      <c r="AK97" s="81">
        <f t="shared" si="26"/>
        <v>5</v>
      </c>
      <c r="AL97" s="81" t="str">
        <f t="shared" si="38"/>
        <v>CRIT</v>
      </c>
      <c r="AM97" s="81">
        <f t="shared" si="39"/>
        <v>22</v>
      </c>
      <c r="AN97" s="99">
        <f t="shared" si="40"/>
        <v>42884</v>
      </c>
      <c r="AO97" s="99">
        <f t="shared" si="41"/>
        <v>42888</v>
      </c>
      <c r="AP97" s="99"/>
      <c r="AQ97" s="73"/>
      <c r="AR97" s="67"/>
      <c r="AS97" s="132"/>
    </row>
    <row r="98" spans="1:45" ht="20.25" customHeight="1" thickTop="1" thickBot="1" x14ac:dyDescent="0.3">
      <c r="A98" s="74" t="str">
        <f t="shared" ca="1" si="27"/>
        <v/>
      </c>
      <c r="B98" s="75" t="str">
        <f t="shared" ca="1" si="28"/>
        <v/>
      </c>
      <c r="C98" s="76" t="str">
        <f>IF(AND('Interimaire Juin  2017'!D104=$B$1,'Interimaire Juin  2017'!J104=$B$2),'Interimaire Juin  2017'!E104,"")</f>
        <v/>
      </c>
      <c r="D98" s="76" t="str">
        <f>IF(AND('Interimaire Juin  2017'!D104=$B$1,'Interimaire Juin  2017'!J104=$B$2),'Interimaire Juin  2017'!F104,"")</f>
        <v/>
      </c>
      <c r="E98" s="76" t="str">
        <f t="shared" si="29"/>
        <v/>
      </c>
      <c r="F98" s="76" t="str">
        <f t="array" aca="1" ref="F98" ca="1">IFERROR(INDEX(C:C,SMALL($E$2:$E$300,ROW(INDIRECT("90:"&amp;ROWS(C90:C388))))),"")</f>
        <v/>
      </c>
      <c r="G98" s="76" t="str">
        <f t="array" aca="1" ref="G98" ca="1">IFERROR(INDEX(D:D,SMALL($E$2:$E$300,ROW(INDIRECT("90:"&amp;ROWS(D90:D388))))),"")</f>
        <v/>
      </c>
      <c r="H98" s="82"/>
      <c r="I98" s="77">
        <v>7</v>
      </c>
      <c r="J98" s="78">
        <f t="shared" si="30"/>
        <v>1</v>
      </c>
      <c r="K98" s="82"/>
      <c r="L98" s="82"/>
      <c r="M98" s="80">
        <f t="shared" si="31"/>
        <v>1</v>
      </c>
      <c r="N98" s="77">
        <v>7</v>
      </c>
      <c r="O98" s="78">
        <f t="shared" si="32"/>
        <v>1</v>
      </c>
      <c r="P98" s="82"/>
      <c r="Q98" s="82"/>
      <c r="R98" s="80">
        <f t="shared" si="33"/>
        <v>1</v>
      </c>
      <c r="S98" s="77">
        <v>7</v>
      </c>
      <c r="T98" s="78">
        <f t="shared" si="34"/>
        <v>1</v>
      </c>
      <c r="U98" s="79"/>
      <c r="V98" s="79"/>
      <c r="W98" s="80">
        <f t="shared" si="21"/>
        <v>1</v>
      </c>
      <c r="X98" s="77">
        <v>7</v>
      </c>
      <c r="Y98" s="78">
        <f t="shared" si="35"/>
        <v>1</v>
      </c>
      <c r="Z98" s="79"/>
      <c r="AA98" s="79"/>
      <c r="AB98" s="80">
        <f t="shared" si="22"/>
        <v>1</v>
      </c>
      <c r="AC98" s="77">
        <v>7</v>
      </c>
      <c r="AD98" s="78">
        <f t="shared" si="36"/>
        <v>1</v>
      </c>
      <c r="AE98" s="79"/>
      <c r="AF98" s="79"/>
      <c r="AG98" s="80">
        <f t="shared" si="23"/>
        <v>1</v>
      </c>
      <c r="AH98" s="77">
        <f t="shared" si="24"/>
        <v>35</v>
      </c>
      <c r="AI98" s="79">
        <f t="shared" si="37"/>
        <v>0</v>
      </c>
      <c r="AJ98" s="79">
        <f t="shared" si="25"/>
        <v>0</v>
      </c>
      <c r="AK98" s="81">
        <f t="shared" si="26"/>
        <v>5</v>
      </c>
      <c r="AL98" s="81" t="str">
        <f t="shared" si="38"/>
        <v>CRIT</v>
      </c>
      <c r="AM98" s="81">
        <f t="shared" si="39"/>
        <v>22</v>
      </c>
      <c r="AN98" s="99">
        <f t="shared" si="40"/>
        <v>42884</v>
      </c>
      <c r="AO98" s="99">
        <f t="shared" si="41"/>
        <v>42888</v>
      </c>
      <c r="AP98" s="99"/>
      <c r="AQ98" s="73"/>
      <c r="AR98" s="67"/>
      <c r="AS98" s="132"/>
    </row>
    <row r="99" spans="1:45" ht="20.25" customHeight="1" thickTop="1" thickBot="1" x14ac:dyDescent="0.3">
      <c r="A99" s="74" t="str">
        <f t="shared" ca="1" si="27"/>
        <v/>
      </c>
      <c r="B99" s="75" t="str">
        <f t="shared" ca="1" si="28"/>
        <v/>
      </c>
      <c r="C99" s="76" t="str">
        <f>IF(AND('Interimaire Juin  2017'!D105=$B$1,'Interimaire Juin  2017'!J105=$B$2),'Interimaire Juin  2017'!E105,"")</f>
        <v/>
      </c>
      <c r="D99" s="76" t="str">
        <f>IF(AND('Interimaire Juin  2017'!D105=$B$1,'Interimaire Juin  2017'!J105=$B$2),'Interimaire Juin  2017'!F105,"")</f>
        <v/>
      </c>
      <c r="E99" s="76" t="str">
        <f t="shared" si="29"/>
        <v/>
      </c>
      <c r="F99" s="76" t="str">
        <f t="array" aca="1" ref="F99" ca="1">IFERROR(INDEX(C:C,SMALL($E$2:$E$300,ROW(INDIRECT("91:"&amp;ROWS(C91:C389))))),"")</f>
        <v/>
      </c>
      <c r="G99" s="76" t="str">
        <f t="array" aca="1" ref="G99" ca="1">IFERROR(INDEX(D:D,SMALL($E$2:$E$300,ROW(INDIRECT("91:"&amp;ROWS(D91:D389))))),"")</f>
        <v/>
      </c>
      <c r="H99" s="82"/>
      <c r="I99" s="77">
        <v>7</v>
      </c>
      <c r="J99" s="78">
        <f t="shared" si="30"/>
        <v>1</v>
      </c>
      <c r="K99" s="82"/>
      <c r="L99" s="82"/>
      <c r="M99" s="80">
        <f t="shared" si="31"/>
        <v>1</v>
      </c>
      <c r="N99" s="77">
        <v>7</v>
      </c>
      <c r="O99" s="78">
        <f t="shared" si="32"/>
        <v>1</v>
      </c>
      <c r="P99" s="82"/>
      <c r="Q99" s="82"/>
      <c r="R99" s="80">
        <f t="shared" si="33"/>
        <v>1</v>
      </c>
      <c r="S99" s="77">
        <v>7</v>
      </c>
      <c r="T99" s="78">
        <f t="shared" si="34"/>
        <v>1</v>
      </c>
      <c r="U99" s="79"/>
      <c r="V99" s="79"/>
      <c r="W99" s="80">
        <f t="shared" si="21"/>
        <v>1</v>
      </c>
      <c r="X99" s="77">
        <v>7</v>
      </c>
      <c r="Y99" s="78">
        <f t="shared" si="35"/>
        <v>1</v>
      </c>
      <c r="Z99" s="79"/>
      <c r="AA99" s="79"/>
      <c r="AB99" s="80">
        <f t="shared" si="22"/>
        <v>1</v>
      </c>
      <c r="AC99" s="77">
        <v>7</v>
      </c>
      <c r="AD99" s="78">
        <f t="shared" si="36"/>
        <v>1</v>
      </c>
      <c r="AE99" s="79"/>
      <c r="AF99" s="79"/>
      <c r="AG99" s="80">
        <f t="shared" si="23"/>
        <v>1</v>
      </c>
      <c r="AH99" s="77">
        <f t="shared" si="24"/>
        <v>35</v>
      </c>
      <c r="AI99" s="79">
        <f t="shared" si="37"/>
        <v>0</v>
      </c>
      <c r="AJ99" s="79">
        <f t="shared" si="25"/>
        <v>0</v>
      </c>
      <c r="AK99" s="81">
        <f t="shared" si="26"/>
        <v>5</v>
      </c>
      <c r="AL99" s="81" t="str">
        <f t="shared" si="38"/>
        <v>CRIT</v>
      </c>
      <c r="AM99" s="81">
        <f t="shared" si="39"/>
        <v>22</v>
      </c>
      <c r="AN99" s="99">
        <f t="shared" si="40"/>
        <v>42884</v>
      </c>
      <c r="AO99" s="99">
        <f t="shared" si="41"/>
        <v>42888</v>
      </c>
      <c r="AP99" s="99"/>
      <c r="AQ99" s="73"/>
      <c r="AR99" s="67"/>
      <c r="AS99" s="132"/>
    </row>
    <row r="100" spans="1:45" ht="20.25" customHeight="1" thickTop="1" thickBot="1" x14ac:dyDescent="0.3">
      <c r="A100" s="74" t="str">
        <f t="shared" ca="1" si="27"/>
        <v/>
      </c>
      <c r="B100" s="75" t="str">
        <f t="shared" ca="1" si="28"/>
        <v/>
      </c>
      <c r="C100" s="76" t="str">
        <f>IF(AND('Interimaire Juin  2017'!D106=$B$1,'Interimaire Juin  2017'!J106=$B$2),'Interimaire Juin  2017'!E106,"")</f>
        <v/>
      </c>
      <c r="D100" s="76" t="str">
        <f>IF(AND('Interimaire Juin  2017'!D106=$B$1,'Interimaire Juin  2017'!J106=$B$2),'Interimaire Juin  2017'!F106,"")</f>
        <v/>
      </c>
      <c r="E100" s="76" t="str">
        <f t="shared" si="29"/>
        <v/>
      </c>
      <c r="F100" s="76" t="str">
        <f t="array" aca="1" ref="F100" ca="1">IFERROR(INDEX(C:C,SMALL($E$2:$E$300,ROW(INDIRECT("92:"&amp;ROWS(C92:C390))))),"")</f>
        <v/>
      </c>
      <c r="G100" s="76" t="str">
        <f t="array" aca="1" ref="G100" ca="1">IFERROR(INDEX(D:D,SMALL($E$2:$E$300,ROW(INDIRECT("92:"&amp;ROWS(D92:D390))))),"")</f>
        <v/>
      </c>
      <c r="H100" s="82"/>
      <c r="I100" s="77">
        <v>7</v>
      </c>
      <c r="J100" s="78">
        <f t="shared" si="30"/>
        <v>1</v>
      </c>
      <c r="K100" s="82"/>
      <c r="L100" s="82"/>
      <c r="M100" s="80">
        <f t="shared" si="31"/>
        <v>1</v>
      </c>
      <c r="N100" s="77">
        <v>7</v>
      </c>
      <c r="O100" s="78">
        <f t="shared" si="32"/>
        <v>1</v>
      </c>
      <c r="P100" s="82"/>
      <c r="Q100" s="82"/>
      <c r="R100" s="80">
        <f t="shared" si="33"/>
        <v>1</v>
      </c>
      <c r="S100" s="77">
        <v>7</v>
      </c>
      <c r="T100" s="78">
        <f t="shared" si="34"/>
        <v>1</v>
      </c>
      <c r="U100" s="79"/>
      <c r="V100" s="79"/>
      <c r="W100" s="80">
        <f t="shared" si="21"/>
        <v>1</v>
      </c>
      <c r="X100" s="77">
        <v>7</v>
      </c>
      <c r="Y100" s="78">
        <f t="shared" si="35"/>
        <v>1</v>
      </c>
      <c r="Z100" s="79"/>
      <c r="AA100" s="79"/>
      <c r="AB100" s="80">
        <f t="shared" si="22"/>
        <v>1</v>
      </c>
      <c r="AC100" s="77">
        <v>7</v>
      </c>
      <c r="AD100" s="78">
        <f t="shared" si="36"/>
        <v>1</v>
      </c>
      <c r="AE100" s="79"/>
      <c r="AF100" s="79"/>
      <c r="AG100" s="80">
        <f t="shared" si="23"/>
        <v>1</v>
      </c>
      <c r="AH100" s="77">
        <f t="shared" si="24"/>
        <v>35</v>
      </c>
      <c r="AI100" s="79">
        <f t="shared" si="37"/>
        <v>0</v>
      </c>
      <c r="AJ100" s="79">
        <f t="shared" si="25"/>
        <v>0</v>
      </c>
      <c r="AK100" s="81">
        <f t="shared" si="26"/>
        <v>5</v>
      </c>
      <c r="AL100" s="81" t="str">
        <f t="shared" si="38"/>
        <v>CRIT</v>
      </c>
      <c r="AM100" s="81">
        <f t="shared" si="39"/>
        <v>22</v>
      </c>
      <c r="AN100" s="99">
        <f t="shared" si="40"/>
        <v>42884</v>
      </c>
      <c r="AO100" s="99">
        <f t="shared" si="41"/>
        <v>42888</v>
      </c>
      <c r="AP100" s="99"/>
      <c r="AQ100" s="73"/>
      <c r="AR100" s="67"/>
      <c r="AS100" s="132"/>
    </row>
    <row r="101" spans="1:45" ht="20.25" customHeight="1" thickTop="1" thickBot="1" x14ac:dyDescent="0.3">
      <c r="A101" s="74" t="str">
        <f t="shared" ca="1" si="27"/>
        <v/>
      </c>
      <c r="B101" s="75" t="str">
        <f t="shared" ca="1" si="28"/>
        <v/>
      </c>
      <c r="C101" s="76" t="str">
        <f>IF(AND('Interimaire Juin  2017'!D107=$B$1,'Interimaire Juin  2017'!J107=$B$2),'Interimaire Juin  2017'!E107,"")</f>
        <v/>
      </c>
      <c r="D101" s="76" t="str">
        <f>IF(AND('Interimaire Juin  2017'!D107=$B$1,'Interimaire Juin  2017'!J107=$B$2),'Interimaire Juin  2017'!F107,"")</f>
        <v/>
      </c>
      <c r="E101" s="76" t="str">
        <f t="shared" si="29"/>
        <v/>
      </c>
      <c r="F101" s="76" t="str">
        <f t="array" aca="1" ref="F101" ca="1">IFERROR(INDEX(C:C,SMALL($E$2:$E$300,ROW(INDIRECT("93:"&amp;ROWS(C93:C391))))),"")</f>
        <v/>
      </c>
      <c r="G101" s="76" t="str">
        <f t="array" aca="1" ref="G101" ca="1">IFERROR(INDEX(D:D,SMALL($E$2:$E$300,ROW(INDIRECT("93:"&amp;ROWS(D93:D391))))),"")</f>
        <v/>
      </c>
      <c r="H101" s="82"/>
      <c r="I101" s="77">
        <v>7</v>
      </c>
      <c r="J101" s="78">
        <f t="shared" si="30"/>
        <v>1</v>
      </c>
      <c r="K101" s="82"/>
      <c r="L101" s="82"/>
      <c r="M101" s="80">
        <f t="shared" ref="M101:M164" si="42">+J101</f>
        <v>1</v>
      </c>
      <c r="N101" s="77">
        <v>7</v>
      </c>
      <c r="O101" s="78">
        <f t="shared" si="32"/>
        <v>1</v>
      </c>
      <c r="P101" s="82"/>
      <c r="Q101" s="82"/>
      <c r="R101" s="80">
        <f t="shared" ref="R101:R164" si="43">+O101</f>
        <v>1</v>
      </c>
      <c r="S101" s="77">
        <v>7</v>
      </c>
      <c r="T101" s="78">
        <f t="shared" si="34"/>
        <v>1</v>
      </c>
      <c r="U101" s="79"/>
      <c r="V101" s="79"/>
      <c r="W101" s="80">
        <f t="shared" ref="W101:W164" si="44">+T101</f>
        <v>1</v>
      </c>
      <c r="X101" s="77">
        <v>7</v>
      </c>
      <c r="Y101" s="78">
        <f t="shared" si="35"/>
        <v>1</v>
      </c>
      <c r="Z101" s="79"/>
      <c r="AA101" s="79"/>
      <c r="AB101" s="80">
        <f t="shared" ref="AB101:AB164" si="45">+Y101</f>
        <v>1</v>
      </c>
      <c r="AC101" s="77">
        <v>7</v>
      </c>
      <c r="AD101" s="78">
        <f t="shared" si="36"/>
        <v>1</v>
      </c>
      <c r="AE101" s="79"/>
      <c r="AF101" s="79"/>
      <c r="AG101" s="80">
        <f t="shared" ref="AG101:AG164" si="46">+AD101</f>
        <v>1</v>
      </c>
      <c r="AH101" s="77">
        <f t="shared" ref="AH101:AH164" si="47">I101+N101+S101+X101+AC101</f>
        <v>35</v>
      </c>
      <c r="AI101" s="79">
        <f t="shared" si="37"/>
        <v>0</v>
      </c>
      <c r="AJ101" s="79">
        <f t="shared" ref="AJ101:AJ164" si="48">+AF101+AA101+V101+Q101+L101</f>
        <v>0</v>
      </c>
      <c r="AK101" s="81">
        <f t="shared" ref="AK101:AK164" si="49">+AG101+AB101+W101+O101+J101</f>
        <v>5</v>
      </c>
      <c r="AL101" s="81" t="str">
        <f t="shared" si="38"/>
        <v>CRIT</v>
      </c>
      <c r="AM101" s="81">
        <f t="shared" si="39"/>
        <v>22</v>
      </c>
      <c r="AN101" s="99">
        <f t="shared" si="40"/>
        <v>42884</v>
      </c>
      <c r="AO101" s="99">
        <f t="shared" si="41"/>
        <v>42888</v>
      </c>
      <c r="AP101" s="99"/>
      <c r="AQ101" s="73"/>
      <c r="AR101" s="67"/>
      <c r="AS101" s="132"/>
    </row>
    <row r="102" spans="1:45" ht="20.25" customHeight="1" thickTop="1" thickBot="1" x14ac:dyDescent="0.3">
      <c r="A102" s="74" t="str">
        <f t="shared" ca="1" si="27"/>
        <v/>
      </c>
      <c r="B102" s="75" t="str">
        <f t="shared" ca="1" si="28"/>
        <v/>
      </c>
      <c r="C102" s="76" t="str">
        <f>IF(AND('Interimaire Juin  2017'!D108=$B$1,'Interimaire Juin  2017'!J108=$B$2),'Interimaire Juin  2017'!E108,"")</f>
        <v/>
      </c>
      <c r="D102" s="76" t="str">
        <f>IF(AND('Interimaire Juin  2017'!D108=$B$1,'Interimaire Juin  2017'!J108=$B$2),'Interimaire Juin  2017'!F108,"")</f>
        <v/>
      </c>
      <c r="E102" s="76" t="str">
        <f t="shared" si="29"/>
        <v/>
      </c>
      <c r="F102" s="76" t="str">
        <f t="array" aca="1" ref="F102" ca="1">IFERROR(INDEX(C:C,SMALL($E$2:$E$300,ROW(INDIRECT("94:"&amp;ROWS(C94:C392))))),"")</f>
        <v/>
      </c>
      <c r="G102" s="76" t="str">
        <f t="array" aca="1" ref="G102" ca="1">IFERROR(INDEX(D:D,SMALL($E$2:$E$300,ROW(INDIRECT("94:"&amp;ROWS(D94:D392))))),"")</f>
        <v/>
      </c>
      <c r="H102" s="82"/>
      <c r="I102" s="77">
        <v>7</v>
      </c>
      <c r="J102" s="78">
        <f t="shared" si="30"/>
        <v>1</v>
      </c>
      <c r="K102" s="82"/>
      <c r="L102" s="82"/>
      <c r="M102" s="80">
        <f t="shared" si="42"/>
        <v>1</v>
      </c>
      <c r="N102" s="77">
        <v>7</v>
      </c>
      <c r="O102" s="78">
        <f t="shared" si="32"/>
        <v>1</v>
      </c>
      <c r="P102" s="82"/>
      <c r="Q102" s="82"/>
      <c r="R102" s="80">
        <f t="shared" si="43"/>
        <v>1</v>
      </c>
      <c r="S102" s="77">
        <v>7</v>
      </c>
      <c r="T102" s="78">
        <f t="shared" si="34"/>
        <v>1</v>
      </c>
      <c r="U102" s="79"/>
      <c r="V102" s="79"/>
      <c r="W102" s="80">
        <f t="shared" si="44"/>
        <v>1</v>
      </c>
      <c r="X102" s="77">
        <v>7</v>
      </c>
      <c r="Y102" s="78">
        <f t="shared" si="35"/>
        <v>1</v>
      </c>
      <c r="Z102" s="79"/>
      <c r="AA102" s="79"/>
      <c r="AB102" s="80">
        <f t="shared" si="45"/>
        <v>1</v>
      </c>
      <c r="AC102" s="77">
        <v>7</v>
      </c>
      <c r="AD102" s="78">
        <f t="shared" si="36"/>
        <v>1</v>
      </c>
      <c r="AE102" s="79"/>
      <c r="AF102" s="79"/>
      <c r="AG102" s="80">
        <f t="shared" si="46"/>
        <v>1</v>
      </c>
      <c r="AH102" s="77">
        <f t="shared" si="47"/>
        <v>35</v>
      </c>
      <c r="AI102" s="79">
        <f t="shared" si="37"/>
        <v>0</v>
      </c>
      <c r="AJ102" s="79">
        <f t="shared" si="48"/>
        <v>0</v>
      </c>
      <c r="AK102" s="81">
        <f t="shared" si="49"/>
        <v>5</v>
      </c>
      <c r="AL102" s="81" t="str">
        <f t="shared" si="38"/>
        <v>CRIT</v>
      </c>
      <c r="AM102" s="81">
        <f t="shared" si="39"/>
        <v>22</v>
      </c>
      <c r="AN102" s="99">
        <f t="shared" si="40"/>
        <v>42884</v>
      </c>
      <c r="AO102" s="99">
        <f t="shared" si="41"/>
        <v>42888</v>
      </c>
      <c r="AP102" s="99"/>
      <c r="AQ102" s="73"/>
      <c r="AR102" s="67"/>
      <c r="AS102" s="132"/>
    </row>
    <row r="103" spans="1:45" ht="20.25" customHeight="1" thickTop="1" thickBot="1" x14ac:dyDescent="0.3">
      <c r="A103" s="74" t="str">
        <f t="shared" ca="1" si="27"/>
        <v/>
      </c>
      <c r="B103" s="75" t="str">
        <f t="shared" ca="1" si="28"/>
        <v/>
      </c>
      <c r="C103" s="76" t="str">
        <f>IF(AND('Interimaire Juin  2017'!D109=$B$1,'Interimaire Juin  2017'!J109=$B$2),'Interimaire Juin  2017'!E109,"")</f>
        <v/>
      </c>
      <c r="D103" s="76" t="str">
        <f>IF(AND('Interimaire Juin  2017'!D109=$B$1,'Interimaire Juin  2017'!J109=$B$2),'Interimaire Juin  2017'!F109,"")</f>
        <v/>
      </c>
      <c r="E103" s="76" t="str">
        <f t="shared" si="29"/>
        <v/>
      </c>
      <c r="F103" s="76" t="str">
        <f t="array" aca="1" ref="F103" ca="1">IFERROR(INDEX(C:C,SMALL($E$2:$E$300,ROW(INDIRECT("95:"&amp;ROWS(C95:C393))))),"")</f>
        <v/>
      </c>
      <c r="G103" s="76" t="str">
        <f t="array" aca="1" ref="G103" ca="1">IFERROR(INDEX(D:D,SMALL($E$2:$E$300,ROW(INDIRECT("95:"&amp;ROWS(D95:D393))))),"")</f>
        <v/>
      </c>
      <c r="H103" s="82"/>
      <c r="I103" s="77">
        <v>7</v>
      </c>
      <c r="J103" s="78">
        <f t="shared" si="30"/>
        <v>1</v>
      </c>
      <c r="K103" s="82"/>
      <c r="L103" s="82"/>
      <c r="M103" s="80">
        <f t="shared" si="42"/>
        <v>1</v>
      </c>
      <c r="N103" s="77">
        <v>7</v>
      </c>
      <c r="O103" s="78">
        <f t="shared" si="32"/>
        <v>1</v>
      </c>
      <c r="P103" s="82"/>
      <c r="Q103" s="82"/>
      <c r="R103" s="80">
        <f t="shared" si="43"/>
        <v>1</v>
      </c>
      <c r="S103" s="77">
        <v>7</v>
      </c>
      <c r="T103" s="78">
        <f t="shared" si="34"/>
        <v>1</v>
      </c>
      <c r="U103" s="79"/>
      <c r="V103" s="79"/>
      <c r="W103" s="80">
        <f t="shared" si="44"/>
        <v>1</v>
      </c>
      <c r="X103" s="77">
        <v>7</v>
      </c>
      <c r="Y103" s="78">
        <f t="shared" si="35"/>
        <v>1</v>
      </c>
      <c r="Z103" s="79"/>
      <c r="AA103" s="79"/>
      <c r="AB103" s="80">
        <f t="shared" si="45"/>
        <v>1</v>
      </c>
      <c r="AC103" s="77">
        <v>7</v>
      </c>
      <c r="AD103" s="78">
        <f t="shared" si="36"/>
        <v>1</v>
      </c>
      <c r="AE103" s="79"/>
      <c r="AF103" s="79"/>
      <c r="AG103" s="80">
        <f t="shared" si="46"/>
        <v>1</v>
      </c>
      <c r="AH103" s="77">
        <f t="shared" si="47"/>
        <v>35</v>
      </c>
      <c r="AI103" s="79">
        <f t="shared" si="37"/>
        <v>0</v>
      </c>
      <c r="AJ103" s="79">
        <f t="shared" si="48"/>
        <v>0</v>
      </c>
      <c r="AK103" s="81">
        <f t="shared" si="49"/>
        <v>5</v>
      </c>
      <c r="AL103" s="81" t="str">
        <f t="shared" si="38"/>
        <v>CRIT</v>
      </c>
      <c r="AM103" s="81">
        <f t="shared" si="39"/>
        <v>22</v>
      </c>
      <c r="AN103" s="99">
        <f t="shared" si="40"/>
        <v>42884</v>
      </c>
      <c r="AO103" s="99">
        <f t="shared" si="41"/>
        <v>42888</v>
      </c>
      <c r="AP103" s="99"/>
      <c r="AQ103" s="73"/>
      <c r="AR103" s="67"/>
      <c r="AS103" s="132"/>
    </row>
    <row r="104" spans="1:45" ht="20.25" customHeight="1" thickTop="1" thickBot="1" x14ac:dyDescent="0.3">
      <c r="A104" s="74" t="str">
        <f t="shared" ca="1" si="27"/>
        <v/>
      </c>
      <c r="B104" s="75" t="str">
        <f t="shared" ca="1" si="28"/>
        <v/>
      </c>
      <c r="C104" s="76" t="str">
        <f>IF(AND('Interimaire Juin  2017'!D110=$B$1,'Interimaire Juin  2017'!J110=$B$2),'Interimaire Juin  2017'!E110,"")</f>
        <v/>
      </c>
      <c r="D104" s="76" t="str">
        <f>IF(AND('Interimaire Juin  2017'!D110=$B$1,'Interimaire Juin  2017'!J110=$B$2),'Interimaire Juin  2017'!F110,"")</f>
        <v/>
      </c>
      <c r="E104" s="76" t="str">
        <f t="shared" si="29"/>
        <v/>
      </c>
      <c r="F104" s="76" t="str">
        <f t="array" aca="1" ref="F104" ca="1">IFERROR(INDEX(C:C,SMALL($E$2:$E$300,ROW(INDIRECT("96:"&amp;ROWS(C96:C394))))),"")</f>
        <v/>
      </c>
      <c r="G104" s="76" t="str">
        <f t="array" aca="1" ref="G104" ca="1">IFERROR(INDEX(D:D,SMALL($E$2:$E$300,ROW(INDIRECT("96:"&amp;ROWS(D96:D394))))),"")</f>
        <v/>
      </c>
      <c r="H104" s="82"/>
      <c r="I104" s="77">
        <v>7</v>
      </c>
      <c r="J104" s="78">
        <f t="shared" si="30"/>
        <v>1</v>
      </c>
      <c r="K104" s="82"/>
      <c r="L104" s="82"/>
      <c r="M104" s="80">
        <f t="shared" si="42"/>
        <v>1</v>
      </c>
      <c r="N104" s="77">
        <v>7</v>
      </c>
      <c r="O104" s="78">
        <f t="shared" si="32"/>
        <v>1</v>
      </c>
      <c r="P104" s="82"/>
      <c r="Q104" s="82"/>
      <c r="R104" s="80">
        <f t="shared" si="43"/>
        <v>1</v>
      </c>
      <c r="S104" s="77">
        <v>7</v>
      </c>
      <c r="T104" s="78">
        <f t="shared" si="34"/>
        <v>1</v>
      </c>
      <c r="U104" s="79"/>
      <c r="V104" s="79"/>
      <c r="W104" s="80">
        <f t="shared" si="44"/>
        <v>1</v>
      </c>
      <c r="X104" s="77">
        <v>7</v>
      </c>
      <c r="Y104" s="78">
        <f t="shared" si="35"/>
        <v>1</v>
      </c>
      <c r="Z104" s="79"/>
      <c r="AA104" s="79"/>
      <c r="AB104" s="80">
        <f t="shared" si="45"/>
        <v>1</v>
      </c>
      <c r="AC104" s="77">
        <v>7</v>
      </c>
      <c r="AD104" s="78">
        <f t="shared" si="36"/>
        <v>1</v>
      </c>
      <c r="AE104" s="79"/>
      <c r="AF104" s="79"/>
      <c r="AG104" s="80">
        <f t="shared" si="46"/>
        <v>1</v>
      </c>
      <c r="AH104" s="77">
        <f t="shared" si="47"/>
        <v>35</v>
      </c>
      <c r="AI104" s="79">
        <f t="shared" si="37"/>
        <v>0</v>
      </c>
      <c r="AJ104" s="79">
        <f t="shared" si="48"/>
        <v>0</v>
      </c>
      <c r="AK104" s="81">
        <f t="shared" si="49"/>
        <v>5</v>
      </c>
      <c r="AL104" s="81" t="str">
        <f t="shared" si="38"/>
        <v>CRIT</v>
      </c>
      <c r="AM104" s="81">
        <f t="shared" si="39"/>
        <v>22</v>
      </c>
      <c r="AN104" s="99">
        <f t="shared" si="40"/>
        <v>42884</v>
      </c>
      <c r="AO104" s="99">
        <f t="shared" si="41"/>
        <v>42888</v>
      </c>
      <c r="AP104" s="99"/>
      <c r="AQ104" s="73"/>
      <c r="AR104" s="67"/>
      <c r="AS104" s="132"/>
    </row>
    <row r="105" spans="1:45" ht="20.25" customHeight="1" thickTop="1" thickBot="1" x14ac:dyDescent="0.3">
      <c r="A105" s="74" t="str">
        <f t="shared" ca="1" si="27"/>
        <v/>
      </c>
      <c r="B105" s="75" t="str">
        <f t="shared" ca="1" si="28"/>
        <v/>
      </c>
      <c r="C105" s="76" t="str">
        <f>IF(AND('Interimaire Juin  2017'!D111=$B$1,'Interimaire Juin  2017'!J111=$B$2),'Interimaire Juin  2017'!E111,"")</f>
        <v/>
      </c>
      <c r="D105" s="76" t="str">
        <f>IF(AND('Interimaire Juin  2017'!D111=$B$1,'Interimaire Juin  2017'!J111=$B$2),'Interimaire Juin  2017'!F111,"")</f>
        <v/>
      </c>
      <c r="E105" s="76" t="str">
        <f t="shared" si="29"/>
        <v/>
      </c>
      <c r="F105" s="76" t="str">
        <f t="array" aca="1" ref="F105" ca="1">IFERROR(INDEX(C:C,SMALL($E$2:$E$300,ROW(INDIRECT("97:"&amp;ROWS(C97:C395))))),"")</f>
        <v/>
      </c>
      <c r="G105" s="76" t="str">
        <f t="array" aca="1" ref="G105" ca="1">IFERROR(INDEX(D:D,SMALL($E$2:$E$300,ROW(INDIRECT("97:"&amp;ROWS(D97:D395))))),"")</f>
        <v/>
      </c>
      <c r="H105" s="82"/>
      <c r="I105" s="77">
        <v>7</v>
      </c>
      <c r="J105" s="78">
        <f t="shared" si="30"/>
        <v>1</v>
      </c>
      <c r="K105" s="82"/>
      <c r="L105" s="82"/>
      <c r="M105" s="80">
        <f t="shared" si="42"/>
        <v>1</v>
      </c>
      <c r="N105" s="77">
        <v>7</v>
      </c>
      <c r="O105" s="78">
        <f t="shared" si="32"/>
        <v>1</v>
      </c>
      <c r="P105" s="82"/>
      <c r="Q105" s="82"/>
      <c r="R105" s="80">
        <f t="shared" si="43"/>
        <v>1</v>
      </c>
      <c r="S105" s="77">
        <v>7</v>
      </c>
      <c r="T105" s="78">
        <f t="shared" si="34"/>
        <v>1</v>
      </c>
      <c r="U105" s="79"/>
      <c r="V105" s="79"/>
      <c r="W105" s="80">
        <f t="shared" si="44"/>
        <v>1</v>
      </c>
      <c r="X105" s="77">
        <v>7</v>
      </c>
      <c r="Y105" s="78">
        <f t="shared" si="35"/>
        <v>1</v>
      </c>
      <c r="Z105" s="79"/>
      <c r="AA105" s="79"/>
      <c r="AB105" s="80">
        <f t="shared" si="45"/>
        <v>1</v>
      </c>
      <c r="AC105" s="77">
        <v>7</v>
      </c>
      <c r="AD105" s="78">
        <f t="shared" si="36"/>
        <v>1</v>
      </c>
      <c r="AE105" s="79"/>
      <c r="AF105" s="79"/>
      <c r="AG105" s="80">
        <f t="shared" si="46"/>
        <v>1</v>
      </c>
      <c r="AH105" s="77">
        <f t="shared" si="47"/>
        <v>35</v>
      </c>
      <c r="AI105" s="79">
        <f t="shared" si="37"/>
        <v>0</v>
      </c>
      <c r="AJ105" s="79">
        <f t="shared" si="48"/>
        <v>0</v>
      </c>
      <c r="AK105" s="81">
        <f t="shared" si="49"/>
        <v>5</v>
      </c>
      <c r="AL105" s="81" t="str">
        <f t="shared" si="38"/>
        <v>CRIT</v>
      </c>
      <c r="AM105" s="81">
        <f t="shared" si="39"/>
        <v>22</v>
      </c>
      <c r="AN105" s="99">
        <f t="shared" si="40"/>
        <v>42884</v>
      </c>
      <c r="AO105" s="99">
        <f t="shared" si="41"/>
        <v>42888</v>
      </c>
      <c r="AP105" s="99"/>
      <c r="AQ105" s="73"/>
      <c r="AR105" s="67"/>
      <c r="AS105" s="132"/>
    </row>
    <row r="106" spans="1:45" ht="20.25" customHeight="1" thickTop="1" thickBot="1" x14ac:dyDescent="0.3">
      <c r="A106" s="74" t="str">
        <f t="shared" ca="1" si="27"/>
        <v/>
      </c>
      <c r="B106" s="75" t="str">
        <f t="shared" ca="1" si="28"/>
        <v/>
      </c>
      <c r="C106" s="76" t="str">
        <f>IF(AND('Interimaire Juin  2017'!D112=$B$1,'Interimaire Juin  2017'!J112=$B$2),'Interimaire Juin  2017'!E112,"")</f>
        <v/>
      </c>
      <c r="D106" s="76" t="str">
        <f>IF(AND('Interimaire Juin  2017'!D112=$B$1,'Interimaire Juin  2017'!J112=$B$2),'Interimaire Juin  2017'!F112,"")</f>
        <v/>
      </c>
      <c r="E106" s="76" t="str">
        <f t="shared" si="29"/>
        <v/>
      </c>
      <c r="F106" s="76" t="str">
        <f t="array" aca="1" ref="F106" ca="1">IFERROR(INDEX(C:C,SMALL($E$2:$E$300,ROW(INDIRECT("98:"&amp;ROWS(C98:C396))))),"")</f>
        <v/>
      </c>
      <c r="G106" s="76" t="str">
        <f t="array" aca="1" ref="G106" ca="1">IFERROR(INDEX(D:D,SMALL($E$2:$E$300,ROW(INDIRECT("98:"&amp;ROWS(D98:D396))))),"")</f>
        <v/>
      </c>
      <c r="H106" s="82"/>
      <c r="I106" s="77">
        <v>7</v>
      </c>
      <c r="J106" s="78">
        <f t="shared" si="30"/>
        <v>1</v>
      </c>
      <c r="K106" s="82"/>
      <c r="L106" s="82"/>
      <c r="M106" s="80">
        <f t="shared" si="42"/>
        <v>1</v>
      </c>
      <c r="N106" s="77">
        <v>7</v>
      </c>
      <c r="O106" s="78">
        <f t="shared" si="32"/>
        <v>1</v>
      </c>
      <c r="P106" s="82"/>
      <c r="Q106" s="82"/>
      <c r="R106" s="80">
        <f t="shared" si="43"/>
        <v>1</v>
      </c>
      <c r="S106" s="77">
        <v>7</v>
      </c>
      <c r="T106" s="78">
        <f t="shared" si="34"/>
        <v>1</v>
      </c>
      <c r="U106" s="79"/>
      <c r="V106" s="79"/>
      <c r="W106" s="80">
        <f t="shared" si="44"/>
        <v>1</v>
      </c>
      <c r="X106" s="77">
        <v>7</v>
      </c>
      <c r="Y106" s="78">
        <f t="shared" si="35"/>
        <v>1</v>
      </c>
      <c r="Z106" s="79"/>
      <c r="AA106" s="79"/>
      <c r="AB106" s="80">
        <f t="shared" si="45"/>
        <v>1</v>
      </c>
      <c r="AC106" s="77">
        <v>7</v>
      </c>
      <c r="AD106" s="78">
        <f t="shared" si="36"/>
        <v>1</v>
      </c>
      <c r="AE106" s="79"/>
      <c r="AF106" s="79"/>
      <c r="AG106" s="80">
        <f t="shared" si="46"/>
        <v>1</v>
      </c>
      <c r="AH106" s="77">
        <f t="shared" si="47"/>
        <v>35</v>
      </c>
      <c r="AI106" s="79">
        <f t="shared" si="37"/>
        <v>0</v>
      </c>
      <c r="AJ106" s="79">
        <f t="shared" si="48"/>
        <v>0</v>
      </c>
      <c r="AK106" s="81">
        <f t="shared" si="49"/>
        <v>5</v>
      </c>
      <c r="AL106" s="81" t="str">
        <f t="shared" si="38"/>
        <v>CRIT</v>
      </c>
      <c r="AM106" s="81">
        <f t="shared" si="39"/>
        <v>22</v>
      </c>
      <c r="AN106" s="99">
        <f t="shared" si="40"/>
        <v>42884</v>
      </c>
      <c r="AO106" s="99">
        <f t="shared" si="41"/>
        <v>42888</v>
      </c>
      <c r="AP106" s="99"/>
      <c r="AQ106" s="73"/>
      <c r="AR106" s="67"/>
      <c r="AS106" s="132"/>
    </row>
    <row r="107" spans="1:45" ht="20.25" customHeight="1" thickTop="1" thickBot="1" x14ac:dyDescent="0.3">
      <c r="A107" s="74" t="str">
        <f t="shared" ca="1" si="27"/>
        <v/>
      </c>
      <c r="B107" s="75" t="str">
        <f t="shared" ca="1" si="28"/>
        <v/>
      </c>
      <c r="C107" s="76" t="str">
        <f>IF(AND('Interimaire Juin  2017'!D113=$B$1,'Interimaire Juin  2017'!J113=$B$2),'Interimaire Juin  2017'!E113,"")</f>
        <v/>
      </c>
      <c r="D107" s="76" t="str">
        <f>IF(AND('Interimaire Juin  2017'!D113=$B$1,'Interimaire Juin  2017'!J113=$B$2),'Interimaire Juin  2017'!F113,"")</f>
        <v/>
      </c>
      <c r="E107" s="76" t="str">
        <f t="shared" si="29"/>
        <v/>
      </c>
      <c r="F107" s="76" t="str">
        <f t="array" aca="1" ref="F107" ca="1">IFERROR(INDEX(C:C,SMALL($E$2:$E$300,ROW(INDIRECT("99:"&amp;ROWS(C99:C397))))),"")</f>
        <v/>
      </c>
      <c r="G107" s="76" t="str">
        <f t="array" aca="1" ref="G107" ca="1">IFERROR(INDEX(D:D,SMALL($E$2:$E$300,ROW(INDIRECT("99:"&amp;ROWS(D99:D397))))),"")</f>
        <v/>
      </c>
      <c r="H107" s="82"/>
      <c r="I107" s="77">
        <v>7</v>
      </c>
      <c r="J107" s="78">
        <f t="shared" si="30"/>
        <v>1</v>
      </c>
      <c r="K107" s="82"/>
      <c r="L107" s="82"/>
      <c r="M107" s="80">
        <f t="shared" si="42"/>
        <v>1</v>
      </c>
      <c r="N107" s="77">
        <v>7</v>
      </c>
      <c r="O107" s="78">
        <f t="shared" si="32"/>
        <v>1</v>
      </c>
      <c r="P107" s="82"/>
      <c r="Q107" s="82"/>
      <c r="R107" s="80">
        <f t="shared" si="43"/>
        <v>1</v>
      </c>
      <c r="S107" s="77">
        <v>7</v>
      </c>
      <c r="T107" s="78">
        <f t="shared" si="34"/>
        <v>1</v>
      </c>
      <c r="U107" s="79"/>
      <c r="V107" s="79"/>
      <c r="W107" s="80">
        <f t="shared" si="44"/>
        <v>1</v>
      </c>
      <c r="X107" s="77">
        <v>7</v>
      </c>
      <c r="Y107" s="78">
        <f t="shared" si="35"/>
        <v>1</v>
      </c>
      <c r="Z107" s="79"/>
      <c r="AA107" s="79"/>
      <c r="AB107" s="80">
        <f t="shared" si="45"/>
        <v>1</v>
      </c>
      <c r="AC107" s="77">
        <v>7</v>
      </c>
      <c r="AD107" s="78">
        <f t="shared" si="36"/>
        <v>1</v>
      </c>
      <c r="AE107" s="79"/>
      <c r="AF107" s="79"/>
      <c r="AG107" s="80">
        <f t="shared" si="46"/>
        <v>1</v>
      </c>
      <c r="AH107" s="77">
        <f t="shared" si="47"/>
        <v>35</v>
      </c>
      <c r="AI107" s="79">
        <f t="shared" si="37"/>
        <v>0</v>
      </c>
      <c r="AJ107" s="79">
        <f t="shared" si="48"/>
        <v>0</v>
      </c>
      <c r="AK107" s="81">
        <f t="shared" si="49"/>
        <v>5</v>
      </c>
      <c r="AL107" s="81" t="str">
        <f t="shared" si="38"/>
        <v>CRIT</v>
      </c>
      <c r="AM107" s="81">
        <f t="shared" si="39"/>
        <v>22</v>
      </c>
      <c r="AN107" s="99">
        <f t="shared" si="40"/>
        <v>42884</v>
      </c>
      <c r="AO107" s="99">
        <f t="shared" si="41"/>
        <v>42888</v>
      </c>
      <c r="AP107" s="99"/>
      <c r="AQ107" s="73"/>
      <c r="AR107" s="67"/>
      <c r="AS107" s="132"/>
    </row>
    <row r="108" spans="1:45" ht="20.25" customHeight="1" thickTop="1" thickBot="1" x14ac:dyDescent="0.3">
      <c r="A108" s="74" t="str">
        <f t="shared" ca="1" si="27"/>
        <v/>
      </c>
      <c r="B108" s="75" t="str">
        <f t="shared" ca="1" si="28"/>
        <v/>
      </c>
      <c r="C108" s="76" t="str">
        <f>IF(AND('Interimaire Juin  2017'!D114=$B$1,'Interimaire Juin  2017'!J114=$B$2),'Interimaire Juin  2017'!E114,"")</f>
        <v/>
      </c>
      <c r="D108" s="76" t="str">
        <f>IF(AND('Interimaire Juin  2017'!D114=$B$1,'Interimaire Juin  2017'!J114=$B$2),'Interimaire Juin  2017'!F114,"")</f>
        <v/>
      </c>
      <c r="E108" s="76" t="str">
        <f t="shared" si="29"/>
        <v/>
      </c>
      <c r="F108" s="76" t="str">
        <f t="array" aca="1" ref="F108" ca="1">IFERROR(INDEX(C:C,SMALL($E$2:$E$300,ROW(INDIRECT("100:"&amp;ROWS(C100:C398))))),"")</f>
        <v/>
      </c>
      <c r="G108" s="76" t="str">
        <f t="array" aca="1" ref="G108" ca="1">IFERROR(INDEX(D:D,SMALL($E$2:$E$300,ROW(INDIRECT("100:"&amp;ROWS(D100:D398))))),"")</f>
        <v/>
      </c>
      <c r="H108" s="82"/>
      <c r="I108" s="77">
        <v>7</v>
      </c>
      <c r="J108" s="78">
        <f t="shared" si="30"/>
        <v>1</v>
      </c>
      <c r="K108" s="82"/>
      <c r="L108" s="82"/>
      <c r="M108" s="80">
        <f t="shared" si="42"/>
        <v>1</v>
      </c>
      <c r="N108" s="77">
        <v>7</v>
      </c>
      <c r="O108" s="78">
        <f t="shared" si="32"/>
        <v>1</v>
      </c>
      <c r="P108" s="82"/>
      <c r="Q108" s="82"/>
      <c r="R108" s="80">
        <f t="shared" si="43"/>
        <v>1</v>
      </c>
      <c r="S108" s="77">
        <v>7</v>
      </c>
      <c r="T108" s="78">
        <f t="shared" si="34"/>
        <v>1</v>
      </c>
      <c r="U108" s="79"/>
      <c r="V108" s="79"/>
      <c r="W108" s="80">
        <f t="shared" si="44"/>
        <v>1</v>
      </c>
      <c r="X108" s="77">
        <v>7</v>
      </c>
      <c r="Y108" s="78">
        <f t="shared" si="35"/>
        <v>1</v>
      </c>
      <c r="Z108" s="79"/>
      <c r="AA108" s="79"/>
      <c r="AB108" s="80">
        <f t="shared" si="45"/>
        <v>1</v>
      </c>
      <c r="AC108" s="77">
        <v>7</v>
      </c>
      <c r="AD108" s="78">
        <f t="shared" si="36"/>
        <v>1</v>
      </c>
      <c r="AE108" s="79"/>
      <c r="AF108" s="79"/>
      <c r="AG108" s="80">
        <f t="shared" si="46"/>
        <v>1</v>
      </c>
      <c r="AH108" s="77">
        <f t="shared" si="47"/>
        <v>35</v>
      </c>
      <c r="AI108" s="79">
        <f t="shared" si="37"/>
        <v>0</v>
      </c>
      <c r="AJ108" s="79">
        <f t="shared" si="48"/>
        <v>0</v>
      </c>
      <c r="AK108" s="81">
        <f t="shared" si="49"/>
        <v>5</v>
      </c>
      <c r="AL108" s="81" t="str">
        <f t="shared" si="38"/>
        <v>CRIT</v>
      </c>
      <c r="AM108" s="81">
        <f t="shared" si="39"/>
        <v>22</v>
      </c>
      <c r="AN108" s="99">
        <f t="shared" si="40"/>
        <v>42884</v>
      </c>
      <c r="AO108" s="99">
        <f t="shared" si="41"/>
        <v>42888</v>
      </c>
      <c r="AP108" s="99"/>
      <c r="AQ108" s="73"/>
      <c r="AR108" s="67"/>
      <c r="AS108" s="132"/>
    </row>
    <row r="109" spans="1:45" ht="20.25" customHeight="1" thickTop="1" thickBot="1" x14ac:dyDescent="0.3">
      <c r="A109" s="74" t="str">
        <f t="shared" ca="1" si="27"/>
        <v/>
      </c>
      <c r="B109" s="75" t="str">
        <f t="shared" ca="1" si="28"/>
        <v/>
      </c>
      <c r="C109" s="76" t="str">
        <f>IF(AND('Interimaire Juin  2017'!D115=$B$1,'Interimaire Juin  2017'!J115=$B$2),'Interimaire Juin  2017'!E115,"")</f>
        <v/>
      </c>
      <c r="D109" s="76" t="str">
        <f>IF(AND('Interimaire Juin  2017'!D115=$B$1,'Interimaire Juin  2017'!J115=$B$2),'Interimaire Juin  2017'!F115,"")</f>
        <v/>
      </c>
      <c r="E109" s="76" t="str">
        <f t="shared" si="29"/>
        <v/>
      </c>
      <c r="F109" s="76" t="str">
        <f t="array" aca="1" ref="F109" ca="1">IFERROR(INDEX(C:C,SMALL($E$2:$E$300,ROW(INDIRECT("101:"&amp;ROWS(C101:C399))))),"")</f>
        <v/>
      </c>
      <c r="G109" s="76" t="str">
        <f t="array" aca="1" ref="G109" ca="1">IFERROR(INDEX(D:D,SMALL($E$2:$E$300,ROW(INDIRECT("101:"&amp;ROWS(D101:D399))))),"")</f>
        <v/>
      </c>
      <c r="H109" s="82"/>
      <c r="I109" s="77">
        <v>7</v>
      </c>
      <c r="J109" s="78">
        <f t="shared" si="30"/>
        <v>1</v>
      </c>
      <c r="K109" s="82"/>
      <c r="L109" s="82"/>
      <c r="M109" s="80">
        <f t="shared" si="42"/>
        <v>1</v>
      </c>
      <c r="N109" s="77">
        <v>7</v>
      </c>
      <c r="O109" s="78">
        <f t="shared" si="32"/>
        <v>1</v>
      </c>
      <c r="P109" s="82"/>
      <c r="Q109" s="82"/>
      <c r="R109" s="80">
        <f t="shared" si="43"/>
        <v>1</v>
      </c>
      <c r="S109" s="77">
        <v>7</v>
      </c>
      <c r="T109" s="78">
        <f t="shared" si="34"/>
        <v>1</v>
      </c>
      <c r="U109" s="79"/>
      <c r="V109" s="79"/>
      <c r="W109" s="80">
        <f t="shared" si="44"/>
        <v>1</v>
      </c>
      <c r="X109" s="77">
        <v>7</v>
      </c>
      <c r="Y109" s="78">
        <f t="shared" si="35"/>
        <v>1</v>
      </c>
      <c r="Z109" s="79"/>
      <c r="AA109" s="79"/>
      <c r="AB109" s="80">
        <f t="shared" si="45"/>
        <v>1</v>
      </c>
      <c r="AC109" s="77">
        <v>7</v>
      </c>
      <c r="AD109" s="78">
        <f t="shared" si="36"/>
        <v>1</v>
      </c>
      <c r="AE109" s="79"/>
      <c r="AF109" s="79"/>
      <c r="AG109" s="80">
        <f t="shared" si="46"/>
        <v>1</v>
      </c>
      <c r="AH109" s="77">
        <f t="shared" si="47"/>
        <v>35</v>
      </c>
      <c r="AI109" s="79">
        <f t="shared" si="37"/>
        <v>0</v>
      </c>
      <c r="AJ109" s="79">
        <f t="shared" si="48"/>
        <v>0</v>
      </c>
      <c r="AK109" s="81">
        <f t="shared" si="49"/>
        <v>5</v>
      </c>
      <c r="AL109" s="81" t="str">
        <f t="shared" si="38"/>
        <v>CRIT</v>
      </c>
      <c r="AM109" s="81">
        <f t="shared" si="39"/>
        <v>22</v>
      </c>
      <c r="AN109" s="99">
        <f t="shared" si="40"/>
        <v>42884</v>
      </c>
      <c r="AO109" s="99">
        <f t="shared" si="41"/>
        <v>42888</v>
      </c>
      <c r="AP109" s="99"/>
      <c r="AQ109" s="73"/>
      <c r="AR109" s="67"/>
      <c r="AS109" s="132"/>
    </row>
    <row r="110" spans="1:45" ht="20.25" customHeight="1" thickTop="1" thickBot="1" x14ac:dyDescent="0.3">
      <c r="A110" s="74" t="str">
        <f t="shared" ca="1" si="27"/>
        <v/>
      </c>
      <c r="B110" s="75" t="str">
        <f t="shared" ca="1" si="28"/>
        <v/>
      </c>
      <c r="C110" s="76" t="str">
        <f>IF(AND('Interimaire Juin  2017'!D116=$B$1,'Interimaire Juin  2017'!J116=$B$2),'Interimaire Juin  2017'!E116,"")</f>
        <v/>
      </c>
      <c r="D110" s="76" t="str">
        <f>IF(AND('Interimaire Juin  2017'!D116=$B$1,'Interimaire Juin  2017'!J116=$B$2),'Interimaire Juin  2017'!F116,"")</f>
        <v/>
      </c>
      <c r="E110" s="76" t="str">
        <f t="shared" si="29"/>
        <v/>
      </c>
      <c r="F110" s="76" t="str">
        <f t="array" aca="1" ref="F110" ca="1">IFERROR(INDEX(C:C,SMALL($E$2:$E$300,ROW(INDIRECT("102:"&amp;ROWS(C102:C400))))),"")</f>
        <v/>
      </c>
      <c r="G110" s="76" t="str">
        <f t="array" aca="1" ref="G110" ca="1">IFERROR(INDEX(D:D,SMALL($E$2:$E$300,ROW(INDIRECT("102:"&amp;ROWS(D102:D400))))),"")</f>
        <v/>
      </c>
      <c r="H110" s="82"/>
      <c r="I110" s="77">
        <v>7</v>
      </c>
      <c r="J110" s="78">
        <f t="shared" si="30"/>
        <v>1</v>
      </c>
      <c r="K110" s="82"/>
      <c r="L110" s="82"/>
      <c r="M110" s="80">
        <f t="shared" si="42"/>
        <v>1</v>
      </c>
      <c r="N110" s="77">
        <v>7</v>
      </c>
      <c r="O110" s="78">
        <f t="shared" si="32"/>
        <v>1</v>
      </c>
      <c r="P110" s="82"/>
      <c r="Q110" s="82"/>
      <c r="R110" s="80">
        <f t="shared" si="43"/>
        <v>1</v>
      </c>
      <c r="S110" s="77">
        <v>7</v>
      </c>
      <c r="T110" s="78">
        <f t="shared" si="34"/>
        <v>1</v>
      </c>
      <c r="U110" s="79"/>
      <c r="V110" s="79"/>
      <c r="W110" s="80">
        <f t="shared" si="44"/>
        <v>1</v>
      </c>
      <c r="X110" s="77">
        <v>7</v>
      </c>
      <c r="Y110" s="78">
        <f t="shared" si="35"/>
        <v>1</v>
      </c>
      <c r="Z110" s="79"/>
      <c r="AA110" s="79"/>
      <c r="AB110" s="80">
        <f t="shared" si="45"/>
        <v>1</v>
      </c>
      <c r="AC110" s="77">
        <v>7</v>
      </c>
      <c r="AD110" s="78">
        <f t="shared" si="36"/>
        <v>1</v>
      </c>
      <c r="AE110" s="79"/>
      <c r="AF110" s="79"/>
      <c r="AG110" s="80">
        <f t="shared" si="46"/>
        <v>1</v>
      </c>
      <c r="AH110" s="77">
        <f t="shared" si="47"/>
        <v>35</v>
      </c>
      <c r="AI110" s="79">
        <f t="shared" si="37"/>
        <v>0</v>
      </c>
      <c r="AJ110" s="79">
        <f t="shared" si="48"/>
        <v>0</v>
      </c>
      <c r="AK110" s="81">
        <f t="shared" si="49"/>
        <v>5</v>
      </c>
      <c r="AL110" s="81" t="str">
        <f t="shared" si="38"/>
        <v>CRIT</v>
      </c>
      <c r="AM110" s="81">
        <f t="shared" si="39"/>
        <v>22</v>
      </c>
      <c r="AN110" s="99">
        <f t="shared" si="40"/>
        <v>42884</v>
      </c>
      <c r="AO110" s="99">
        <f t="shared" si="41"/>
        <v>42888</v>
      </c>
      <c r="AP110" s="99"/>
      <c r="AQ110" s="73"/>
      <c r="AR110" s="67"/>
      <c r="AS110" s="132"/>
    </row>
    <row r="111" spans="1:45" ht="20.25" customHeight="1" thickTop="1" thickBot="1" x14ac:dyDescent="0.3">
      <c r="A111" s="74" t="str">
        <f t="shared" ca="1" si="27"/>
        <v/>
      </c>
      <c r="B111" s="75" t="str">
        <f t="shared" ca="1" si="28"/>
        <v/>
      </c>
      <c r="C111" s="76" t="str">
        <f>IF(AND('Interimaire Juin  2017'!D117=$B$1,'Interimaire Juin  2017'!J117=$B$2),'Interimaire Juin  2017'!E117,"")</f>
        <v/>
      </c>
      <c r="D111" s="76" t="str">
        <f>IF(AND('Interimaire Juin  2017'!D117=$B$1,'Interimaire Juin  2017'!J117=$B$2),'Interimaire Juin  2017'!F117,"")</f>
        <v/>
      </c>
      <c r="E111" s="76" t="str">
        <f t="shared" si="29"/>
        <v/>
      </c>
      <c r="F111" s="76" t="str">
        <f t="array" aca="1" ref="F111" ca="1">IFERROR(INDEX(C:C,SMALL($E$2:$E$300,ROW(INDIRECT("103:"&amp;ROWS(C103:C401))))),"")</f>
        <v/>
      </c>
      <c r="G111" s="76" t="str">
        <f t="array" aca="1" ref="G111" ca="1">IFERROR(INDEX(D:D,SMALL($E$2:$E$300,ROW(INDIRECT("103:"&amp;ROWS(D103:D401))))),"")</f>
        <v/>
      </c>
      <c r="H111" s="82"/>
      <c r="I111" s="77">
        <v>7</v>
      </c>
      <c r="J111" s="78">
        <f t="shared" si="30"/>
        <v>1</v>
      </c>
      <c r="K111" s="82"/>
      <c r="L111" s="82"/>
      <c r="M111" s="80">
        <f t="shared" si="42"/>
        <v>1</v>
      </c>
      <c r="N111" s="77">
        <v>7</v>
      </c>
      <c r="O111" s="78">
        <f t="shared" si="32"/>
        <v>1</v>
      </c>
      <c r="P111" s="82"/>
      <c r="Q111" s="82"/>
      <c r="R111" s="80">
        <f t="shared" si="43"/>
        <v>1</v>
      </c>
      <c r="S111" s="77">
        <v>7</v>
      </c>
      <c r="T111" s="78">
        <f t="shared" si="34"/>
        <v>1</v>
      </c>
      <c r="U111" s="79"/>
      <c r="V111" s="79"/>
      <c r="W111" s="80">
        <f t="shared" si="44"/>
        <v>1</v>
      </c>
      <c r="X111" s="77">
        <v>7</v>
      </c>
      <c r="Y111" s="78">
        <f t="shared" si="35"/>
        <v>1</v>
      </c>
      <c r="Z111" s="79"/>
      <c r="AA111" s="79"/>
      <c r="AB111" s="80">
        <f t="shared" si="45"/>
        <v>1</v>
      </c>
      <c r="AC111" s="77">
        <v>7</v>
      </c>
      <c r="AD111" s="78">
        <f t="shared" si="36"/>
        <v>1</v>
      </c>
      <c r="AE111" s="79"/>
      <c r="AF111" s="79"/>
      <c r="AG111" s="80">
        <f t="shared" si="46"/>
        <v>1</v>
      </c>
      <c r="AH111" s="77">
        <f t="shared" si="47"/>
        <v>35</v>
      </c>
      <c r="AI111" s="79">
        <f t="shared" si="37"/>
        <v>0</v>
      </c>
      <c r="AJ111" s="79">
        <f t="shared" si="48"/>
        <v>0</v>
      </c>
      <c r="AK111" s="81">
        <f t="shared" si="49"/>
        <v>5</v>
      </c>
      <c r="AL111" s="81" t="str">
        <f t="shared" si="38"/>
        <v>CRIT</v>
      </c>
      <c r="AM111" s="81">
        <f t="shared" si="39"/>
        <v>22</v>
      </c>
      <c r="AN111" s="99">
        <f t="shared" si="40"/>
        <v>42884</v>
      </c>
      <c r="AO111" s="99">
        <f t="shared" si="41"/>
        <v>42888</v>
      </c>
      <c r="AP111" s="99"/>
      <c r="AQ111" s="73"/>
      <c r="AR111" s="67"/>
      <c r="AS111" s="132"/>
    </row>
    <row r="112" spans="1:45" ht="20.25" customHeight="1" thickTop="1" thickBot="1" x14ac:dyDescent="0.3">
      <c r="A112" s="74" t="str">
        <f t="shared" ca="1" si="27"/>
        <v/>
      </c>
      <c r="B112" s="75" t="str">
        <f t="shared" ca="1" si="28"/>
        <v/>
      </c>
      <c r="C112" s="76" t="str">
        <f>IF(AND('Interimaire Juin  2017'!D118=$B$1,'Interimaire Juin  2017'!J118=$B$2),'Interimaire Juin  2017'!E118,"")</f>
        <v/>
      </c>
      <c r="D112" s="76" t="str">
        <f>IF(AND('Interimaire Juin  2017'!D118=$B$1,'Interimaire Juin  2017'!J118=$B$2),'Interimaire Juin  2017'!F118,"")</f>
        <v/>
      </c>
      <c r="E112" s="76" t="str">
        <f t="shared" si="29"/>
        <v/>
      </c>
      <c r="F112" s="76" t="str">
        <f t="array" aca="1" ref="F112" ca="1">IFERROR(INDEX(C:C,SMALL($E$2:$E$300,ROW(INDIRECT("104:"&amp;ROWS(C104:C402))))),"")</f>
        <v/>
      </c>
      <c r="G112" s="76" t="str">
        <f t="array" aca="1" ref="G112" ca="1">IFERROR(INDEX(D:D,SMALL($E$2:$E$300,ROW(INDIRECT("104:"&amp;ROWS(D104:D402))))),"")</f>
        <v/>
      </c>
      <c r="H112" s="82"/>
      <c r="I112" s="77">
        <v>7</v>
      </c>
      <c r="J112" s="78">
        <f t="shared" si="30"/>
        <v>1</v>
      </c>
      <c r="K112" s="82"/>
      <c r="L112" s="82"/>
      <c r="M112" s="80">
        <f t="shared" si="42"/>
        <v>1</v>
      </c>
      <c r="N112" s="77">
        <v>7</v>
      </c>
      <c r="O112" s="78">
        <f t="shared" si="32"/>
        <v>1</v>
      </c>
      <c r="P112" s="82"/>
      <c r="Q112" s="82"/>
      <c r="R112" s="80">
        <f t="shared" si="43"/>
        <v>1</v>
      </c>
      <c r="S112" s="77">
        <v>7</v>
      </c>
      <c r="T112" s="78">
        <f t="shared" si="34"/>
        <v>1</v>
      </c>
      <c r="U112" s="79"/>
      <c r="V112" s="79"/>
      <c r="W112" s="80">
        <f t="shared" si="44"/>
        <v>1</v>
      </c>
      <c r="X112" s="77">
        <v>7</v>
      </c>
      <c r="Y112" s="78">
        <f t="shared" si="35"/>
        <v>1</v>
      </c>
      <c r="Z112" s="79"/>
      <c r="AA112" s="79"/>
      <c r="AB112" s="80">
        <f t="shared" si="45"/>
        <v>1</v>
      </c>
      <c r="AC112" s="77">
        <v>7</v>
      </c>
      <c r="AD112" s="78">
        <f t="shared" si="36"/>
        <v>1</v>
      </c>
      <c r="AE112" s="79"/>
      <c r="AF112" s="79"/>
      <c r="AG112" s="80">
        <f t="shared" si="46"/>
        <v>1</v>
      </c>
      <c r="AH112" s="77">
        <f t="shared" si="47"/>
        <v>35</v>
      </c>
      <c r="AI112" s="79">
        <f t="shared" si="37"/>
        <v>0</v>
      </c>
      <c r="AJ112" s="79">
        <f t="shared" si="48"/>
        <v>0</v>
      </c>
      <c r="AK112" s="81">
        <f t="shared" si="49"/>
        <v>5</v>
      </c>
      <c r="AL112" s="81" t="str">
        <f t="shared" si="38"/>
        <v>CRIT</v>
      </c>
      <c r="AM112" s="81">
        <f t="shared" si="39"/>
        <v>22</v>
      </c>
      <c r="AN112" s="99">
        <f t="shared" si="40"/>
        <v>42884</v>
      </c>
      <c r="AO112" s="99">
        <f t="shared" si="41"/>
        <v>42888</v>
      </c>
      <c r="AP112" s="99"/>
      <c r="AQ112" s="73"/>
      <c r="AR112" s="67"/>
      <c r="AS112" s="132"/>
    </row>
    <row r="113" spans="1:45" ht="20.25" customHeight="1" thickTop="1" thickBot="1" x14ac:dyDescent="0.3">
      <c r="A113" s="74" t="str">
        <f t="shared" ca="1" si="27"/>
        <v/>
      </c>
      <c r="B113" s="75" t="str">
        <f t="shared" ca="1" si="28"/>
        <v/>
      </c>
      <c r="C113" s="76" t="str">
        <f>IF(AND('Interimaire Juin  2017'!D119=$B$1,'Interimaire Juin  2017'!J119=$B$2),'Interimaire Juin  2017'!E119,"")</f>
        <v/>
      </c>
      <c r="D113" s="76" t="str">
        <f>IF(AND('Interimaire Juin  2017'!D119=$B$1,'Interimaire Juin  2017'!J119=$B$2),'Interimaire Juin  2017'!F119,"")</f>
        <v/>
      </c>
      <c r="E113" s="76" t="str">
        <f t="shared" si="29"/>
        <v/>
      </c>
      <c r="F113" s="76" t="str">
        <f t="array" aca="1" ref="F113" ca="1">IFERROR(INDEX(C:C,SMALL($E$2:$E$300,ROW(INDIRECT("105:"&amp;ROWS(C105:C403))))),"")</f>
        <v/>
      </c>
      <c r="G113" s="76" t="str">
        <f t="array" aca="1" ref="G113" ca="1">IFERROR(INDEX(D:D,SMALL($E$2:$E$300,ROW(INDIRECT("105:"&amp;ROWS(D105:D403))))),"")</f>
        <v/>
      </c>
      <c r="H113" s="82"/>
      <c r="I113" s="77">
        <v>7</v>
      </c>
      <c r="J113" s="78">
        <f t="shared" si="30"/>
        <v>1</v>
      </c>
      <c r="K113" s="82"/>
      <c r="L113" s="82"/>
      <c r="M113" s="80">
        <f t="shared" si="42"/>
        <v>1</v>
      </c>
      <c r="N113" s="77">
        <v>7</v>
      </c>
      <c r="O113" s="78">
        <f t="shared" si="32"/>
        <v>1</v>
      </c>
      <c r="P113" s="82"/>
      <c r="Q113" s="82"/>
      <c r="R113" s="80">
        <f t="shared" si="43"/>
        <v>1</v>
      </c>
      <c r="S113" s="77">
        <v>7</v>
      </c>
      <c r="T113" s="78">
        <f t="shared" si="34"/>
        <v>1</v>
      </c>
      <c r="U113" s="79"/>
      <c r="V113" s="79"/>
      <c r="W113" s="80">
        <f t="shared" si="44"/>
        <v>1</v>
      </c>
      <c r="X113" s="77">
        <v>7</v>
      </c>
      <c r="Y113" s="78">
        <f t="shared" si="35"/>
        <v>1</v>
      </c>
      <c r="Z113" s="79"/>
      <c r="AA113" s="79"/>
      <c r="AB113" s="80">
        <f t="shared" si="45"/>
        <v>1</v>
      </c>
      <c r="AC113" s="77">
        <v>7</v>
      </c>
      <c r="AD113" s="78">
        <f t="shared" si="36"/>
        <v>1</v>
      </c>
      <c r="AE113" s="79"/>
      <c r="AF113" s="79"/>
      <c r="AG113" s="80">
        <f t="shared" si="46"/>
        <v>1</v>
      </c>
      <c r="AH113" s="77">
        <f t="shared" si="47"/>
        <v>35</v>
      </c>
      <c r="AI113" s="79">
        <f t="shared" si="37"/>
        <v>0</v>
      </c>
      <c r="AJ113" s="79">
        <f t="shared" si="48"/>
        <v>0</v>
      </c>
      <c r="AK113" s="81">
        <f t="shared" si="49"/>
        <v>5</v>
      </c>
      <c r="AL113" s="81" t="str">
        <f t="shared" si="38"/>
        <v>CRIT</v>
      </c>
      <c r="AM113" s="81">
        <f t="shared" si="39"/>
        <v>22</v>
      </c>
      <c r="AN113" s="99">
        <f t="shared" si="40"/>
        <v>42884</v>
      </c>
      <c r="AO113" s="99">
        <f t="shared" si="41"/>
        <v>42888</v>
      </c>
      <c r="AP113" s="99"/>
      <c r="AQ113" s="73"/>
      <c r="AR113" s="67"/>
      <c r="AS113" s="132"/>
    </row>
    <row r="114" spans="1:45" ht="20.25" customHeight="1" thickTop="1" thickBot="1" x14ac:dyDescent="0.3">
      <c r="A114" s="74" t="str">
        <f t="shared" ca="1" si="27"/>
        <v/>
      </c>
      <c r="B114" s="75" t="str">
        <f t="shared" ca="1" si="28"/>
        <v/>
      </c>
      <c r="C114" s="76" t="str">
        <f>IF(AND('Interimaire Juin  2017'!D120=$B$1,'Interimaire Juin  2017'!J120=$B$2),'Interimaire Juin  2017'!E120,"")</f>
        <v/>
      </c>
      <c r="D114" s="76" t="str">
        <f>IF(AND('Interimaire Juin  2017'!D120=$B$1,'Interimaire Juin  2017'!J120=$B$2),'Interimaire Juin  2017'!F120,"")</f>
        <v/>
      </c>
      <c r="E114" s="76" t="str">
        <f t="shared" si="29"/>
        <v/>
      </c>
      <c r="F114" s="76" t="str">
        <f t="array" aca="1" ref="F114" ca="1">IFERROR(INDEX(C:C,SMALL($E$2:$E$300,ROW(INDIRECT("106:"&amp;ROWS(C106:C404))))),"")</f>
        <v/>
      </c>
      <c r="G114" s="76" t="str">
        <f t="array" aca="1" ref="G114" ca="1">IFERROR(INDEX(D:D,SMALL($E$2:$E$300,ROW(INDIRECT("106:"&amp;ROWS(D106:D404))))),"")</f>
        <v/>
      </c>
      <c r="H114" s="82"/>
      <c r="I114" s="77">
        <v>7</v>
      </c>
      <c r="J114" s="78">
        <f t="shared" si="30"/>
        <v>1</v>
      </c>
      <c r="K114" s="82"/>
      <c r="L114" s="82"/>
      <c r="M114" s="80">
        <f t="shared" si="42"/>
        <v>1</v>
      </c>
      <c r="N114" s="77">
        <v>7</v>
      </c>
      <c r="O114" s="78">
        <f t="shared" si="32"/>
        <v>1</v>
      </c>
      <c r="P114" s="82"/>
      <c r="Q114" s="82"/>
      <c r="R114" s="80">
        <f t="shared" si="43"/>
        <v>1</v>
      </c>
      <c r="S114" s="77">
        <v>7</v>
      </c>
      <c r="T114" s="78">
        <f t="shared" si="34"/>
        <v>1</v>
      </c>
      <c r="U114" s="79"/>
      <c r="V114" s="79"/>
      <c r="W114" s="80">
        <f t="shared" si="44"/>
        <v>1</v>
      </c>
      <c r="X114" s="77">
        <v>7</v>
      </c>
      <c r="Y114" s="78">
        <f t="shared" si="35"/>
        <v>1</v>
      </c>
      <c r="Z114" s="79"/>
      <c r="AA114" s="79"/>
      <c r="AB114" s="80">
        <f t="shared" si="45"/>
        <v>1</v>
      </c>
      <c r="AC114" s="77">
        <v>7</v>
      </c>
      <c r="AD114" s="78">
        <f t="shared" si="36"/>
        <v>1</v>
      </c>
      <c r="AE114" s="79"/>
      <c r="AF114" s="79"/>
      <c r="AG114" s="80">
        <f t="shared" si="46"/>
        <v>1</v>
      </c>
      <c r="AH114" s="77">
        <f t="shared" si="47"/>
        <v>35</v>
      </c>
      <c r="AI114" s="79">
        <f t="shared" si="37"/>
        <v>0</v>
      </c>
      <c r="AJ114" s="79">
        <f t="shared" si="48"/>
        <v>0</v>
      </c>
      <c r="AK114" s="81">
        <f t="shared" si="49"/>
        <v>5</v>
      </c>
      <c r="AL114" s="81" t="str">
        <f t="shared" si="38"/>
        <v>CRIT</v>
      </c>
      <c r="AM114" s="81">
        <f t="shared" si="39"/>
        <v>22</v>
      </c>
      <c r="AN114" s="99">
        <f t="shared" si="40"/>
        <v>42884</v>
      </c>
      <c r="AO114" s="99">
        <f t="shared" si="41"/>
        <v>42888</v>
      </c>
      <c r="AP114" s="99"/>
      <c r="AQ114" s="73"/>
      <c r="AR114" s="67"/>
      <c r="AS114" s="132"/>
    </row>
    <row r="115" spans="1:45" ht="20.25" customHeight="1" thickTop="1" thickBot="1" x14ac:dyDescent="0.3">
      <c r="A115" s="74" t="str">
        <f t="shared" ca="1" si="27"/>
        <v/>
      </c>
      <c r="B115" s="75" t="str">
        <f t="shared" ca="1" si="28"/>
        <v/>
      </c>
      <c r="C115" s="76" t="str">
        <f>IF(AND('Interimaire Juin  2017'!D121=$B$1,'Interimaire Juin  2017'!J121=$B$2),'Interimaire Juin  2017'!E121,"")</f>
        <v/>
      </c>
      <c r="D115" s="76" t="str">
        <f>IF(AND('Interimaire Juin  2017'!D121=$B$1,'Interimaire Juin  2017'!J121=$B$2),'Interimaire Juin  2017'!F121,"")</f>
        <v/>
      </c>
      <c r="E115" s="76" t="str">
        <f t="shared" si="29"/>
        <v/>
      </c>
      <c r="F115" s="76" t="str">
        <f t="array" aca="1" ref="F115" ca="1">IFERROR(INDEX(C:C,SMALL($E$2:$E$300,ROW(INDIRECT("107:"&amp;ROWS(C107:C405))))),"")</f>
        <v/>
      </c>
      <c r="G115" s="76" t="str">
        <f t="array" aca="1" ref="G115" ca="1">IFERROR(INDEX(D:D,SMALL($E$2:$E$300,ROW(INDIRECT("107:"&amp;ROWS(D107:D405))))),"")</f>
        <v/>
      </c>
      <c r="H115" s="82"/>
      <c r="I115" s="77">
        <v>7</v>
      </c>
      <c r="J115" s="78">
        <f t="shared" si="30"/>
        <v>1</v>
      </c>
      <c r="K115" s="82"/>
      <c r="L115" s="82"/>
      <c r="M115" s="80">
        <f t="shared" si="42"/>
        <v>1</v>
      </c>
      <c r="N115" s="77">
        <v>7</v>
      </c>
      <c r="O115" s="78">
        <f t="shared" si="32"/>
        <v>1</v>
      </c>
      <c r="P115" s="82"/>
      <c r="Q115" s="82"/>
      <c r="R115" s="80">
        <f t="shared" si="43"/>
        <v>1</v>
      </c>
      <c r="S115" s="77">
        <v>7</v>
      </c>
      <c r="T115" s="78">
        <f t="shared" si="34"/>
        <v>1</v>
      </c>
      <c r="U115" s="79"/>
      <c r="V115" s="79"/>
      <c r="W115" s="80">
        <f t="shared" si="44"/>
        <v>1</v>
      </c>
      <c r="X115" s="77">
        <v>7</v>
      </c>
      <c r="Y115" s="78">
        <f t="shared" si="35"/>
        <v>1</v>
      </c>
      <c r="Z115" s="79"/>
      <c r="AA115" s="79"/>
      <c r="AB115" s="80">
        <f t="shared" si="45"/>
        <v>1</v>
      </c>
      <c r="AC115" s="77">
        <v>7</v>
      </c>
      <c r="AD115" s="78">
        <f t="shared" si="36"/>
        <v>1</v>
      </c>
      <c r="AE115" s="79"/>
      <c r="AF115" s="79"/>
      <c r="AG115" s="80">
        <f t="shared" si="46"/>
        <v>1</v>
      </c>
      <c r="AH115" s="77">
        <f t="shared" si="47"/>
        <v>35</v>
      </c>
      <c r="AI115" s="79">
        <f t="shared" si="37"/>
        <v>0</v>
      </c>
      <c r="AJ115" s="79">
        <f t="shared" si="48"/>
        <v>0</v>
      </c>
      <c r="AK115" s="81">
        <f t="shared" si="49"/>
        <v>5</v>
      </c>
      <c r="AL115" s="81" t="str">
        <f t="shared" si="38"/>
        <v>CRIT</v>
      </c>
      <c r="AM115" s="81">
        <f t="shared" si="39"/>
        <v>22</v>
      </c>
      <c r="AN115" s="99">
        <f t="shared" si="40"/>
        <v>42884</v>
      </c>
      <c r="AO115" s="99">
        <f t="shared" si="41"/>
        <v>42888</v>
      </c>
      <c r="AP115" s="99"/>
      <c r="AQ115" s="73"/>
      <c r="AR115" s="67"/>
      <c r="AS115" s="132"/>
    </row>
    <row r="116" spans="1:45" ht="20.25" customHeight="1" thickTop="1" thickBot="1" x14ac:dyDescent="0.3">
      <c r="A116" s="74" t="str">
        <f t="shared" ca="1" si="27"/>
        <v/>
      </c>
      <c r="B116" s="75" t="str">
        <f t="shared" ca="1" si="28"/>
        <v/>
      </c>
      <c r="C116" s="76" t="str">
        <f>IF(AND('Interimaire Juin  2017'!D122=$B$1,'Interimaire Juin  2017'!J122=$B$2),'Interimaire Juin  2017'!E122,"")</f>
        <v/>
      </c>
      <c r="D116" s="76" t="str">
        <f>IF(AND('Interimaire Juin  2017'!D122=$B$1,'Interimaire Juin  2017'!J122=$B$2),'Interimaire Juin  2017'!F122,"")</f>
        <v/>
      </c>
      <c r="E116" s="76" t="str">
        <f t="shared" si="29"/>
        <v/>
      </c>
      <c r="F116" s="76" t="str">
        <f t="array" aca="1" ref="F116" ca="1">IFERROR(INDEX(C:C,SMALL($E$2:$E$300,ROW(INDIRECT("108:"&amp;ROWS(C108:C406))))),"")</f>
        <v/>
      </c>
      <c r="G116" s="76" t="str">
        <f t="array" aca="1" ref="G116" ca="1">IFERROR(INDEX(D:D,SMALL($E$2:$E$300,ROW(INDIRECT("108:"&amp;ROWS(D108:D406))))),"")</f>
        <v/>
      </c>
      <c r="H116" s="82"/>
      <c r="I116" s="77">
        <v>7</v>
      </c>
      <c r="J116" s="78">
        <f t="shared" si="30"/>
        <v>1</v>
      </c>
      <c r="K116" s="82"/>
      <c r="L116" s="82"/>
      <c r="M116" s="80">
        <f t="shared" si="42"/>
        <v>1</v>
      </c>
      <c r="N116" s="77">
        <v>7</v>
      </c>
      <c r="O116" s="78">
        <f t="shared" si="32"/>
        <v>1</v>
      </c>
      <c r="P116" s="82"/>
      <c r="Q116" s="82"/>
      <c r="R116" s="80">
        <f t="shared" si="43"/>
        <v>1</v>
      </c>
      <c r="S116" s="77">
        <v>7</v>
      </c>
      <c r="T116" s="78">
        <f t="shared" si="34"/>
        <v>1</v>
      </c>
      <c r="U116" s="79"/>
      <c r="V116" s="79"/>
      <c r="W116" s="80">
        <f t="shared" si="44"/>
        <v>1</v>
      </c>
      <c r="X116" s="77">
        <v>7</v>
      </c>
      <c r="Y116" s="78">
        <f t="shared" si="35"/>
        <v>1</v>
      </c>
      <c r="Z116" s="79"/>
      <c r="AA116" s="79"/>
      <c r="AB116" s="80">
        <f t="shared" si="45"/>
        <v>1</v>
      </c>
      <c r="AC116" s="77">
        <v>7</v>
      </c>
      <c r="AD116" s="78">
        <f t="shared" si="36"/>
        <v>1</v>
      </c>
      <c r="AE116" s="79"/>
      <c r="AF116" s="79"/>
      <c r="AG116" s="80">
        <f t="shared" si="46"/>
        <v>1</v>
      </c>
      <c r="AH116" s="77">
        <f t="shared" si="47"/>
        <v>35</v>
      </c>
      <c r="AI116" s="79">
        <f t="shared" si="37"/>
        <v>0</v>
      </c>
      <c r="AJ116" s="79">
        <f t="shared" si="48"/>
        <v>0</v>
      </c>
      <c r="AK116" s="81">
        <f t="shared" si="49"/>
        <v>5</v>
      </c>
      <c r="AL116" s="81" t="str">
        <f t="shared" si="38"/>
        <v>CRIT</v>
      </c>
      <c r="AM116" s="81">
        <f t="shared" si="39"/>
        <v>22</v>
      </c>
      <c r="AN116" s="99">
        <f t="shared" si="40"/>
        <v>42884</v>
      </c>
      <c r="AO116" s="99">
        <f t="shared" si="41"/>
        <v>42888</v>
      </c>
      <c r="AP116" s="99"/>
      <c r="AQ116" s="73"/>
      <c r="AR116" s="67"/>
      <c r="AS116" s="132"/>
    </row>
    <row r="117" spans="1:45" ht="20.25" customHeight="1" thickTop="1" thickBot="1" x14ac:dyDescent="0.3">
      <c r="A117" s="74" t="str">
        <f t="shared" ca="1" si="27"/>
        <v/>
      </c>
      <c r="B117" s="75" t="str">
        <f t="shared" ca="1" si="28"/>
        <v/>
      </c>
      <c r="C117" s="76" t="str">
        <f>IF(AND('Interimaire Juin  2017'!D123=$B$1,'Interimaire Juin  2017'!J123=$B$2),'Interimaire Juin  2017'!E123,"")</f>
        <v/>
      </c>
      <c r="D117" s="76" t="str">
        <f>IF(AND('Interimaire Juin  2017'!D123=$B$1,'Interimaire Juin  2017'!J123=$B$2),'Interimaire Juin  2017'!F123,"")</f>
        <v/>
      </c>
      <c r="E117" s="76" t="str">
        <f t="shared" si="29"/>
        <v/>
      </c>
      <c r="F117" s="76" t="str">
        <f t="array" aca="1" ref="F117" ca="1">IFERROR(INDEX(C:C,SMALL($E$2:$E$300,ROW(INDIRECT("109:"&amp;ROWS(C109:C407))))),"")</f>
        <v/>
      </c>
      <c r="G117" s="76" t="str">
        <f t="array" aca="1" ref="G117" ca="1">IFERROR(INDEX(D:D,SMALL($E$2:$E$300,ROW(INDIRECT("109:"&amp;ROWS(D109:D407))))),"")</f>
        <v/>
      </c>
      <c r="H117" s="82"/>
      <c r="I117" s="77">
        <v>7</v>
      </c>
      <c r="J117" s="78">
        <f t="shared" si="30"/>
        <v>1</v>
      </c>
      <c r="K117" s="82"/>
      <c r="L117" s="82"/>
      <c r="M117" s="80">
        <f t="shared" si="42"/>
        <v>1</v>
      </c>
      <c r="N117" s="77">
        <v>7</v>
      </c>
      <c r="O117" s="78">
        <f t="shared" si="32"/>
        <v>1</v>
      </c>
      <c r="P117" s="82"/>
      <c r="Q117" s="82"/>
      <c r="R117" s="80">
        <f t="shared" si="43"/>
        <v>1</v>
      </c>
      <c r="S117" s="77">
        <v>7</v>
      </c>
      <c r="T117" s="78">
        <f t="shared" si="34"/>
        <v>1</v>
      </c>
      <c r="U117" s="79"/>
      <c r="V117" s="79"/>
      <c r="W117" s="80">
        <f t="shared" si="44"/>
        <v>1</v>
      </c>
      <c r="X117" s="77">
        <v>7</v>
      </c>
      <c r="Y117" s="78">
        <f t="shared" si="35"/>
        <v>1</v>
      </c>
      <c r="Z117" s="79"/>
      <c r="AA117" s="79"/>
      <c r="AB117" s="80">
        <f t="shared" si="45"/>
        <v>1</v>
      </c>
      <c r="AC117" s="77">
        <v>7</v>
      </c>
      <c r="AD117" s="78">
        <f t="shared" si="36"/>
        <v>1</v>
      </c>
      <c r="AE117" s="79"/>
      <c r="AF117" s="79"/>
      <c r="AG117" s="80">
        <f t="shared" si="46"/>
        <v>1</v>
      </c>
      <c r="AH117" s="77">
        <f t="shared" si="47"/>
        <v>35</v>
      </c>
      <c r="AI117" s="79">
        <f t="shared" si="37"/>
        <v>0</v>
      </c>
      <c r="AJ117" s="79">
        <f t="shared" si="48"/>
        <v>0</v>
      </c>
      <c r="AK117" s="81">
        <f t="shared" si="49"/>
        <v>5</v>
      </c>
      <c r="AL117" s="81" t="str">
        <f t="shared" si="38"/>
        <v>CRIT</v>
      </c>
      <c r="AM117" s="81">
        <f t="shared" si="39"/>
        <v>22</v>
      </c>
      <c r="AN117" s="99">
        <f t="shared" si="40"/>
        <v>42884</v>
      </c>
      <c r="AO117" s="99">
        <f t="shared" si="41"/>
        <v>42888</v>
      </c>
      <c r="AP117" s="99"/>
      <c r="AQ117" s="73"/>
      <c r="AR117" s="67"/>
      <c r="AS117" s="132"/>
    </row>
    <row r="118" spans="1:45" ht="20.25" customHeight="1" thickTop="1" thickBot="1" x14ac:dyDescent="0.3">
      <c r="A118" s="74" t="str">
        <f t="shared" ca="1" si="27"/>
        <v/>
      </c>
      <c r="B118" s="75" t="str">
        <f t="shared" ca="1" si="28"/>
        <v/>
      </c>
      <c r="C118" s="76" t="str">
        <f>IF(AND('Interimaire Juin  2017'!D124=$B$1,'Interimaire Juin  2017'!J124=$B$2),'Interimaire Juin  2017'!E124,"")</f>
        <v/>
      </c>
      <c r="D118" s="76" t="str">
        <f>IF(AND('Interimaire Juin  2017'!D124=$B$1,'Interimaire Juin  2017'!J124=$B$2),'Interimaire Juin  2017'!F124,"")</f>
        <v/>
      </c>
      <c r="E118" s="76" t="str">
        <f t="shared" si="29"/>
        <v/>
      </c>
      <c r="F118" s="76" t="str">
        <f t="array" aca="1" ref="F118" ca="1">IFERROR(INDEX(C:C,SMALL($E$2:$E$300,ROW(INDIRECT("110:"&amp;ROWS(C110:C408))))),"")</f>
        <v/>
      </c>
      <c r="G118" s="76" t="str">
        <f t="array" aca="1" ref="G118" ca="1">IFERROR(INDEX(D:D,SMALL($E$2:$E$300,ROW(INDIRECT("110:"&amp;ROWS(D110:D408))))),"")</f>
        <v/>
      </c>
      <c r="H118" s="82"/>
      <c r="I118" s="77">
        <v>7</v>
      </c>
      <c r="J118" s="78">
        <f t="shared" si="30"/>
        <v>1</v>
      </c>
      <c r="K118" s="82"/>
      <c r="L118" s="82"/>
      <c r="M118" s="80">
        <f t="shared" si="42"/>
        <v>1</v>
      </c>
      <c r="N118" s="77">
        <v>7</v>
      </c>
      <c r="O118" s="78">
        <f t="shared" si="32"/>
        <v>1</v>
      </c>
      <c r="P118" s="82"/>
      <c r="Q118" s="82"/>
      <c r="R118" s="80">
        <f t="shared" si="43"/>
        <v>1</v>
      </c>
      <c r="S118" s="77">
        <v>7</v>
      </c>
      <c r="T118" s="78">
        <f t="shared" si="34"/>
        <v>1</v>
      </c>
      <c r="U118" s="79"/>
      <c r="V118" s="79"/>
      <c r="W118" s="80">
        <f t="shared" si="44"/>
        <v>1</v>
      </c>
      <c r="X118" s="77">
        <v>7</v>
      </c>
      <c r="Y118" s="78">
        <f t="shared" si="35"/>
        <v>1</v>
      </c>
      <c r="Z118" s="79"/>
      <c r="AA118" s="79"/>
      <c r="AB118" s="80">
        <f t="shared" si="45"/>
        <v>1</v>
      </c>
      <c r="AC118" s="77">
        <v>7</v>
      </c>
      <c r="AD118" s="78">
        <f t="shared" si="36"/>
        <v>1</v>
      </c>
      <c r="AE118" s="79"/>
      <c r="AF118" s="79"/>
      <c r="AG118" s="80">
        <f t="shared" si="46"/>
        <v>1</v>
      </c>
      <c r="AH118" s="77">
        <f t="shared" si="47"/>
        <v>35</v>
      </c>
      <c r="AI118" s="79">
        <f t="shared" si="37"/>
        <v>0</v>
      </c>
      <c r="AJ118" s="79">
        <f t="shared" si="48"/>
        <v>0</v>
      </c>
      <c r="AK118" s="81">
        <f t="shared" si="49"/>
        <v>5</v>
      </c>
      <c r="AL118" s="81" t="str">
        <f t="shared" si="38"/>
        <v>CRIT</v>
      </c>
      <c r="AM118" s="81">
        <f t="shared" si="39"/>
        <v>22</v>
      </c>
      <c r="AN118" s="99">
        <f t="shared" si="40"/>
        <v>42884</v>
      </c>
      <c r="AO118" s="99">
        <f t="shared" si="41"/>
        <v>42888</v>
      </c>
      <c r="AP118" s="99"/>
      <c r="AQ118" s="73"/>
      <c r="AR118" s="67"/>
      <c r="AS118" s="132"/>
    </row>
    <row r="119" spans="1:45" ht="20.25" customHeight="1" thickTop="1" thickBot="1" x14ac:dyDescent="0.3">
      <c r="A119" s="74" t="str">
        <f t="shared" ca="1" si="27"/>
        <v/>
      </c>
      <c r="B119" s="75" t="str">
        <f t="shared" ca="1" si="28"/>
        <v/>
      </c>
      <c r="C119" s="76" t="str">
        <f>IF(AND('Interimaire Juin  2017'!D125=$B$1,'Interimaire Juin  2017'!J125=$B$2),'Interimaire Juin  2017'!E125,"")</f>
        <v/>
      </c>
      <c r="D119" s="76" t="str">
        <f>IF(AND('Interimaire Juin  2017'!D125=$B$1,'Interimaire Juin  2017'!J125=$B$2),'Interimaire Juin  2017'!F125,"")</f>
        <v/>
      </c>
      <c r="E119" s="76" t="str">
        <f t="shared" si="29"/>
        <v/>
      </c>
      <c r="F119" s="76" t="str">
        <f t="array" aca="1" ref="F119" ca="1">IFERROR(INDEX(C:C,SMALL($E$2:$E$300,ROW(INDIRECT("111:"&amp;ROWS(C111:C409))))),"")</f>
        <v/>
      </c>
      <c r="G119" s="76" t="str">
        <f t="array" aca="1" ref="G119" ca="1">IFERROR(INDEX(D:D,SMALL($E$2:$E$300,ROW(INDIRECT("111:"&amp;ROWS(D111:D409))))),"")</f>
        <v/>
      </c>
      <c r="H119" s="82"/>
      <c r="I119" s="77">
        <v>7</v>
      </c>
      <c r="J119" s="78">
        <f t="shared" si="30"/>
        <v>1</v>
      </c>
      <c r="K119" s="82"/>
      <c r="L119" s="82"/>
      <c r="M119" s="80">
        <f t="shared" si="42"/>
        <v>1</v>
      </c>
      <c r="N119" s="77">
        <v>7</v>
      </c>
      <c r="O119" s="78">
        <f t="shared" si="32"/>
        <v>1</v>
      </c>
      <c r="P119" s="82"/>
      <c r="Q119" s="82"/>
      <c r="R119" s="80">
        <f t="shared" si="43"/>
        <v>1</v>
      </c>
      <c r="S119" s="77">
        <v>7</v>
      </c>
      <c r="T119" s="78">
        <f t="shared" si="34"/>
        <v>1</v>
      </c>
      <c r="U119" s="79"/>
      <c r="V119" s="79"/>
      <c r="W119" s="80">
        <f t="shared" si="44"/>
        <v>1</v>
      </c>
      <c r="X119" s="77">
        <v>7</v>
      </c>
      <c r="Y119" s="78">
        <f t="shared" si="35"/>
        <v>1</v>
      </c>
      <c r="Z119" s="79"/>
      <c r="AA119" s="79"/>
      <c r="AB119" s="80">
        <f t="shared" si="45"/>
        <v>1</v>
      </c>
      <c r="AC119" s="77">
        <v>7</v>
      </c>
      <c r="AD119" s="78">
        <f t="shared" si="36"/>
        <v>1</v>
      </c>
      <c r="AE119" s="79"/>
      <c r="AF119" s="79"/>
      <c r="AG119" s="80">
        <f t="shared" si="46"/>
        <v>1</v>
      </c>
      <c r="AH119" s="77">
        <f t="shared" si="47"/>
        <v>35</v>
      </c>
      <c r="AI119" s="79">
        <f t="shared" si="37"/>
        <v>0</v>
      </c>
      <c r="AJ119" s="79">
        <f t="shared" si="48"/>
        <v>0</v>
      </c>
      <c r="AK119" s="81">
        <f t="shared" si="49"/>
        <v>5</v>
      </c>
      <c r="AL119" s="81" t="str">
        <f t="shared" si="38"/>
        <v>CRIT</v>
      </c>
      <c r="AM119" s="81">
        <f t="shared" si="39"/>
        <v>22</v>
      </c>
      <c r="AN119" s="99">
        <f t="shared" si="40"/>
        <v>42884</v>
      </c>
      <c r="AO119" s="99">
        <f t="shared" si="41"/>
        <v>42888</v>
      </c>
      <c r="AP119" s="99"/>
      <c r="AQ119" s="73"/>
      <c r="AR119" s="67"/>
      <c r="AS119" s="132"/>
    </row>
    <row r="120" spans="1:45" ht="20.25" customHeight="1" thickTop="1" thickBot="1" x14ac:dyDescent="0.3">
      <c r="A120" s="74" t="str">
        <f t="shared" ca="1" si="27"/>
        <v/>
      </c>
      <c r="B120" s="75" t="str">
        <f t="shared" ca="1" si="28"/>
        <v/>
      </c>
      <c r="C120" s="76" t="str">
        <f>IF(AND('Interimaire Juin  2017'!D126=$B$1,'Interimaire Juin  2017'!J126=$B$2),'Interimaire Juin  2017'!E126,"")</f>
        <v/>
      </c>
      <c r="D120" s="76" t="str">
        <f>IF(AND('Interimaire Juin  2017'!D126=$B$1,'Interimaire Juin  2017'!J126=$B$2),'Interimaire Juin  2017'!F126,"")</f>
        <v/>
      </c>
      <c r="E120" s="76" t="str">
        <f t="shared" si="29"/>
        <v/>
      </c>
      <c r="F120" s="76" t="str">
        <f t="array" aca="1" ref="F120" ca="1">IFERROR(INDEX(C:C,SMALL($E$2:$E$300,ROW(INDIRECT("112:"&amp;ROWS(C112:C410))))),"")</f>
        <v/>
      </c>
      <c r="G120" s="76" t="str">
        <f t="array" aca="1" ref="G120" ca="1">IFERROR(INDEX(D:D,SMALL($E$2:$E$300,ROW(INDIRECT("112:"&amp;ROWS(D112:D410))))),"")</f>
        <v/>
      </c>
      <c r="H120" s="82"/>
      <c r="I120" s="77">
        <v>7</v>
      </c>
      <c r="J120" s="78">
        <f t="shared" si="30"/>
        <v>1</v>
      </c>
      <c r="K120" s="82"/>
      <c r="L120" s="82"/>
      <c r="M120" s="80">
        <f t="shared" si="42"/>
        <v>1</v>
      </c>
      <c r="N120" s="77">
        <v>7</v>
      </c>
      <c r="O120" s="78">
        <f t="shared" si="32"/>
        <v>1</v>
      </c>
      <c r="P120" s="82"/>
      <c r="Q120" s="82"/>
      <c r="R120" s="80">
        <f t="shared" si="43"/>
        <v>1</v>
      </c>
      <c r="S120" s="77">
        <v>7</v>
      </c>
      <c r="T120" s="78">
        <f t="shared" si="34"/>
        <v>1</v>
      </c>
      <c r="U120" s="79"/>
      <c r="V120" s="79"/>
      <c r="W120" s="80">
        <f t="shared" si="44"/>
        <v>1</v>
      </c>
      <c r="X120" s="77">
        <v>7</v>
      </c>
      <c r="Y120" s="78">
        <f t="shared" si="35"/>
        <v>1</v>
      </c>
      <c r="Z120" s="79"/>
      <c r="AA120" s="79"/>
      <c r="AB120" s="80">
        <f t="shared" si="45"/>
        <v>1</v>
      </c>
      <c r="AC120" s="77">
        <v>7</v>
      </c>
      <c r="AD120" s="78">
        <f t="shared" si="36"/>
        <v>1</v>
      </c>
      <c r="AE120" s="79"/>
      <c r="AF120" s="79"/>
      <c r="AG120" s="80">
        <f t="shared" si="46"/>
        <v>1</v>
      </c>
      <c r="AH120" s="77">
        <f t="shared" si="47"/>
        <v>35</v>
      </c>
      <c r="AI120" s="79">
        <f t="shared" si="37"/>
        <v>0</v>
      </c>
      <c r="AJ120" s="79">
        <f t="shared" si="48"/>
        <v>0</v>
      </c>
      <c r="AK120" s="81">
        <f t="shared" si="49"/>
        <v>5</v>
      </c>
      <c r="AL120" s="81" t="str">
        <f t="shared" si="38"/>
        <v>CRIT</v>
      </c>
      <c r="AM120" s="81">
        <f t="shared" si="39"/>
        <v>22</v>
      </c>
      <c r="AN120" s="99">
        <f t="shared" si="40"/>
        <v>42884</v>
      </c>
      <c r="AO120" s="99">
        <f t="shared" si="41"/>
        <v>42888</v>
      </c>
      <c r="AP120" s="99"/>
      <c r="AQ120" s="73"/>
      <c r="AR120" s="67"/>
      <c r="AS120" s="132"/>
    </row>
    <row r="121" spans="1:45" ht="20.25" customHeight="1" thickTop="1" thickBot="1" x14ac:dyDescent="0.3">
      <c r="A121" s="74" t="str">
        <f t="shared" ca="1" si="27"/>
        <v/>
      </c>
      <c r="B121" s="75" t="str">
        <f t="shared" ca="1" si="28"/>
        <v/>
      </c>
      <c r="C121" s="76" t="str">
        <f>IF(AND('Interimaire Juin  2017'!D127=$B$1,'Interimaire Juin  2017'!J127=$B$2),'Interimaire Juin  2017'!E127,"")</f>
        <v/>
      </c>
      <c r="D121" s="76" t="str">
        <f>IF(AND('Interimaire Juin  2017'!D127=$B$1,'Interimaire Juin  2017'!J127=$B$2),'Interimaire Juin  2017'!F127,"")</f>
        <v/>
      </c>
      <c r="E121" s="76" t="str">
        <f t="shared" si="29"/>
        <v/>
      </c>
      <c r="F121" s="76" t="str">
        <f t="array" aca="1" ref="F121" ca="1">IFERROR(INDEX(C:C,SMALL($E$2:$E$300,ROW(INDIRECT("113:"&amp;ROWS(C113:C411))))),"")</f>
        <v/>
      </c>
      <c r="G121" s="76" t="str">
        <f t="array" aca="1" ref="G121" ca="1">IFERROR(INDEX(D:D,SMALL($E$2:$E$300,ROW(INDIRECT("113:"&amp;ROWS(D113:D411))))),"")</f>
        <v/>
      </c>
      <c r="H121" s="82"/>
      <c r="I121" s="77">
        <v>7</v>
      </c>
      <c r="J121" s="78">
        <f t="shared" si="30"/>
        <v>1</v>
      </c>
      <c r="K121" s="82"/>
      <c r="L121" s="82"/>
      <c r="M121" s="80">
        <f t="shared" si="42"/>
        <v>1</v>
      </c>
      <c r="N121" s="77">
        <v>7</v>
      </c>
      <c r="O121" s="78">
        <f t="shared" si="32"/>
        <v>1</v>
      </c>
      <c r="P121" s="82"/>
      <c r="Q121" s="82"/>
      <c r="R121" s="80">
        <f t="shared" si="43"/>
        <v>1</v>
      </c>
      <c r="S121" s="77">
        <v>7</v>
      </c>
      <c r="T121" s="78">
        <f t="shared" si="34"/>
        <v>1</v>
      </c>
      <c r="U121" s="79"/>
      <c r="V121" s="79"/>
      <c r="W121" s="80">
        <f t="shared" si="44"/>
        <v>1</v>
      </c>
      <c r="X121" s="77">
        <v>7</v>
      </c>
      <c r="Y121" s="78">
        <f t="shared" si="35"/>
        <v>1</v>
      </c>
      <c r="Z121" s="79"/>
      <c r="AA121" s="79"/>
      <c r="AB121" s="80">
        <f t="shared" si="45"/>
        <v>1</v>
      </c>
      <c r="AC121" s="77">
        <v>7</v>
      </c>
      <c r="AD121" s="78">
        <f t="shared" si="36"/>
        <v>1</v>
      </c>
      <c r="AE121" s="79"/>
      <c r="AF121" s="79"/>
      <c r="AG121" s="80">
        <f t="shared" si="46"/>
        <v>1</v>
      </c>
      <c r="AH121" s="77">
        <f t="shared" si="47"/>
        <v>35</v>
      </c>
      <c r="AI121" s="79">
        <f t="shared" si="37"/>
        <v>0</v>
      </c>
      <c r="AJ121" s="79">
        <f t="shared" si="48"/>
        <v>0</v>
      </c>
      <c r="AK121" s="81">
        <f t="shared" si="49"/>
        <v>5</v>
      </c>
      <c r="AL121" s="81" t="str">
        <f t="shared" si="38"/>
        <v>CRIT</v>
      </c>
      <c r="AM121" s="81">
        <f t="shared" si="39"/>
        <v>22</v>
      </c>
      <c r="AN121" s="99">
        <f t="shared" si="40"/>
        <v>42884</v>
      </c>
      <c r="AO121" s="99">
        <f t="shared" si="41"/>
        <v>42888</v>
      </c>
      <c r="AP121" s="99"/>
      <c r="AQ121" s="73"/>
      <c r="AR121" s="67"/>
      <c r="AS121" s="132"/>
    </row>
    <row r="122" spans="1:45" ht="20.25" customHeight="1" thickTop="1" thickBot="1" x14ac:dyDescent="0.3">
      <c r="A122" s="74" t="str">
        <f t="shared" ca="1" si="27"/>
        <v/>
      </c>
      <c r="B122" s="75" t="str">
        <f t="shared" ca="1" si="28"/>
        <v/>
      </c>
      <c r="C122" s="76" t="str">
        <f>IF(AND('Interimaire Juin  2017'!D128=$B$1,'Interimaire Juin  2017'!J128=$B$2),'Interimaire Juin  2017'!E128,"")</f>
        <v/>
      </c>
      <c r="D122" s="76" t="str">
        <f>IF(AND('Interimaire Juin  2017'!D128=$B$1,'Interimaire Juin  2017'!J128=$B$2),'Interimaire Juin  2017'!F128,"")</f>
        <v/>
      </c>
      <c r="E122" s="76" t="str">
        <f t="shared" si="29"/>
        <v/>
      </c>
      <c r="F122" s="76" t="str">
        <f t="array" aca="1" ref="F122" ca="1">IFERROR(INDEX(C:C,SMALL($E$2:$E$300,ROW(INDIRECT("114:"&amp;ROWS(C114:C412))))),"")</f>
        <v/>
      </c>
      <c r="G122" s="76" t="str">
        <f t="array" aca="1" ref="G122" ca="1">IFERROR(INDEX(D:D,SMALL($E$2:$E$300,ROW(INDIRECT("114:"&amp;ROWS(D114:D412))))),"")</f>
        <v/>
      </c>
      <c r="H122" s="82"/>
      <c r="I122" s="77">
        <v>7</v>
      </c>
      <c r="J122" s="78">
        <f t="shared" si="30"/>
        <v>1</v>
      </c>
      <c r="K122" s="82"/>
      <c r="L122" s="82"/>
      <c r="M122" s="80">
        <f t="shared" si="42"/>
        <v>1</v>
      </c>
      <c r="N122" s="77">
        <v>7</v>
      </c>
      <c r="O122" s="78">
        <f t="shared" si="32"/>
        <v>1</v>
      </c>
      <c r="P122" s="82"/>
      <c r="Q122" s="82"/>
      <c r="R122" s="80">
        <f t="shared" si="43"/>
        <v>1</v>
      </c>
      <c r="S122" s="77">
        <v>7</v>
      </c>
      <c r="T122" s="78">
        <f t="shared" si="34"/>
        <v>1</v>
      </c>
      <c r="U122" s="79"/>
      <c r="V122" s="79"/>
      <c r="W122" s="80">
        <f t="shared" si="44"/>
        <v>1</v>
      </c>
      <c r="X122" s="77">
        <v>7</v>
      </c>
      <c r="Y122" s="78">
        <f t="shared" si="35"/>
        <v>1</v>
      </c>
      <c r="Z122" s="79"/>
      <c r="AA122" s="79"/>
      <c r="AB122" s="80">
        <f t="shared" si="45"/>
        <v>1</v>
      </c>
      <c r="AC122" s="77">
        <v>7</v>
      </c>
      <c r="AD122" s="78">
        <f t="shared" si="36"/>
        <v>1</v>
      </c>
      <c r="AE122" s="79"/>
      <c r="AF122" s="79"/>
      <c r="AG122" s="80">
        <f t="shared" si="46"/>
        <v>1</v>
      </c>
      <c r="AH122" s="77">
        <f t="shared" si="47"/>
        <v>35</v>
      </c>
      <c r="AI122" s="79">
        <f t="shared" si="37"/>
        <v>0</v>
      </c>
      <c r="AJ122" s="79">
        <f t="shared" si="48"/>
        <v>0</v>
      </c>
      <c r="AK122" s="81">
        <f t="shared" si="49"/>
        <v>5</v>
      </c>
      <c r="AL122" s="81" t="str">
        <f t="shared" si="38"/>
        <v>CRIT</v>
      </c>
      <c r="AM122" s="81">
        <f t="shared" si="39"/>
        <v>22</v>
      </c>
      <c r="AN122" s="99">
        <f t="shared" si="40"/>
        <v>42884</v>
      </c>
      <c r="AO122" s="99">
        <f t="shared" si="41"/>
        <v>42888</v>
      </c>
      <c r="AP122" s="99"/>
      <c r="AQ122" s="73"/>
      <c r="AR122" s="67"/>
      <c r="AS122" s="132"/>
    </row>
    <row r="123" spans="1:45" ht="20.25" customHeight="1" thickTop="1" thickBot="1" x14ac:dyDescent="0.3">
      <c r="A123" s="74" t="str">
        <f t="shared" ca="1" si="27"/>
        <v/>
      </c>
      <c r="B123" s="75" t="str">
        <f t="shared" ca="1" si="28"/>
        <v/>
      </c>
      <c r="C123" s="76" t="str">
        <f>IF(AND('Interimaire Juin  2017'!D129=$B$1,'Interimaire Juin  2017'!J129=$B$2),'Interimaire Juin  2017'!E129,"")</f>
        <v/>
      </c>
      <c r="D123" s="76" t="str">
        <f>IF(AND('Interimaire Juin  2017'!D129=$B$1,'Interimaire Juin  2017'!J129=$B$2),'Interimaire Juin  2017'!F129,"")</f>
        <v/>
      </c>
      <c r="E123" s="76" t="str">
        <f t="shared" si="29"/>
        <v/>
      </c>
      <c r="F123" s="76" t="str">
        <f t="array" aca="1" ref="F123" ca="1">IFERROR(INDEX(C:C,SMALL($E$2:$E$300,ROW(INDIRECT("115:"&amp;ROWS(C115:C413))))),"")</f>
        <v/>
      </c>
      <c r="G123" s="76" t="str">
        <f t="array" aca="1" ref="G123" ca="1">IFERROR(INDEX(D:D,SMALL($E$2:$E$300,ROW(INDIRECT("115:"&amp;ROWS(D115:D413))))),"")</f>
        <v/>
      </c>
      <c r="H123" s="82"/>
      <c r="I123" s="77">
        <v>7</v>
      </c>
      <c r="J123" s="78">
        <f t="shared" si="30"/>
        <v>1</v>
      </c>
      <c r="K123" s="82"/>
      <c r="L123" s="82"/>
      <c r="M123" s="80">
        <f t="shared" si="42"/>
        <v>1</v>
      </c>
      <c r="N123" s="77">
        <v>7</v>
      </c>
      <c r="O123" s="78">
        <f t="shared" si="32"/>
        <v>1</v>
      </c>
      <c r="P123" s="82"/>
      <c r="Q123" s="82"/>
      <c r="R123" s="80">
        <f t="shared" si="43"/>
        <v>1</v>
      </c>
      <c r="S123" s="77">
        <v>7</v>
      </c>
      <c r="T123" s="78">
        <f t="shared" si="34"/>
        <v>1</v>
      </c>
      <c r="U123" s="79"/>
      <c r="V123" s="79"/>
      <c r="W123" s="80">
        <f t="shared" si="44"/>
        <v>1</v>
      </c>
      <c r="X123" s="77">
        <v>7</v>
      </c>
      <c r="Y123" s="78">
        <f t="shared" si="35"/>
        <v>1</v>
      </c>
      <c r="Z123" s="79"/>
      <c r="AA123" s="79"/>
      <c r="AB123" s="80">
        <f t="shared" si="45"/>
        <v>1</v>
      </c>
      <c r="AC123" s="77">
        <v>7</v>
      </c>
      <c r="AD123" s="78">
        <f t="shared" si="36"/>
        <v>1</v>
      </c>
      <c r="AE123" s="79"/>
      <c r="AF123" s="79"/>
      <c r="AG123" s="80">
        <f t="shared" si="46"/>
        <v>1</v>
      </c>
      <c r="AH123" s="77">
        <f t="shared" si="47"/>
        <v>35</v>
      </c>
      <c r="AI123" s="79">
        <f t="shared" si="37"/>
        <v>0</v>
      </c>
      <c r="AJ123" s="79">
        <f t="shared" si="48"/>
        <v>0</v>
      </c>
      <c r="AK123" s="81">
        <f t="shared" si="49"/>
        <v>5</v>
      </c>
      <c r="AL123" s="81" t="str">
        <f t="shared" si="38"/>
        <v>CRIT</v>
      </c>
      <c r="AM123" s="81">
        <f t="shared" si="39"/>
        <v>22</v>
      </c>
      <c r="AN123" s="99">
        <f t="shared" si="40"/>
        <v>42884</v>
      </c>
      <c r="AO123" s="99">
        <f t="shared" si="41"/>
        <v>42888</v>
      </c>
      <c r="AP123" s="99"/>
      <c r="AQ123" s="73"/>
      <c r="AR123" s="67"/>
      <c r="AS123" s="132"/>
    </row>
    <row r="124" spans="1:45" ht="20.25" customHeight="1" thickTop="1" thickBot="1" x14ac:dyDescent="0.3">
      <c r="A124" s="74" t="str">
        <f t="shared" ca="1" si="27"/>
        <v/>
      </c>
      <c r="B124" s="75" t="str">
        <f t="shared" ca="1" si="28"/>
        <v/>
      </c>
      <c r="C124" s="76" t="str">
        <f>IF(AND('Interimaire Juin  2017'!D130=$B$1,'Interimaire Juin  2017'!J130=$B$2),'Interimaire Juin  2017'!E130,"")</f>
        <v/>
      </c>
      <c r="D124" s="76" t="str">
        <f>IF(AND('Interimaire Juin  2017'!D130=$B$1,'Interimaire Juin  2017'!J130=$B$2),'Interimaire Juin  2017'!F130,"")</f>
        <v/>
      </c>
      <c r="E124" s="76" t="str">
        <f t="shared" si="29"/>
        <v/>
      </c>
      <c r="F124" s="76" t="str">
        <f t="array" aca="1" ref="F124" ca="1">IFERROR(INDEX(C:C,SMALL($E$2:$E$300,ROW(INDIRECT("116:"&amp;ROWS(C116:C414))))),"")</f>
        <v/>
      </c>
      <c r="G124" s="76" t="str">
        <f t="array" aca="1" ref="G124" ca="1">IFERROR(INDEX(D:D,SMALL($E$2:$E$300,ROW(INDIRECT("116:"&amp;ROWS(D116:D414))))),"")</f>
        <v/>
      </c>
      <c r="H124" s="82"/>
      <c r="I124" s="77">
        <v>7</v>
      </c>
      <c r="J124" s="78">
        <f t="shared" si="30"/>
        <v>1</v>
      </c>
      <c r="K124" s="82"/>
      <c r="L124" s="82"/>
      <c r="M124" s="80">
        <f t="shared" si="42"/>
        <v>1</v>
      </c>
      <c r="N124" s="77">
        <v>7</v>
      </c>
      <c r="O124" s="78">
        <f t="shared" si="32"/>
        <v>1</v>
      </c>
      <c r="P124" s="82"/>
      <c r="Q124" s="82"/>
      <c r="R124" s="80">
        <f t="shared" si="43"/>
        <v>1</v>
      </c>
      <c r="S124" s="77">
        <v>7</v>
      </c>
      <c r="T124" s="78">
        <f t="shared" si="34"/>
        <v>1</v>
      </c>
      <c r="U124" s="79"/>
      <c r="V124" s="79"/>
      <c r="W124" s="80">
        <f t="shared" si="44"/>
        <v>1</v>
      </c>
      <c r="X124" s="77">
        <v>7</v>
      </c>
      <c r="Y124" s="78">
        <f t="shared" si="35"/>
        <v>1</v>
      </c>
      <c r="Z124" s="79"/>
      <c r="AA124" s="79"/>
      <c r="AB124" s="80">
        <f t="shared" si="45"/>
        <v>1</v>
      </c>
      <c r="AC124" s="77">
        <v>7</v>
      </c>
      <c r="AD124" s="78">
        <f t="shared" si="36"/>
        <v>1</v>
      </c>
      <c r="AE124" s="79"/>
      <c r="AF124" s="79"/>
      <c r="AG124" s="80">
        <f t="shared" si="46"/>
        <v>1</v>
      </c>
      <c r="AH124" s="77">
        <f t="shared" si="47"/>
        <v>35</v>
      </c>
      <c r="AI124" s="79">
        <f t="shared" si="37"/>
        <v>0</v>
      </c>
      <c r="AJ124" s="79">
        <f t="shared" si="48"/>
        <v>0</v>
      </c>
      <c r="AK124" s="81">
        <f t="shared" si="49"/>
        <v>5</v>
      </c>
      <c r="AL124" s="81" t="str">
        <f t="shared" si="38"/>
        <v>CRIT</v>
      </c>
      <c r="AM124" s="81">
        <f t="shared" si="39"/>
        <v>22</v>
      </c>
      <c r="AN124" s="99">
        <f t="shared" si="40"/>
        <v>42884</v>
      </c>
      <c r="AO124" s="99">
        <f t="shared" si="41"/>
        <v>42888</v>
      </c>
      <c r="AP124" s="99"/>
      <c r="AQ124" s="73"/>
      <c r="AR124" s="67"/>
      <c r="AS124" s="132"/>
    </row>
    <row r="125" spans="1:45" ht="20.25" customHeight="1" thickTop="1" thickBot="1" x14ac:dyDescent="0.3">
      <c r="A125" s="74" t="str">
        <f t="shared" ca="1" si="27"/>
        <v/>
      </c>
      <c r="B125" s="75" t="str">
        <f t="shared" ca="1" si="28"/>
        <v/>
      </c>
      <c r="C125" s="76" t="str">
        <f>IF(AND('Interimaire Juin  2017'!D131=$B$1,'Interimaire Juin  2017'!J131=$B$2),'Interimaire Juin  2017'!E131,"")</f>
        <v/>
      </c>
      <c r="D125" s="76" t="str">
        <f>IF(AND('Interimaire Juin  2017'!D131=$B$1,'Interimaire Juin  2017'!J131=$B$2),'Interimaire Juin  2017'!F131,"")</f>
        <v/>
      </c>
      <c r="E125" s="76" t="str">
        <f t="shared" si="29"/>
        <v/>
      </c>
      <c r="F125" s="76" t="str">
        <f t="array" aca="1" ref="F125" ca="1">IFERROR(INDEX(C:C,SMALL($E$2:$E$300,ROW(INDIRECT("117:"&amp;ROWS(C117:C415))))),"")</f>
        <v/>
      </c>
      <c r="G125" s="76" t="str">
        <f t="array" aca="1" ref="G125" ca="1">IFERROR(INDEX(D:D,SMALL($E$2:$E$300,ROW(INDIRECT("117:"&amp;ROWS(D117:D415))))),"")</f>
        <v/>
      </c>
      <c r="H125" s="82"/>
      <c r="I125" s="77">
        <v>7</v>
      </c>
      <c r="J125" s="78">
        <f t="shared" si="30"/>
        <v>1</v>
      </c>
      <c r="K125" s="82"/>
      <c r="L125" s="82"/>
      <c r="M125" s="80">
        <f t="shared" si="42"/>
        <v>1</v>
      </c>
      <c r="N125" s="77">
        <v>7</v>
      </c>
      <c r="O125" s="78">
        <f t="shared" si="32"/>
        <v>1</v>
      </c>
      <c r="P125" s="82"/>
      <c r="Q125" s="82"/>
      <c r="R125" s="80">
        <f t="shared" si="43"/>
        <v>1</v>
      </c>
      <c r="S125" s="77">
        <v>7</v>
      </c>
      <c r="T125" s="78">
        <f t="shared" si="34"/>
        <v>1</v>
      </c>
      <c r="U125" s="79"/>
      <c r="V125" s="79"/>
      <c r="W125" s="80">
        <f t="shared" si="44"/>
        <v>1</v>
      </c>
      <c r="X125" s="77">
        <v>7</v>
      </c>
      <c r="Y125" s="78">
        <f t="shared" si="35"/>
        <v>1</v>
      </c>
      <c r="Z125" s="79"/>
      <c r="AA125" s="79"/>
      <c r="AB125" s="80">
        <f t="shared" si="45"/>
        <v>1</v>
      </c>
      <c r="AC125" s="77">
        <v>7</v>
      </c>
      <c r="AD125" s="78">
        <f t="shared" si="36"/>
        <v>1</v>
      </c>
      <c r="AE125" s="79"/>
      <c r="AF125" s="79"/>
      <c r="AG125" s="80">
        <f t="shared" si="46"/>
        <v>1</v>
      </c>
      <c r="AH125" s="77">
        <f t="shared" si="47"/>
        <v>35</v>
      </c>
      <c r="AI125" s="79">
        <f t="shared" si="37"/>
        <v>0</v>
      </c>
      <c r="AJ125" s="79">
        <f t="shared" si="48"/>
        <v>0</v>
      </c>
      <c r="AK125" s="81">
        <f t="shared" si="49"/>
        <v>5</v>
      </c>
      <c r="AL125" s="81" t="str">
        <f t="shared" si="38"/>
        <v>CRIT</v>
      </c>
      <c r="AM125" s="81">
        <f t="shared" si="39"/>
        <v>22</v>
      </c>
      <c r="AN125" s="99">
        <f t="shared" si="40"/>
        <v>42884</v>
      </c>
      <c r="AO125" s="99">
        <f t="shared" si="41"/>
        <v>42888</v>
      </c>
      <c r="AP125" s="99"/>
      <c r="AQ125" s="73"/>
      <c r="AR125" s="67"/>
      <c r="AS125" s="132"/>
    </row>
    <row r="126" spans="1:45" ht="20.25" customHeight="1" thickTop="1" thickBot="1" x14ac:dyDescent="0.3">
      <c r="A126" s="74" t="str">
        <f t="shared" ca="1" si="27"/>
        <v/>
      </c>
      <c r="B126" s="75" t="str">
        <f t="shared" ca="1" si="28"/>
        <v/>
      </c>
      <c r="C126" s="76" t="str">
        <f>IF(AND('Interimaire Juin  2017'!D132=$B$1,'Interimaire Juin  2017'!J132=$B$2),'Interimaire Juin  2017'!E132,"")</f>
        <v/>
      </c>
      <c r="D126" s="76" t="str">
        <f>IF(AND('Interimaire Juin  2017'!D132=$B$1,'Interimaire Juin  2017'!J132=$B$2),'Interimaire Juin  2017'!F132,"")</f>
        <v/>
      </c>
      <c r="E126" s="76" t="str">
        <f t="shared" si="29"/>
        <v/>
      </c>
      <c r="F126" s="76" t="str">
        <f t="array" aca="1" ref="F126" ca="1">IFERROR(INDEX(C:C,SMALL($E$2:$E$300,ROW(INDIRECT("118:"&amp;ROWS(C118:C416))))),"")</f>
        <v/>
      </c>
      <c r="G126" s="76" t="str">
        <f t="array" aca="1" ref="G126" ca="1">IFERROR(INDEX(D:D,SMALL($E$2:$E$300,ROW(INDIRECT("118:"&amp;ROWS(D118:D416))))),"")</f>
        <v/>
      </c>
      <c r="H126" s="82"/>
      <c r="I126" s="77">
        <v>7</v>
      </c>
      <c r="J126" s="78">
        <f t="shared" si="30"/>
        <v>1</v>
      </c>
      <c r="K126" s="82"/>
      <c r="L126" s="82"/>
      <c r="M126" s="80">
        <f t="shared" si="42"/>
        <v>1</v>
      </c>
      <c r="N126" s="77">
        <v>7</v>
      </c>
      <c r="O126" s="78">
        <f t="shared" si="32"/>
        <v>1</v>
      </c>
      <c r="P126" s="82"/>
      <c r="Q126" s="82"/>
      <c r="R126" s="80">
        <f t="shared" si="43"/>
        <v>1</v>
      </c>
      <c r="S126" s="77">
        <v>7</v>
      </c>
      <c r="T126" s="78">
        <f t="shared" si="34"/>
        <v>1</v>
      </c>
      <c r="U126" s="79"/>
      <c r="V126" s="79"/>
      <c r="W126" s="80">
        <f t="shared" si="44"/>
        <v>1</v>
      </c>
      <c r="X126" s="77">
        <v>7</v>
      </c>
      <c r="Y126" s="78">
        <f t="shared" si="35"/>
        <v>1</v>
      </c>
      <c r="Z126" s="79"/>
      <c r="AA126" s="79"/>
      <c r="AB126" s="80">
        <f t="shared" si="45"/>
        <v>1</v>
      </c>
      <c r="AC126" s="77">
        <v>7</v>
      </c>
      <c r="AD126" s="78">
        <f t="shared" si="36"/>
        <v>1</v>
      </c>
      <c r="AE126" s="79"/>
      <c r="AF126" s="79"/>
      <c r="AG126" s="80">
        <f t="shared" si="46"/>
        <v>1</v>
      </c>
      <c r="AH126" s="77">
        <f t="shared" si="47"/>
        <v>35</v>
      </c>
      <c r="AI126" s="79">
        <f t="shared" si="37"/>
        <v>0</v>
      </c>
      <c r="AJ126" s="79">
        <f t="shared" si="48"/>
        <v>0</v>
      </c>
      <c r="AK126" s="81">
        <f t="shared" si="49"/>
        <v>5</v>
      </c>
      <c r="AL126" s="81" t="str">
        <f t="shared" si="38"/>
        <v>CRIT</v>
      </c>
      <c r="AM126" s="81">
        <f t="shared" si="39"/>
        <v>22</v>
      </c>
      <c r="AN126" s="99">
        <f t="shared" si="40"/>
        <v>42884</v>
      </c>
      <c r="AO126" s="99">
        <f t="shared" si="41"/>
        <v>42888</v>
      </c>
      <c r="AP126" s="99"/>
      <c r="AQ126" s="73"/>
      <c r="AR126" s="67"/>
      <c r="AS126" s="132"/>
    </row>
    <row r="127" spans="1:45" ht="20.25" customHeight="1" thickTop="1" thickBot="1" x14ac:dyDescent="0.3">
      <c r="A127" s="74" t="str">
        <f t="shared" ca="1" si="27"/>
        <v/>
      </c>
      <c r="B127" s="75" t="str">
        <f t="shared" ca="1" si="28"/>
        <v/>
      </c>
      <c r="C127" s="76" t="str">
        <f>IF(AND('Interimaire Juin  2017'!D133=$B$1,'Interimaire Juin  2017'!J133=$B$2),'Interimaire Juin  2017'!E133,"")</f>
        <v/>
      </c>
      <c r="D127" s="76" t="str">
        <f>IF(AND('Interimaire Juin  2017'!D133=$B$1,'Interimaire Juin  2017'!J133=$B$2),'Interimaire Juin  2017'!F133,"")</f>
        <v/>
      </c>
      <c r="E127" s="76" t="str">
        <f t="shared" si="29"/>
        <v/>
      </c>
      <c r="F127" s="76" t="str">
        <f t="array" aca="1" ref="F127" ca="1">IFERROR(INDEX(C:C,SMALL($E$2:$E$300,ROW(INDIRECT("119:"&amp;ROWS(C119:C417))))),"")</f>
        <v/>
      </c>
      <c r="G127" s="76" t="str">
        <f t="array" aca="1" ref="G127" ca="1">IFERROR(INDEX(D:D,SMALL($E$2:$E$300,ROW(INDIRECT("119:"&amp;ROWS(D119:D417))))),"")</f>
        <v/>
      </c>
      <c r="H127" s="82"/>
      <c r="I127" s="77">
        <v>7</v>
      </c>
      <c r="J127" s="78">
        <f t="shared" si="30"/>
        <v>1</v>
      </c>
      <c r="K127" s="82"/>
      <c r="L127" s="82"/>
      <c r="M127" s="80">
        <f t="shared" si="42"/>
        <v>1</v>
      </c>
      <c r="N127" s="77">
        <v>7</v>
      </c>
      <c r="O127" s="78">
        <f t="shared" si="32"/>
        <v>1</v>
      </c>
      <c r="P127" s="82"/>
      <c r="Q127" s="82"/>
      <c r="R127" s="80">
        <f t="shared" si="43"/>
        <v>1</v>
      </c>
      <c r="S127" s="77">
        <v>7</v>
      </c>
      <c r="T127" s="78">
        <f t="shared" si="34"/>
        <v>1</v>
      </c>
      <c r="U127" s="79"/>
      <c r="V127" s="79"/>
      <c r="W127" s="80">
        <f t="shared" si="44"/>
        <v>1</v>
      </c>
      <c r="X127" s="77">
        <v>7</v>
      </c>
      <c r="Y127" s="78">
        <f t="shared" si="35"/>
        <v>1</v>
      </c>
      <c r="Z127" s="79"/>
      <c r="AA127" s="79"/>
      <c r="AB127" s="80">
        <f t="shared" si="45"/>
        <v>1</v>
      </c>
      <c r="AC127" s="77">
        <v>7</v>
      </c>
      <c r="AD127" s="78">
        <f t="shared" si="36"/>
        <v>1</v>
      </c>
      <c r="AE127" s="79"/>
      <c r="AF127" s="79"/>
      <c r="AG127" s="80">
        <f t="shared" si="46"/>
        <v>1</v>
      </c>
      <c r="AH127" s="77">
        <f t="shared" si="47"/>
        <v>35</v>
      </c>
      <c r="AI127" s="79">
        <f t="shared" si="37"/>
        <v>0</v>
      </c>
      <c r="AJ127" s="79">
        <f t="shared" si="48"/>
        <v>0</v>
      </c>
      <c r="AK127" s="81">
        <f t="shared" si="49"/>
        <v>5</v>
      </c>
      <c r="AL127" s="81" t="str">
        <f t="shared" si="38"/>
        <v>CRIT</v>
      </c>
      <c r="AM127" s="81">
        <f t="shared" si="39"/>
        <v>22</v>
      </c>
      <c r="AN127" s="99">
        <f t="shared" si="40"/>
        <v>42884</v>
      </c>
      <c r="AO127" s="99">
        <f t="shared" si="41"/>
        <v>42888</v>
      </c>
      <c r="AP127" s="99"/>
      <c r="AQ127" s="73"/>
      <c r="AR127" s="67"/>
      <c r="AS127" s="132"/>
    </row>
    <row r="128" spans="1:45" ht="20.25" customHeight="1" thickTop="1" thickBot="1" x14ac:dyDescent="0.3">
      <c r="A128" s="74" t="str">
        <f t="shared" ca="1" si="27"/>
        <v/>
      </c>
      <c r="B128" s="75" t="str">
        <f t="shared" ca="1" si="28"/>
        <v/>
      </c>
      <c r="C128" s="76" t="str">
        <f>IF(AND('Interimaire Juin  2017'!D134=$B$1,'Interimaire Juin  2017'!J134=$B$2),'Interimaire Juin  2017'!E134,"")</f>
        <v/>
      </c>
      <c r="D128" s="76" t="str">
        <f>IF(AND('Interimaire Juin  2017'!D134=$B$1,'Interimaire Juin  2017'!J134=$B$2),'Interimaire Juin  2017'!F134,"")</f>
        <v/>
      </c>
      <c r="E128" s="76" t="str">
        <f t="shared" si="29"/>
        <v/>
      </c>
      <c r="F128" s="76" t="str">
        <f t="array" aca="1" ref="F128" ca="1">IFERROR(INDEX(C:C,SMALL($E$2:$E$300,ROW(INDIRECT("120:"&amp;ROWS(C120:C418))))),"")</f>
        <v/>
      </c>
      <c r="G128" s="76" t="str">
        <f t="array" aca="1" ref="G128" ca="1">IFERROR(INDEX(D:D,SMALL($E$2:$E$300,ROW(INDIRECT("120:"&amp;ROWS(D120:D418))))),"")</f>
        <v/>
      </c>
      <c r="H128" s="82"/>
      <c r="I128" s="77">
        <v>7</v>
      </c>
      <c r="J128" s="78">
        <f t="shared" si="30"/>
        <v>1</v>
      </c>
      <c r="K128" s="82"/>
      <c r="L128" s="82"/>
      <c r="M128" s="80">
        <f t="shared" si="42"/>
        <v>1</v>
      </c>
      <c r="N128" s="77">
        <v>7</v>
      </c>
      <c r="O128" s="78">
        <f t="shared" si="32"/>
        <v>1</v>
      </c>
      <c r="P128" s="82"/>
      <c r="Q128" s="82"/>
      <c r="R128" s="80">
        <f t="shared" si="43"/>
        <v>1</v>
      </c>
      <c r="S128" s="77">
        <v>7</v>
      </c>
      <c r="T128" s="78">
        <f t="shared" si="34"/>
        <v>1</v>
      </c>
      <c r="U128" s="79"/>
      <c r="V128" s="79"/>
      <c r="W128" s="80">
        <f t="shared" si="44"/>
        <v>1</v>
      </c>
      <c r="X128" s="77">
        <v>7</v>
      </c>
      <c r="Y128" s="78">
        <f t="shared" si="35"/>
        <v>1</v>
      </c>
      <c r="Z128" s="79"/>
      <c r="AA128" s="79"/>
      <c r="AB128" s="80">
        <f t="shared" si="45"/>
        <v>1</v>
      </c>
      <c r="AC128" s="77">
        <v>7</v>
      </c>
      <c r="AD128" s="78">
        <f t="shared" si="36"/>
        <v>1</v>
      </c>
      <c r="AE128" s="79"/>
      <c r="AF128" s="79"/>
      <c r="AG128" s="80">
        <f t="shared" si="46"/>
        <v>1</v>
      </c>
      <c r="AH128" s="77">
        <f t="shared" si="47"/>
        <v>35</v>
      </c>
      <c r="AI128" s="79">
        <f t="shared" si="37"/>
        <v>0</v>
      </c>
      <c r="AJ128" s="79">
        <f t="shared" si="48"/>
        <v>0</v>
      </c>
      <c r="AK128" s="81">
        <f t="shared" si="49"/>
        <v>5</v>
      </c>
      <c r="AL128" s="81" t="str">
        <f t="shared" si="38"/>
        <v>CRIT</v>
      </c>
      <c r="AM128" s="81">
        <f t="shared" si="39"/>
        <v>22</v>
      </c>
      <c r="AN128" s="99">
        <f t="shared" si="40"/>
        <v>42884</v>
      </c>
      <c r="AO128" s="99">
        <f t="shared" si="41"/>
        <v>42888</v>
      </c>
      <c r="AP128" s="99"/>
      <c r="AQ128" s="73"/>
      <c r="AR128" s="67"/>
      <c r="AS128" s="132"/>
    </row>
    <row r="129" spans="1:45" ht="20.25" customHeight="1" thickTop="1" thickBot="1" x14ac:dyDescent="0.3">
      <c r="A129" s="74" t="str">
        <f t="shared" ca="1" si="27"/>
        <v/>
      </c>
      <c r="B129" s="75" t="str">
        <f t="shared" ca="1" si="28"/>
        <v/>
      </c>
      <c r="C129" s="76" t="str">
        <f>IF(AND('Interimaire Juin  2017'!D135=$B$1,'Interimaire Juin  2017'!J135=$B$2),'Interimaire Juin  2017'!E135,"")</f>
        <v/>
      </c>
      <c r="D129" s="76" t="str">
        <f>IF(AND('Interimaire Juin  2017'!D135=$B$1,'Interimaire Juin  2017'!J135=$B$2),'Interimaire Juin  2017'!F135,"")</f>
        <v/>
      </c>
      <c r="E129" s="76" t="str">
        <f t="shared" si="29"/>
        <v/>
      </c>
      <c r="F129" s="76" t="str">
        <f t="array" aca="1" ref="F129" ca="1">IFERROR(INDEX(C:C,SMALL($E$2:$E$300,ROW(INDIRECT("121:"&amp;ROWS(C121:C419))))),"")</f>
        <v/>
      </c>
      <c r="G129" s="76" t="str">
        <f t="array" aca="1" ref="G129" ca="1">IFERROR(INDEX(D:D,SMALL($E$2:$E$300,ROW(INDIRECT("121:"&amp;ROWS(D121:D419))))),"")</f>
        <v/>
      </c>
      <c r="H129" s="82"/>
      <c r="I129" s="77">
        <v>7</v>
      </c>
      <c r="J129" s="78">
        <f t="shared" si="30"/>
        <v>1</v>
      </c>
      <c r="K129" s="82"/>
      <c r="L129" s="82"/>
      <c r="M129" s="80">
        <f t="shared" si="42"/>
        <v>1</v>
      </c>
      <c r="N129" s="77">
        <v>7</v>
      </c>
      <c r="O129" s="78">
        <f t="shared" si="32"/>
        <v>1</v>
      </c>
      <c r="P129" s="82"/>
      <c r="Q129" s="82"/>
      <c r="R129" s="80">
        <f t="shared" si="43"/>
        <v>1</v>
      </c>
      <c r="S129" s="77">
        <v>7</v>
      </c>
      <c r="T129" s="78">
        <f t="shared" si="34"/>
        <v>1</v>
      </c>
      <c r="U129" s="79"/>
      <c r="V129" s="79"/>
      <c r="W129" s="80">
        <f t="shared" si="44"/>
        <v>1</v>
      </c>
      <c r="X129" s="77">
        <v>7</v>
      </c>
      <c r="Y129" s="78">
        <f t="shared" si="35"/>
        <v>1</v>
      </c>
      <c r="Z129" s="79"/>
      <c r="AA129" s="79"/>
      <c r="AB129" s="80">
        <f t="shared" si="45"/>
        <v>1</v>
      </c>
      <c r="AC129" s="77">
        <v>7</v>
      </c>
      <c r="AD129" s="78">
        <f t="shared" si="36"/>
        <v>1</v>
      </c>
      <c r="AE129" s="79"/>
      <c r="AF129" s="79"/>
      <c r="AG129" s="80">
        <f t="shared" si="46"/>
        <v>1</v>
      </c>
      <c r="AH129" s="77">
        <f t="shared" si="47"/>
        <v>35</v>
      </c>
      <c r="AI129" s="79">
        <f t="shared" si="37"/>
        <v>0</v>
      </c>
      <c r="AJ129" s="79">
        <f t="shared" si="48"/>
        <v>0</v>
      </c>
      <c r="AK129" s="81">
        <f t="shared" si="49"/>
        <v>5</v>
      </c>
      <c r="AL129" s="81" t="str">
        <f t="shared" si="38"/>
        <v>CRIT</v>
      </c>
      <c r="AM129" s="81">
        <f t="shared" si="39"/>
        <v>22</v>
      </c>
      <c r="AN129" s="99">
        <f t="shared" si="40"/>
        <v>42884</v>
      </c>
      <c r="AO129" s="99">
        <f t="shared" si="41"/>
        <v>42888</v>
      </c>
      <c r="AP129" s="99"/>
      <c r="AQ129" s="73"/>
      <c r="AR129" s="67"/>
      <c r="AS129" s="132"/>
    </row>
    <row r="130" spans="1:45" ht="20.25" customHeight="1" thickTop="1" thickBot="1" x14ac:dyDescent="0.3">
      <c r="A130" s="74" t="str">
        <f t="shared" ca="1" si="27"/>
        <v/>
      </c>
      <c r="B130" s="75" t="str">
        <f t="shared" ca="1" si="28"/>
        <v/>
      </c>
      <c r="C130" s="76" t="str">
        <f>IF(AND('Interimaire Juin  2017'!D136=$B$1,'Interimaire Juin  2017'!J136=$B$2),'Interimaire Juin  2017'!E136,"")</f>
        <v/>
      </c>
      <c r="D130" s="76" t="str">
        <f>IF(AND('Interimaire Juin  2017'!D136=$B$1,'Interimaire Juin  2017'!J136=$B$2),'Interimaire Juin  2017'!F136,"")</f>
        <v/>
      </c>
      <c r="E130" s="76" t="str">
        <f t="shared" si="29"/>
        <v/>
      </c>
      <c r="F130" s="76" t="str">
        <f t="array" aca="1" ref="F130" ca="1">IFERROR(INDEX(C:C,SMALL($E$2:$E$300,ROW(INDIRECT("122:"&amp;ROWS(C122:C420))))),"")</f>
        <v/>
      </c>
      <c r="G130" s="76" t="str">
        <f t="array" aca="1" ref="G130" ca="1">IFERROR(INDEX(D:D,SMALL($E$2:$E$300,ROW(INDIRECT("122:"&amp;ROWS(D122:D420))))),"")</f>
        <v/>
      </c>
      <c r="H130" s="82"/>
      <c r="I130" s="77">
        <v>7</v>
      </c>
      <c r="J130" s="78">
        <f t="shared" si="30"/>
        <v>1</v>
      </c>
      <c r="K130" s="82"/>
      <c r="L130" s="82"/>
      <c r="M130" s="80">
        <f t="shared" si="42"/>
        <v>1</v>
      </c>
      <c r="N130" s="77">
        <v>7</v>
      </c>
      <c r="O130" s="78">
        <f t="shared" si="32"/>
        <v>1</v>
      </c>
      <c r="P130" s="82"/>
      <c r="Q130" s="82"/>
      <c r="R130" s="80">
        <f t="shared" si="43"/>
        <v>1</v>
      </c>
      <c r="S130" s="77">
        <v>7</v>
      </c>
      <c r="T130" s="78">
        <f t="shared" si="34"/>
        <v>1</v>
      </c>
      <c r="U130" s="79"/>
      <c r="V130" s="79"/>
      <c r="W130" s="80">
        <f t="shared" si="44"/>
        <v>1</v>
      </c>
      <c r="X130" s="77">
        <v>7</v>
      </c>
      <c r="Y130" s="78">
        <f t="shared" si="35"/>
        <v>1</v>
      </c>
      <c r="Z130" s="79"/>
      <c r="AA130" s="79"/>
      <c r="AB130" s="80">
        <f t="shared" si="45"/>
        <v>1</v>
      </c>
      <c r="AC130" s="77">
        <v>7</v>
      </c>
      <c r="AD130" s="78">
        <f t="shared" si="36"/>
        <v>1</v>
      </c>
      <c r="AE130" s="79"/>
      <c r="AF130" s="79"/>
      <c r="AG130" s="80">
        <f t="shared" si="46"/>
        <v>1</v>
      </c>
      <c r="AH130" s="77">
        <f t="shared" si="47"/>
        <v>35</v>
      </c>
      <c r="AI130" s="79">
        <f t="shared" si="37"/>
        <v>0</v>
      </c>
      <c r="AJ130" s="79">
        <f t="shared" si="48"/>
        <v>0</v>
      </c>
      <c r="AK130" s="81">
        <f t="shared" si="49"/>
        <v>5</v>
      </c>
      <c r="AL130" s="81" t="str">
        <f t="shared" si="38"/>
        <v>CRIT</v>
      </c>
      <c r="AM130" s="81">
        <f t="shared" si="39"/>
        <v>22</v>
      </c>
      <c r="AN130" s="99">
        <f t="shared" si="40"/>
        <v>42884</v>
      </c>
      <c r="AO130" s="99">
        <f t="shared" si="41"/>
        <v>42888</v>
      </c>
      <c r="AP130" s="99"/>
      <c r="AQ130" s="73"/>
      <c r="AR130" s="67"/>
      <c r="AS130" s="132"/>
    </row>
    <row r="131" spans="1:45" ht="20.25" customHeight="1" thickTop="1" thickBot="1" x14ac:dyDescent="0.3">
      <c r="A131" s="74" t="str">
        <f t="shared" ca="1" si="27"/>
        <v/>
      </c>
      <c r="B131" s="75" t="str">
        <f t="shared" ca="1" si="28"/>
        <v/>
      </c>
      <c r="C131" s="76" t="str">
        <f>IF(AND('Interimaire Juin  2017'!D137=$B$1,'Interimaire Juin  2017'!J137=$B$2),'Interimaire Juin  2017'!E137,"")</f>
        <v/>
      </c>
      <c r="D131" s="76" t="str">
        <f>IF(AND('Interimaire Juin  2017'!D137=$B$1,'Interimaire Juin  2017'!J137=$B$2),'Interimaire Juin  2017'!F137,"")</f>
        <v/>
      </c>
      <c r="E131" s="76" t="str">
        <f t="shared" si="29"/>
        <v/>
      </c>
      <c r="F131" s="76" t="str">
        <f t="array" aca="1" ref="F131" ca="1">IFERROR(INDEX(C:C,SMALL($E$2:$E$300,ROW(INDIRECT("123:"&amp;ROWS(C123:C421))))),"")</f>
        <v/>
      </c>
      <c r="G131" s="76" t="str">
        <f t="array" aca="1" ref="G131" ca="1">IFERROR(INDEX(D:D,SMALL($E$2:$E$300,ROW(INDIRECT("123:"&amp;ROWS(D123:D421))))),"")</f>
        <v/>
      </c>
      <c r="H131" s="82"/>
      <c r="I131" s="77">
        <v>7</v>
      </c>
      <c r="J131" s="78">
        <f t="shared" si="30"/>
        <v>1</v>
      </c>
      <c r="K131" s="82"/>
      <c r="L131" s="82"/>
      <c r="M131" s="80">
        <f t="shared" si="42"/>
        <v>1</v>
      </c>
      <c r="N131" s="77">
        <v>7</v>
      </c>
      <c r="O131" s="78">
        <f t="shared" si="32"/>
        <v>1</v>
      </c>
      <c r="P131" s="82"/>
      <c r="Q131" s="82"/>
      <c r="R131" s="80">
        <f t="shared" si="43"/>
        <v>1</v>
      </c>
      <c r="S131" s="77">
        <v>7</v>
      </c>
      <c r="T131" s="78">
        <f t="shared" si="34"/>
        <v>1</v>
      </c>
      <c r="U131" s="79"/>
      <c r="V131" s="79"/>
      <c r="W131" s="80">
        <f t="shared" si="44"/>
        <v>1</v>
      </c>
      <c r="X131" s="77">
        <v>7</v>
      </c>
      <c r="Y131" s="78">
        <f t="shared" si="35"/>
        <v>1</v>
      </c>
      <c r="Z131" s="79"/>
      <c r="AA131" s="79"/>
      <c r="AB131" s="80">
        <f t="shared" si="45"/>
        <v>1</v>
      </c>
      <c r="AC131" s="77">
        <v>7</v>
      </c>
      <c r="AD131" s="78">
        <f t="shared" si="36"/>
        <v>1</v>
      </c>
      <c r="AE131" s="79"/>
      <c r="AF131" s="79"/>
      <c r="AG131" s="80">
        <f t="shared" si="46"/>
        <v>1</v>
      </c>
      <c r="AH131" s="77">
        <f t="shared" si="47"/>
        <v>35</v>
      </c>
      <c r="AI131" s="79">
        <f t="shared" si="37"/>
        <v>0</v>
      </c>
      <c r="AJ131" s="79">
        <f t="shared" si="48"/>
        <v>0</v>
      </c>
      <c r="AK131" s="81">
        <f t="shared" si="49"/>
        <v>5</v>
      </c>
      <c r="AL131" s="81" t="str">
        <f t="shared" si="38"/>
        <v>CRIT</v>
      </c>
      <c r="AM131" s="81">
        <f t="shared" si="39"/>
        <v>22</v>
      </c>
      <c r="AN131" s="99">
        <f t="shared" si="40"/>
        <v>42884</v>
      </c>
      <c r="AO131" s="99">
        <f t="shared" si="41"/>
        <v>42888</v>
      </c>
      <c r="AP131" s="99"/>
      <c r="AQ131" s="73"/>
      <c r="AR131" s="67"/>
      <c r="AS131" s="132"/>
    </row>
    <row r="132" spans="1:45" ht="20.25" customHeight="1" thickTop="1" thickBot="1" x14ac:dyDescent="0.3">
      <c r="A132" s="74" t="str">
        <f t="shared" ca="1" si="27"/>
        <v/>
      </c>
      <c r="B132" s="75" t="str">
        <f t="shared" ca="1" si="28"/>
        <v/>
      </c>
      <c r="C132" s="76" t="str">
        <f>IF(AND('Interimaire Juin  2017'!D138=$B$1,'Interimaire Juin  2017'!J138=$B$2),'Interimaire Juin  2017'!E138,"")</f>
        <v/>
      </c>
      <c r="D132" s="76" t="str">
        <f>IF(AND('Interimaire Juin  2017'!D138=$B$1,'Interimaire Juin  2017'!J138=$B$2),'Interimaire Juin  2017'!F138,"")</f>
        <v/>
      </c>
      <c r="E132" s="76" t="str">
        <f t="shared" si="29"/>
        <v/>
      </c>
      <c r="F132" s="76" t="str">
        <f t="array" aca="1" ref="F132" ca="1">IFERROR(INDEX(C:C,SMALL($E$2:$E$300,ROW(INDIRECT("124:"&amp;ROWS(C124:C422))))),"")</f>
        <v/>
      </c>
      <c r="G132" s="76" t="str">
        <f t="array" aca="1" ref="G132" ca="1">IFERROR(INDEX(D:D,SMALL($E$2:$E$300,ROW(INDIRECT("124:"&amp;ROWS(D124:D422))))),"")</f>
        <v/>
      </c>
      <c r="H132" s="82"/>
      <c r="I132" s="77">
        <v>7</v>
      </c>
      <c r="J132" s="78">
        <f t="shared" si="30"/>
        <v>1</v>
      </c>
      <c r="K132" s="82"/>
      <c r="L132" s="82"/>
      <c r="M132" s="80">
        <f t="shared" si="42"/>
        <v>1</v>
      </c>
      <c r="N132" s="77">
        <v>7</v>
      </c>
      <c r="O132" s="78">
        <f t="shared" si="32"/>
        <v>1</v>
      </c>
      <c r="P132" s="82"/>
      <c r="Q132" s="82"/>
      <c r="R132" s="80">
        <f t="shared" si="43"/>
        <v>1</v>
      </c>
      <c r="S132" s="77">
        <v>7</v>
      </c>
      <c r="T132" s="78">
        <f t="shared" si="34"/>
        <v>1</v>
      </c>
      <c r="U132" s="79"/>
      <c r="V132" s="79"/>
      <c r="W132" s="80">
        <f t="shared" si="44"/>
        <v>1</v>
      </c>
      <c r="X132" s="77">
        <v>7</v>
      </c>
      <c r="Y132" s="78">
        <f t="shared" si="35"/>
        <v>1</v>
      </c>
      <c r="Z132" s="79"/>
      <c r="AA132" s="79"/>
      <c r="AB132" s="80">
        <f t="shared" si="45"/>
        <v>1</v>
      </c>
      <c r="AC132" s="77">
        <v>7</v>
      </c>
      <c r="AD132" s="78">
        <f t="shared" si="36"/>
        <v>1</v>
      </c>
      <c r="AE132" s="79"/>
      <c r="AF132" s="79"/>
      <c r="AG132" s="80">
        <f t="shared" si="46"/>
        <v>1</v>
      </c>
      <c r="AH132" s="77">
        <f t="shared" si="47"/>
        <v>35</v>
      </c>
      <c r="AI132" s="79">
        <f t="shared" si="37"/>
        <v>0</v>
      </c>
      <c r="AJ132" s="79">
        <f t="shared" si="48"/>
        <v>0</v>
      </c>
      <c r="AK132" s="81">
        <f t="shared" si="49"/>
        <v>5</v>
      </c>
      <c r="AL132" s="81" t="str">
        <f t="shared" si="38"/>
        <v>CRIT</v>
      </c>
      <c r="AM132" s="81">
        <f t="shared" si="39"/>
        <v>22</v>
      </c>
      <c r="AN132" s="99">
        <f t="shared" si="40"/>
        <v>42884</v>
      </c>
      <c r="AO132" s="99">
        <f t="shared" si="41"/>
        <v>42888</v>
      </c>
      <c r="AP132" s="99"/>
      <c r="AQ132" s="73"/>
      <c r="AR132" s="67"/>
      <c r="AS132" s="132"/>
    </row>
    <row r="133" spans="1:45" ht="20.25" customHeight="1" thickTop="1" thickBot="1" x14ac:dyDescent="0.3">
      <c r="A133" s="74" t="str">
        <f t="shared" ca="1" si="27"/>
        <v/>
      </c>
      <c r="B133" s="75" t="str">
        <f t="shared" ca="1" si="28"/>
        <v/>
      </c>
      <c r="C133" s="76" t="str">
        <f>IF(AND('Interimaire Juin  2017'!D139=$B$1,'Interimaire Juin  2017'!J139=$B$2),'Interimaire Juin  2017'!E139,"")</f>
        <v/>
      </c>
      <c r="D133" s="76" t="str">
        <f>IF(AND('Interimaire Juin  2017'!D139=$B$1,'Interimaire Juin  2017'!J139=$B$2),'Interimaire Juin  2017'!F139,"")</f>
        <v/>
      </c>
      <c r="E133" s="76" t="str">
        <f t="shared" si="29"/>
        <v/>
      </c>
      <c r="F133" s="76" t="str">
        <f t="array" aca="1" ref="F133" ca="1">IFERROR(INDEX(C:C,SMALL($E$2:$E$300,ROW(INDIRECT("125:"&amp;ROWS(C125:C423))))),"")</f>
        <v/>
      </c>
      <c r="G133" s="76" t="str">
        <f t="array" aca="1" ref="G133" ca="1">IFERROR(INDEX(D:D,SMALL($E$2:$E$300,ROW(INDIRECT("125:"&amp;ROWS(D125:D423))))),"")</f>
        <v/>
      </c>
      <c r="H133" s="82"/>
      <c r="I133" s="77">
        <v>7</v>
      </c>
      <c r="J133" s="78">
        <f t="shared" si="30"/>
        <v>1</v>
      </c>
      <c r="K133" s="82"/>
      <c r="L133" s="82"/>
      <c r="M133" s="80">
        <f t="shared" si="42"/>
        <v>1</v>
      </c>
      <c r="N133" s="77">
        <v>7</v>
      </c>
      <c r="O133" s="78">
        <f t="shared" si="32"/>
        <v>1</v>
      </c>
      <c r="P133" s="82"/>
      <c r="Q133" s="82"/>
      <c r="R133" s="80">
        <f t="shared" si="43"/>
        <v>1</v>
      </c>
      <c r="S133" s="77">
        <v>7</v>
      </c>
      <c r="T133" s="78">
        <f t="shared" si="34"/>
        <v>1</v>
      </c>
      <c r="U133" s="79"/>
      <c r="V133" s="79"/>
      <c r="W133" s="80">
        <f t="shared" si="44"/>
        <v>1</v>
      </c>
      <c r="X133" s="77">
        <v>7</v>
      </c>
      <c r="Y133" s="78">
        <f t="shared" si="35"/>
        <v>1</v>
      </c>
      <c r="Z133" s="79"/>
      <c r="AA133" s="79"/>
      <c r="AB133" s="80">
        <f t="shared" si="45"/>
        <v>1</v>
      </c>
      <c r="AC133" s="77">
        <v>7</v>
      </c>
      <c r="AD133" s="78">
        <f t="shared" si="36"/>
        <v>1</v>
      </c>
      <c r="AE133" s="79"/>
      <c r="AF133" s="79"/>
      <c r="AG133" s="80">
        <f t="shared" si="46"/>
        <v>1</v>
      </c>
      <c r="AH133" s="77">
        <f t="shared" si="47"/>
        <v>35</v>
      </c>
      <c r="AI133" s="79">
        <f t="shared" si="37"/>
        <v>0</v>
      </c>
      <c r="AJ133" s="79">
        <f t="shared" si="48"/>
        <v>0</v>
      </c>
      <c r="AK133" s="81">
        <f t="shared" si="49"/>
        <v>5</v>
      </c>
      <c r="AL133" s="81" t="str">
        <f t="shared" si="38"/>
        <v>CRIT</v>
      </c>
      <c r="AM133" s="81">
        <f t="shared" si="39"/>
        <v>22</v>
      </c>
      <c r="AN133" s="99">
        <f t="shared" si="40"/>
        <v>42884</v>
      </c>
      <c r="AO133" s="99">
        <f t="shared" si="41"/>
        <v>42888</v>
      </c>
      <c r="AP133" s="99"/>
      <c r="AQ133" s="73"/>
      <c r="AR133" s="67"/>
      <c r="AS133" s="132"/>
    </row>
    <row r="134" spans="1:45" ht="20.25" customHeight="1" thickTop="1" thickBot="1" x14ac:dyDescent="0.3">
      <c r="A134" s="74" t="str">
        <f t="shared" ca="1" si="27"/>
        <v/>
      </c>
      <c r="B134" s="75" t="str">
        <f t="shared" ca="1" si="28"/>
        <v/>
      </c>
      <c r="C134" s="76" t="str">
        <f>IF(AND('Interimaire Juin  2017'!D140=$B$1,'Interimaire Juin  2017'!J140=$B$2),'Interimaire Juin  2017'!E140,"")</f>
        <v/>
      </c>
      <c r="D134" s="76" t="str">
        <f>IF(AND('Interimaire Juin  2017'!D140=$B$1,'Interimaire Juin  2017'!J140=$B$2),'Interimaire Juin  2017'!F140,"")</f>
        <v/>
      </c>
      <c r="E134" s="76" t="str">
        <f t="shared" si="29"/>
        <v/>
      </c>
      <c r="F134" s="76" t="str">
        <f t="array" aca="1" ref="F134" ca="1">IFERROR(INDEX(C:C,SMALL($E$2:$E$300,ROW(INDIRECT("126:"&amp;ROWS(C126:C424))))),"")</f>
        <v/>
      </c>
      <c r="G134" s="76" t="str">
        <f t="array" aca="1" ref="G134" ca="1">IFERROR(INDEX(D:D,SMALL($E$2:$E$300,ROW(INDIRECT("126:"&amp;ROWS(D126:D424))))),"")</f>
        <v/>
      </c>
      <c r="H134" s="82"/>
      <c r="I134" s="77">
        <v>7</v>
      </c>
      <c r="J134" s="78">
        <f t="shared" si="30"/>
        <v>1</v>
      </c>
      <c r="K134" s="82"/>
      <c r="L134" s="82"/>
      <c r="M134" s="80">
        <f t="shared" si="42"/>
        <v>1</v>
      </c>
      <c r="N134" s="77">
        <v>7</v>
      </c>
      <c r="O134" s="78">
        <f t="shared" si="32"/>
        <v>1</v>
      </c>
      <c r="P134" s="82"/>
      <c r="Q134" s="82"/>
      <c r="R134" s="80">
        <f t="shared" si="43"/>
        <v>1</v>
      </c>
      <c r="S134" s="77">
        <v>7</v>
      </c>
      <c r="T134" s="78">
        <f t="shared" si="34"/>
        <v>1</v>
      </c>
      <c r="U134" s="79"/>
      <c r="V134" s="79"/>
      <c r="W134" s="80">
        <f t="shared" si="44"/>
        <v>1</v>
      </c>
      <c r="X134" s="77">
        <v>7</v>
      </c>
      <c r="Y134" s="78">
        <f t="shared" si="35"/>
        <v>1</v>
      </c>
      <c r="Z134" s="79"/>
      <c r="AA134" s="79"/>
      <c r="AB134" s="80">
        <f t="shared" si="45"/>
        <v>1</v>
      </c>
      <c r="AC134" s="77">
        <v>7</v>
      </c>
      <c r="AD134" s="78">
        <f t="shared" si="36"/>
        <v>1</v>
      </c>
      <c r="AE134" s="79"/>
      <c r="AF134" s="79"/>
      <c r="AG134" s="80">
        <f t="shared" si="46"/>
        <v>1</v>
      </c>
      <c r="AH134" s="77">
        <f t="shared" si="47"/>
        <v>35</v>
      </c>
      <c r="AI134" s="79">
        <f t="shared" si="37"/>
        <v>0</v>
      </c>
      <c r="AJ134" s="79">
        <f t="shared" si="48"/>
        <v>0</v>
      </c>
      <c r="AK134" s="81">
        <f t="shared" si="49"/>
        <v>5</v>
      </c>
      <c r="AL134" s="81" t="str">
        <f t="shared" si="38"/>
        <v>CRIT</v>
      </c>
      <c r="AM134" s="81">
        <f t="shared" si="39"/>
        <v>22</v>
      </c>
      <c r="AN134" s="99">
        <f t="shared" si="40"/>
        <v>42884</v>
      </c>
      <c r="AO134" s="99">
        <f t="shared" si="41"/>
        <v>42888</v>
      </c>
      <c r="AP134" s="99"/>
      <c r="AQ134" s="73"/>
      <c r="AR134" s="67"/>
      <c r="AS134" s="132"/>
    </row>
    <row r="135" spans="1:45" ht="20.25" customHeight="1" thickTop="1" thickBot="1" x14ac:dyDescent="0.3">
      <c r="A135" s="74" t="str">
        <f t="shared" ca="1" si="27"/>
        <v/>
      </c>
      <c r="B135" s="75" t="str">
        <f t="shared" ca="1" si="28"/>
        <v/>
      </c>
      <c r="C135" s="76" t="str">
        <f>IF(AND('Interimaire Juin  2017'!D141=$B$1,'Interimaire Juin  2017'!J141=$B$2),'Interimaire Juin  2017'!E141,"")</f>
        <v/>
      </c>
      <c r="D135" s="76" t="str">
        <f>IF(AND('Interimaire Juin  2017'!D141=$B$1,'Interimaire Juin  2017'!J141=$B$2),'Interimaire Juin  2017'!F141,"")</f>
        <v/>
      </c>
      <c r="E135" s="76" t="str">
        <f t="shared" si="29"/>
        <v/>
      </c>
      <c r="F135" s="76" t="str">
        <f t="array" aca="1" ref="F135" ca="1">IFERROR(INDEX(C:C,SMALL($E$2:$E$300,ROW(INDIRECT("127:"&amp;ROWS(C127:C425))))),"")</f>
        <v/>
      </c>
      <c r="G135" s="76" t="str">
        <f t="array" aca="1" ref="G135" ca="1">IFERROR(INDEX(D:D,SMALL($E$2:$E$300,ROW(INDIRECT("127:"&amp;ROWS(D127:D425))))),"")</f>
        <v/>
      </c>
      <c r="H135" s="82"/>
      <c r="I135" s="77">
        <v>7</v>
      </c>
      <c r="J135" s="78">
        <f t="shared" si="30"/>
        <v>1</v>
      </c>
      <c r="K135" s="82"/>
      <c r="L135" s="82"/>
      <c r="M135" s="80">
        <f t="shared" si="42"/>
        <v>1</v>
      </c>
      <c r="N135" s="77">
        <v>7</v>
      </c>
      <c r="O135" s="78">
        <f t="shared" si="32"/>
        <v>1</v>
      </c>
      <c r="P135" s="82"/>
      <c r="Q135" s="82"/>
      <c r="R135" s="80">
        <f t="shared" si="43"/>
        <v>1</v>
      </c>
      <c r="S135" s="77">
        <v>7</v>
      </c>
      <c r="T135" s="78">
        <f t="shared" si="34"/>
        <v>1</v>
      </c>
      <c r="U135" s="79"/>
      <c r="V135" s="79"/>
      <c r="W135" s="80">
        <f t="shared" si="44"/>
        <v>1</v>
      </c>
      <c r="X135" s="77">
        <v>7</v>
      </c>
      <c r="Y135" s="78">
        <f t="shared" si="35"/>
        <v>1</v>
      </c>
      <c r="Z135" s="79"/>
      <c r="AA135" s="79"/>
      <c r="AB135" s="80">
        <f t="shared" si="45"/>
        <v>1</v>
      </c>
      <c r="AC135" s="77">
        <v>7</v>
      </c>
      <c r="AD135" s="78">
        <f t="shared" si="36"/>
        <v>1</v>
      </c>
      <c r="AE135" s="79"/>
      <c r="AF135" s="79"/>
      <c r="AG135" s="80">
        <f t="shared" si="46"/>
        <v>1</v>
      </c>
      <c r="AH135" s="77">
        <f t="shared" si="47"/>
        <v>35</v>
      </c>
      <c r="AI135" s="79">
        <f t="shared" si="37"/>
        <v>0</v>
      </c>
      <c r="AJ135" s="79">
        <f t="shared" si="48"/>
        <v>0</v>
      </c>
      <c r="AK135" s="81">
        <f t="shared" si="49"/>
        <v>5</v>
      </c>
      <c r="AL135" s="81" t="str">
        <f t="shared" si="38"/>
        <v>CRIT</v>
      </c>
      <c r="AM135" s="81">
        <f t="shared" si="39"/>
        <v>22</v>
      </c>
      <c r="AN135" s="99">
        <f t="shared" si="40"/>
        <v>42884</v>
      </c>
      <c r="AO135" s="99">
        <f t="shared" si="41"/>
        <v>42888</v>
      </c>
      <c r="AP135" s="99"/>
      <c r="AQ135" s="73"/>
      <c r="AR135" s="67"/>
      <c r="AS135" s="132"/>
    </row>
    <row r="136" spans="1:45" ht="20.25" customHeight="1" thickTop="1" thickBot="1" x14ac:dyDescent="0.3">
      <c r="A136" s="74" t="str">
        <f t="shared" ca="1" si="27"/>
        <v/>
      </c>
      <c r="B136" s="75" t="str">
        <f t="shared" ca="1" si="28"/>
        <v/>
      </c>
      <c r="C136" s="76" t="str">
        <f>IF(AND('Interimaire Juin  2017'!D142=$B$1,'Interimaire Juin  2017'!J142=$B$2),'Interimaire Juin  2017'!E142,"")</f>
        <v/>
      </c>
      <c r="D136" s="76" t="str">
        <f>IF(AND('Interimaire Juin  2017'!D142=$B$1,'Interimaire Juin  2017'!J142=$B$2),'Interimaire Juin  2017'!F142,"")</f>
        <v/>
      </c>
      <c r="E136" s="76" t="str">
        <f t="shared" si="29"/>
        <v/>
      </c>
      <c r="F136" s="76" t="str">
        <f t="array" aca="1" ref="F136" ca="1">IFERROR(INDEX(C:C,SMALL($E$2:$E$300,ROW(INDIRECT("128:"&amp;ROWS(C128:C426))))),"")</f>
        <v/>
      </c>
      <c r="G136" s="76" t="str">
        <f t="array" aca="1" ref="G136" ca="1">IFERROR(INDEX(D:D,SMALL($E$2:$E$300,ROW(INDIRECT("128:"&amp;ROWS(D128:D426))))),"")</f>
        <v/>
      </c>
      <c r="H136" s="82"/>
      <c r="I136" s="77">
        <v>7</v>
      </c>
      <c r="J136" s="78">
        <f t="shared" si="30"/>
        <v>1</v>
      </c>
      <c r="K136" s="82"/>
      <c r="L136" s="82"/>
      <c r="M136" s="80">
        <f t="shared" si="42"/>
        <v>1</v>
      </c>
      <c r="N136" s="77">
        <v>7</v>
      </c>
      <c r="O136" s="78">
        <f t="shared" si="32"/>
        <v>1</v>
      </c>
      <c r="P136" s="82"/>
      <c r="Q136" s="82"/>
      <c r="R136" s="80">
        <f t="shared" si="43"/>
        <v>1</v>
      </c>
      <c r="S136" s="77">
        <v>7</v>
      </c>
      <c r="T136" s="78">
        <f t="shared" si="34"/>
        <v>1</v>
      </c>
      <c r="U136" s="79"/>
      <c r="V136" s="79"/>
      <c r="W136" s="80">
        <f t="shared" si="44"/>
        <v>1</v>
      </c>
      <c r="X136" s="77">
        <v>7</v>
      </c>
      <c r="Y136" s="78">
        <f t="shared" si="35"/>
        <v>1</v>
      </c>
      <c r="Z136" s="79"/>
      <c r="AA136" s="79"/>
      <c r="AB136" s="80">
        <f t="shared" si="45"/>
        <v>1</v>
      </c>
      <c r="AC136" s="77">
        <v>7</v>
      </c>
      <c r="AD136" s="78">
        <f t="shared" si="36"/>
        <v>1</v>
      </c>
      <c r="AE136" s="79"/>
      <c r="AF136" s="79"/>
      <c r="AG136" s="80">
        <f t="shared" si="46"/>
        <v>1</v>
      </c>
      <c r="AH136" s="77">
        <f t="shared" si="47"/>
        <v>35</v>
      </c>
      <c r="AI136" s="79">
        <f t="shared" si="37"/>
        <v>0</v>
      </c>
      <c r="AJ136" s="79">
        <f t="shared" si="48"/>
        <v>0</v>
      </c>
      <c r="AK136" s="81">
        <f t="shared" si="49"/>
        <v>5</v>
      </c>
      <c r="AL136" s="81" t="str">
        <f t="shared" si="38"/>
        <v>CRIT</v>
      </c>
      <c r="AM136" s="81">
        <f t="shared" si="39"/>
        <v>22</v>
      </c>
      <c r="AN136" s="99">
        <f t="shared" si="40"/>
        <v>42884</v>
      </c>
      <c r="AO136" s="99">
        <f t="shared" si="41"/>
        <v>42888</v>
      </c>
      <c r="AP136" s="99"/>
      <c r="AQ136" s="73"/>
      <c r="AR136" s="67"/>
      <c r="AS136" s="132"/>
    </row>
    <row r="137" spans="1:45" ht="20.25" customHeight="1" thickTop="1" thickBot="1" x14ac:dyDescent="0.3">
      <c r="A137" s="74" t="str">
        <f t="shared" ca="1" si="27"/>
        <v/>
      </c>
      <c r="B137" s="75" t="str">
        <f t="shared" ca="1" si="28"/>
        <v/>
      </c>
      <c r="C137" s="76" t="str">
        <f>IF(AND('Interimaire Juin  2017'!D143=$B$1,'Interimaire Juin  2017'!J143=$B$2),'Interimaire Juin  2017'!E143,"")</f>
        <v/>
      </c>
      <c r="D137" s="76" t="str">
        <f>IF(AND('Interimaire Juin  2017'!D143=$B$1,'Interimaire Juin  2017'!J143=$B$2),'Interimaire Juin  2017'!F143,"")</f>
        <v/>
      </c>
      <c r="E137" s="76" t="str">
        <f t="shared" si="29"/>
        <v/>
      </c>
      <c r="F137" s="76" t="str">
        <f t="array" aca="1" ref="F137" ca="1">IFERROR(INDEX(C:C,SMALL($E$2:$E$300,ROW(INDIRECT("129:"&amp;ROWS(C129:C427))))),"")</f>
        <v/>
      </c>
      <c r="G137" s="76" t="str">
        <f t="array" aca="1" ref="G137" ca="1">IFERROR(INDEX(D:D,SMALL($E$2:$E$300,ROW(INDIRECT("129:"&amp;ROWS(D129:D427))))),"")</f>
        <v/>
      </c>
      <c r="H137" s="82"/>
      <c r="I137" s="77">
        <v>7</v>
      </c>
      <c r="J137" s="78">
        <f t="shared" si="30"/>
        <v>1</v>
      </c>
      <c r="K137" s="82"/>
      <c r="L137" s="82"/>
      <c r="M137" s="80">
        <f t="shared" si="42"/>
        <v>1</v>
      </c>
      <c r="N137" s="77">
        <v>7</v>
      </c>
      <c r="O137" s="78">
        <f t="shared" si="32"/>
        <v>1</v>
      </c>
      <c r="P137" s="82"/>
      <c r="Q137" s="82"/>
      <c r="R137" s="80">
        <f t="shared" si="43"/>
        <v>1</v>
      </c>
      <c r="S137" s="77">
        <v>7</v>
      </c>
      <c r="T137" s="78">
        <f t="shared" si="34"/>
        <v>1</v>
      </c>
      <c r="U137" s="79"/>
      <c r="V137" s="79"/>
      <c r="W137" s="80">
        <f t="shared" si="44"/>
        <v>1</v>
      </c>
      <c r="X137" s="77">
        <v>7</v>
      </c>
      <c r="Y137" s="78">
        <f t="shared" si="35"/>
        <v>1</v>
      </c>
      <c r="Z137" s="79"/>
      <c r="AA137" s="79"/>
      <c r="AB137" s="80">
        <f t="shared" si="45"/>
        <v>1</v>
      </c>
      <c r="AC137" s="77">
        <v>7</v>
      </c>
      <c r="AD137" s="78">
        <f t="shared" si="36"/>
        <v>1</v>
      </c>
      <c r="AE137" s="79"/>
      <c r="AF137" s="79"/>
      <c r="AG137" s="80">
        <f t="shared" si="46"/>
        <v>1</v>
      </c>
      <c r="AH137" s="77">
        <f t="shared" si="47"/>
        <v>35</v>
      </c>
      <c r="AI137" s="79">
        <f t="shared" si="37"/>
        <v>0</v>
      </c>
      <c r="AJ137" s="79">
        <f t="shared" si="48"/>
        <v>0</v>
      </c>
      <c r="AK137" s="81">
        <f t="shared" si="49"/>
        <v>5</v>
      </c>
      <c r="AL137" s="81" t="str">
        <f t="shared" si="38"/>
        <v>CRIT</v>
      </c>
      <c r="AM137" s="81">
        <f t="shared" si="39"/>
        <v>22</v>
      </c>
      <c r="AN137" s="99">
        <f t="shared" si="40"/>
        <v>42884</v>
      </c>
      <c r="AO137" s="99">
        <f t="shared" si="41"/>
        <v>42888</v>
      </c>
      <c r="AP137" s="99"/>
      <c r="AQ137" s="73"/>
      <c r="AR137" s="67"/>
      <c r="AS137" s="132"/>
    </row>
    <row r="138" spans="1:45" ht="20.25" customHeight="1" thickTop="1" thickBot="1" x14ac:dyDescent="0.3">
      <c r="A138" s="74" t="str">
        <f t="shared" ref="A138:A156" ca="1" si="50">+F138</f>
        <v/>
      </c>
      <c r="B138" s="75" t="str">
        <f t="shared" ref="B138:B156" ca="1" si="51">+G138</f>
        <v/>
      </c>
      <c r="C138" s="76" t="str">
        <f>IF(AND('Interimaire Juin  2017'!D144=$B$1,'Interimaire Juin  2017'!J144=$B$2),'Interimaire Juin  2017'!E144,"")</f>
        <v/>
      </c>
      <c r="D138" s="76" t="str">
        <f>IF(AND('Interimaire Juin  2017'!D144=$B$1,'Interimaire Juin  2017'!J144=$B$2),'Interimaire Juin  2017'!F144,"")</f>
        <v/>
      </c>
      <c r="E138" s="76" t="str">
        <f t="shared" ref="E138:E201" si="52">IF(D138="","",ROW())</f>
        <v/>
      </c>
      <c r="F138" s="76" t="str">
        <f t="array" aca="1" ref="F138" ca="1">IFERROR(INDEX(C:C,SMALL($E$2:$E$300,ROW(INDIRECT("130:"&amp;ROWS(C130:C428))))),"")</f>
        <v/>
      </c>
      <c r="G138" s="76" t="str">
        <f t="array" aca="1" ref="G138" ca="1">IFERROR(INDEX(D:D,SMALL($E$2:$E$300,ROW(INDIRECT("130:"&amp;ROWS(D130:D428))))),"")</f>
        <v/>
      </c>
      <c r="H138" s="82"/>
      <c r="I138" s="77">
        <v>7</v>
      </c>
      <c r="J138" s="78">
        <f t="shared" ref="J138:J201" si="53">+IF(I138&gt;=6,1,0)</f>
        <v>1</v>
      </c>
      <c r="K138" s="82"/>
      <c r="L138" s="82"/>
      <c r="M138" s="80">
        <f t="shared" si="42"/>
        <v>1</v>
      </c>
      <c r="N138" s="77">
        <v>7</v>
      </c>
      <c r="O138" s="78">
        <f t="shared" ref="O138:O201" si="54">+IF(N138&gt;=6,1,0)</f>
        <v>1</v>
      </c>
      <c r="P138" s="82"/>
      <c r="Q138" s="82"/>
      <c r="R138" s="80">
        <f t="shared" si="43"/>
        <v>1</v>
      </c>
      <c r="S138" s="77">
        <v>7</v>
      </c>
      <c r="T138" s="78">
        <f t="shared" ref="T138:T201" si="55">+IF(S138&gt;=6,1,0)</f>
        <v>1</v>
      </c>
      <c r="U138" s="79"/>
      <c r="V138" s="79"/>
      <c r="W138" s="80">
        <f t="shared" si="44"/>
        <v>1</v>
      </c>
      <c r="X138" s="77">
        <v>7</v>
      </c>
      <c r="Y138" s="78">
        <f t="shared" ref="Y138:Y201" si="56">+IF(X138&gt;=6,1,0)</f>
        <v>1</v>
      </c>
      <c r="Z138" s="79"/>
      <c r="AA138" s="79"/>
      <c r="AB138" s="80">
        <f t="shared" si="45"/>
        <v>1</v>
      </c>
      <c r="AC138" s="77">
        <v>7</v>
      </c>
      <c r="AD138" s="78">
        <f t="shared" ref="AD138:AD201" si="57">+IF(AC138&gt;=6,1,0)</f>
        <v>1</v>
      </c>
      <c r="AE138" s="79"/>
      <c r="AF138" s="79"/>
      <c r="AG138" s="80">
        <f t="shared" si="46"/>
        <v>1</v>
      </c>
      <c r="AH138" s="77">
        <f t="shared" si="47"/>
        <v>35</v>
      </c>
      <c r="AI138" s="79">
        <f t="shared" ref="AI138:AI201" si="58">+IF(AH138&lt;=35,0,AH138-35)</f>
        <v>0</v>
      </c>
      <c r="AJ138" s="79">
        <f t="shared" si="48"/>
        <v>0</v>
      </c>
      <c r="AK138" s="81">
        <f t="shared" si="49"/>
        <v>5</v>
      </c>
      <c r="AL138" s="81" t="str">
        <f t="shared" ref="AL138:AL201" si="59">+IF($B$1="","",$B$1)</f>
        <v>CRIT</v>
      </c>
      <c r="AM138" s="81">
        <f t="shared" ref="AM138:AM201" si="60">+IF($B$2="","",$B$2)</f>
        <v>22</v>
      </c>
      <c r="AN138" s="99">
        <f t="shared" ref="AN138:AN201" si="61">+IF($B$3="","",$B$3)</f>
        <v>42884</v>
      </c>
      <c r="AO138" s="99">
        <f t="shared" ref="AO138:AO201" si="62">+IF($B$4="","",$B$4)</f>
        <v>42888</v>
      </c>
      <c r="AP138" s="99"/>
      <c r="AQ138" s="73"/>
      <c r="AR138" s="67"/>
      <c r="AS138" s="132"/>
    </row>
    <row r="139" spans="1:45" ht="20.25" customHeight="1" thickTop="1" thickBot="1" x14ac:dyDescent="0.3">
      <c r="A139" s="74" t="str">
        <f t="shared" ca="1" si="50"/>
        <v/>
      </c>
      <c r="B139" s="75" t="str">
        <f t="shared" ca="1" si="51"/>
        <v/>
      </c>
      <c r="C139" s="76" t="str">
        <f>IF(AND('Interimaire Juin  2017'!D145=$B$1,'Interimaire Juin  2017'!J145=$B$2),'Interimaire Juin  2017'!E145,"")</f>
        <v/>
      </c>
      <c r="D139" s="76" t="str">
        <f>IF(AND('Interimaire Juin  2017'!D145=$B$1,'Interimaire Juin  2017'!J145=$B$2),'Interimaire Juin  2017'!F145,"")</f>
        <v/>
      </c>
      <c r="E139" s="76" t="str">
        <f t="shared" si="52"/>
        <v/>
      </c>
      <c r="F139" s="76" t="str">
        <f t="array" aca="1" ref="F139" ca="1">IFERROR(INDEX(C:C,SMALL($E$2:$E$300,ROW(INDIRECT("131:"&amp;ROWS(C131:C429))))),"")</f>
        <v/>
      </c>
      <c r="G139" s="76" t="str">
        <f t="array" aca="1" ref="G139" ca="1">IFERROR(INDEX(D:D,SMALL($E$2:$E$300,ROW(INDIRECT("131:"&amp;ROWS(D131:D429))))),"")</f>
        <v/>
      </c>
      <c r="H139" s="82"/>
      <c r="I139" s="77">
        <v>7</v>
      </c>
      <c r="J139" s="78">
        <f t="shared" si="53"/>
        <v>1</v>
      </c>
      <c r="K139" s="82"/>
      <c r="L139" s="82"/>
      <c r="M139" s="80">
        <f t="shared" si="42"/>
        <v>1</v>
      </c>
      <c r="N139" s="77">
        <v>7</v>
      </c>
      <c r="O139" s="78">
        <f t="shared" si="54"/>
        <v>1</v>
      </c>
      <c r="P139" s="82"/>
      <c r="Q139" s="82"/>
      <c r="R139" s="80">
        <f t="shared" si="43"/>
        <v>1</v>
      </c>
      <c r="S139" s="77">
        <v>7</v>
      </c>
      <c r="T139" s="78">
        <f t="shared" si="55"/>
        <v>1</v>
      </c>
      <c r="U139" s="79"/>
      <c r="V139" s="79"/>
      <c r="W139" s="80">
        <f t="shared" si="44"/>
        <v>1</v>
      </c>
      <c r="X139" s="77">
        <v>7</v>
      </c>
      <c r="Y139" s="78">
        <f t="shared" si="56"/>
        <v>1</v>
      </c>
      <c r="Z139" s="79"/>
      <c r="AA139" s="79"/>
      <c r="AB139" s="80">
        <f t="shared" si="45"/>
        <v>1</v>
      </c>
      <c r="AC139" s="77">
        <v>7</v>
      </c>
      <c r="AD139" s="78">
        <f t="shared" si="57"/>
        <v>1</v>
      </c>
      <c r="AE139" s="79"/>
      <c r="AF139" s="79"/>
      <c r="AG139" s="80">
        <f t="shared" si="46"/>
        <v>1</v>
      </c>
      <c r="AH139" s="77">
        <f t="shared" si="47"/>
        <v>35</v>
      </c>
      <c r="AI139" s="79">
        <f t="shared" si="58"/>
        <v>0</v>
      </c>
      <c r="AJ139" s="79">
        <f t="shared" si="48"/>
        <v>0</v>
      </c>
      <c r="AK139" s="81">
        <f t="shared" si="49"/>
        <v>5</v>
      </c>
      <c r="AL139" s="81" t="str">
        <f t="shared" si="59"/>
        <v>CRIT</v>
      </c>
      <c r="AM139" s="81">
        <f t="shared" si="60"/>
        <v>22</v>
      </c>
      <c r="AN139" s="99">
        <f t="shared" si="61"/>
        <v>42884</v>
      </c>
      <c r="AO139" s="99">
        <f t="shared" si="62"/>
        <v>42888</v>
      </c>
      <c r="AP139" s="99"/>
      <c r="AQ139" s="73"/>
      <c r="AR139" s="67"/>
      <c r="AS139" s="132"/>
    </row>
    <row r="140" spans="1:45" ht="20.25" customHeight="1" thickTop="1" thickBot="1" x14ac:dyDescent="0.3">
      <c r="A140" s="74" t="str">
        <f t="shared" ca="1" si="50"/>
        <v/>
      </c>
      <c r="B140" s="75" t="str">
        <f t="shared" ca="1" si="51"/>
        <v/>
      </c>
      <c r="C140" s="76" t="str">
        <f>IF(AND('Interimaire Juin  2017'!D146=$B$1,'Interimaire Juin  2017'!J146=$B$2),'Interimaire Juin  2017'!E146,"")</f>
        <v/>
      </c>
      <c r="D140" s="76" t="str">
        <f>IF(AND('Interimaire Juin  2017'!D146=$B$1,'Interimaire Juin  2017'!J146=$B$2),'Interimaire Juin  2017'!F146,"")</f>
        <v/>
      </c>
      <c r="E140" s="76" t="str">
        <f t="shared" si="52"/>
        <v/>
      </c>
      <c r="F140" s="76" t="str">
        <f t="array" aca="1" ref="F140" ca="1">IFERROR(INDEX(C:C,SMALL($E$2:$E$300,ROW(INDIRECT("132:"&amp;ROWS(C132:C430))))),"")</f>
        <v/>
      </c>
      <c r="G140" s="76" t="str">
        <f t="array" aca="1" ref="G140" ca="1">IFERROR(INDEX(D:D,SMALL($E$2:$E$300,ROW(INDIRECT("132:"&amp;ROWS(D132:D430))))),"")</f>
        <v/>
      </c>
      <c r="H140" s="82"/>
      <c r="I140" s="77">
        <v>7</v>
      </c>
      <c r="J140" s="78">
        <f t="shared" si="53"/>
        <v>1</v>
      </c>
      <c r="K140" s="82"/>
      <c r="L140" s="82"/>
      <c r="M140" s="80">
        <f t="shared" si="42"/>
        <v>1</v>
      </c>
      <c r="N140" s="77">
        <v>7</v>
      </c>
      <c r="O140" s="78">
        <f t="shared" si="54"/>
        <v>1</v>
      </c>
      <c r="P140" s="82"/>
      <c r="Q140" s="82"/>
      <c r="R140" s="80">
        <f t="shared" si="43"/>
        <v>1</v>
      </c>
      <c r="S140" s="77">
        <v>7</v>
      </c>
      <c r="T140" s="78">
        <f t="shared" si="55"/>
        <v>1</v>
      </c>
      <c r="U140" s="79"/>
      <c r="V140" s="79"/>
      <c r="W140" s="80">
        <f t="shared" si="44"/>
        <v>1</v>
      </c>
      <c r="X140" s="77">
        <v>7</v>
      </c>
      <c r="Y140" s="78">
        <f t="shared" si="56"/>
        <v>1</v>
      </c>
      <c r="Z140" s="79"/>
      <c r="AA140" s="79"/>
      <c r="AB140" s="80">
        <f t="shared" si="45"/>
        <v>1</v>
      </c>
      <c r="AC140" s="77">
        <v>7</v>
      </c>
      <c r="AD140" s="78">
        <f t="shared" si="57"/>
        <v>1</v>
      </c>
      <c r="AE140" s="79"/>
      <c r="AF140" s="79"/>
      <c r="AG140" s="80">
        <f t="shared" si="46"/>
        <v>1</v>
      </c>
      <c r="AH140" s="77">
        <f t="shared" si="47"/>
        <v>35</v>
      </c>
      <c r="AI140" s="79">
        <f t="shared" si="58"/>
        <v>0</v>
      </c>
      <c r="AJ140" s="79">
        <f t="shared" si="48"/>
        <v>0</v>
      </c>
      <c r="AK140" s="81">
        <f t="shared" si="49"/>
        <v>5</v>
      </c>
      <c r="AL140" s="81" t="str">
        <f t="shared" si="59"/>
        <v>CRIT</v>
      </c>
      <c r="AM140" s="81">
        <f t="shared" si="60"/>
        <v>22</v>
      </c>
      <c r="AN140" s="99">
        <f t="shared" si="61"/>
        <v>42884</v>
      </c>
      <c r="AO140" s="99">
        <f t="shared" si="62"/>
        <v>42888</v>
      </c>
      <c r="AP140" s="99"/>
      <c r="AQ140" s="73"/>
      <c r="AR140" s="67"/>
      <c r="AS140" s="132"/>
    </row>
    <row r="141" spans="1:45" ht="20.25" customHeight="1" thickTop="1" thickBot="1" x14ac:dyDescent="0.3">
      <c r="A141" s="74" t="str">
        <f t="shared" ca="1" si="50"/>
        <v/>
      </c>
      <c r="B141" s="75" t="str">
        <f t="shared" ca="1" si="51"/>
        <v/>
      </c>
      <c r="C141" s="76" t="str">
        <f>IF(AND('Interimaire Juin  2017'!D147=$B$1,'Interimaire Juin  2017'!J147=$B$2),'Interimaire Juin  2017'!E147,"")</f>
        <v/>
      </c>
      <c r="D141" s="76" t="str">
        <f>IF(AND('Interimaire Juin  2017'!D147=$B$1,'Interimaire Juin  2017'!J147=$B$2),'Interimaire Juin  2017'!F147,"")</f>
        <v/>
      </c>
      <c r="E141" s="76" t="str">
        <f t="shared" si="52"/>
        <v/>
      </c>
      <c r="F141" s="76" t="str">
        <f t="array" aca="1" ref="F141" ca="1">IFERROR(INDEX(C:C,SMALL($E$2:$E$300,ROW(INDIRECT("133:"&amp;ROWS(C133:C431))))),"")</f>
        <v/>
      </c>
      <c r="G141" s="76" t="str">
        <f t="array" aca="1" ref="G141" ca="1">IFERROR(INDEX(D:D,SMALL($E$2:$E$300,ROW(INDIRECT("133:"&amp;ROWS(D133:D431))))),"")</f>
        <v/>
      </c>
      <c r="H141" s="82"/>
      <c r="I141" s="77">
        <v>7</v>
      </c>
      <c r="J141" s="78">
        <f t="shared" si="53"/>
        <v>1</v>
      </c>
      <c r="K141" s="82"/>
      <c r="L141" s="82"/>
      <c r="M141" s="80">
        <f t="shared" si="42"/>
        <v>1</v>
      </c>
      <c r="N141" s="77">
        <v>7</v>
      </c>
      <c r="O141" s="78">
        <f t="shared" si="54"/>
        <v>1</v>
      </c>
      <c r="P141" s="82"/>
      <c r="Q141" s="82"/>
      <c r="R141" s="80">
        <f t="shared" si="43"/>
        <v>1</v>
      </c>
      <c r="S141" s="77">
        <v>7</v>
      </c>
      <c r="T141" s="78">
        <f t="shared" si="55"/>
        <v>1</v>
      </c>
      <c r="U141" s="79"/>
      <c r="V141" s="79"/>
      <c r="W141" s="80">
        <f t="shared" si="44"/>
        <v>1</v>
      </c>
      <c r="X141" s="77">
        <v>7</v>
      </c>
      <c r="Y141" s="78">
        <f t="shared" si="56"/>
        <v>1</v>
      </c>
      <c r="Z141" s="79"/>
      <c r="AA141" s="79"/>
      <c r="AB141" s="80">
        <f t="shared" si="45"/>
        <v>1</v>
      </c>
      <c r="AC141" s="77">
        <v>7</v>
      </c>
      <c r="AD141" s="78">
        <f t="shared" si="57"/>
        <v>1</v>
      </c>
      <c r="AE141" s="79"/>
      <c r="AF141" s="79"/>
      <c r="AG141" s="80">
        <f t="shared" si="46"/>
        <v>1</v>
      </c>
      <c r="AH141" s="77">
        <f t="shared" si="47"/>
        <v>35</v>
      </c>
      <c r="AI141" s="79">
        <f t="shared" si="58"/>
        <v>0</v>
      </c>
      <c r="AJ141" s="79">
        <f t="shared" si="48"/>
        <v>0</v>
      </c>
      <c r="AK141" s="81">
        <f t="shared" si="49"/>
        <v>5</v>
      </c>
      <c r="AL141" s="81" t="str">
        <f t="shared" si="59"/>
        <v>CRIT</v>
      </c>
      <c r="AM141" s="81">
        <f t="shared" si="60"/>
        <v>22</v>
      </c>
      <c r="AN141" s="99">
        <f t="shared" si="61"/>
        <v>42884</v>
      </c>
      <c r="AO141" s="99">
        <f t="shared" si="62"/>
        <v>42888</v>
      </c>
      <c r="AP141" s="99"/>
      <c r="AQ141" s="73"/>
      <c r="AR141" s="67"/>
      <c r="AS141" s="132"/>
    </row>
    <row r="142" spans="1:45" ht="20.25" customHeight="1" thickTop="1" thickBot="1" x14ac:dyDescent="0.3">
      <c r="A142" s="74" t="str">
        <f t="shared" ca="1" si="50"/>
        <v/>
      </c>
      <c r="B142" s="75" t="str">
        <f t="shared" ca="1" si="51"/>
        <v/>
      </c>
      <c r="C142" s="76" t="str">
        <f>IF(AND('Interimaire Juin  2017'!D148=$B$1,'Interimaire Juin  2017'!J148=$B$2),'Interimaire Juin  2017'!E148,"")</f>
        <v/>
      </c>
      <c r="D142" s="76" t="str">
        <f>IF(AND('Interimaire Juin  2017'!D148=$B$1,'Interimaire Juin  2017'!J148=$B$2),'Interimaire Juin  2017'!F148,"")</f>
        <v/>
      </c>
      <c r="E142" s="76" t="str">
        <f t="shared" si="52"/>
        <v/>
      </c>
      <c r="F142" s="76" t="str">
        <f t="array" aca="1" ref="F142" ca="1">IFERROR(INDEX(C:C,SMALL($E$2:$E$300,ROW(INDIRECT("134:"&amp;ROWS(C134:C432))))),"")</f>
        <v/>
      </c>
      <c r="G142" s="76" t="str">
        <f t="array" aca="1" ref="G142" ca="1">IFERROR(INDEX(D:D,SMALL($E$2:$E$300,ROW(INDIRECT("134:"&amp;ROWS(D134:D432))))),"")</f>
        <v/>
      </c>
      <c r="H142" s="82"/>
      <c r="I142" s="77">
        <v>7</v>
      </c>
      <c r="J142" s="78">
        <f t="shared" si="53"/>
        <v>1</v>
      </c>
      <c r="K142" s="82"/>
      <c r="L142" s="82"/>
      <c r="M142" s="80">
        <f t="shared" si="42"/>
        <v>1</v>
      </c>
      <c r="N142" s="77">
        <v>7</v>
      </c>
      <c r="O142" s="78">
        <f t="shared" si="54"/>
        <v>1</v>
      </c>
      <c r="P142" s="82"/>
      <c r="Q142" s="82"/>
      <c r="R142" s="80">
        <f t="shared" si="43"/>
        <v>1</v>
      </c>
      <c r="S142" s="77">
        <v>7</v>
      </c>
      <c r="T142" s="78">
        <f t="shared" si="55"/>
        <v>1</v>
      </c>
      <c r="U142" s="79"/>
      <c r="V142" s="79"/>
      <c r="W142" s="80">
        <f t="shared" si="44"/>
        <v>1</v>
      </c>
      <c r="X142" s="77">
        <v>7</v>
      </c>
      <c r="Y142" s="78">
        <f t="shared" si="56"/>
        <v>1</v>
      </c>
      <c r="Z142" s="79"/>
      <c r="AA142" s="79"/>
      <c r="AB142" s="80">
        <f t="shared" si="45"/>
        <v>1</v>
      </c>
      <c r="AC142" s="77">
        <v>7</v>
      </c>
      <c r="AD142" s="78">
        <f t="shared" si="57"/>
        <v>1</v>
      </c>
      <c r="AE142" s="79"/>
      <c r="AF142" s="79"/>
      <c r="AG142" s="80">
        <f t="shared" si="46"/>
        <v>1</v>
      </c>
      <c r="AH142" s="77">
        <f t="shared" si="47"/>
        <v>35</v>
      </c>
      <c r="AI142" s="79">
        <f t="shared" si="58"/>
        <v>0</v>
      </c>
      <c r="AJ142" s="79">
        <f t="shared" si="48"/>
        <v>0</v>
      </c>
      <c r="AK142" s="81">
        <f t="shared" si="49"/>
        <v>5</v>
      </c>
      <c r="AL142" s="81" t="str">
        <f t="shared" si="59"/>
        <v>CRIT</v>
      </c>
      <c r="AM142" s="81">
        <f t="shared" si="60"/>
        <v>22</v>
      </c>
      <c r="AN142" s="99">
        <f t="shared" si="61"/>
        <v>42884</v>
      </c>
      <c r="AO142" s="99">
        <f t="shared" si="62"/>
        <v>42888</v>
      </c>
      <c r="AP142" s="99"/>
      <c r="AQ142" s="73"/>
      <c r="AR142" s="67"/>
      <c r="AS142" s="132"/>
    </row>
    <row r="143" spans="1:45" ht="20.25" customHeight="1" thickTop="1" thickBot="1" x14ac:dyDescent="0.3">
      <c r="A143" s="74" t="str">
        <f t="shared" ca="1" si="50"/>
        <v/>
      </c>
      <c r="B143" s="75" t="str">
        <f t="shared" ca="1" si="51"/>
        <v/>
      </c>
      <c r="C143" s="76" t="str">
        <f>IF(AND('Interimaire Juin  2017'!D149=$B$1,'Interimaire Juin  2017'!J149=$B$2),'Interimaire Juin  2017'!E149,"")</f>
        <v/>
      </c>
      <c r="D143" s="76" t="str">
        <f>IF(AND('Interimaire Juin  2017'!D149=$B$1,'Interimaire Juin  2017'!J149=$B$2),'Interimaire Juin  2017'!F149,"")</f>
        <v/>
      </c>
      <c r="E143" s="76" t="str">
        <f t="shared" si="52"/>
        <v/>
      </c>
      <c r="F143" s="76" t="str">
        <f t="array" aca="1" ref="F143" ca="1">IFERROR(INDEX(C:C,SMALL($E$2:$E$300,ROW(INDIRECT("135:"&amp;ROWS(C135:C433))))),"")</f>
        <v/>
      </c>
      <c r="G143" s="76" t="str">
        <f t="array" aca="1" ref="G143" ca="1">IFERROR(INDEX(D:D,SMALL($E$2:$E$300,ROW(INDIRECT("135:"&amp;ROWS(D135:D433))))),"")</f>
        <v/>
      </c>
      <c r="H143" s="82"/>
      <c r="I143" s="77">
        <v>7</v>
      </c>
      <c r="J143" s="78">
        <f t="shared" si="53"/>
        <v>1</v>
      </c>
      <c r="K143" s="82"/>
      <c r="L143" s="82"/>
      <c r="M143" s="80">
        <f t="shared" si="42"/>
        <v>1</v>
      </c>
      <c r="N143" s="77">
        <v>7</v>
      </c>
      <c r="O143" s="78">
        <f t="shared" si="54"/>
        <v>1</v>
      </c>
      <c r="P143" s="82"/>
      <c r="Q143" s="82"/>
      <c r="R143" s="80">
        <f t="shared" si="43"/>
        <v>1</v>
      </c>
      <c r="S143" s="77">
        <v>7</v>
      </c>
      <c r="T143" s="78">
        <f t="shared" si="55"/>
        <v>1</v>
      </c>
      <c r="U143" s="79"/>
      <c r="V143" s="79"/>
      <c r="W143" s="80">
        <f t="shared" si="44"/>
        <v>1</v>
      </c>
      <c r="X143" s="77">
        <v>7</v>
      </c>
      <c r="Y143" s="78">
        <f t="shared" si="56"/>
        <v>1</v>
      </c>
      <c r="Z143" s="79"/>
      <c r="AA143" s="79"/>
      <c r="AB143" s="80">
        <f t="shared" si="45"/>
        <v>1</v>
      </c>
      <c r="AC143" s="77">
        <v>7</v>
      </c>
      <c r="AD143" s="78">
        <f t="shared" si="57"/>
        <v>1</v>
      </c>
      <c r="AE143" s="79"/>
      <c r="AF143" s="79"/>
      <c r="AG143" s="80">
        <f t="shared" si="46"/>
        <v>1</v>
      </c>
      <c r="AH143" s="77">
        <f t="shared" si="47"/>
        <v>35</v>
      </c>
      <c r="AI143" s="79">
        <f t="shared" si="58"/>
        <v>0</v>
      </c>
      <c r="AJ143" s="79">
        <f t="shared" si="48"/>
        <v>0</v>
      </c>
      <c r="AK143" s="81">
        <f t="shared" si="49"/>
        <v>5</v>
      </c>
      <c r="AL143" s="81" t="str">
        <f t="shared" si="59"/>
        <v>CRIT</v>
      </c>
      <c r="AM143" s="81">
        <f t="shared" si="60"/>
        <v>22</v>
      </c>
      <c r="AN143" s="99">
        <f t="shared" si="61"/>
        <v>42884</v>
      </c>
      <c r="AO143" s="99">
        <f t="shared" si="62"/>
        <v>42888</v>
      </c>
      <c r="AP143" s="99"/>
      <c r="AQ143" s="73"/>
      <c r="AR143" s="67"/>
      <c r="AS143" s="132"/>
    </row>
    <row r="144" spans="1:45" ht="20.25" customHeight="1" thickTop="1" thickBot="1" x14ac:dyDescent="0.3">
      <c r="A144" s="74" t="str">
        <f t="shared" ca="1" si="50"/>
        <v/>
      </c>
      <c r="B144" s="75" t="str">
        <f t="shared" ca="1" si="51"/>
        <v/>
      </c>
      <c r="C144" s="76" t="str">
        <f>IF(AND('Interimaire Juin  2017'!D150=$B$1,'Interimaire Juin  2017'!J150=$B$2),'Interimaire Juin  2017'!E150,"")</f>
        <v/>
      </c>
      <c r="D144" s="76" t="str">
        <f>IF(AND('Interimaire Juin  2017'!D150=$B$1,'Interimaire Juin  2017'!J150=$B$2),'Interimaire Juin  2017'!F150,"")</f>
        <v/>
      </c>
      <c r="E144" s="76" t="str">
        <f t="shared" si="52"/>
        <v/>
      </c>
      <c r="F144" s="76" t="str">
        <f t="array" aca="1" ref="F144" ca="1">IFERROR(INDEX(C:C,SMALL($E$2:$E$300,ROW(INDIRECT("136:"&amp;ROWS(C136:C434))))),"")</f>
        <v/>
      </c>
      <c r="G144" s="76" t="str">
        <f t="array" aca="1" ref="G144" ca="1">IFERROR(INDEX(D:D,SMALL($E$2:$E$300,ROW(INDIRECT("136:"&amp;ROWS(D136:D434))))),"")</f>
        <v/>
      </c>
      <c r="H144" s="82"/>
      <c r="I144" s="77">
        <v>7</v>
      </c>
      <c r="J144" s="78">
        <f t="shared" si="53"/>
        <v>1</v>
      </c>
      <c r="K144" s="82"/>
      <c r="L144" s="82"/>
      <c r="M144" s="80">
        <f t="shared" si="42"/>
        <v>1</v>
      </c>
      <c r="N144" s="77">
        <v>7</v>
      </c>
      <c r="O144" s="78">
        <f t="shared" si="54"/>
        <v>1</v>
      </c>
      <c r="P144" s="82"/>
      <c r="Q144" s="82"/>
      <c r="R144" s="80">
        <f t="shared" si="43"/>
        <v>1</v>
      </c>
      <c r="S144" s="77">
        <v>7</v>
      </c>
      <c r="T144" s="78">
        <f t="shared" si="55"/>
        <v>1</v>
      </c>
      <c r="U144" s="79"/>
      <c r="V144" s="79"/>
      <c r="W144" s="80">
        <f t="shared" si="44"/>
        <v>1</v>
      </c>
      <c r="X144" s="77">
        <v>7</v>
      </c>
      <c r="Y144" s="78">
        <f t="shared" si="56"/>
        <v>1</v>
      </c>
      <c r="Z144" s="79"/>
      <c r="AA144" s="79"/>
      <c r="AB144" s="80">
        <f t="shared" si="45"/>
        <v>1</v>
      </c>
      <c r="AC144" s="77">
        <v>7</v>
      </c>
      <c r="AD144" s="78">
        <f t="shared" si="57"/>
        <v>1</v>
      </c>
      <c r="AE144" s="79"/>
      <c r="AF144" s="79"/>
      <c r="AG144" s="80">
        <f t="shared" si="46"/>
        <v>1</v>
      </c>
      <c r="AH144" s="77">
        <f t="shared" si="47"/>
        <v>35</v>
      </c>
      <c r="AI144" s="79">
        <f t="shared" si="58"/>
        <v>0</v>
      </c>
      <c r="AJ144" s="79">
        <f t="shared" si="48"/>
        <v>0</v>
      </c>
      <c r="AK144" s="81">
        <f t="shared" si="49"/>
        <v>5</v>
      </c>
      <c r="AL144" s="81" t="str">
        <f t="shared" si="59"/>
        <v>CRIT</v>
      </c>
      <c r="AM144" s="81">
        <f t="shared" si="60"/>
        <v>22</v>
      </c>
      <c r="AN144" s="99">
        <f t="shared" si="61"/>
        <v>42884</v>
      </c>
      <c r="AO144" s="99">
        <f t="shared" si="62"/>
        <v>42888</v>
      </c>
      <c r="AP144" s="99"/>
      <c r="AQ144" s="73"/>
      <c r="AR144" s="67"/>
      <c r="AS144" s="132"/>
    </row>
    <row r="145" spans="1:45" ht="20.25" customHeight="1" thickTop="1" thickBot="1" x14ac:dyDescent="0.3">
      <c r="A145" s="74" t="str">
        <f t="shared" ca="1" si="50"/>
        <v/>
      </c>
      <c r="B145" s="75" t="str">
        <f t="shared" ca="1" si="51"/>
        <v/>
      </c>
      <c r="C145" s="76" t="str">
        <f>IF(AND('Interimaire Juin  2017'!D151=$B$1,'Interimaire Juin  2017'!J151=$B$2),'Interimaire Juin  2017'!E151,"")</f>
        <v/>
      </c>
      <c r="D145" s="76" t="str">
        <f>IF(AND('Interimaire Juin  2017'!D151=$B$1,'Interimaire Juin  2017'!J151=$B$2),'Interimaire Juin  2017'!F151,"")</f>
        <v/>
      </c>
      <c r="E145" s="76" t="str">
        <f t="shared" si="52"/>
        <v/>
      </c>
      <c r="F145" s="76" t="str">
        <f t="array" aca="1" ref="F145" ca="1">IFERROR(INDEX(C:C,SMALL($E$2:$E$300,ROW(INDIRECT("137:"&amp;ROWS(C137:C435))))),"")</f>
        <v/>
      </c>
      <c r="G145" s="76" t="str">
        <f t="array" aca="1" ref="G145" ca="1">IFERROR(INDEX(D:D,SMALL($E$2:$E$300,ROW(INDIRECT("137:"&amp;ROWS(D137:D435))))),"")</f>
        <v/>
      </c>
      <c r="H145" s="82"/>
      <c r="I145" s="77">
        <v>7</v>
      </c>
      <c r="J145" s="78">
        <f t="shared" si="53"/>
        <v>1</v>
      </c>
      <c r="K145" s="82"/>
      <c r="L145" s="82"/>
      <c r="M145" s="80">
        <f t="shared" si="42"/>
        <v>1</v>
      </c>
      <c r="N145" s="77">
        <v>7</v>
      </c>
      <c r="O145" s="78">
        <f t="shared" si="54"/>
        <v>1</v>
      </c>
      <c r="P145" s="82"/>
      <c r="Q145" s="82"/>
      <c r="R145" s="80">
        <f t="shared" si="43"/>
        <v>1</v>
      </c>
      <c r="S145" s="77">
        <v>7</v>
      </c>
      <c r="T145" s="78">
        <f t="shared" si="55"/>
        <v>1</v>
      </c>
      <c r="U145" s="79"/>
      <c r="V145" s="79"/>
      <c r="W145" s="80">
        <f t="shared" si="44"/>
        <v>1</v>
      </c>
      <c r="X145" s="77">
        <v>7</v>
      </c>
      <c r="Y145" s="78">
        <f t="shared" si="56"/>
        <v>1</v>
      </c>
      <c r="Z145" s="79"/>
      <c r="AA145" s="79"/>
      <c r="AB145" s="80">
        <f t="shared" si="45"/>
        <v>1</v>
      </c>
      <c r="AC145" s="77">
        <v>7</v>
      </c>
      <c r="AD145" s="78">
        <f t="shared" si="57"/>
        <v>1</v>
      </c>
      <c r="AE145" s="79"/>
      <c r="AF145" s="79"/>
      <c r="AG145" s="80">
        <f t="shared" si="46"/>
        <v>1</v>
      </c>
      <c r="AH145" s="77">
        <f t="shared" si="47"/>
        <v>35</v>
      </c>
      <c r="AI145" s="79">
        <f t="shared" si="58"/>
        <v>0</v>
      </c>
      <c r="AJ145" s="79">
        <f t="shared" si="48"/>
        <v>0</v>
      </c>
      <c r="AK145" s="81">
        <f t="shared" si="49"/>
        <v>5</v>
      </c>
      <c r="AL145" s="81" t="str">
        <f t="shared" si="59"/>
        <v>CRIT</v>
      </c>
      <c r="AM145" s="81">
        <f t="shared" si="60"/>
        <v>22</v>
      </c>
      <c r="AN145" s="99">
        <f t="shared" si="61"/>
        <v>42884</v>
      </c>
      <c r="AO145" s="99">
        <f t="shared" si="62"/>
        <v>42888</v>
      </c>
      <c r="AP145" s="99"/>
      <c r="AQ145" s="73"/>
      <c r="AR145" s="67"/>
      <c r="AS145" s="132"/>
    </row>
    <row r="146" spans="1:45" ht="20.25" customHeight="1" thickTop="1" thickBot="1" x14ac:dyDescent="0.3">
      <c r="A146" s="74" t="str">
        <f t="shared" ca="1" si="50"/>
        <v/>
      </c>
      <c r="B146" s="75" t="str">
        <f t="shared" ca="1" si="51"/>
        <v/>
      </c>
      <c r="C146" s="76" t="str">
        <f>IF(AND('Interimaire Juin  2017'!D152=$B$1,'Interimaire Juin  2017'!J152=$B$2),'Interimaire Juin  2017'!E152,"")</f>
        <v/>
      </c>
      <c r="D146" s="76" t="str">
        <f>IF(AND('Interimaire Juin  2017'!D152=$B$1,'Interimaire Juin  2017'!J152=$B$2),'Interimaire Juin  2017'!F152,"")</f>
        <v/>
      </c>
      <c r="E146" s="76" t="str">
        <f t="shared" si="52"/>
        <v/>
      </c>
      <c r="F146" s="76" t="str">
        <f t="array" aca="1" ref="F146" ca="1">IFERROR(INDEX(C:C,SMALL($E$2:$E$300,ROW(INDIRECT("138:"&amp;ROWS(C138:C436))))),"")</f>
        <v/>
      </c>
      <c r="G146" s="76" t="str">
        <f t="array" aca="1" ref="G146" ca="1">IFERROR(INDEX(D:D,SMALL($E$2:$E$300,ROW(INDIRECT("138:"&amp;ROWS(D138:D436))))),"")</f>
        <v/>
      </c>
      <c r="H146" s="82"/>
      <c r="I146" s="77">
        <v>7</v>
      </c>
      <c r="J146" s="78">
        <f t="shared" si="53"/>
        <v>1</v>
      </c>
      <c r="K146" s="82"/>
      <c r="L146" s="82"/>
      <c r="M146" s="80">
        <f t="shared" si="42"/>
        <v>1</v>
      </c>
      <c r="N146" s="77">
        <v>7</v>
      </c>
      <c r="O146" s="78">
        <f t="shared" si="54"/>
        <v>1</v>
      </c>
      <c r="P146" s="82"/>
      <c r="Q146" s="82"/>
      <c r="R146" s="80">
        <f t="shared" si="43"/>
        <v>1</v>
      </c>
      <c r="S146" s="77">
        <v>7</v>
      </c>
      <c r="T146" s="78">
        <f t="shared" si="55"/>
        <v>1</v>
      </c>
      <c r="U146" s="79"/>
      <c r="V146" s="79"/>
      <c r="W146" s="80">
        <f t="shared" si="44"/>
        <v>1</v>
      </c>
      <c r="X146" s="77">
        <v>7</v>
      </c>
      <c r="Y146" s="78">
        <f t="shared" si="56"/>
        <v>1</v>
      </c>
      <c r="Z146" s="79"/>
      <c r="AA146" s="79"/>
      <c r="AB146" s="80">
        <f t="shared" si="45"/>
        <v>1</v>
      </c>
      <c r="AC146" s="77">
        <v>7</v>
      </c>
      <c r="AD146" s="78">
        <f t="shared" si="57"/>
        <v>1</v>
      </c>
      <c r="AE146" s="79"/>
      <c r="AF146" s="79"/>
      <c r="AG146" s="80">
        <f t="shared" si="46"/>
        <v>1</v>
      </c>
      <c r="AH146" s="77">
        <f t="shared" si="47"/>
        <v>35</v>
      </c>
      <c r="AI146" s="79">
        <f t="shared" si="58"/>
        <v>0</v>
      </c>
      <c r="AJ146" s="79">
        <f t="shared" si="48"/>
        <v>0</v>
      </c>
      <c r="AK146" s="81">
        <f t="shared" si="49"/>
        <v>5</v>
      </c>
      <c r="AL146" s="81" t="str">
        <f t="shared" si="59"/>
        <v>CRIT</v>
      </c>
      <c r="AM146" s="81">
        <f t="shared" si="60"/>
        <v>22</v>
      </c>
      <c r="AN146" s="99">
        <f t="shared" si="61"/>
        <v>42884</v>
      </c>
      <c r="AO146" s="99">
        <f t="shared" si="62"/>
        <v>42888</v>
      </c>
      <c r="AP146" s="99"/>
      <c r="AQ146" s="73"/>
      <c r="AR146" s="67"/>
      <c r="AS146" s="132"/>
    </row>
    <row r="147" spans="1:45" ht="20.25" customHeight="1" thickTop="1" thickBot="1" x14ac:dyDescent="0.3">
      <c r="A147" s="74" t="str">
        <f t="shared" ca="1" si="50"/>
        <v/>
      </c>
      <c r="B147" s="75" t="str">
        <f t="shared" ca="1" si="51"/>
        <v/>
      </c>
      <c r="C147" s="76" t="str">
        <f>IF(AND('Interimaire Juin  2017'!D153=$B$1,'Interimaire Juin  2017'!J153=$B$2),'Interimaire Juin  2017'!E153,"")</f>
        <v/>
      </c>
      <c r="D147" s="76" t="str">
        <f>IF(AND('Interimaire Juin  2017'!D153=$B$1,'Interimaire Juin  2017'!J153=$B$2),'Interimaire Juin  2017'!F153,"")</f>
        <v/>
      </c>
      <c r="E147" s="76" t="str">
        <f t="shared" si="52"/>
        <v/>
      </c>
      <c r="F147" s="76" t="str">
        <f t="array" aca="1" ref="F147" ca="1">IFERROR(INDEX(C:C,SMALL($E$2:$E$300,ROW(INDIRECT("139:"&amp;ROWS(C139:C437))))),"")</f>
        <v/>
      </c>
      <c r="G147" s="76" t="str">
        <f t="array" aca="1" ref="G147" ca="1">IFERROR(INDEX(D:D,SMALL($E$2:$E$300,ROW(INDIRECT("139:"&amp;ROWS(D139:D437))))),"")</f>
        <v/>
      </c>
      <c r="H147" s="82"/>
      <c r="I147" s="77">
        <v>7</v>
      </c>
      <c r="J147" s="78">
        <f t="shared" si="53"/>
        <v>1</v>
      </c>
      <c r="K147" s="82"/>
      <c r="L147" s="82"/>
      <c r="M147" s="80">
        <f t="shared" si="42"/>
        <v>1</v>
      </c>
      <c r="N147" s="77">
        <v>7</v>
      </c>
      <c r="O147" s="78">
        <f t="shared" si="54"/>
        <v>1</v>
      </c>
      <c r="P147" s="82"/>
      <c r="Q147" s="82"/>
      <c r="R147" s="80">
        <f t="shared" si="43"/>
        <v>1</v>
      </c>
      <c r="S147" s="77">
        <v>7</v>
      </c>
      <c r="T147" s="78">
        <f t="shared" si="55"/>
        <v>1</v>
      </c>
      <c r="U147" s="79"/>
      <c r="V147" s="79"/>
      <c r="W147" s="80">
        <f t="shared" si="44"/>
        <v>1</v>
      </c>
      <c r="X147" s="77">
        <v>7</v>
      </c>
      <c r="Y147" s="78">
        <f t="shared" si="56"/>
        <v>1</v>
      </c>
      <c r="Z147" s="79"/>
      <c r="AA147" s="79"/>
      <c r="AB147" s="80">
        <f t="shared" si="45"/>
        <v>1</v>
      </c>
      <c r="AC147" s="77">
        <v>7</v>
      </c>
      <c r="AD147" s="78">
        <f t="shared" si="57"/>
        <v>1</v>
      </c>
      <c r="AE147" s="79"/>
      <c r="AF147" s="79"/>
      <c r="AG147" s="80">
        <f t="shared" si="46"/>
        <v>1</v>
      </c>
      <c r="AH147" s="77">
        <f t="shared" si="47"/>
        <v>35</v>
      </c>
      <c r="AI147" s="79">
        <f t="shared" si="58"/>
        <v>0</v>
      </c>
      <c r="AJ147" s="79">
        <f t="shared" si="48"/>
        <v>0</v>
      </c>
      <c r="AK147" s="81">
        <f t="shared" si="49"/>
        <v>5</v>
      </c>
      <c r="AL147" s="81" t="str">
        <f t="shared" si="59"/>
        <v>CRIT</v>
      </c>
      <c r="AM147" s="81">
        <f t="shared" si="60"/>
        <v>22</v>
      </c>
      <c r="AN147" s="99">
        <f t="shared" si="61"/>
        <v>42884</v>
      </c>
      <c r="AO147" s="99">
        <f t="shared" si="62"/>
        <v>42888</v>
      </c>
      <c r="AP147" s="99"/>
      <c r="AQ147" s="73"/>
      <c r="AR147" s="67"/>
      <c r="AS147" s="132"/>
    </row>
    <row r="148" spans="1:45" ht="20.25" customHeight="1" thickTop="1" thickBot="1" x14ac:dyDescent="0.3">
      <c r="A148" s="74" t="str">
        <f t="shared" ca="1" si="50"/>
        <v/>
      </c>
      <c r="B148" s="75" t="str">
        <f t="shared" ca="1" si="51"/>
        <v/>
      </c>
      <c r="C148" s="76" t="str">
        <f>IF(AND('Interimaire Juin  2017'!D154=$B$1,'Interimaire Juin  2017'!J154=$B$2),'Interimaire Juin  2017'!E154,"")</f>
        <v/>
      </c>
      <c r="D148" s="76" t="str">
        <f>IF(AND('Interimaire Juin  2017'!D154=$B$1,'Interimaire Juin  2017'!J154=$B$2),'Interimaire Juin  2017'!F154,"")</f>
        <v/>
      </c>
      <c r="E148" s="76" t="str">
        <f t="shared" si="52"/>
        <v/>
      </c>
      <c r="F148" s="76" t="str">
        <f t="array" aca="1" ref="F148" ca="1">IFERROR(INDEX(C:C,SMALL($E$2:$E$300,ROW(INDIRECT("140:"&amp;ROWS(C140:C438))))),"")</f>
        <v/>
      </c>
      <c r="G148" s="76" t="str">
        <f t="array" aca="1" ref="G148" ca="1">IFERROR(INDEX(D:D,SMALL($E$2:$E$300,ROW(INDIRECT("140:"&amp;ROWS(D140:D438))))),"")</f>
        <v/>
      </c>
      <c r="H148" s="82"/>
      <c r="I148" s="77">
        <v>7</v>
      </c>
      <c r="J148" s="78">
        <f t="shared" si="53"/>
        <v>1</v>
      </c>
      <c r="K148" s="82"/>
      <c r="L148" s="82"/>
      <c r="M148" s="80">
        <f t="shared" si="42"/>
        <v>1</v>
      </c>
      <c r="N148" s="77">
        <v>7</v>
      </c>
      <c r="O148" s="78">
        <f t="shared" si="54"/>
        <v>1</v>
      </c>
      <c r="P148" s="82"/>
      <c r="Q148" s="82"/>
      <c r="R148" s="80">
        <f t="shared" si="43"/>
        <v>1</v>
      </c>
      <c r="S148" s="77">
        <v>7</v>
      </c>
      <c r="T148" s="78">
        <f t="shared" si="55"/>
        <v>1</v>
      </c>
      <c r="U148" s="79"/>
      <c r="V148" s="79"/>
      <c r="W148" s="80">
        <f t="shared" si="44"/>
        <v>1</v>
      </c>
      <c r="X148" s="77">
        <v>7</v>
      </c>
      <c r="Y148" s="78">
        <f t="shared" si="56"/>
        <v>1</v>
      </c>
      <c r="Z148" s="79"/>
      <c r="AA148" s="79"/>
      <c r="AB148" s="80">
        <f t="shared" si="45"/>
        <v>1</v>
      </c>
      <c r="AC148" s="77">
        <v>7</v>
      </c>
      <c r="AD148" s="78">
        <f t="shared" si="57"/>
        <v>1</v>
      </c>
      <c r="AE148" s="79"/>
      <c r="AF148" s="79"/>
      <c r="AG148" s="80">
        <f t="shared" si="46"/>
        <v>1</v>
      </c>
      <c r="AH148" s="77">
        <f t="shared" si="47"/>
        <v>35</v>
      </c>
      <c r="AI148" s="79">
        <f t="shared" si="58"/>
        <v>0</v>
      </c>
      <c r="AJ148" s="79">
        <f t="shared" si="48"/>
        <v>0</v>
      </c>
      <c r="AK148" s="81">
        <f t="shared" si="49"/>
        <v>5</v>
      </c>
      <c r="AL148" s="81" t="str">
        <f t="shared" si="59"/>
        <v>CRIT</v>
      </c>
      <c r="AM148" s="81">
        <f t="shared" si="60"/>
        <v>22</v>
      </c>
      <c r="AN148" s="99">
        <f t="shared" si="61"/>
        <v>42884</v>
      </c>
      <c r="AO148" s="99">
        <f t="shared" si="62"/>
        <v>42888</v>
      </c>
      <c r="AP148" s="99"/>
      <c r="AQ148" s="73"/>
      <c r="AR148" s="67"/>
      <c r="AS148" s="132"/>
    </row>
    <row r="149" spans="1:45" ht="20.25" customHeight="1" thickTop="1" thickBot="1" x14ac:dyDescent="0.3">
      <c r="A149" s="74" t="str">
        <f t="shared" ca="1" si="50"/>
        <v/>
      </c>
      <c r="B149" s="75" t="str">
        <f t="shared" ca="1" si="51"/>
        <v/>
      </c>
      <c r="C149" s="76" t="str">
        <f>IF(AND('Interimaire Juin  2017'!D155=$B$1,'Interimaire Juin  2017'!J155=$B$2),'Interimaire Juin  2017'!E155,"")</f>
        <v/>
      </c>
      <c r="D149" s="76" t="str">
        <f>IF(AND('Interimaire Juin  2017'!D155=$B$1,'Interimaire Juin  2017'!J155=$B$2),'Interimaire Juin  2017'!F155,"")</f>
        <v/>
      </c>
      <c r="E149" s="76" t="str">
        <f t="shared" si="52"/>
        <v/>
      </c>
      <c r="F149" s="76" t="str">
        <f t="array" aca="1" ref="F149" ca="1">IFERROR(INDEX(C:C,SMALL($E$2:$E$300,ROW(INDIRECT("141:"&amp;ROWS(C141:C439))))),"")</f>
        <v/>
      </c>
      <c r="G149" s="76" t="str">
        <f t="array" aca="1" ref="G149" ca="1">IFERROR(INDEX(D:D,SMALL($E$2:$E$300,ROW(INDIRECT("141:"&amp;ROWS(D141:D439))))),"")</f>
        <v/>
      </c>
      <c r="H149" s="82"/>
      <c r="I149" s="77">
        <v>7</v>
      </c>
      <c r="J149" s="78">
        <f t="shared" si="53"/>
        <v>1</v>
      </c>
      <c r="K149" s="82"/>
      <c r="L149" s="82"/>
      <c r="M149" s="80">
        <f t="shared" si="42"/>
        <v>1</v>
      </c>
      <c r="N149" s="77">
        <v>7</v>
      </c>
      <c r="O149" s="78">
        <f t="shared" si="54"/>
        <v>1</v>
      </c>
      <c r="P149" s="82"/>
      <c r="Q149" s="82"/>
      <c r="R149" s="80">
        <f t="shared" si="43"/>
        <v>1</v>
      </c>
      <c r="S149" s="77">
        <v>7</v>
      </c>
      <c r="T149" s="78">
        <f t="shared" si="55"/>
        <v>1</v>
      </c>
      <c r="U149" s="79"/>
      <c r="V149" s="79"/>
      <c r="W149" s="80">
        <f t="shared" si="44"/>
        <v>1</v>
      </c>
      <c r="X149" s="77">
        <v>7</v>
      </c>
      <c r="Y149" s="78">
        <f t="shared" si="56"/>
        <v>1</v>
      </c>
      <c r="Z149" s="79"/>
      <c r="AA149" s="79"/>
      <c r="AB149" s="80">
        <f t="shared" si="45"/>
        <v>1</v>
      </c>
      <c r="AC149" s="77">
        <v>7</v>
      </c>
      <c r="AD149" s="78">
        <f t="shared" si="57"/>
        <v>1</v>
      </c>
      <c r="AE149" s="79"/>
      <c r="AF149" s="79"/>
      <c r="AG149" s="80">
        <f t="shared" si="46"/>
        <v>1</v>
      </c>
      <c r="AH149" s="77">
        <f t="shared" si="47"/>
        <v>35</v>
      </c>
      <c r="AI149" s="79">
        <f t="shared" si="58"/>
        <v>0</v>
      </c>
      <c r="AJ149" s="79">
        <f t="shared" si="48"/>
        <v>0</v>
      </c>
      <c r="AK149" s="81">
        <f t="shared" si="49"/>
        <v>5</v>
      </c>
      <c r="AL149" s="81" t="str">
        <f t="shared" si="59"/>
        <v>CRIT</v>
      </c>
      <c r="AM149" s="81">
        <f t="shared" si="60"/>
        <v>22</v>
      </c>
      <c r="AN149" s="99">
        <f t="shared" si="61"/>
        <v>42884</v>
      </c>
      <c r="AO149" s="99">
        <f t="shared" si="62"/>
        <v>42888</v>
      </c>
      <c r="AP149" s="99"/>
      <c r="AQ149" s="73"/>
      <c r="AR149" s="67"/>
      <c r="AS149" s="132"/>
    </row>
    <row r="150" spans="1:45" ht="20.25" customHeight="1" thickTop="1" thickBot="1" x14ac:dyDescent="0.3">
      <c r="A150" s="74" t="str">
        <f t="shared" ca="1" si="50"/>
        <v/>
      </c>
      <c r="B150" s="75" t="str">
        <f t="shared" ca="1" si="51"/>
        <v/>
      </c>
      <c r="C150" s="76" t="str">
        <f>IF(AND('Interimaire Juin  2017'!D156=$B$1,'Interimaire Juin  2017'!J156=$B$2),'Interimaire Juin  2017'!E156,"")</f>
        <v/>
      </c>
      <c r="D150" s="76" t="str">
        <f>IF(AND('Interimaire Juin  2017'!D156=$B$1,'Interimaire Juin  2017'!J156=$B$2),'Interimaire Juin  2017'!F156,"")</f>
        <v/>
      </c>
      <c r="E150" s="76" t="str">
        <f t="shared" si="52"/>
        <v/>
      </c>
      <c r="F150" s="76" t="str">
        <f t="array" aca="1" ref="F150" ca="1">IFERROR(INDEX(C:C,SMALL($E$2:$E$300,ROW(INDIRECT("142:"&amp;ROWS(C142:C440))))),"")</f>
        <v/>
      </c>
      <c r="G150" s="76" t="str">
        <f t="array" aca="1" ref="G150" ca="1">IFERROR(INDEX(D:D,SMALL($E$2:$E$300,ROW(INDIRECT("142:"&amp;ROWS(D142:D440))))),"")</f>
        <v/>
      </c>
      <c r="H150" s="82"/>
      <c r="I150" s="77">
        <v>7</v>
      </c>
      <c r="J150" s="78">
        <f t="shared" si="53"/>
        <v>1</v>
      </c>
      <c r="K150" s="82"/>
      <c r="L150" s="82"/>
      <c r="M150" s="80">
        <f t="shared" si="42"/>
        <v>1</v>
      </c>
      <c r="N150" s="77">
        <v>7</v>
      </c>
      <c r="O150" s="78">
        <f t="shared" si="54"/>
        <v>1</v>
      </c>
      <c r="P150" s="82"/>
      <c r="Q150" s="82"/>
      <c r="R150" s="80">
        <f t="shared" si="43"/>
        <v>1</v>
      </c>
      <c r="S150" s="77">
        <v>7</v>
      </c>
      <c r="T150" s="78">
        <f t="shared" si="55"/>
        <v>1</v>
      </c>
      <c r="U150" s="79"/>
      <c r="V150" s="79"/>
      <c r="W150" s="80">
        <f t="shared" si="44"/>
        <v>1</v>
      </c>
      <c r="X150" s="77">
        <v>7</v>
      </c>
      <c r="Y150" s="78">
        <f t="shared" si="56"/>
        <v>1</v>
      </c>
      <c r="Z150" s="79"/>
      <c r="AA150" s="79"/>
      <c r="AB150" s="80">
        <f t="shared" si="45"/>
        <v>1</v>
      </c>
      <c r="AC150" s="77">
        <v>7</v>
      </c>
      <c r="AD150" s="78">
        <f t="shared" si="57"/>
        <v>1</v>
      </c>
      <c r="AE150" s="79"/>
      <c r="AF150" s="79"/>
      <c r="AG150" s="80">
        <f t="shared" si="46"/>
        <v>1</v>
      </c>
      <c r="AH150" s="77">
        <f t="shared" si="47"/>
        <v>35</v>
      </c>
      <c r="AI150" s="79">
        <f t="shared" si="58"/>
        <v>0</v>
      </c>
      <c r="AJ150" s="79">
        <f t="shared" si="48"/>
        <v>0</v>
      </c>
      <c r="AK150" s="81">
        <f t="shared" si="49"/>
        <v>5</v>
      </c>
      <c r="AL150" s="81" t="str">
        <f t="shared" si="59"/>
        <v>CRIT</v>
      </c>
      <c r="AM150" s="81">
        <f t="shared" si="60"/>
        <v>22</v>
      </c>
      <c r="AN150" s="99">
        <f t="shared" si="61"/>
        <v>42884</v>
      </c>
      <c r="AO150" s="99">
        <f t="shared" si="62"/>
        <v>42888</v>
      </c>
      <c r="AP150" s="99"/>
      <c r="AQ150" s="73"/>
      <c r="AR150" s="67"/>
      <c r="AS150" s="132"/>
    </row>
    <row r="151" spans="1:45" ht="20.25" customHeight="1" thickTop="1" thickBot="1" x14ac:dyDescent="0.3">
      <c r="A151" s="74" t="str">
        <f t="shared" ca="1" si="50"/>
        <v/>
      </c>
      <c r="B151" s="75" t="str">
        <f t="shared" ca="1" si="51"/>
        <v/>
      </c>
      <c r="C151" s="76" t="str">
        <f>IF(AND('Interimaire Juin  2017'!D157=$B$1,'Interimaire Juin  2017'!J157=$B$2),'Interimaire Juin  2017'!E157,"")</f>
        <v/>
      </c>
      <c r="D151" s="76" t="str">
        <f>IF(AND('Interimaire Juin  2017'!D157=$B$1,'Interimaire Juin  2017'!J157=$B$2),'Interimaire Juin  2017'!F157,"")</f>
        <v/>
      </c>
      <c r="E151" s="76" t="str">
        <f t="shared" si="52"/>
        <v/>
      </c>
      <c r="F151" s="76" t="str">
        <f t="array" aca="1" ref="F151" ca="1">IFERROR(INDEX(C:C,SMALL($E$2:$E$300,ROW(INDIRECT("143:"&amp;ROWS(C143:C441))))),"")</f>
        <v/>
      </c>
      <c r="G151" s="76" t="str">
        <f t="array" aca="1" ref="G151" ca="1">IFERROR(INDEX(D:D,SMALL($E$2:$E$300,ROW(INDIRECT("143:"&amp;ROWS(D143:D441))))),"")</f>
        <v/>
      </c>
      <c r="H151" s="82"/>
      <c r="I151" s="77">
        <v>7</v>
      </c>
      <c r="J151" s="78">
        <f t="shared" si="53"/>
        <v>1</v>
      </c>
      <c r="K151" s="82"/>
      <c r="L151" s="82"/>
      <c r="M151" s="80">
        <f t="shared" si="42"/>
        <v>1</v>
      </c>
      <c r="N151" s="77">
        <v>7</v>
      </c>
      <c r="O151" s="78">
        <f t="shared" si="54"/>
        <v>1</v>
      </c>
      <c r="P151" s="82"/>
      <c r="Q151" s="82"/>
      <c r="R151" s="80">
        <f t="shared" si="43"/>
        <v>1</v>
      </c>
      <c r="S151" s="77">
        <v>7</v>
      </c>
      <c r="T151" s="78">
        <f t="shared" si="55"/>
        <v>1</v>
      </c>
      <c r="U151" s="79"/>
      <c r="V151" s="79"/>
      <c r="W151" s="80">
        <f t="shared" si="44"/>
        <v>1</v>
      </c>
      <c r="X151" s="77">
        <v>7</v>
      </c>
      <c r="Y151" s="78">
        <f t="shared" si="56"/>
        <v>1</v>
      </c>
      <c r="Z151" s="79"/>
      <c r="AA151" s="79"/>
      <c r="AB151" s="80">
        <f t="shared" si="45"/>
        <v>1</v>
      </c>
      <c r="AC151" s="77">
        <v>7</v>
      </c>
      <c r="AD151" s="78">
        <f t="shared" si="57"/>
        <v>1</v>
      </c>
      <c r="AE151" s="79"/>
      <c r="AF151" s="79"/>
      <c r="AG151" s="80">
        <f t="shared" si="46"/>
        <v>1</v>
      </c>
      <c r="AH151" s="77">
        <f t="shared" si="47"/>
        <v>35</v>
      </c>
      <c r="AI151" s="79">
        <f t="shared" si="58"/>
        <v>0</v>
      </c>
      <c r="AJ151" s="79">
        <f t="shared" si="48"/>
        <v>0</v>
      </c>
      <c r="AK151" s="81">
        <f t="shared" si="49"/>
        <v>5</v>
      </c>
      <c r="AL151" s="81" t="str">
        <f t="shared" si="59"/>
        <v>CRIT</v>
      </c>
      <c r="AM151" s="81">
        <f t="shared" si="60"/>
        <v>22</v>
      </c>
      <c r="AN151" s="99">
        <f t="shared" si="61"/>
        <v>42884</v>
      </c>
      <c r="AO151" s="99">
        <f t="shared" si="62"/>
        <v>42888</v>
      </c>
      <c r="AP151" s="99"/>
      <c r="AQ151" s="73"/>
      <c r="AR151" s="67"/>
      <c r="AS151" s="132"/>
    </row>
    <row r="152" spans="1:45" ht="20.25" customHeight="1" thickTop="1" thickBot="1" x14ac:dyDescent="0.3">
      <c r="A152" s="74" t="str">
        <f t="shared" ca="1" si="50"/>
        <v/>
      </c>
      <c r="B152" s="75" t="str">
        <f t="shared" ca="1" si="51"/>
        <v/>
      </c>
      <c r="C152" s="76" t="str">
        <f>IF(AND('Interimaire Juin  2017'!D158=$B$1,'Interimaire Juin  2017'!J158=$B$2),'Interimaire Juin  2017'!E158,"")</f>
        <v/>
      </c>
      <c r="D152" s="76" t="str">
        <f>IF(AND('Interimaire Juin  2017'!D158=$B$1,'Interimaire Juin  2017'!J158=$B$2),'Interimaire Juin  2017'!F158,"")</f>
        <v/>
      </c>
      <c r="E152" s="76" t="str">
        <f t="shared" si="52"/>
        <v/>
      </c>
      <c r="F152" s="76" t="str">
        <f t="array" aca="1" ref="F152" ca="1">IFERROR(INDEX(C:C,SMALL($E$2:$E$300,ROW(INDIRECT("144:"&amp;ROWS(C144:C442))))),"")</f>
        <v/>
      </c>
      <c r="G152" s="76" t="str">
        <f t="array" aca="1" ref="G152" ca="1">IFERROR(INDEX(D:D,SMALL($E$2:$E$300,ROW(INDIRECT("144:"&amp;ROWS(D144:D442))))),"")</f>
        <v/>
      </c>
      <c r="H152" s="82"/>
      <c r="I152" s="77">
        <v>7</v>
      </c>
      <c r="J152" s="78">
        <f t="shared" si="53"/>
        <v>1</v>
      </c>
      <c r="K152" s="82"/>
      <c r="L152" s="82"/>
      <c r="M152" s="80">
        <f t="shared" si="42"/>
        <v>1</v>
      </c>
      <c r="N152" s="77">
        <v>7</v>
      </c>
      <c r="O152" s="78">
        <f t="shared" si="54"/>
        <v>1</v>
      </c>
      <c r="P152" s="82"/>
      <c r="Q152" s="82"/>
      <c r="R152" s="80">
        <f t="shared" si="43"/>
        <v>1</v>
      </c>
      <c r="S152" s="77">
        <v>7</v>
      </c>
      <c r="T152" s="78">
        <f t="shared" si="55"/>
        <v>1</v>
      </c>
      <c r="U152" s="79"/>
      <c r="V152" s="79"/>
      <c r="W152" s="80">
        <f t="shared" si="44"/>
        <v>1</v>
      </c>
      <c r="X152" s="77">
        <v>7</v>
      </c>
      <c r="Y152" s="78">
        <f t="shared" si="56"/>
        <v>1</v>
      </c>
      <c r="Z152" s="79"/>
      <c r="AA152" s="79"/>
      <c r="AB152" s="80">
        <f t="shared" si="45"/>
        <v>1</v>
      </c>
      <c r="AC152" s="77">
        <v>7</v>
      </c>
      <c r="AD152" s="78">
        <f t="shared" si="57"/>
        <v>1</v>
      </c>
      <c r="AE152" s="79"/>
      <c r="AF152" s="79"/>
      <c r="AG152" s="80">
        <f t="shared" si="46"/>
        <v>1</v>
      </c>
      <c r="AH152" s="77">
        <f t="shared" si="47"/>
        <v>35</v>
      </c>
      <c r="AI152" s="79">
        <f t="shared" si="58"/>
        <v>0</v>
      </c>
      <c r="AJ152" s="79">
        <f t="shared" si="48"/>
        <v>0</v>
      </c>
      <c r="AK152" s="81">
        <f t="shared" si="49"/>
        <v>5</v>
      </c>
      <c r="AL152" s="81" t="str">
        <f t="shared" si="59"/>
        <v>CRIT</v>
      </c>
      <c r="AM152" s="81">
        <f t="shared" si="60"/>
        <v>22</v>
      </c>
      <c r="AN152" s="99">
        <f t="shared" si="61"/>
        <v>42884</v>
      </c>
      <c r="AO152" s="99">
        <f t="shared" si="62"/>
        <v>42888</v>
      </c>
      <c r="AP152" s="99"/>
      <c r="AQ152" s="73"/>
      <c r="AR152" s="67"/>
      <c r="AS152" s="132"/>
    </row>
    <row r="153" spans="1:45" ht="20.25" customHeight="1" thickTop="1" thickBot="1" x14ac:dyDescent="0.3">
      <c r="A153" s="74" t="str">
        <f t="shared" ca="1" si="50"/>
        <v/>
      </c>
      <c r="B153" s="75" t="str">
        <f t="shared" ca="1" si="51"/>
        <v/>
      </c>
      <c r="C153" s="76" t="str">
        <f>IF(AND('Interimaire Juin  2017'!D159=$B$1,'Interimaire Juin  2017'!J159=$B$2),'Interimaire Juin  2017'!E159,"")</f>
        <v/>
      </c>
      <c r="D153" s="76" t="str">
        <f>IF(AND('Interimaire Juin  2017'!D159=$B$1,'Interimaire Juin  2017'!J159=$B$2),'Interimaire Juin  2017'!F159,"")</f>
        <v/>
      </c>
      <c r="E153" s="76" t="str">
        <f t="shared" si="52"/>
        <v/>
      </c>
      <c r="F153" s="76" t="str">
        <f t="array" aca="1" ref="F153" ca="1">IFERROR(INDEX(C:C,SMALL($E$2:$E$300,ROW(INDIRECT("145:"&amp;ROWS(C145:C443))))),"")</f>
        <v/>
      </c>
      <c r="G153" s="76" t="str">
        <f t="array" aca="1" ref="G153" ca="1">IFERROR(INDEX(D:D,SMALL($E$2:$E$300,ROW(INDIRECT("145:"&amp;ROWS(D145:D443))))),"")</f>
        <v/>
      </c>
      <c r="H153" s="82"/>
      <c r="I153" s="77">
        <v>7</v>
      </c>
      <c r="J153" s="78">
        <f t="shared" si="53"/>
        <v>1</v>
      </c>
      <c r="K153" s="82"/>
      <c r="L153" s="82"/>
      <c r="M153" s="80">
        <f t="shared" si="42"/>
        <v>1</v>
      </c>
      <c r="N153" s="77">
        <v>7</v>
      </c>
      <c r="O153" s="78">
        <f t="shared" si="54"/>
        <v>1</v>
      </c>
      <c r="P153" s="82"/>
      <c r="Q153" s="82"/>
      <c r="R153" s="80">
        <f t="shared" si="43"/>
        <v>1</v>
      </c>
      <c r="S153" s="77">
        <v>7</v>
      </c>
      <c r="T153" s="78">
        <f t="shared" si="55"/>
        <v>1</v>
      </c>
      <c r="U153" s="79"/>
      <c r="V153" s="79"/>
      <c r="W153" s="80">
        <f t="shared" si="44"/>
        <v>1</v>
      </c>
      <c r="X153" s="77">
        <v>7</v>
      </c>
      <c r="Y153" s="78">
        <f t="shared" si="56"/>
        <v>1</v>
      </c>
      <c r="Z153" s="79"/>
      <c r="AA153" s="79"/>
      <c r="AB153" s="80">
        <f t="shared" si="45"/>
        <v>1</v>
      </c>
      <c r="AC153" s="77">
        <v>7</v>
      </c>
      <c r="AD153" s="78">
        <f t="shared" si="57"/>
        <v>1</v>
      </c>
      <c r="AE153" s="79"/>
      <c r="AF153" s="79"/>
      <c r="AG153" s="80">
        <f t="shared" si="46"/>
        <v>1</v>
      </c>
      <c r="AH153" s="77">
        <f t="shared" si="47"/>
        <v>35</v>
      </c>
      <c r="AI153" s="79">
        <f t="shared" si="58"/>
        <v>0</v>
      </c>
      <c r="AJ153" s="79">
        <f t="shared" si="48"/>
        <v>0</v>
      </c>
      <c r="AK153" s="81">
        <f t="shared" si="49"/>
        <v>5</v>
      </c>
      <c r="AL153" s="81" t="str">
        <f t="shared" si="59"/>
        <v>CRIT</v>
      </c>
      <c r="AM153" s="81">
        <f t="shared" si="60"/>
        <v>22</v>
      </c>
      <c r="AN153" s="99">
        <f t="shared" si="61"/>
        <v>42884</v>
      </c>
      <c r="AO153" s="99">
        <f t="shared" si="62"/>
        <v>42888</v>
      </c>
      <c r="AP153" s="99"/>
      <c r="AQ153" s="73"/>
      <c r="AR153" s="67"/>
      <c r="AS153" s="132"/>
    </row>
    <row r="154" spans="1:45" ht="20.25" customHeight="1" thickTop="1" thickBot="1" x14ac:dyDescent="0.3">
      <c r="A154" s="74" t="str">
        <f t="shared" ca="1" si="50"/>
        <v/>
      </c>
      <c r="B154" s="75" t="str">
        <f t="shared" ca="1" si="51"/>
        <v/>
      </c>
      <c r="C154" s="76" t="str">
        <f>IF(AND('Interimaire Juin  2017'!D160=$B$1,'Interimaire Juin  2017'!J160=$B$2),'Interimaire Juin  2017'!E160,"")</f>
        <v/>
      </c>
      <c r="D154" s="76" t="str">
        <f>IF(AND('Interimaire Juin  2017'!D160=$B$1,'Interimaire Juin  2017'!J160=$B$2),'Interimaire Juin  2017'!F160,"")</f>
        <v/>
      </c>
      <c r="E154" s="76" t="str">
        <f t="shared" si="52"/>
        <v/>
      </c>
      <c r="F154" s="76" t="str">
        <f t="array" aca="1" ref="F154" ca="1">IFERROR(INDEX(C:C,SMALL($E$2:$E$300,ROW(INDIRECT("146:"&amp;ROWS(C146:C444))))),"")</f>
        <v/>
      </c>
      <c r="G154" s="76" t="str">
        <f t="array" aca="1" ref="G154" ca="1">IFERROR(INDEX(D:D,SMALL($E$2:$E$300,ROW(INDIRECT("146:"&amp;ROWS(D146:D444))))),"")</f>
        <v/>
      </c>
      <c r="H154" s="82"/>
      <c r="I154" s="77">
        <v>7</v>
      </c>
      <c r="J154" s="78">
        <f t="shared" si="53"/>
        <v>1</v>
      </c>
      <c r="K154" s="82"/>
      <c r="L154" s="82"/>
      <c r="M154" s="80">
        <f t="shared" si="42"/>
        <v>1</v>
      </c>
      <c r="N154" s="77">
        <v>7</v>
      </c>
      <c r="O154" s="78">
        <f t="shared" si="54"/>
        <v>1</v>
      </c>
      <c r="P154" s="82"/>
      <c r="Q154" s="82"/>
      <c r="R154" s="80">
        <f t="shared" si="43"/>
        <v>1</v>
      </c>
      <c r="S154" s="77">
        <v>7</v>
      </c>
      <c r="T154" s="78">
        <f t="shared" si="55"/>
        <v>1</v>
      </c>
      <c r="U154" s="79"/>
      <c r="V154" s="79"/>
      <c r="W154" s="80">
        <f t="shared" si="44"/>
        <v>1</v>
      </c>
      <c r="X154" s="77">
        <v>7</v>
      </c>
      <c r="Y154" s="78">
        <f t="shared" si="56"/>
        <v>1</v>
      </c>
      <c r="Z154" s="79"/>
      <c r="AA154" s="79"/>
      <c r="AB154" s="80">
        <f t="shared" si="45"/>
        <v>1</v>
      </c>
      <c r="AC154" s="77">
        <v>7</v>
      </c>
      <c r="AD154" s="78">
        <f t="shared" si="57"/>
        <v>1</v>
      </c>
      <c r="AE154" s="79"/>
      <c r="AF154" s="79"/>
      <c r="AG154" s="80">
        <f t="shared" si="46"/>
        <v>1</v>
      </c>
      <c r="AH154" s="77">
        <f t="shared" si="47"/>
        <v>35</v>
      </c>
      <c r="AI154" s="79">
        <f t="shared" si="58"/>
        <v>0</v>
      </c>
      <c r="AJ154" s="79">
        <f t="shared" si="48"/>
        <v>0</v>
      </c>
      <c r="AK154" s="81">
        <f t="shared" si="49"/>
        <v>5</v>
      </c>
      <c r="AL154" s="81" t="str">
        <f t="shared" si="59"/>
        <v>CRIT</v>
      </c>
      <c r="AM154" s="81">
        <f t="shared" si="60"/>
        <v>22</v>
      </c>
      <c r="AN154" s="99">
        <f t="shared" si="61"/>
        <v>42884</v>
      </c>
      <c r="AO154" s="99">
        <f t="shared" si="62"/>
        <v>42888</v>
      </c>
      <c r="AP154" s="99"/>
      <c r="AQ154" s="73"/>
      <c r="AR154" s="67"/>
      <c r="AS154" s="132"/>
    </row>
    <row r="155" spans="1:45" ht="20.25" customHeight="1" thickTop="1" thickBot="1" x14ac:dyDescent="0.3">
      <c r="A155" s="74" t="str">
        <f t="shared" ca="1" si="50"/>
        <v/>
      </c>
      <c r="B155" s="75" t="str">
        <f t="shared" ca="1" si="51"/>
        <v/>
      </c>
      <c r="C155" s="76" t="str">
        <f>IF(AND('Interimaire Juin  2017'!D161=$B$1,'Interimaire Juin  2017'!J161=$B$2),'Interimaire Juin  2017'!E161,"")</f>
        <v/>
      </c>
      <c r="D155" s="76" t="str">
        <f>IF(AND('Interimaire Juin  2017'!D161=$B$1,'Interimaire Juin  2017'!J161=$B$2),'Interimaire Juin  2017'!F161,"")</f>
        <v/>
      </c>
      <c r="E155" s="76" t="str">
        <f t="shared" si="52"/>
        <v/>
      </c>
      <c r="F155" s="76" t="str">
        <f t="array" aca="1" ref="F155" ca="1">IFERROR(INDEX(C:C,SMALL($E$2:$E$300,ROW(INDIRECT("147:"&amp;ROWS(C147:C445))))),"")</f>
        <v/>
      </c>
      <c r="G155" s="76" t="str">
        <f t="array" aca="1" ref="G155" ca="1">IFERROR(INDEX(D:D,SMALL($E$2:$E$300,ROW(INDIRECT("147:"&amp;ROWS(D147:D445))))),"")</f>
        <v/>
      </c>
      <c r="H155" s="82"/>
      <c r="I155" s="77">
        <v>7</v>
      </c>
      <c r="J155" s="78">
        <f t="shared" si="53"/>
        <v>1</v>
      </c>
      <c r="K155" s="82"/>
      <c r="L155" s="82"/>
      <c r="M155" s="80">
        <f t="shared" si="42"/>
        <v>1</v>
      </c>
      <c r="N155" s="77">
        <v>7</v>
      </c>
      <c r="O155" s="78">
        <f t="shared" si="54"/>
        <v>1</v>
      </c>
      <c r="P155" s="82"/>
      <c r="Q155" s="82"/>
      <c r="R155" s="80">
        <f t="shared" si="43"/>
        <v>1</v>
      </c>
      <c r="S155" s="77">
        <v>7</v>
      </c>
      <c r="T155" s="78">
        <f t="shared" si="55"/>
        <v>1</v>
      </c>
      <c r="U155" s="79"/>
      <c r="V155" s="79"/>
      <c r="W155" s="80">
        <f t="shared" si="44"/>
        <v>1</v>
      </c>
      <c r="X155" s="77">
        <v>7</v>
      </c>
      <c r="Y155" s="78">
        <f t="shared" si="56"/>
        <v>1</v>
      </c>
      <c r="Z155" s="79"/>
      <c r="AA155" s="79"/>
      <c r="AB155" s="80">
        <f t="shared" si="45"/>
        <v>1</v>
      </c>
      <c r="AC155" s="77">
        <v>7</v>
      </c>
      <c r="AD155" s="78">
        <f t="shared" si="57"/>
        <v>1</v>
      </c>
      <c r="AE155" s="79"/>
      <c r="AF155" s="79"/>
      <c r="AG155" s="80">
        <f t="shared" si="46"/>
        <v>1</v>
      </c>
      <c r="AH155" s="77">
        <f t="shared" si="47"/>
        <v>35</v>
      </c>
      <c r="AI155" s="79">
        <f t="shared" si="58"/>
        <v>0</v>
      </c>
      <c r="AJ155" s="79">
        <f t="shared" si="48"/>
        <v>0</v>
      </c>
      <c r="AK155" s="81">
        <f t="shared" si="49"/>
        <v>5</v>
      </c>
      <c r="AL155" s="81" t="str">
        <f t="shared" si="59"/>
        <v>CRIT</v>
      </c>
      <c r="AM155" s="81">
        <f t="shared" si="60"/>
        <v>22</v>
      </c>
      <c r="AN155" s="99">
        <f t="shared" si="61"/>
        <v>42884</v>
      </c>
      <c r="AO155" s="99">
        <f t="shared" si="62"/>
        <v>42888</v>
      </c>
      <c r="AP155" s="99"/>
      <c r="AQ155" s="73"/>
      <c r="AR155" s="67"/>
      <c r="AS155" s="132"/>
    </row>
    <row r="156" spans="1:45" ht="20.25" customHeight="1" thickTop="1" thickBot="1" x14ac:dyDescent="0.3">
      <c r="A156" s="74" t="str">
        <f t="shared" ca="1" si="50"/>
        <v/>
      </c>
      <c r="B156" s="75" t="str">
        <f t="shared" ca="1" si="51"/>
        <v/>
      </c>
      <c r="C156" s="76" t="str">
        <f>IF(AND('Interimaire Juin  2017'!D162=$B$1,'Interimaire Juin  2017'!J162=$B$2),'Interimaire Juin  2017'!E162,"")</f>
        <v/>
      </c>
      <c r="D156" s="76" t="str">
        <f>IF(AND('Interimaire Juin  2017'!D162=$B$1,'Interimaire Juin  2017'!J162=$B$2),'Interimaire Juin  2017'!F162,"")</f>
        <v/>
      </c>
      <c r="E156" s="76" t="str">
        <f t="shared" si="52"/>
        <v/>
      </c>
      <c r="F156" s="76" t="str">
        <f t="array" aca="1" ref="F156" ca="1">IFERROR(INDEX(C:C,SMALL($E$2:$E$300,ROW(INDIRECT("148:"&amp;ROWS(C148:C446))))),"")</f>
        <v/>
      </c>
      <c r="G156" s="76" t="str">
        <f t="array" aca="1" ref="G156" ca="1">IFERROR(INDEX(D:D,SMALL($E$2:$E$300,ROW(INDIRECT("148:"&amp;ROWS(D148:D446))))),"")</f>
        <v/>
      </c>
      <c r="H156" s="82"/>
      <c r="I156" s="77">
        <v>7</v>
      </c>
      <c r="J156" s="78">
        <f t="shared" si="53"/>
        <v>1</v>
      </c>
      <c r="K156" s="82"/>
      <c r="L156" s="82"/>
      <c r="M156" s="80">
        <f t="shared" si="42"/>
        <v>1</v>
      </c>
      <c r="N156" s="77">
        <v>7</v>
      </c>
      <c r="O156" s="78">
        <f t="shared" si="54"/>
        <v>1</v>
      </c>
      <c r="P156" s="82"/>
      <c r="Q156" s="82"/>
      <c r="R156" s="80">
        <f t="shared" si="43"/>
        <v>1</v>
      </c>
      <c r="S156" s="77">
        <v>7</v>
      </c>
      <c r="T156" s="78">
        <f t="shared" si="55"/>
        <v>1</v>
      </c>
      <c r="U156" s="79"/>
      <c r="V156" s="79"/>
      <c r="W156" s="80">
        <f t="shared" si="44"/>
        <v>1</v>
      </c>
      <c r="X156" s="77">
        <v>7</v>
      </c>
      <c r="Y156" s="78">
        <f t="shared" si="56"/>
        <v>1</v>
      </c>
      <c r="Z156" s="79"/>
      <c r="AA156" s="79"/>
      <c r="AB156" s="80">
        <f t="shared" si="45"/>
        <v>1</v>
      </c>
      <c r="AC156" s="77">
        <v>7</v>
      </c>
      <c r="AD156" s="78">
        <f t="shared" si="57"/>
        <v>1</v>
      </c>
      <c r="AE156" s="79"/>
      <c r="AF156" s="79"/>
      <c r="AG156" s="80">
        <f t="shared" si="46"/>
        <v>1</v>
      </c>
      <c r="AH156" s="77">
        <f t="shared" si="47"/>
        <v>35</v>
      </c>
      <c r="AI156" s="79">
        <f t="shared" si="58"/>
        <v>0</v>
      </c>
      <c r="AJ156" s="79">
        <f t="shared" si="48"/>
        <v>0</v>
      </c>
      <c r="AK156" s="81">
        <f t="shared" si="49"/>
        <v>5</v>
      </c>
      <c r="AL156" s="81" t="str">
        <f t="shared" si="59"/>
        <v>CRIT</v>
      </c>
      <c r="AM156" s="81">
        <f t="shared" si="60"/>
        <v>22</v>
      </c>
      <c r="AN156" s="99">
        <f t="shared" si="61"/>
        <v>42884</v>
      </c>
      <c r="AO156" s="99">
        <f t="shared" si="62"/>
        <v>42888</v>
      </c>
      <c r="AP156" s="99"/>
      <c r="AQ156" s="73"/>
      <c r="AR156" s="67"/>
      <c r="AS156" s="132"/>
    </row>
    <row r="157" spans="1:45" ht="20.25" customHeight="1" thickTop="1" thickBot="1" x14ac:dyDescent="0.3">
      <c r="A157" s="74" t="str">
        <f t="shared" ref="A157:A220" ca="1" si="63">+F157</f>
        <v/>
      </c>
      <c r="B157" s="75" t="str">
        <f t="shared" ref="B157:B220" ca="1" si="64">+G157</f>
        <v/>
      </c>
      <c r="C157" s="76" t="str">
        <f>IF(AND('Interimaire Juin  2017'!D163=$B$1,'Interimaire Juin  2017'!J163=$B$2),'Interimaire Juin  2017'!E163,"")</f>
        <v/>
      </c>
      <c r="D157" s="76" t="str">
        <f>IF(AND('Interimaire Juin  2017'!D163=$B$1,'Interimaire Juin  2017'!J163=$B$2),'Interimaire Juin  2017'!F163,"")</f>
        <v/>
      </c>
      <c r="E157" s="76" t="str">
        <f t="shared" si="52"/>
        <v/>
      </c>
      <c r="F157" s="76" t="str">
        <f t="array" aca="1" ref="F157" ca="1">IFERROR(INDEX(C:C,SMALL($E$2:$E$300,ROW(INDIRECT("149:"&amp;ROWS(C149:C447))))),"")</f>
        <v/>
      </c>
      <c r="G157" s="76" t="str">
        <f t="array" aca="1" ref="G157" ca="1">IFERROR(INDEX(D:D,SMALL($E$2:$E$300,ROW(INDIRECT("149:"&amp;ROWS(D149:D447))))),"")</f>
        <v/>
      </c>
      <c r="H157" s="82"/>
      <c r="I157" s="77">
        <v>7</v>
      </c>
      <c r="J157" s="78">
        <f t="shared" si="53"/>
        <v>1</v>
      </c>
      <c r="K157" s="82"/>
      <c r="L157" s="82"/>
      <c r="M157" s="80">
        <f t="shared" si="42"/>
        <v>1</v>
      </c>
      <c r="N157" s="77">
        <v>7</v>
      </c>
      <c r="O157" s="78">
        <f t="shared" si="54"/>
        <v>1</v>
      </c>
      <c r="P157" s="82"/>
      <c r="Q157" s="82"/>
      <c r="R157" s="80">
        <f t="shared" si="43"/>
        <v>1</v>
      </c>
      <c r="S157" s="77">
        <v>7</v>
      </c>
      <c r="T157" s="78">
        <f t="shared" si="55"/>
        <v>1</v>
      </c>
      <c r="U157" s="79"/>
      <c r="V157" s="79"/>
      <c r="W157" s="80">
        <f t="shared" si="44"/>
        <v>1</v>
      </c>
      <c r="X157" s="77">
        <v>7</v>
      </c>
      <c r="Y157" s="78">
        <f t="shared" si="56"/>
        <v>1</v>
      </c>
      <c r="Z157" s="79"/>
      <c r="AA157" s="79"/>
      <c r="AB157" s="80">
        <f t="shared" si="45"/>
        <v>1</v>
      </c>
      <c r="AC157" s="77">
        <v>7</v>
      </c>
      <c r="AD157" s="78">
        <f t="shared" si="57"/>
        <v>1</v>
      </c>
      <c r="AE157" s="79"/>
      <c r="AF157" s="79"/>
      <c r="AG157" s="80">
        <f t="shared" si="46"/>
        <v>1</v>
      </c>
      <c r="AH157" s="77">
        <f t="shared" si="47"/>
        <v>35</v>
      </c>
      <c r="AI157" s="79">
        <f t="shared" si="58"/>
        <v>0</v>
      </c>
      <c r="AJ157" s="79">
        <f t="shared" si="48"/>
        <v>0</v>
      </c>
      <c r="AK157" s="81">
        <f t="shared" si="49"/>
        <v>5</v>
      </c>
      <c r="AL157" s="81" t="str">
        <f t="shared" si="59"/>
        <v>CRIT</v>
      </c>
      <c r="AM157" s="81">
        <f t="shared" si="60"/>
        <v>22</v>
      </c>
      <c r="AN157" s="99">
        <f t="shared" si="61"/>
        <v>42884</v>
      </c>
      <c r="AO157" s="99">
        <f t="shared" si="62"/>
        <v>42888</v>
      </c>
      <c r="AP157" s="99"/>
      <c r="AQ157" s="73"/>
      <c r="AR157" s="67"/>
      <c r="AS157" s="132"/>
    </row>
    <row r="158" spans="1:45" ht="20.25" customHeight="1" thickTop="1" thickBot="1" x14ac:dyDescent="0.3">
      <c r="A158" s="74" t="str">
        <f t="shared" ca="1" si="63"/>
        <v/>
      </c>
      <c r="B158" s="75" t="str">
        <f t="shared" ca="1" si="64"/>
        <v/>
      </c>
      <c r="C158" s="76" t="str">
        <f>IF(AND('Interimaire Juin  2017'!D164=$B$1,'Interimaire Juin  2017'!J164=$B$2),'Interimaire Juin  2017'!E164,"")</f>
        <v/>
      </c>
      <c r="D158" s="76" t="str">
        <f>IF(AND('Interimaire Juin  2017'!D164=$B$1,'Interimaire Juin  2017'!J164=$B$2),'Interimaire Juin  2017'!F164,"")</f>
        <v/>
      </c>
      <c r="E158" s="76" t="str">
        <f t="shared" si="52"/>
        <v/>
      </c>
      <c r="F158" s="76" t="str">
        <f t="array" aca="1" ref="F158" ca="1">IFERROR(INDEX(C:C,SMALL($E$2:$E$300,ROW(INDIRECT("150:"&amp;ROWS(C150:C448))))),"")</f>
        <v/>
      </c>
      <c r="G158" s="76" t="str">
        <f t="array" aca="1" ref="G158" ca="1">IFERROR(INDEX(D:D,SMALL($E$2:$E$300,ROW(INDIRECT("150:"&amp;ROWS(D150:D448))))),"")</f>
        <v/>
      </c>
      <c r="H158" s="82"/>
      <c r="I158" s="77">
        <v>7</v>
      </c>
      <c r="J158" s="78">
        <f t="shared" si="53"/>
        <v>1</v>
      </c>
      <c r="K158" s="82"/>
      <c r="L158" s="82"/>
      <c r="M158" s="80">
        <f t="shared" si="42"/>
        <v>1</v>
      </c>
      <c r="N158" s="77">
        <v>7</v>
      </c>
      <c r="O158" s="78">
        <f t="shared" si="54"/>
        <v>1</v>
      </c>
      <c r="P158" s="82"/>
      <c r="Q158" s="82"/>
      <c r="R158" s="80">
        <f t="shared" si="43"/>
        <v>1</v>
      </c>
      <c r="S158" s="77">
        <v>7</v>
      </c>
      <c r="T158" s="78">
        <f t="shared" si="55"/>
        <v>1</v>
      </c>
      <c r="U158" s="79"/>
      <c r="V158" s="79"/>
      <c r="W158" s="80">
        <f t="shared" si="44"/>
        <v>1</v>
      </c>
      <c r="X158" s="77">
        <v>7</v>
      </c>
      <c r="Y158" s="78">
        <f t="shared" si="56"/>
        <v>1</v>
      </c>
      <c r="Z158" s="79"/>
      <c r="AA158" s="79"/>
      <c r="AB158" s="80">
        <f t="shared" si="45"/>
        <v>1</v>
      </c>
      <c r="AC158" s="77">
        <v>7</v>
      </c>
      <c r="AD158" s="78">
        <f t="shared" si="57"/>
        <v>1</v>
      </c>
      <c r="AE158" s="79"/>
      <c r="AF158" s="79"/>
      <c r="AG158" s="80">
        <f t="shared" si="46"/>
        <v>1</v>
      </c>
      <c r="AH158" s="77">
        <f t="shared" si="47"/>
        <v>35</v>
      </c>
      <c r="AI158" s="79">
        <f t="shared" si="58"/>
        <v>0</v>
      </c>
      <c r="AJ158" s="79">
        <f t="shared" si="48"/>
        <v>0</v>
      </c>
      <c r="AK158" s="81">
        <f t="shared" si="49"/>
        <v>5</v>
      </c>
      <c r="AL158" s="81" t="str">
        <f t="shared" si="59"/>
        <v>CRIT</v>
      </c>
      <c r="AM158" s="81">
        <f t="shared" si="60"/>
        <v>22</v>
      </c>
      <c r="AN158" s="99">
        <f t="shared" si="61"/>
        <v>42884</v>
      </c>
      <c r="AO158" s="99">
        <f t="shared" si="62"/>
        <v>42888</v>
      </c>
      <c r="AP158" s="99"/>
      <c r="AQ158" s="73"/>
      <c r="AR158" s="67"/>
      <c r="AS158" s="132"/>
    </row>
    <row r="159" spans="1:45" ht="20.25" customHeight="1" thickTop="1" thickBot="1" x14ac:dyDescent="0.3">
      <c r="A159" s="74" t="str">
        <f t="shared" ca="1" si="63"/>
        <v/>
      </c>
      <c r="B159" s="75" t="str">
        <f t="shared" ca="1" si="64"/>
        <v/>
      </c>
      <c r="C159" s="76" t="str">
        <f>IF(AND('Interimaire Juin  2017'!D165=$B$1,'Interimaire Juin  2017'!J165=$B$2),'Interimaire Juin  2017'!E165,"")</f>
        <v/>
      </c>
      <c r="D159" s="76" t="str">
        <f>IF(AND('Interimaire Juin  2017'!D165=$B$1,'Interimaire Juin  2017'!J165=$B$2),'Interimaire Juin  2017'!F165,"")</f>
        <v/>
      </c>
      <c r="E159" s="76" t="str">
        <f t="shared" si="52"/>
        <v/>
      </c>
      <c r="F159" s="76" t="str">
        <f t="array" aca="1" ref="F159" ca="1">IFERROR(INDEX(C:C,SMALL($E$2:$E$300,ROW(INDIRECT("151:"&amp;ROWS(C151:C449))))),"")</f>
        <v/>
      </c>
      <c r="G159" s="76" t="str">
        <f t="array" aca="1" ref="G159" ca="1">IFERROR(INDEX(D:D,SMALL($E$2:$E$300,ROW(INDIRECT("151:"&amp;ROWS(D151:D449))))),"")</f>
        <v/>
      </c>
      <c r="H159" s="82"/>
      <c r="I159" s="77">
        <v>7</v>
      </c>
      <c r="J159" s="78">
        <f t="shared" si="53"/>
        <v>1</v>
      </c>
      <c r="K159" s="82"/>
      <c r="L159" s="82"/>
      <c r="M159" s="80">
        <f t="shared" si="42"/>
        <v>1</v>
      </c>
      <c r="N159" s="77">
        <v>7</v>
      </c>
      <c r="O159" s="78">
        <f t="shared" si="54"/>
        <v>1</v>
      </c>
      <c r="P159" s="82"/>
      <c r="Q159" s="82"/>
      <c r="R159" s="80">
        <f t="shared" si="43"/>
        <v>1</v>
      </c>
      <c r="S159" s="77">
        <v>7</v>
      </c>
      <c r="T159" s="78">
        <f t="shared" si="55"/>
        <v>1</v>
      </c>
      <c r="U159" s="79"/>
      <c r="V159" s="79"/>
      <c r="W159" s="80">
        <f t="shared" si="44"/>
        <v>1</v>
      </c>
      <c r="X159" s="77">
        <v>7</v>
      </c>
      <c r="Y159" s="78">
        <f t="shared" si="56"/>
        <v>1</v>
      </c>
      <c r="Z159" s="79"/>
      <c r="AA159" s="79"/>
      <c r="AB159" s="80">
        <f t="shared" si="45"/>
        <v>1</v>
      </c>
      <c r="AC159" s="77">
        <v>7</v>
      </c>
      <c r="AD159" s="78">
        <f t="shared" si="57"/>
        <v>1</v>
      </c>
      <c r="AE159" s="79"/>
      <c r="AF159" s="79"/>
      <c r="AG159" s="80">
        <f t="shared" si="46"/>
        <v>1</v>
      </c>
      <c r="AH159" s="77">
        <f t="shared" si="47"/>
        <v>35</v>
      </c>
      <c r="AI159" s="79">
        <f t="shared" si="58"/>
        <v>0</v>
      </c>
      <c r="AJ159" s="79">
        <f t="shared" si="48"/>
        <v>0</v>
      </c>
      <c r="AK159" s="81">
        <f t="shared" si="49"/>
        <v>5</v>
      </c>
      <c r="AL159" s="81" t="str">
        <f t="shared" si="59"/>
        <v>CRIT</v>
      </c>
      <c r="AM159" s="81">
        <f t="shared" si="60"/>
        <v>22</v>
      </c>
      <c r="AN159" s="99">
        <f t="shared" si="61"/>
        <v>42884</v>
      </c>
      <c r="AO159" s="99">
        <f t="shared" si="62"/>
        <v>42888</v>
      </c>
      <c r="AP159" s="99"/>
      <c r="AQ159" s="73"/>
      <c r="AR159" s="67"/>
      <c r="AS159" s="132"/>
    </row>
    <row r="160" spans="1:45" ht="20.25" customHeight="1" thickTop="1" thickBot="1" x14ac:dyDescent="0.3">
      <c r="A160" s="74" t="str">
        <f t="shared" ca="1" si="63"/>
        <v/>
      </c>
      <c r="B160" s="75" t="str">
        <f t="shared" ca="1" si="64"/>
        <v/>
      </c>
      <c r="C160" s="76" t="str">
        <f>IF(AND('Interimaire Juin  2017'!D166=$B$1,'Interimaire Juin  2017'!J166=$B$2),'Interimaire Juin  2017'!E166,"")</f>
        <v/>
      </c>
      <c r="D160" s="76" t="str">
        <f>IF(AND('Interimaire Juin  2017'!D166=$B$1,'Interimaire Juin  2017'!J166=$B$2),'Interimaire Juin  2017'!F166,"")</f>
        <v/>
      </c>
      <c r="E160" s="76" t="str">
        <f t="shared" si="52"/>
        <v/>
      </c>
      <c r="F160" s="76" t="str">
        <f t="array" aca="1" ref="F160" ca="1">IFERROR(INDEX(C:C,SMALL($E$2:$E$300,ROW(INDIRECT("152:"&amp;ROWS(C152:C450))))),"")</f>
        <v/>
      </c>
      <c r="G160" s="76" t="str">
        <f t="array" aca="1" ref="G160" ca="1">IFERROR(INDEX(D:D,SMALL($E$2:$E$300,ROW(INDIRECT("152:"&amp;ROWS(D152:D450))))),"")</f>
        <v/>
      </c>
      <c r="H160" s="82"/>
      <c r="I160" s="77">
        <v>7</v>
      </c>
      <c r="J160" s="78">
        <f t="shared" si="53"/>
        <v>1</v>
      </c>
      <c r="K160" s="82"/>
      <c r="L160" s="82"/>
      <c r="M160" s="80">
        <f t="shared" si="42"/>
        <v>1</v>
      </c>
      <c r="N160" s="77">
        <v>7</v>
      </c>
      <c r="O160" s="78">
        <f t="shared" si="54"/>
        <v>1</v>
      </c>
      <c r="P160" s="82"/>
      <c r="Q160" s="82"/>
      <c r="R160" s="80">
        <f t="shared" si="43"/>
        <v>1</v>
      </c>
      <c r="S160" s="77">
        <v>7</v>
      </c>
      <c r="T160" s="78">
        <f t="shared" si="55"/>
        <v>1</v>
      </c>
      <c r="U160" s="79"/>
      <c r="V160" s="79"/>
      <c r="W160" s="80">
        <f t="shared" si="44"/>
        <v>1</v>
      </c>
      <c r="X160" s="77">
        <v>7</v>
      </c>
      <c r="Y160" s="78">
        <f t="shared" si="56"/>
        <v>1</v>
      </c>
      <c r="Z160" s="79"/>
      <c r="AA160" s="79"/>
      <c r="AB160" s="80">
        <f t="shared" si="45"/>
        <v>1</v>
      </c>
      <c r="AC160" s="77">
        <v>7</v>
      </c>
      <c r="AD160" s="78">
        <f t="shared" si="57"/>
        <v>1</v>
      </c>
      <c r="AE160" s="79"/>
      <c r="AF160" s="79"/>
      <c r="AG160" s="80">
        <f t="shared" si="46"/>
        <v>1</v>
      </c>
      <c r="AH160" s="77">
        <f t="shared" si="47"/>
        <v>35</v>
      </c>
      <c r="AI160" s="79">
        <f t="shared" si="58"/>
        <v>0</v>
      </c>
      <c r="AJ160" s="79">
        <f t="shared" si="48"/>
        <v>0</v>
      </c>
      <c r="AK160" s="81">
        <f t="shared" si="49"/>
        <v>5</v>
      </c>
      <c r="AL160" s="81" t="str">
        <f t="shared" si="59"/>
        <v>CRIT</v>
      </c>
      <c r="AM160" s="81">
        <f t="shared" si="60"/>
        <v>22</v>
      </c>
      <c r="AN160" s="99">
        <f t="shared" si="61"/>
        <v>42884</v>
      </c>
      <c r="AO160" s="99">
        <f t="shared" si="62"/>
        <v>42888</v>
      </c>
      <c r="AP160" s="99"/>
      <c r="AQ160" s="73"/>
      <c r="AR160" s="67"/>
      <c r="AS160" s="132"/>
    </row>
    <row r="161" spans="1:45" ht="20.25" customHeight="1" thickTop="1" thickBot="1" x14ac:dyDescent="0.3">
      <c r="A161" s="74" t="str">
        <f t="shared" ca="1" si="63"/>
        <v/>
      </c>
      <c r="B161" s="75" t="str">
        <f t="shared" ca="1" si="64"/>
        <v/>
      </c>
      <c r="C161" s="76" t="str">
        <f>IF(AND('Interimaire Juin  2017'!D167=$B$1,'Interimaire Juin  2017'!J167=$B$2),'Interimaire Juin  2017'!E167,"")</f>
        <v/>
      </c>
      <c r="D161" s="76" t="str">
        <f>IF(AND('Interimaire Juin  2017'!D167=$B$1,'Interimaire Juin  2017'!J167=$B$2),'Interimaire Juin  2017'!F167,"")</f>
        <v/>
      </c>
      <c r="E161" s="76" t="str">
        <f t="shared" si="52"/>
        <v/>
      </c>
      <c r="F161" s="76" t="str">
        <f t="array" aca="1" ref="F161" ca="1">IFERROR(INDEX(C:C,SMALL($E$2:$E$300,ROW(INDIRECT("153:"&amp;ROWS(C153:C451))))),"")</f>
        <v/>
      </c>
      <c r="G161" s="76" t="str">
        <f t="array" aca="1" ref="G161" ca="1">IFERROR(INDEX(D:D,SMALL($E$2:$E$300,ROW(INDIRECT("153:"&amp;ROWS(D153:D451))))),"")</f>
        <v/>
      </c>
      <c r="H161" s="82"/>
      <c r="I161" s="77">
        <v>7</v>
      </c>
      <c r="J161" s="78">
        <f t="shared" si="53"/>
        <v>1</v>
      </c>
      <c r="K161" s="82"/>
      <c r="L161" s="82"/>
      <c r="M161" s="80">
        <f t="shared" si="42"/>
        <v>1</v>
      </c>
      <c r="N161" s="77">
        <v>7</v>
      </c>
      <c r="O161" s="78">
        <f t="shared" si="54"/>
        <v>1</v>
      </c>
      <c r="P161" s="82"/>
      <c r="Q161" s="82"/>
      <c r="R161" s="80">
        <f t="shared" si="43"/>
        <v>1</v>
      </c>
      <c r="S161" s="77">
        <v>7</v>
      </c>
      <c r="T161" s="78">
        <f t="shared" si="55"/>
        <v>1</v>
      </c>
      <c r="U161" s="79"/>
      <c r="V161" s="79"/>
      <c r="W161" s="80">
        <f t="shared" si="44"/>
        <v>1</v>
      </c>
      <c r="X161" s="77">
        <v>7</v>
      </c>
      <c r="Y161" s="78">
        <f t="shared" si="56"/>
        <v>1</v>
      </c>
      <c r="Z161" s="79"/>
      <c r="AA161" s="79"/>
      <c r="AB161" s="80">
        <f t="shared" si="45"/>
        <v>1</v>
      </c>
      <c r="AC161" s="77">
        <v>7</v>
      </c>
      <c r="AD161" s="78">
        <f t="shared" si="57"/>
        <v>1</v>
      </c>
      <c r="AE161" s="79"/>
      <c r="AF161" s="79"/>
      <c r="AG161" s="80">
        <f t="shared" si="46"/>
        <v>1</v>
      </c>
      <c r="AH161" s="77">
        <f t="shared" si="47"/>
        <v>35</v>
      </c>
      <c r="AI161" s="79">
        <f t="shared" si="58"/>
        <v>0</v>
      </c>
      <c r="AJ161" s="79">
        <f t="shared" si="48"/>
        <v>0</v>
      </c>
      <c r="AK161" s="81">
        <f t="shared" si="49"/>
        <v>5</v>
      </c>
      <c r="AL161" s="81" t="str">
        <f t="shared" si="59"/>
        <v>CRIT</v>
      </c>
      <c r="AM161" s="81">
        <f t="shared" si="60"/>
        <v>22</v>
      </c>
      <c r="AN161" s="99">
        <f t="shared" si="61"/>
        <v>42884</v>
      </c>
      <c r="AO161" s="99">
        <f t="shared" si="62"/>
        <v>42888</v>
      </c>
      <c r="AP161" s="99"/>
      <c r="AQ161" s="73"/>
      <c r="AR161" s="67"/>
      <c r="AS161" s="132"/>
    </row>
    <row r="162" spans="1:45" ht="20.25" customHeight="1" thickTop="1" thickBot="1" x14ac:dyDescent="0.3">
      <c r="A162" s="74" t="str">
        <f t="shared" ca="1" si="63"/>
        <v/>
      </c>
      <c r="B162" s="75" t="str">
        <f t="shared" ca="1" si="64"/>
        <v/>
      </c>
      <c r="C162" s="76" t="str">
        <f>IF(AND('Interimaire Juin  2017'!D168=$B$1,'Interimaire Juin  2017'!J168=$B$2),'Interimaire Juin  2017'!E168,"")</f>
        <v/>
      </c>
      <c r="D162" s="76" t="str">
        <f>IF(AND('Interimaire Juin  2017'!D168=$B$1,'Interimaire Juin  2017'!J168=$B$2),'Interimaire Juin  2017'!F168,"")</f>
        <v/>
      </c>
      <c r="E162" s="76" t="str">
        <f t="shared" si="52"/>
        <v/>
      </c>
      <c r="F162" s="76" t="str">
        <f t="array" aca="1" ref="F162" ca="1">IFERROR(INDEX(C:C,SMALL($E$2:$E$300,ROW(INDIRECT("154:"&amp;ROWS(C154:C452))))),"")</f>
        <v/>
      </c>
      <c r="G162" s="76" t="str">
        <f t="array" aca="1" ref="G162" ca="1">IFERROR(INDEX(D:D,SMALL($E$2:$E$300,ROW(INDIRECT("154:"&amp;ROWS(D154:D452))))),"")</f>
        <v/>
      </c>
      <c r="H162" s="82"/>
      <c r="I162" s="77">
        <v>7</v>
      </c>
      <c r="J162" s="78">
        <f t="shared" si="53"/>
        <v>1</v>
      </c>
      <c r="K162" s="82"/>
      <c r="L162" s="82"/>
      <c r="M162" s="80">
        <f t="shared" si="42"/>
        <v>1</v>
      </c>
      <c r="N162" s="77">
        <v>7</v>
      </c>
      <c r="O162" s="78">
        <f t="shared" si="54"/>
        <v>1</v>
      </c>
      <c r="P162" s="82"/>
      <c r="Q162" s="82"/>
      <c r="R162" s="80">
        <f t="shared" si="43"/>
        <v>1</v>
      </c>
      <c r="S162" s="77">
        <v>7</v>
      </c>
      <c r="T162" s="78">
        <f t="shared" si="55"/>
        <v>1</v>
      </c>
      <c r="U162" s="79"/>
      <c r="V162" s="79"/>
      <c r="W162" s="80">
        <f t="shared" si="44"/>
        <v>1</v>
      </c>
      <c r="X162" s="77">
        <v>7</v>
      </c>
      <c r="Y162" s="78">
        <f t="shared" si="56"/>
        <v>1</v>
      </c>
      <c r="Z162" s="79"/>
      <c r="AA162" s="79"/>
      <c r="AB162" s="80">
        <f t="shared" si="45"/>
        <v>1</v>
      </c>
      <c r="AC162" s="77">
        <v>7</v>
      </c>
      <c r="AD162" s="78">
        <f t="shared" si="57"/>
        <v>1</v>
      </c>
      <c r="AE162" s="79"/>
      <c r="AF162" s="79"/>
      <c r="AG162" s="80">
        <f t="shared" si="46"/>
        <v>1</v>
      </c>
      <c r="AH162" s="77">
        <f t="shared" si="47"/>
        <v>35</v>
      </c>
      <c r="AI162" s="79">
        <f t="shared" si="58"/>
        <v>0</v>
      </c>
      <c r="AJ162" s="79">
        <f t="shared" si="48"/>
        <v>0</v>
      </c>
      <c r="AK162" s="81">
        <f t="shared" si="49"/>
        <v>5</v>
      </c>
      <c r="AL162" s="81" t="str">
        <f t="shared" si="59"/>
        <v>CRIT</v>
      </c>
      <c r="AM162" s="81">
        <f t="shared" si="60"/>
        <v>22</v>
      </c>
      <c r="AN162" s="99">
        <f t="shared" si="61"/>
        <v>42884</v>
      </c>
      <c r="AO162" s="99">
        <f t="shared" si="62"/>
        <v>42888</v>
      </c>
      <c r="AP162" s="99"/>
      <c r="AQ162" s="73"/>
      <c r="AR162" s="67"/>
      <c r="AS162" s="132"/>
    </row>
    <row r="163" spans="1:45" ht="20.25" customHeight="1" thickTop="1" thickBot="1" x14ac:dyDescent="0.3">
      <c r="A163" s="74" t="str">
        <f t="shared" ca="1" si="63"/>
        <v/>
      </c>
      <c r="B163" s="75" t="str">
        <f t="shared" ca="1" si="64"/>
        <v/>
      </c>
      <c r="C163" s="76" t="str">
        <f>IF(AND('Interimaire Juin  2017'!D169=$B$1,'Interimaire Juin  2017'!J169=$B$2),'Interimaire Juin  2017'!E169,"")</f>
        <v/>
      </c>
      <c r="D163" s="76" t="str">
        <f>IF(AND('Interimaire Juin  2017'!D169=$B$1,'Interimaire Juin  2017'!J169=$B$2),'Interimaire Juin  2017'!F169,"")</f>
        <v/>
      </c>
      <c r="E163" s="76" t="str">
        <f t="shared" si="52"/>
        <v/>
      </c>
      <c r="F163" s="76" t="str">
        <f t="array" aca="1" ref="F163" ca="1">IFERROR(INDEX(C:C,SMALL($E$2:$E$300,ROW(INDIRECT("155:"&amp;ROWS(C155:C453))))),"")</f>
        <v/>
      </c>
      <c r="G163" s="76" t="str">
        <f t="array" aca="1" ref="G163" ca="1">IFERROR(INDEX(D:D,SMALL($E$2:$E$300,ROW(INDIRECT("155:"&amp;ROWS(D155:D453))))),"")</f>
        <v/>
      </c>
      <c r="H163" s="82"/>
      <c r="I163" s="77">
        <v>7</v>
      </c>
      <c r="J163" s="78">
        <f t="shared" si="53"/>
        <v>1</v>
      </c>
      <c r="K163" s="82"/>
      <c r="L163" s="82"/>
      <c r="M163" s="80">
        <f t="shared" si="42"/>
        <v>1</v>
      </c>
      <c r="N163" s="77">
        <v>7</v>
      </c>
      <c r="O163" s="78">
        <f t="shared" si="54"/>
        <v>1</v>
      </c>
      <c r="P163" s="82"/>
      <c r="Q163" s="82"/>
      <c r="R163" s="80">
        <f t="shared" si="43"/>
        <v>1</v>
      </c>
      <c r="S163" s="77">
        <v>7</v>
      </c>
      <c r="T163" s="78">
        <f t="shared" si="55"/>
        <v>1</v>
      </c>
      <c r="U163" s="79"/>
      <c r="V163" s="79"/>
      <c r="W163" s="80">
        <f t="shared" si="44"/>
        <v>1</v>
      </c>
      <c r="X163" s="77">
        <v>7</v>
      </c>
      <c r="Y163" s="78">
        <f t="shared" si="56"/>
        <v>1</v>
      </c>
      <c r="Z163" s="79"/>
      <c r="AA163" s="79"/>
      <c r="AB163" s="80">
        <f t="shared" si="45"/>
        <v>1</v>
      </c>
      <c r="AC163" s="77">
        <v>7</v>
      </c>
      <c r="AD163" s="78">
        <f t="shared" si="57"/>
        <v>1</v>
      </c>
      <c r="AE163" s="79"/>
      <c r="AF163" s="79"/>
      <c r="AG163" s="80">
        <f t="shared" si="46"/>
        <v>1</v>
      </c>
      <c r="AH163" s="77">
        <f t="shared" si="47"/>
        <v>35</v>
      </c>
      <c r="AI163" s="79">
        <f t="shared" si="58"/>
        <v>0</v>
      </c>
      <c r="AJ163" s="79">
        <f t="shared" si="48"/>
        <v>0</v>
      </c>
      <c r="AK163" s="81">
        <f t="shared" si="49"/>
        <v>5</v>
      </c>
      <c r="AL163" s="81" t="str">
        <f t="shared" si="59"/>
        <v>CRIT</v>
      </c>
      <c r="AM163" s="81">
        <f t="shared" si="60"/>
        <v>22</v>
      </c>
      <c r="AN163" s="99">
        <f t="shared" si="61"/>
        <v>42884</v>
      </c>
      <c r="AO163" s="99">
        <f t="shared" si="62"/>
        <v>42888</v>
      </c>
      <c r="AP163" s="99"/>
      <c r="AQ163" s="73"/>
      <c r="AR163" s="67"/>
      <c r="AS163" s="132"/>
    </row>
    <row r="164" spans="1:45" ht="20.25" customHeight="1" thickTop="1" thickBot="1" x14ac:dyDescent="0.3">
      <c r="A164" s="74" t="str">
        <f t="shared" ca="1" si="63"/>
        <v/>
      </c>
      <c r="B164" s="75" t="str">
        <f t="shared" ca="1" si="64"/>
        <v/>
      </c>
      <c r="C164" s="76" t="str">
        <f>IF(AND('Interimaire Juin  2017'!D170=$B$1,'Interimaire Juin  2017'!J170=$B$2),'Interimaire Juin  2017'!E170,"")</f>
        <v/>
      </c>
      <c r="D164" s="76" t="str">
        <f>IF(AND('Interimaire Juin  2017'!D170=$B$1,'Interimaire Juin  2017'!J170=$B$2),'Interimaire Juin  2017'!F170,"")</f>
        <v/>
      </c>
      <c r="E164" s="76" t="str">
        <f t="shared" si="52"/>
        <v/>
      </c>
      <c r="F164" s="76" t="str">
        <f t="array" aca="1" ref="F164" ca="1">IFERROR(INDEX(C:C,SMALL($E$2:$E$300,ROW(INDIRECT("156:"&amp;ROWS(C156:C454))))),"")</f>
        <v/>
      </c>
      <c r="G164" s="76" t="str">
        <f t="array" aca="1" ref="G164" ca="1">IFERROR(INDEX(D:D,SMALL($E$2:$E$300,ROW(INDIRECT("156:"&amp;ROWS(D156:D454))))),"")</f>
        <v/>
      </c>
      <c r="H164" s="82"/>
      <c r="I164" s="77">
        <v>7</v>
      </c>
      <c r="J164" s="78">
        <f t="shared" si="53"/>
        <v>1</v>
      </c>
      <c r="K164" s="82"/>
      <c r="L164" s="82"/>
      <c r="M164" s="80">
        <f t="shared" si="42"/>
        <v>1</v>
      </c>
      <c r="N164" s="77">
        <v>7</v>
      </c>
      <c r="O164" s="78">
        <f t="shared" si="54"/>
        <v>1</v>
      </c>
      <c r="P164" s="82"/>
      <c r="Q164" s="82"/>
      <c r="R164" s="80">
        <f t="shared" si="43"/>
        <v>1</v>
      </c>
      <c r="S164" s="77">
        <v>7</v>
      </c>
      <c r="T164" s="78">
        <f t="shared" si="55"/>
        <v>1</v>
      </c>
      <c r="U164" s="79"/>
      <c r="V164" s="79"/>
      <c r="W164" s="80">
        <f t="shared" si="44"/>
        <v>1</v>
      </c>
      <c r="X164" s="77">
        <v>7</v>
      </c>
      <c r="Y164" s="78">
        <f t="shared" si="56"/>
        <v>1</v>
      </c>
      <c r="Z164" s="79"/>
      <c r="AA164" s="79"/>
      <c r="AB164" s="80">
        <f t="shared" si="45"/>
        <v>1</v>
      </c>
      <c r="AC164" s="77">
        <v>7</v>
      </c>
      <c r="AD164" s="78">
        <f t="shared" si="57"/>
        <v>1</v>
      </c>
      <c r="AE164" s="79"/>
      <c r="AF164" s="79"/>
      <c r="AG164" s="80">
        <f t="shared" si="46"/>
        <v>1</v>
      </c>
      <c r="AH164" s="77">
        <f t="shared" si="47"/>
        <v>35</v>
      </c>
      <c r="AI164" s="79">
        <f t="shared" si="58"/>
        <v>0</v>
      </c>
      <c r="AJ164" s="79">
        <f t="shared" si="48"/>
        <v>0</v>
      </c>
      <c r="AK164" s="81">
        <f t="shared" si="49"/>
        <v>5</v>
      </c>
      <c r="AL164" s="81" t="str">
        <f t="shared" si="59"/>
        <v>CRIT</v>
      </c>
      <c r="AM164" s="81">
        <f t="shared" si="60"/>
        <v>22</v>
      </c>
      <c r="AN164" s="99">
        <f t="shared" si="61"/>
        <v>42884</v>
      </c>
      <c r="AO164" s="99">
        <f t="shared" si="62"/>
        <v>42888</v>
      </c>
      <c r="AP164" s="99"/>
      <c r="AQ164" s="73"/>
      <c r="AR164" s="67"/>
      <c r="AS164" s="132"/>
    </row>
    <row r="165" spans="1:45" ht="20.25" customHeight="1" thickTop="1" thickBot="1" x14ac:dyDescent="0.3">
      <c r="A165" s="74" t="str">
        <f t="shared" ca="1" si="63"/>
        <v/>
      </c>
      <c r="B165" s="75" t="str">
        <f t="shared" ca="1" si="64"/>
        <v/>
      </c>
      <c r="C165" s="76" t="str">
        <f>IF(AND('Interimaire Juin  2017'!D171=$B$1,'Interimaire Juin  2017'!J171=$B$2),'Interimaire Juin  2017'!E171,"")</f>
        <v/>
      </c>
      <c r="D165" s="76" t="str">
        <f>IF(AND('Interimaire Juin  2017'!D171=$B$1,'Interimaire Juin  2017'!J171=$B$2),'Interimaire Juin  2017'!F171,"")</f>
        <v/>
      </c>
      <c r="E165" s="76" t="str">
        <f t="shared" si="52"/>
        <v/>
      </c>
      <c r="F165" s="76" t="str">
        <f t="array" aca="1" ref="F165" ca="1">IFERROR(INDEX(C:C,SMALL($E$2:$E$300,ROW(INDIRECT("157:"&amp;ROWS(C157:C455))))),"")</f>
        <v/>
      </c>
      <c r="G165" s="76" t="str">
        <f t="array" aca="1" ref="G165" ca="1">IFERROR(INDEX(D:D,SMALL($E$2:$E$300,ROW(INDIRECT("157:"&amp;ROWS(D157:D455))))),"")</f>
        <v/>
      </c>
      <c r="H165" s="82"/>
      <c r="I165" s="77">
        <v>7</v>
      </c>
      <c r="J165" s="78">
        <f t="shared" si="53"/>
        <v>1</v>
      </c>
      <c r="K165" s="82"/>
      <c r="L165" s="82"/>
      <c r="M165" s="80">
        <f t="shared" ref="M165:M228" si="65">+J165</f>
        <v>1</v>
      </c>
      <c r="N165" s="77">
        <v>7</v>
      </c>
      <c r="O165" s="78">
        <f t="shared" si="54"/>
        <v>1</v>
      </c>
      <c r="P165" s="82"/>
      <c r="Q165" s="82"/>
      <c r="R165" s="80">
        <f t="shared" ref="R165:R228" si="66">+O165</f>
        <v>1</v>
      </c>
      <c r="S165" s="77">
        <v>7</v>
      </c>
      <c r="T165" s="78">
        <f t="shared" si="55"/>
        <v>1</v>
      </c>
      <c r="U165" s="79"/>
      <c r="V165" s="79"/>
      <c r="W165" s="80">
        <f t="shared" ref="W165:W228" si="67">+T165</f>
        <v>1</v>
      </c>
      <c r="X165" s="77">
        <v>7</v>
      </c>
      <c r="Y165" s="78">
        <f t="shared" si="56"/>
        <v>1</v>
      </c>
      <c r="Z165" s="79"/>
      <c r="AA165" s="79"/>
      <c r="AB165" s="80">
        <f t="shared" ref="AB165:AB228" si="68">+Y165</f>
        <v>1</v>
      </c>
      <c r="AC165" s="77">
        <v>7</v>
      </c>
      <c r="AD165" s="78">
        <f t="shared" si="57"/>
        <v>1</v>
      </c>
      <c r="AE165" s="79"/>
      <c r="AF165" s="79"/>
      <c r="AG165" s="80">
        <f t="shared" ref="AG165:AG228" si="69">+AD165</f>
        <v>1</v>
      </c>
      <c r="AH165" s="77">
        <f t="shared" ref="AH165:AH228" si="70">I165+N165+S165+X165+AC165</f>
        <v>35</v>
      </c>
      <c r="AI165" s="79">
        <f t="shared" si="58"/>
        <v>0</v>
      </c>
      <c r="AJ165" s="79">
        <f t="shared" ref="AJ165:AJ228" si="71">+AF165+AA165+V165+Q165+L165</f>
        <v>0</v>
      </c>
      <c r="AK165" s="81">
        <f t="shared" ref="AK165:AK228" si="72">+AG165+AB165+W165+O165+J165</f>
        <v>5</v>
      </c>
      <c r="AL165" s="81" t="str">
        <f t="shared" si="59"/>
        <v>CRIT</v>
      </c>
      <c r="AM165" s="81">
        <f t="shared" si="60"/>
        <v>22</v>
      </c>
      <c r="AN165" s="99">
        <f t="shared" si="61"/>
        <v>42884</v>
      </c>
      <c r="AO165" s="99">
        <f t="shared" si="62"/>
        <v>42888</v>
      </c>
      <c r="AP165" s="99"/>
      <c r="AQ165" s="73"/>
      <c r="AR165" s="67"/>
      <c r="AS165" s="132"/>
    </row>
    <row r="166" spans="1:45" ht="20.25" customHeight="1" thickTop="1" thickBot="1" x14ac:dyDescent="0.3">
      <c r="A166" s="74" t="str">
        <f t="shared" ca="1" si="63"/>
        <v/>
      </c>
      <c r="B166" s="75" t="str">
        <f t="shared" ca="1" si="64"/>
        <v/>
      </c>
      <c r="C166" s="76" t="str">
        <f>IF(AND('Interimaire Juin  2017'!D172=$B$1,'Interimaire Juin  2017'!J172=$B$2),'Interimaire Juin  2017'!E172,"")</f>
        <v/>
      </c>
      <c r="D166" s="76" t="str">
        <f>IF(AND('Interimaire Juin  2017'!D172=$B$1,'Interimaire Juin  2017'!J172=$B$2),'Interimaire Juin  2017'!F172,"")</f>
        <v/>
      </c>
      <c r="E166" s="76" t="str">
        <f t="shared" si="52"/>
        <v/>
      </c>
      <c r="F166" s="76" t="str">
        <f t="array" aca="1" ref="F166" ca="1">IFERROR(INDEX(C:C,SMALL($E$2:$E$300,ROW(INDIRECT("158:"&amp;ROWS(C158:C456))))),"")</f>
        <v/>
      </c>
      <c r="G166" s="76" t="str">
        <f t="array" aca="1" ref="G166" ca="1">IFERROR(INDEX(D:D,SMALL($E$2:$E$300,ROW(INDIRECT("158:"&amp;ROWS(D158:D456))))),"")</f>
        <v/>
      </c>
      <c r="H166" s="82"/>
      <c r="I166" s="77">
        <v>7</v>
      </c>
      <c r="J166" s="78">
        <f t="shared" si="53"/>
        <v>1</v>
      </c>
      <c r="K166" s="82"/>
      <c r="L166" s="82"/>
      <c r="M166" s="80">
        <f t="shared" si="65"/>
        <v>1</v>
      </c>
      <c r="N166" s="77">
        <v>7</v>
      </c>
      <c r="O166" s="78">
        <f t="shared" si="54"/>
        <v>1</v>
      </c>
      <c r="P166" s="82"/>
      <c r="Q166" s="82"/>
      <c r="R166" s="80">
        <f t="shared" si="66"/>
        <v>1</v>
      </c>
      <c r="S166" s="77">
        <v>7</v>
      </c>
      <c r="T166" s="78">
        <f t="shared" si="55"/>
        <v>1</v>
      </c>
      <c r="U166" s="79"/>
      <c r="V166" s="79"/>
      <c r="W166" s="80">
        <f t="shared" si="67"/>
        <v>1</v>
      </c>
      <c r="X166" s="77">
        <v>7</v>
      </c>
      <c r="Y166" s="78">
        <f t="shared" si="56"/>
        <v>1</v>
      </c>
      <c r="Z166" s="79"/>
      <c r="AA166" s="79"/>
      <c r="AB166" s="80">
        <f t="shared" si="68"/>
        <v>1</v>
      </c>
      <c r="AC166" s="77">
        <v>7</v>
      </c>
      <c r="AD166" s="78">
        <f t="shared" si="57"/>
        <v>1</v>
      </c>
      <c r="AE166" s="79"/>
      <c r="AF166" s="79"/>
      <c r="AG166" s="80">
        <f t="shared" si="69"/>
        <v>1</v>
      </c>
      <c r="AH166" s="77">
        <f t="shared" si="70"/>
        <v>35</v>
      </c>
      <c r="AI166" s="79">
        <f t="shared" si="58"/>
        <v>0</v>
      </c>
      <c r="AJ166" s="79">
        <f t="shared" si="71"/>
        <v>0</v>
      </c>
      <c r="AK166" s="81">
        <f t="shared" si="72"/>
        <v>5</v>
      </c>
      <c r="AL166" s="81" t="str">
        <f t="shared" si="59"/>
        <v>CRIT</v>
      </c>
      <c r="AM166" s="81">
        <f t="shared" si="60"/>
        <v>22</v>
      </c>
      <c r="AN166" s="99">
        <f t="shared" si="61"/>
        <v>42884</v>
      </c>
      <c r="AO166" s="99">
        <f t="shared" si="62"/>
        <v>42888</v>
      </c>
      <c r="AP166" s="99"/>
      <c r="AQ166" s="73"/>
      <c r="AR166" s="67"/>
      <c r="AS166" s="132"/>
    </row>
    <row r="167" spans="1:45" ht="20.25" customHeight="1" thickTop="1" thickBot="1" x14ac:dyDescent="0.3">
      <c r="A167" s="74" t="str">
        <f t="shared" ca="1" si="63"/>
        <v/>
      </c>
      <c r="B167" s="75" t="str">
        <f t="shared" ca="1" si="64"/>
        <v/>
      </c>
      <c r="C167" s="76" t="str">
        <f>IF(AND('Interimaire Juin  2017'!D173=$B$1,'Interimaire Juin  2017'!J173=$B$2),'Interimaire Juin  2017'!E173,"")</f>
        <v/>
      </c>
      <c r="D167" s="76" t="str">
        <f>IF(AND('Interimaire Juin  2017'!D173=$B$1,'Interimaire Juin  2017'!J173=$B$2),'Interimaire Juin  2017'!F173,"")</f>
        <v/>
      </c>
      <c r="E167" s="76" t="str">
        <f t="shared" si="52"/>
        <v/>
      </c>
      <c r="F167" s="76" t="str">
        <f t="array" aca="1" ref="F167" ca="1">IFERROR(INDEX(C:C,SMALL($E$2:$E$300,ROW(INDIRECT("159:"&amp;ROWS(C159:C457))))),"")</f>
        <v/>
      </c>
      <c r="G167" s="76" t="str">
        <f t="array" aca="1" ref="G167" ca="1">IFERROR(INDEX(D:D,SMALL($E$2:$E$300,ROW(INDIRECT("159:"&amp;ROWS(D159:D457))))),"")</f>
        <v/>
      </c>
      <c r="H167" s="82"/>
      <c r="I167" s="77">
        <v>7</v>
      </c>
      <c r="J167" s="78">
        <f t="shared" si="53"/>
        <v>1</v>
      </c>
      <c r="K167" s="82"/>
      <c r="L167" s="82"/>
      <c r="M167" s="80">
        <f t="shared" si="65"/>
        <v>1</v>
      </c>
      <c r="N167" s="77">
        <v>7</v>
      </c>
      <c r="O167" s="78">
        <f t="shared" si="54"/>
        <v>1</v>
      </c>
      <c r="P167" s="82"/>
      <c r="Q167" s="82"/>
      <c r="R167" s="80">
        <f t="shared" si="66"/>
        <v>1</v>
      </c>
      <c r="S167" s="77">
        <v>7</v>
      </c>
      <c r="T167" s="78">
        <f t="shared" si="55"/>
        <v>1</v>
      </c>
      <c r="U167" s="79"/>
      <c r="V167" s="79"/>
      <c r="W167" s="80">
        <f t="shared" si="67"/>
        <v>1</v>
      </c>
      <c r="X167" s="77">
        <v>7</v>
      </c>
      <c r="Y167" s="78">
        <f t="shared" si="56"/>
        <v>1</v>
      </c>
      <c r="Z167" s="79"/>
      <c r="AA167" s="79"/>
      <c r="AB167" s="80">
        <f t="shared" si="68"/>
        <v>1</v>
      </c>
      <c r="AC167" s="77">
        <v>7</v>
      </c>
      <c r="AD167" s="78">
        <f t="shared" si="57"/>
        <v>1</v>
      </c>
      <c r="AE167" s="79"/>
      <c r="AF167" s="79"/>
      <c r="AG167" s="80">
        <f t="shared" si="69"/>
        <v>1</v>
      </c>
      <c r="AH167" s="77">
        <f t="shared" si="70"/>
        <v>35</v>
      </c>
      <c r="AI167" s="79">
        <f t="shared" si="58"/>
        <v>0</v>
      </c>
      <c r="AJ167" s="79">
        <f t="shared" si="71"/>
        <v>0</v>
      </c>
      <c r="AK167" s="81">
        <f t="shared" si="72"/>
        <v>5</v>
      </c>
      <c r="AL167" s="81" t="str">
        <f t="shared" si="59"/>
        <v>CRIT</v>
      </c>
      <c r="AM167" s="81">
        <f t="shared" si="60"/>
        <v>22</v>
      </c>
      <c r="AN167" s="99">
        <f t="shared" si="61"/>
        <v>42884</v>
      </c>
      <c r="AO167" s="99">
        <f t="shared" si="62"/>
        <v>42888</v>
      </c>
      <c r="AP167" s="99"/>
      <c r="AQ167" s="73"/>
      <c r="AR167" s="67"/>
      <c r="AS167" s="132"/>
    </row>
    <row r="168" spans="1:45" ht="20.25" customHeight="1" thickTop="1" thickBot="1" x14ac:dyDescent="0.3">
      <c r="A168" s="74" t="str">
        <f t="shared" ca="1" si="63"/>
        <v/>
      </c>
      <c r="B168" s="75" t="str">
        <f t="shared" ca="1" si="64"/>
        <v/>
      </c>
      <c r="C168" s="76" t="str">
        <f>IF(AND('Interimaire Juin  2017'!D174=$B$1,'Interimaire Juin  2017'!J174=$B$2),'Interimaire Juin  2017'!E174,"")</f>
        <v/>
      </c>
      <c r="D168" s="76" t="str">
        <f>IF(AND('Interimaire Juin  2017'!D174=$B$1,'Interimaire Juin  2017'!J174=$B$2),'Interimaire Juin  2017'!F174,"")</f>
        <v/>
      </c>
      <c r="E168" s="76" t="str">
        <f t="shared" si="52"/>
        <v/>
      </c>
      <c r="F168" s="76" t="str">
        <f t="array" aca="1" ref="F168" ca="1">IFERROR(INDEX(C:C,SMALL($E$2:$E$300,ROW(INDIRECT("160:"&amp;ROWS(C160:C458))))),"")</f>
        <v/>
      </c>
      <c r="G168" s="76" t="str">
        <f t="array" aca="1" ref="G168" ca="1">IFERROR(INDEX(D:D,SMALL($E$2:$E$300,ROW(INDIRECT("160:"&amp;ROWS(D160:D458))))),"")</f>
        <v/>
      </c>
      <c r="H168" s="82"/>
      <c r="I168" s="77">
        <v>7</v>
      </c>
      <c r="J168" s="78">
        <f t="shared" si="53"/>
        <v>1</v>
      </c>
      <c r="K168" s="82"/>
      <c r="L168" s="82"/>
      <c r="M168" s="80">
        <f t="shared" si="65"/>
        <v>1</v>
      </c>
      <c r="N168" s="77">
        <v>7</v>
      </c>
      <c r="O168" s="78">
        <f t="shared" si="54"/>
        <v>1</v>
      </c>
      <c r="P168" s="82"/>
      <c r="Q168" s="82"/>
      <c r="R168" s="80">
        <f t="shared" si="66"/>
        <v>1</v>
      </c>
      <c r="S168" s="77">
        <v>7</v>
      </c>
      <c r="T168" s="78">
        <f t="shared" si="55"/>
        <v>1</v>
      </c>
      <c r="U168" s="79"/>
      <c r="V168" s="79"/>
      <c r="W168" s="80">
        <f t="shared" si="67"/>
        <v>1</v>
      </c>
      <c r="X168" s="77">
        <v>7</v>
      </c>
      <c r="Y168" s="78">
        <f t="shared" si="56"/>
        <v>1</v>
      </c>
      <c r="Z168" s="79"/>
      <c r="AA168" s="79"/>
      <c r="AB168" s="80">
        <f t="shared" si="68"/>
        <v>1</v>
      </c>
      <c r="AC168" s="77">
        <v>7</v>
      </c>
      <c r="AD168" s="78">
        <f t="shared" si="57"/>
        <v>1</v>
      </c>
      <c r="AE168" s="79"/>
      <c r="AF168" s="79"/>
      <c r="AG168" s="80">
        <f t="shared" si="69"/>
        <v>1</v>
      </c>
      <c r="AH168" s="77">
        <f t="shared" si="70"/>
        <v>35</v>
      </c>
      <c r="AI168" s="79">
        <f t="shared" si="58"/>
        <v>0</v>
      </c>
      <c r="AJ168" s="79">
        <f t="shared" si="71"/>
        <v>0</v>
      </c>
      <c r="AK168" s="81">
        <f t="shared" si="72"/>
        <v>5</v>
      </c>
      <c r="AL168" s="81" t="str">
        <f t="shared" si="59"/>
        <v>CRIT</v>
      </c>
      <c r="AM168" s="81">
        <f t="shared" si="60"/>
        <v>22</v>
      </c>
      <c r="AN168" s="99">
        <f t="shared" si="61"/>
        <v>42884</v>
      </c>
      <c r="AO168" s="99">
        <f t="shared" si="62"/>
        <v>42888</v>
      </c>
      <c r="AP168" s="99"/>
      <c r="AQ168" s="73"/>
      <c r="AR168" s="67"/>
      <c r="AS168" s="132"/>
    </row>
    <row r="169" spans="1:45" ht="20.25" customHeight="1" thickTop="1" thickBot="1" x14ac:dyDescent="0.3">
      <c r="A169" s="74" t="str">
        <f t="shared" ca="1" si="63"/>
        <v/>
      </c>
      <c r="B169" s="75" t="str">
        <f t="shared" ca="1" si="64"/>
        <v/>
      </c>
      <c r="C169" s="76" t="str">
        <f>IF(AND('Interimaire Juin  2017'!D175=$B$1,'Interimaire Juin  2017'!J175=$B$2),'Interimaire Juin  2017'!E175,"")</f>
        <v/>
      </c>
      <c r="D169" s="76" t="str">
        <f>IF(AND('Interimaire Juin  2017'!D175=$B$1,'Interimaire Juin  2017'!J175=$B$2),'Interimaire Juin  2017'!F175,"")</f>
        <v/>
      </c>
      <c r="E169" s="76" t="str">
        <f t="shared" si="52"/>
        <v/>
      </c>
      <c r="F169" s="76" t="str">
        <f t="array" aca="1" ref="F169" ca="1">IFERROR(INDEX(C:C,SMALL($E$2:$E$300,ROW(INDIRECT("161:"&amp;ROWS(C161:C459))))),"")</f>
        <v/>
      </c>
      <c r="G169" s="76" t="str">
        <f t="array" aca="1" ref="G169" ca="1">IFERROR(INDEX(D:D,SMALL($E$2:$E$300,ROW(INDIRECT("161:"&amp;ROWS(D161:D459))))),"")</f>
        <v/>
      </c>
      <c r="H169" s="82"/>
      <c r="I169" s="77">
        <v>7</v>
      </c>
      <c r="J169" s="78">
        <f t="shared" si="53"/>
        <v>1</v>
      </c>
      <c r="K169" s="82"/>
      <c r="L169" s="82"/>
      <c r="M169" s="80">
        <f t="shared" si="65"/>
        <v>1</v>
      </c>
      <c r="N169" s="77">
        <v>7</v>
      </c>
      <c r="O169" s="78">
        <f t="shared" si="54"/>
        <v>1</v>
      </c>
      <c r="P169" s="82"/>
      <c r="Q169" s="82"/>
      <c r="R169" s="80">
        <f t="shared" si="66"/>
        <v>1</v>
      </c>
      <c r="S169" s="77">
        <v>7</v>
      </c>
      <c r="T169" s="78">
        <f t="shared" si="55"/>
        <v>1</v>
      </c>
      <c r="U169" s="79"/>
      <c r="V169" s="79"/>
      <c r="W169" s="80">
        <f t="shared" si="67"/>
        <v>1</v>
      </c>
      <c r="X169" s="77">
        <v>7</v>
      </c>
      <c r="Y169" s="78">
        <f t="shared" si="56"/>
        <v>1</v>
      </c>
      <c r="Z169" s="79"/>
      <c r="AA169" s="79"/>
      <c r="AB169" s="80">
        <f t="shared" si="68"/>
        <v>1</v>
      </c>
      <c r="AC169" s="77">
        <v>7</v>
      </c>
      <c r="AD169" s="78">
        <f t="shared" si="57"/>
        <v>1</v>
      </c>
      <c r="AE169" s="79"/>
      <c r="AF169" s="79"/>
      <c r="AG169" s="80">
        <f t="shared" si="69"/>
        <v>1</v>
      </c>
      <c r="AH169" s="77">
        <f t="shared" si="70"/>
        <v>35</v>
      </c>
      <c r="AI169" s="79">
        <f t="shared" si="58"/>
        <v>0</v>
      </c>
      <c r="AJ169" s="79">
        <f t="shared" si="71"/>
        <v>0</v>
      </c>
      <c r="AK169" s="81">
        <f t="shared" si="72"/>
        <v>5</v>
      </c>
      <c r="AL169" s="81" t="str">
        <f t="shared" si="59"/>
        <v>CRIT</v>
      </c>
      <c r="AM169" s="81">
        <f t="shared" si="60"/>
        <v>22</v>
      </c>
      <c r="AN169" s="99">
        <f t="shared" si="61"/>
        <v>42884</v>
      </c>
      <c r="AO169" s="99">
        <f t="shared" si="62"/>
        <v>42888</v>
      </c>
      <c r="AP169" s="99"/>
      <c r="AQ169" s="73"/>
      <c r="AR169" s="67"/>
      <c r="AS169" s="132"/>
    </row>
    <row r="170" spans="1:45" ht="20.25" customHeight="1" thickTop="1" thickBot="1" x14ac:dyDescent="0.3">
      <c r="A170" s="74" t="str">
        <f t="shared" ca="1" si="63"/>
        <v/>
      </c>
      <c r="B170" s="75" t="str">
        <f t="shared" ca="1" si="64"/>
        <v/>
      </c>
      <c r="C170" s="76" t="str">
        <f>IF(AND('Interimaire Juin  2017'!D176=$B$1,'Interimaire Juin  2017'!J176=$B$2),'Interimaire Juin  2017'!E176,"")</f>
        <v/>
      </c>
      <c r="D170" s="76" t="str">
        <f>IF(AND('Interimaire Juin  2017'!D176=$B$1,'Interimaire Juin  2017'!J176=$B$2),'Interimaire Juin  2017'!F176,"")</f>
        <v/>
      </c>
      <c r="E170" s="76" t="str">
        <f t="shared" si="52"/>
        <v/>
      </c>
      <c r="F170" s="76" t="str">
        <f t="array" aca="1" ref="F170" ca="1">IFERROR(INDEX(C:C,SMALL($E$2:$E$300,ROW(INDIRECT("162:"&amp;ROWS(C162:C460))))),"")</f>
        <v/>
      </c>
      <c r="G170" s="76" t="str">
        <f t="array" aca="1" ref="G170" ca="1">IFERROR(INDEX(D:D,SMALL($E$2:$E$300,ROW(INDIRECT("162:"&amp;ROWS(D162:D460))))),"")</f>
        <v/>
      </c>
      <c r="H170" s="82"/>
      <c r="I170" s="77">
        <v>7</v>
      </c>
      <c r="J170" s="78">
        <f t="shared" si="53"/>
        <v>1</v>
      </c>
      <c r="K170" s="82"/>
      <c r="L170" s="82"/>
      <c r="M170" s="80">
        <f t="shared" si="65"/>
        <v>1</v>
      </c>
      <c r="N170" s="77">
        <v>7</v>
      </c>
      <c r="O170" s="78">
        <f t="shared" si="54"/>
        <v>1</v>
      </c>
      <c r="P170" s="82"/>
      <c r="Q170" s="82"/>
      <c r="R170" s="80">
        <f t="shared" si="66"/>
        <v>1</v>
      </c>
      <c r="S170" s="77">
        <v>7</v>
      </c>
      <c r="T170" s="78">
        <f t="shared" si="55"/>
        <v>1</v>
      </c>
      <c r="U170" s="79"/>
      <c r="V170" s="79"/>
      <c r="W170" s="80">
        <f t="shared" si="67"/>
        <v>1</v>
      </c>
      <c r="X170" s="77">
        <v>7</v>
      </c>
      <c r="Y170" s="78">
        <f t="shared" si="56"/>
        <v>1</v>
      </c>
      <c r="Z170" s="79"/>
      <c r="AA170" s="79"/>
      <c r="AB170" s="80">
        <f t="shared" si="68"/>
        <v>1</v>
      </c>
      <c r="AC170" s="77">
        <v>7</v>
      </c>
      <c r="AD170" s="78">
        <f t="shared" si="57"/>
        <v>1</v>
      </c>
      <c r="AE170" s="79"/>
      <c r="AF170" s="79"/>
      <c r="AG170" s="80">
        <f t="shared" si="69"/>
        <v>1</v>
      </c>
      <c r="AH170" s="77">
        <f t="shared" si="70"/>
        <v>35</v>
      </c>
      <c r="AI170" s="79">
        <f t="shared" si="58"/>
        <v>0</v>
      </c>
      <c r="AJ170" s="79">
        <f t="shared" si="71"/>
        <v>0</v>
      </c>
      <c r="AK170" s="81">
        <f t="shared" si="72"/>
        <v>5</v>
      </c>
      <c r="AL170" s="81" t="str">
        <f t="shared" si="59"/>
        <v>CRIT</v>
      </c>
      <c r="AM170" s="81">
        <f t="shared" si="60"/>
        <v>22</v>
      </c>
      <c r="AN170" s="99">
        <f t="shared" si="61"/>
        <v>42884</v>
      </c>
      <c r="AO170" s="99">
        <f t="shared" si="62"/>
        <v>42888</v>
      </c>
      <c r="AP170" s="99"/>
      <c r="AQ170" s="73"/>
      <c r="AR170" s="67"/>
      <c r="AS170" s="132"/>
    </row>
    <row r="171" spans="1:45" ht="20.25" customHeight="1" thickTop="1" thickBot="1" x14ac:dyDescent="0.3">
      <c r="A171" s="74" t="str">
        <f t="shared" ca="1" si="63"/>
        <v/>
      </c>
      <c r="B171" s="75" t="str">
        <f t="shared" ca="1" si="64"/>
        <v/>
      </c>
      <c r="C171" s="76" t="str">
        <f>IF(AND('Interimaire Juin  2017'!D177=$B$1,'Interimaire Juin  2017'!J177=$B$2),'Interimaire Juin  2017'!E177,"")</f>
        <v/>
      </c>
      <c r="D171" s="76" t="str">
        <f>IF(AND('Interimaire Juin  2017'!D177=$B$1,'Interimaire Juin  2017'!J177=$B$2),'Interimaire Juin  2017'!F177,"")</f>
        <v/>
      </c>
      <c r="E171" s="76" t="str">
        <f t="shared" si="52"/>
        <v/>
      </c>
      <c r="F171" s="76" t="str">
        <f t="array" aca="1" ref="F171" ca="1">IFERROR(INDEX(C:C,SMALL($E$2:$E$300,ROW(INDIRECT("163:"&amp;ROWS(C163:C461))))),"")</f>
        <v/>
      </c>
      <c r="G171" s="76" t="str">
        <f t="array" aca="1" ref="G171" ca="1">IFERROR(INDEX(D:D,SMALL($E$2:$E$300,ROW(INDIRECT("163:"&amp;ROWS(D163:D461))))),"")</f>
        <v/>
      </c>
      <c r="H171" s="82"/>
      <c r="I171" s="77">
        <v>7</v>
      </c>
      <c r="J171" s="78">
        <f t="shared" si="53"/>
        <v>1</v>
      </c>
      <c r="K171" s="82"/>
      <c r="L171" s="82"/>
      <c r="M171" s="80">
        <f t="shared" si="65"/>
        <v>1</v>
      </c>
      <c r="N171" s="77">
        <v>7</v>
      </c>
      <c r="O171" s="78">
        <f t="shared" si="54"/>
        <v>1</v>
      </c>
      <c r="P171" s="82"/>
      <c r="Q171" s="82"/>
      <c r="R171" s="80">
        <f t="shared" si="66"/>
        <v>1</v>
      </c>
      <c r="S171" s="77">
        <v>7</v>
      </c>
      <c r="T171" s="78">
        <f t="shared" si="55"/>
        <v>1</v>
      </c>
      <c r="U171" s="79"/>
      <c r="V171" s="79"/>
      <c r="W171" s="80">
        <f t="shared" si="67"/>
        <v>1</v>
      </c>
      <c r="X171" s="77">
        <v>7</v>
      </c>
      <c r="Y171" s="78">
        <f t="shared" si="56"/>
        <v>1</v>
      </c>
      <c r="Z171" s="79"/>
      <c r="AA171" s="79"/>
      <c r="AB171" s="80">
        <f t="shared" si="68"/>
        <v>1</v>
      </c>
      <c r="AC171" s="77">
        <v>7</v>
      </c>
      <c r="AD171" s="78">
        <f t="shared" si="57"/>
        <v>1</v>
      </c>
      <c r="AE171" s="79"/>
      <c r="AF171" s="79"/>
      <c r="AG171" s="80">
        <f t="shared" si="69"/>
        <v>1</v>
      </c>
      <c r="AH171" s="77">
        <f t="shared" si="70"/>
        <v>35</v>
      </c>
      <c r="AI171" s="79">
        <f t="shared" si="58"/>
        <v>0</v>
      </c>
      <c r="AJ171" s="79">
        <f t="shared" si="71"/>
        <v>0</v>
      </c>
      <c r="AK171" s="81">
        <f t="shared" si="72"/>
        <v>5</v>
      </c>
      <c r="AL171" s="81" t="str">
        <f t="shared" si="59"/>
        <v>CRIT</v>
      </c>
      <c r="AM171" s="81">
        <f t="shared" si="60"/>
        <v>22</v>
      </c>
      <c r="AN171" s="99">
        <f t="shared" si="61"/>
        <v>42884</v>
      </c>
      <c r="AO171" s="99">
        <f t="shared" si="62"/>
        <v>42888</v>
      </c>
      <c r="AP171" s="99"/>
      <c r="AQ171" s="73"/>
      <c r="AR171" s="67"/>
      <c r="AS171" s="132"/>
    </row>
    <row r="172" spans="1:45" ht="20.25" customHeight="1" thickTop="1" thickBot="1" x14ac:dyDescent="0.3">
      <c r="A172" s="74" t="str">
        <f t="shared" ca="1" si="63"/>
        <v/>
      </c>
      <c r="B172" s="75" t="str">
        <f t="shared" ca="1" si="64"/>
        <v/>
      </c>
      <c r="C172" s="76" t="str">
        <f>IF(AND('Interimaire Juin  2017'!D178=$B$1,'Interimaire Juin  2017'!J178=$B$2),'Interimaire Juin  2017'!E178,"")</f>
        <v/>
      </c>
      <c r="D172" s="76" t="str">
        <f>IF(AND('Interimaire Juin  2017'!D178=$B$1,'Interimaire Juin  2017'!J178=$B$2),'Interimaire Juin  2017'!F178,"")</f>
        <v/>
      </c>
      <c r="E172" s="76" t="str">
        <f t="shared" si="52"/>
        <v/>
      </c>
      <c r="F172" s="76" t="str">
        <f t="array" aca="1" ref="F172" ca="1">IFERROR(INDEX(C:C,SMALL($E$2:$E$300,ROW(INDIRECT("164:"&amp;ROWS(C164:C462))))),"")</f>
        <v/>
      </c>
      <c r="G172" s="76" t="str">
        <f t="array" aca="1" ref="G172" ca="1">IFERROR(INDEX(D:D,SMALL($E$2:$E$300,ROW(INDIRECT("164:"&amp;ROWS(D164:D462))))),"")</f>
        <v/>
      </c>
      <c r="H172" s="82"/>
      <c r="I172" s="77">
        <v>7</v>
      </c>
      <c r="J172" s="78">
        <f t="shared" si="53"/>
        <v>1</v>
      </c>
      <c r="K172" s="82"/>
      <c r="L172" s="82"/>
      <c r="M172" s="80">
        <f t="shared" si="65"/>
        <v>1</v>
      </c>
      <c r="N172" s="77">
        <v>7</v>
      </c>
      <c r="O172" s="78">
        <f t="shared" si="54"/>
        <v>1</v>
      </c>
      <c r="P172" s="82"/>
      <c r="Q172" s="82"/>
      <c r="R172" s="80">
        <f t="shared" si="66"/>
        <v>1</v>
      </c>
      <c r="S172" s="77">
        <v>7</v>
      </c>
      <c r="T172" s="78">
        <f t="shared" si="55"/>
        <v>1</v>
      </c>
      <c r="U172" s="79"/>
      <c r="V172" s="79"/>
      <c r="W172" s="80">
        <f t="shared" si="67"/>
        <v>1</v>
      </c>
      <c r="X172" s="77">
        <v>7</v>
      </c>
      <c r="Y172" s="78">
        <f t="shared" si="56"/>
        <v>1</v>
      </c>
      <c r="Z172" s="79"/>
      <c r="AA172" s="79"/>
      <c r="AB172" s="80">
        <f t="shared" si="68"/>
        <v>1</v>
      </c>
      <c r="AC172" s="77">
        <v>7</v>
      </c>
      <c r="AD172" s="78">
        <f t="shared" si="57"/>
        <v>1</v>
      </c>
      <c r="AE172" s="79"/>
      <c r="AF172" s="79"/>
      <c r="AG172" s="80">
        <f t="shared" si="69"/>
        <v>1</v>
      </c>
      <c r="AH172" s="77">
        <f t="shared" si="70"/>
        <v>35</v>
      </c>
      <c r="AI172" s="79">
        <f t="shared" si="58"/>
        <v>0</v>
      </c>
      <c r="AJ172" s="79">
        <f t="shared" si="71"/>
        <v>0</v>
      </c>
      <c r="AK172" s="81">
        <f t="shared" si="72"/>
        <v>5</v>
      </c>
      <c r="AL172" s="81" t="str">
        <f t="shared" si="59"/>
        <v>CRIT</v>
      </c>
      <c r="AM172" s="81">
        <f t="shared" si="60"/>
        <v>22</v>
      </c>
      <c r="AN172" s="99">
        <f t="shared" si="61"/>
        <v>42884</v>
      </c>
      <c r="AO172" s="99">
        <f t="shared" si="62"/>
        <v>42888</v>
      </c>
      <c r="AP172" s="99"/>
      <c r="AQ172" s="73"/>
      <c r="AR172" s="67"/>
      <c r="AS172" s="132"/>
    </row>
    <row r="173" spans="1:45" ht="20.25" customHeight="1" thickTop="1" thickBot="1" x14ac:dyDescent="0.3">
      <c r="A173" s="74" t="str">
        <f t="shared" ca="1" si="63"/>
        <v/>
      </c>
      <c r="B173" s="75" t="str">
        <f t="shared" ca="1" si="64"/>
        <v/>
      </c>
      <c r="C173" s="76" t="str">
        <f>IF(AND('Interimaire Juin  2017'!D179=$B$1,'Interimaire Juin  2017'!J179=$B$2),'Interimaire Juin  2017'!E179,"")</f>
        <v/>
      </c>
      <c r="D173" s="76" t="str">
        <f>IF(AND('Interimaire Juin  2017'!D179=$B$1,'Interimaire Juin  2017'!J179=$B$2),'Interimaire Juin  2017'!F179,"")</f>
        <v/>
      </c>
      <c r="E173" s="76" t="str">
        <f t="shared" si="52"/>
        <v/>
      </c>
      <c r="F173" s="76" t="str">
        <f t="array" aca="1" ref="F173" ca="1">IFERROR(INDEX(C:C,SMALL($E$2:$E$300,ROW(INDIRECT("165:"&amp;ROWS(C165:C463))))),"")</f>
        <v/>
      </c>
      <c r="G173" s="76" t="str">
        <f t="array" aca="1" ref="G173" ca="1">IFERROR(INDEX(D:D,SMALL($E$2:$E$300,ROW(INDIRECT("165:"&amp;ROWS(D165:D463))))),"")</f>
        <v/>
      </c>
      <c r="H173" s="82"/>
      <c r="I173" s="77">
        <v>7</v>
      </c>
      <c r="J173" s="78">
        <f t="shared" si="53"/>
        <v>1</v>
      </c>
      <c r="K173" s="82"/>
      <c r="L173" s="82"/>
      <c r="M173" s="80">
        <f t="shared" si="65"/>
        <v>1</v>
      </c>
      <c r="N173" s="77">
        <v>7</v>
      </c>
      <c r="O173" s="78">
        <f t="shared" si="54"/>
        <v>1</v>
      </c>
      <c r="P173" s="82"/>
      <c r="Q173" s="82"/>
      <c r="R173" s="80">
        <f t="shared" si="66"/>
        <v>1</v>
      </c>
      <c r="S173" s="77">
        <v>7</v>
      </c>
      <c r="T173" s="78">
        <f t="shared" si="55"/>
        <v>1</v>
      </c>
      <c r="U173" s="79"/>
      <c r="V173" s="79"/>
      <c r="W173" s="80">
        <f t="shared" si="67"/>
        <v>1</v>
      </c>
      <c r="X173" s="77">
        <v>7</v>
      </c>
      <c r="Y173" s="78">
        <f t="shared" si="56"/>
        <v>1</v>
      </c>
      <c r="Z173" s="79"/>
      <c r="AA173" s="79"/>
      <c r="AB173" s="80">
        <f t="shared" si="68"/>
        <v>1</v>
      </c>
      <c r="AC173" s="77">
        <v>7</v>
      </c>
      <c r="AD173" s="78">
        <f t="shared" si="57"/>
        <v>1</v>
      </c>
      <c r="AE173" s="79"/>
      <c r="AF173" s="79"/>
      <c r="AG173" s="80">
        <f t="shared" si="69"/>
        <v>1</v>
      </c>
      <c r="AH173" s="77">
        <f t="shared" si="70"/>
        <v>35</v>
      </c>
      <c r="AI173" s="79">
        <f t="shared" si="58"/>
        <v>0</v>
      </c>
      <c r="AJ173" s="79">
        <f t="shared" si="71"/>
        <v>0</v>
      </c>
      <c r="AK173" s="81">
        <f t="shared" si="72"/>
        <v>5</v>
      </c>
      <c r="AL173" s="81" t="str">
        <f t="shared" si="59"/>
        <v>CRIT</v>
      </c>
      <c r="AM173" s="81">
        <f t="shared" si="60"/>
        <v>22</v>
      </c>
      <c r="AN173" s="99">
        <f t="shared" si="61"/>
        <v>42884</v>
      </c>
      <c r="AO173" s="99">
        <f t="shared" si="62"/>
        <v>42888</v>
      </c>
      <c r="AP173" s="99"/>
      <c r="AQ173" s="73"/>
      <c r="AR173" s="67"/>
      <c r="AS173" s="132"/>
    </row>
    <row r="174" spans="1:45" ht="20.25" customHeight="1" thickTop="1" thickBot="1" x14ac:dyDescent="0.3">
      <c r="A174" s="74" t="str">
        <f t="shared" ca="1" si="63"/>
        <v/>
      </c>
      <c r="B174" s="75" t="str">
        <f t="shared" ca="1" si="64"/>
        <v/>
      </c>
      <c r="C174" s="76" t="str">
        <f>IF(AND('Interimaire Juin  2017'!D180=$B$1,'Interimaire Juin  2017'!J180=$B$2),'Interimaire Juin  2017'!E180,"")</f>
        <v/>
      </c>
      <c r="D174" s="76" t="str">
        <f>IF(AND('Interimaire Juin  2017'!D180=$B$1,'Interimaire Juin  2017'!J180=$B$2),'Interimaire Juin  2017'!F180,"")</f>
        <v/>
      </c>
      <c r="E174" s="76" t="str">
        <f t="shared" si="52"/>
        <v/>
      </c>
      <c r="F174" s="76" t="str">
        <f t="array" aca="1" ref="F174" ca="1">IFERROR(INDEX(C:C,SMALL($E$2:$E$300,ROW(INDIRECT("166:"&amp;ROWS(C166:C464))))),"")</f>
        <v/>
      </c>
      <c r="G174" s="76" t="str">
        <f t="array" aca="1" ref="G174" ca="1">IFERROR(INDEX(D:D,SMALL($E$2:$E$300,ROW(INDIRECT("166:"&amp;ROWS(D166:D464))))),"")</f>
        <v/>
      </c>
      <c r="H174" s="82"/>
      <c r="I174" s="77">
        <v>7</v>
      </c>
      <c r="J174" s="78">
        <f t="shared" si="53"/>
        <v>1</v>
      </c>
      <c r="K174" s="82"/>
      <c r="L174" s="82"/>
      <c r="M174" s="80">
        <f t="shared" si="65"/>
        <v>1</v>
      </c>
      <c r="N174" s="77">
        <v>7</v>
      </c>
      <c r="O174" s="78">
        <f t="shared" si="54"/>
        <v>1</v>
      </c>
      <c r="P174" s="82"/>
      <c r="Q174" s="82"/>
      <c r="R174" s="80">
        <f t="shared" si="66"/>
        <v>1</v>
      </c>
      <c r="S174" s="77">
        <v>7</v>
      </c>
      <c r="T174" s="78">
        <f t="shared" si="55"/>
        <v>1</v>
      </c>
      <c r="U174" s="79"/>
      <c r="V174" s="79"/>
      <c r="W174" s="80">
        <f t="shared" si="67"/>
        <v>1</v>
      </c>
      <c r="X174" s="77">
        <v>7</v>
      </c>
      <c r="Y174" s="78">
        <f t="shared" si="56"/>
        <v>1</v>
      </c>
      <c r="Z174" s="79"/>
      <c r="AA174" s="79"/>
      <c r="AB174" s="80">
        <f t="shared" si="68"/>
        <v>1</v>
      </c>
      <c r="AC174" s="77">
        <v>7</v>
      </c>
      <c r="AD174" s="78">
        <f t="shared" si="57"/>
        <v>1</v>
      </c>
      <c r="AE174" s="79"/>
      <c r="AF174" s="79"/>
      <c r="AG174" s="80">
        <f t="shared" si="69"/>
        <v>1</v>
      </c>
      <c r="AH174" s="77">
        <f t="shared" si="70"/>
        <v>35</v>
      </c>
      <c r="AI174" s="79">
        <f t="shared" si="58"/>
        <v>0</v>
      </c>
      <c r="AJ174" s="79">
        <f t="shared" si="71"/>
        <v>0</v>
      </c>
      <c r="AK174" s="81">
        <f t="shared" si="72"/>
        <v>5</v>
      </c>
      <c r="AL174" s="81" t="str">
        <f t="shared" si="59"/>
        <v>CRIT</v>
      </c>
      <c r="AM174" s="81">
        <f t="shared" si="60"/>
        <v>22</v>
      </c>
      <c r="AN174" s="99">
        <f t="shared" si="61"/>
        <v>42884</v>
      </c>
      <c r="AO174" s="99">
        <f t="shared" si="62"/>
        <v>42888</v>
      </c>
      <c r="AP174" s="99"/>
      <c r="AQ174" s="73"/>
      <c r="AR174" s="67"/>
      <c r="AS174" s="132"/>
    </row>
    <row r="175" spans="1:45" ht="20.25" customHeight="1" thickTop="1" thickBot="1" x14ac:dyDescent="0.3">
      <c r="A175" s="74" t="str">
        <f t="shared" ca="1" si="63"/>
        <v/>
      </c>
      <c r="B175" s="75" t="str">
        <f t="shared" ca="1" si="64"/>
        <v/>
      </c>
      <c r="C175" s="76" t="str">
        <f>IF(AND('Interimaire Juin  2017'!D181=$B$1,'Interimaire Juin  2017'!J181=$B$2),'Interimaire Juin  2017'!E181,"")</f>
        <v/>
      </c>
      <c r="D175" s="76" t="str">
        <f>IF(AND('Interimaire Juin  2017'!D181=$B$1,'Interimaire Juin  2017'!J181=$B$2),'Interimaire Juin  2017'!F181,"")</f>
        <v/>
      </c>
      <c r="E175" s="76" t="str">
        <f t="shared" si="52"/>
        <v/>
      </c>
      <c r="F175" s="76" t="str">
        <f t="array" aca="1" ref="F175" ca="1">IFERROR(INDEX(C:C,SMALL($E$2:$E$300,ROW(INDIRECT("167:"&amp;ROWS(C167:C465))))),"")</f>
        <v/>
      </c>
      <c r="G175" s="76" t="str">
        <f t="array" aca="1" ref="G175" ca="1">IFERROR(INDEX(D:D,SMALL($E$2:$E$300,ROW(INDIRECT("167:"&amp;ROWS(D167:D465))))),"")</f>
        <v/>
      </c>
      <c r="H175" s="82"/>
      <c r="I175" s="77">
        <v>7</v>
      </c>
      <c r="J175" s="78">
        <f t="shared" si="53"/>
        <v>1</v>
      </c>
      <c r="K175" s="82"/>
      <c r="L175" s="82"/>
      <c r="M175" s="80">
        <f t="shared" si="65"/>
        <v>1</v>
      </c>
      <c r="N175" s="77">
        <v>7</v>
      </c>
      <c r="O175" s="78">
        <f t="shared" si="54"/>
        <v>1</v>
      </c>
      <c r="P175" s="82"/>
      <c r="Q175" s="82"/>
      <c r="R175" s="80">
        <f t="shared" si="66"/>
        <v>1</v>
      </c>
      <c r="S175" s="77">
        <v>7</v>
      </c>
      <c r="T175" s="78">
        <f t="shared" si="55"/>
        <v>1</v>
      </c>
      <c r="U175" s="79"/>
      <c r="V175" s="79"/>
      <c r="W175" s="80">
        <f t="shared" si="67"/>
        <v>1</v>
      </c>
      <c r="X175" s="77">
        <v>7</v>
      </c>
      <c r="Y175" s="78">
        <f t="shared" si="56"/>
        <v>1</v>
      </c>
      <c r="Z175" s="79"/>
      <c r="AA175" s="79"/>
      <c r="AB175" s="80">
        <f t="shared" si="68"/>
        <v>1</v>
      </c>
      <c r="AC175" s="77">
        <v>7</v>
      </c>
      <c r="AD175" s="78">
        <f t="shared" si="57"/>
        <v>1</v>
      </c>
      <c r="AE175" s="79"/>
      <c r="AF175" s="79"/>
      <c r="AG175" s="80">
        <f t="shared" si="69"/>
        <v>1</v>
      </c>
      <c r="AH175" s="77">
        <f t="shared" si="70"/>
        <v>35</v>
      </c>
      <c r="AI175" s="79">
        <f t="shared" si="58"/>
        <v>0</v>
      </c>
      <c r="AJ175" s="79">
        <f t="shared" si="71"/>
        <v>0</v>
      </c>
      <c r="AK175" s="81">
        <f t="shared" si="72"/>
        <v>5</v>
      </c>
      <c r="AL175" s="81" t="str">
        <f t="shared" si="59"/>
        <v>CRIT</v>
      </c>
      <c r="AM175" s="81">
        <f t="shared" si="60"/>
        <v>22</v>
      </c>
      <c r="AN175" s="99">
        <f t="shared" si="61"/>
        <v>42884</v>
      </c>
      <c r="AO175" s="99">
        <f t="shared" si="62"/>
        <v>42888</v>
      </c>
      <c r="AP175" s="99"/>
      <c r="AQ175" s="73"/>
      <c r="AR175" s="67"/>
      <c r="AS175" s="132"/>
    </row>
    <row r="176" spans="1:45" ht="20.25" customHeight="1" thickTop="1" thickBot="1" x14ac:dyDescent="0.3">
      <c r="A176" s="74" t="str">
        <f t="shared" ca="1" si="63"/>
        <v/>
      </c>
      <c r="B176" s="75" t="str">
        <f t="shared" ca="1" si="64"/>
        <v/>
      </c>
      <c r="C176" s="76" t="str">
        <f>IF(AND('Interimaire Juin  2017'!D182=$B$1,'Interimaire Juin  2017'!J182=$B$2),'Interimaire Juin  2017'!E182,"")</f>
        <v/>
      </c>
      <c r="D176" s="76" t="str">
        <f>IF(AND('Interimaire Juin  2017'!D182=$B$1,'Interimaire Juin  2017'!J182=$B$2),'Interimaire Juin  2017'!F182,"")</f>
        <v/>
      </c>
      <c r="E176" s="76" t="str">
        <f t="shared" si="52"/>
        <v/>
      </c>
      <c r="F176" s="76" t="str">
        <f t="array" aca="1" ref="F176" ca="1">IFERROR(INDEX(C:C,SMALL($E$2:$E$300,ROW(INDIRECT("168:"&amp;ROWS(C168:C466))))),"")</f>
        <v/>
      </c>
      <c r="G176" s="76" t="str">
        <f t="array" aca="1" ref="G176" ca="1">IFERROR(INDEX(D:D,SMALL($E$2:$E$300,ROW(INDIRECT("168:"&amp;ROWS(D168:D466))))),"")</f>
        <v/>
      </c>
      <c r="H176" s="82"/>
      <c r="I176" s="77">
        <v>7</v>
      </c>
      <c r="J176" s="78">
        <f t="shared" si="53"/>
        <v>1</v>
      </c>
      <c r="K176" s="82"/>
      <c r="L176" s="82"/>
      <c r="M176" s="80">
        <f t="shared" si="65"/>
        <v>1</v>
      </c>
      <c r="N176" s="77">
        <v>7</v>
      </c>
      <c r="O176" s="78">
        <f t="shared" si="54"/>
        <v>1</v>
      </c>
      <c r="P176" s="82"/>
      <c r="Q176" s="82"/>
      <c r="R176" s="80">
        <f t="shared" si="66"/>
        <v>1</v>
      </c>
      <c r="S176" s="77">
        <v>7</v>
      </c>
      <c r="T176" s="78">
        <f t="shared" si="55"/>
        <v>1</v>
      </c>
      <c r="U176" s="79"/>
      <c r="V176" s="79"/>
      <c r="W176" s="80">
        <f t="shared" si="67"/>
        <v>1</v>
      </c>
      <c r="X176" s="77">
        <v>7</v>
      </c>
      <c r="Y176" s="78">
        <f t="shared" si="56"/>
        <v>1</v>
      </c>
      <c r="Z176" s="79"/>
      <c r="AA176" s="79"/>
      <c r="AB176" s="80">
        <f t="shared" si="68"/>
        <v>1</v>
      </c>
      <c r="AC176" s="77">
        <v>7</v>
      </c>
      <c r="AD176" s="78">
        <f t="shared" si="57"/>
        <v>1</v>
      </c>
      <c r="AE176" s="79"/>
      <c r="AF176" s="79"/>
      <c r="AG176" s="80">
        <f t="shared" si="69"/>
        <v>1</v>
      </c>
      <c r="AH176" s="77">
        <f t="shared" si="70"/>
        <v>35</v>
      </c>
      <c r="AI176" s="79">
        <f t="shared" si="58"/>
        <v>0</v>
      </c>
      <c r="AJ176" s="79">
        <f t="shared" si="71"/>
        <v>0</v>
      </c>
      <c r="AK176" s="81">
        <f t="shared" si="72"/>
        <v>5</v>
      </c>
      <c r="AL176" s="81" t="str">
        <f t="shared" si="59"/>
        <v>CRIT</v>
      </c>
      <c r="AM176" s="81">
        <f t="shared" si="60"/>
        <v>22</v>
      </c>
      <c r="AN176" s="99">
        <f t="shared" si="61"/>
        <v>42884</v>
      </c>
      <c r="AO176" s="99">
        <f t="shared" si="62"/>
        <v>42888</v>
      </c>
      <c r="AP176" s="99"/>
      <c r="AQ176" s="73"/>
      <c r="AR176" s="67"/>
      <c r="AS176" s="132"/>
    </row>
    <row r="177" spans="1:45" ht="20.25" customHeight="1" thickTop="1" thickBot="1" x14ac:dyDescent="0.3">
      <c r="A177" s="74" t="str">
        <f t="shared" ca="1" si="63"/>
        <v/>
      </c>
      <c r="B177" s="75" t="str">
        <f t="shared" ca="1" si="64"/>
        <v/>
      </c>
      <c r="C177" s="76" t="str">
        <f>IF(AND('Interimaire Juin  2017'!D183=$B$1,'Interimaire Juin  2017'!J183=$B$2),'Interimaire Juin  2017'!E183,"")</f>
        <v/>
      </c>
      <c r="D177" s="76" t="str">
        <f>IF(AND('Interimaire Juin  2017'!D183=$B$1,'Interimaire Juin  2017'!J183=$B$2),'Interimaire Juin  2017'!F183,"")</f>
        <v/>
      </c>
      <c r="E177" s="76" t="str">
        <f t="shared" si="52"/>
        <v/>
      </c>
      <c r="F177" s="76" t="str">
        <f t="array" aca="1" ref="F177" ca="1">IFERROR(INDEX(C:C,SMALL($E$2:$E$300,ROW(INDIRECT("169:"&amp;ROWS(C169:C467))))),"")</f>
        <v/>
      </c>
      <c r="G177" s="76" t="str">
        <f t="array" aca="1" ref="G177" ca="1">IFERROR(INDEX(D:D,SMALL($E$2:$E$300,ROW(INDIRECT("169:"&amp;ROWS(D169:D467))))),"")</f>
        <v/>
      </c>
      <c r="H177" s="82"/>
      <c r="I177" s="77">
        <v>7</v>
      </c>
      <c r="J177" s="78">
        <f t="shared" si="53"/>
        <v>1</v>
      </c>
      <c r="K177" s="82"/>
      <c r="L177" s="82"/>
      <c r="M177" s="80">
        <f t="shared" si="65"/>
        <v>1</v>
      </c>
      <c r="N177" s="77">
        <v>7</v>
      </c>
      <c r="O177" s="78">
        <f t="shared" si="54"/>
        <v>1</v>
      </c>
      <c r="P177" s="82"/>
      <c r="Q177" s="82"/>
      <c r="R177" s="80">
        <f t="shared" si="66"/>
        <v>1</v>
      </c>
      <c r="S177" s="77">
        <v>7</v>
      </c>
      <c r="T177" s="78">
        <f t="shared" si="55"/>
        <v>1</v>
      </c>
      <c r="U177" s="79"/>
      <c r="V177" s="79"/>
      <c r="W177" s="80">
        <f t="shared" si="67"/>
        <v>1</v>
      </c>
      <c r="X177" s="77">
        <v>7</v>
      </c>
      <c r="Y177" s="78">
        <f t="shared" si="56"/>
        <v>1</v>
      </c>
      <c r="Z177" s="79"/>
      <c r="AA177" s="79"/>
      <c r="AB177" s="80">
        <f t="shared" si="68"/>
        <v>1</v>
      </c>
      <c r="AC177" s="77">
        <v>7</v>
      </c>
      <c r="AD177" s="78">
        <f t="shared" si="57"/>
        <v>1</v>
      </c>
      <c r="AE177" s="79"/>
      <c r="AF177" s="79"/>
      <c r="AG177" s="80">
        <f t="shared" si="69"/>
        <v>1</v>
      </c>
      <c r="AH177" s="77">
        <f t="shared" si="70"/>
        <v>35</v>
      </c>
      <c r="AI177" s="79">
        <f t="shared" si="58"/>
        <v>0</v>
      </c>
      <c r="AJ177" s="79">
        <f t="shared" si="71"/>
        <v>0</v>
      </c>
      <c r="AK177" s="81">
        <f t="shared" si="72"/>
        <v>5</v>
      </c>
      <c r="AL177" s="81" t="str">
        <f t="shared" si="59"/>
        <v>CRIT</v>
      </c>
      <c r="AM177" s="81">
        <f t="shared" si="60"/>
        <v>22</v>
      </c>
      <c r="AN177" s="99">
        <f t="shared" si="61"/>
        <v>42884</v>
      </c>
      <c r="AO177" s="99">
        <f t="shared" si="62"/>
        <v>42888</v>
      </c>
      <c r="AP177" s="99"/>
      <c r="AQ177" s="73"/>
      <c r="AR177" s="67"/>
      <c r="AS177" s="132"/>
    </row>
    <row r="178" spans="1:45" ht="20.25" customHeight="1" thickTop="1" thickBot="1" x14ac:dyDescent="0.3">
      <c r="A178" s="74" t="str">
        <f t="shared" ca="1" si="63"/>
        <v/>
      </c>
      <c r="B178" s="75" t="str">
        <f t="shared" ca="1" si="64"/>
        <v/>
      </c>
      <c r="C178" s="76" t="str">
        <f>IF(AND('Interimaire Juin  2017'!D184=$B$1,'Interimaire Juin  2017'!J184=$B$2),'Interimaire Juin  2017'!E184,"")</f>
        <v/>
      </c>
      <c r="D178" s="76" t="str">
        <f>IF(AND('Interimaire Juin  2017'!D184=$B$1,'Interimaire Juin  2017'!J184=$B$2),'Interimaire Juin  2017'!F184,"")</f>
        <v/>
      </c>
      <c r="E178" s="76" t="str">
        <f t="shared" si="52"/>
        <v/>
      </c>
      <c r="F178" s="76" t="str">
        <f t="array" aca="1" ref="F178" ca="1">IFERROR(INDEX(C:C,SMALL($E$2:$E$300,ROW(INDIRECT("170:"&amp;ROWS(C170:C468))))),"")</f>
        <v/>
      </c>
      <c r="G178" s="76" t="str">
        <f t="array" aca="1" ref="G178" ca="1">IFERROR(INDEX(D:D,SMALL($E$2:$E$300,ROW(INDIRECT("170:"&amp;ROWS(D170:D468))))),"")</f>
        <v/>
      </c>
      <c r="H178" s="82"/>
      <c r="I178" s="77">
        <v>7</v>
      </c>
      <c r="J178" s="78">
        <f t="shared" si="53"/>
        <v>1</v>
      </c>
      <c r="K178" s="82"/>
      <c r="L178" s="82"/>
      <c r="M178" s="80">
        <f t="shared" si="65"/>
        <v>1</v>
      </c>
      <c r="N178" s="77">
        <v>7</v>
      </c>
      <c r="O178" s="78">
        <f t="shared" si="54"/>
        <v>1</v>
      </c>
      <c r="P178" s="82"/>
      <c r="Q178" s="82"/>
      <c r="R178" s="80">
        <f t="shared" si="66"/>
        <v>1</v>
      </c>
      <c r="S178" s="77">
        <v>7</v>
      </c>
      <c r="T178" s="78">
        <f t="shared" si="55"/>
        <v>1</v>
      </c>
      <c r="U178" s="79"/>
      <c r="V178" s="79"/>
      <c r="W178" s="80">
        <f t="shared" si="67"/>
        <v>1</v>
      </c>
      <c r="X178" s="77">
        <v>7</v>
      </c>
      <c r="Y178" s="78">
        <f t="shared" si="56"/>
        <v>1</v>
      </c>
      <c r="Z178" s="79"/>
      <c r="AA178" s="79"/>
      <c r="AB178" s="80">
        <f t="shared" si="68"/>
        <v>1</v>
      </c>
      <c r="AC178" s="77">
        <v>7</v>
      </c>
      <c r="AD178" s="78">
        <f t="shared" si="57"/>
        <v>1</v>
      </c>
      <c r="AE178" s="79"/>
      <c r="AF178" s="79"/>
      <c r="AG178" s="80">
        <f t="shared" si="69"/>
        <v>1</v>
      </c>
      <c r="AH178" s="77">
        <f t="shared" si="70"/>
        <v>35</v>
      </c>
      <c r="AI178" s="79">
        <f t="shared" si="58"/>
        <v>0</v>
      </c>
      <c r="AJ178" s="79">
        <f t="shared" si="71"/>
        <v>0</v>
      </c>
      <c r="AK178" s="81">
        <f t="shared" si="72"/>
        <v>5</v>
      </c>
      <c r="AL178" s="81" t="str">
        <f t="shared" si="59"/>
        <v>CRIT</v>
      </c>
      <c r="AM178" s="81">
        <f t="shared" si="60"/>
        <v>22</v>
      </c>
      <c r="AN178" s="99">
        <f t="shared" si="61"/>
        <v>42884</v>
      </c>
      <c r="AO178" s="99">
        <f t="shared" si="62"/>
        <v>42888</v>
      </c>
      <c r="AP178" s="99"/>
      <c r="AQ178" s="73"/>
      <c r="AR178" s="67"/>
      <c r="AS178" s="132"/>
    </row>
    <row r="179" spans="1:45" ht="20.25" customHeight="1" thickTop="1" thickBot="1" x14ac:dyDescent="0.3">
      <c r="A179" s="74" t="str">
        <f t="shared" ca="1" si="63"/>
        <v/>
      </c>
      <c r="B179" s="75" t="str">
        <f t="shared" ca="1" si="64"/>
        <v/>
      </c>
      <c r="C179" s="76" t="str">
        <f>IF(AND('Interimaire Juin  2017'!D185=$B$1,'Interimaire Juin  2017'!J185=$B$2),'Interimaire Juin  2017'!E185,"")</f>
        <v/>
      </c>
      <c r="D179" s="76" t="str">
        <f>IF(AND('Interimaire Juin  2017'!D185=$B$1,'Interimaire Juin  2017'!J185=$B$2),'Interimaire Juin  2017'!F185,"")</f>
        <v/>
      </c>
      <c r="E179" s="76" t="str">
        <f t="shared" si="52"/>
        <v/>
      </c>
      <c r="F179" s="76" t="str">
        <f t="array" aca="1" ref="F179" ca="1">IFERROR(INDEX(C:C,SMALL($E$2:$E$300,ROW(INDIRECT("171:"&amp;ROWS(C171:C469))))),"")</f>
        <v/>
      </c>
      <c r="G179" s="76" t="str">
        <f t="array" aca="1" ref="G179" ca="1">IFERROR(INDEX(D:D,SMALL($E$2:$E$300,ROW(INDIRECT("171:"&amp;ROWS(D171:D469))))),"")</f>
        <v/>
      </c>
      <c r="H179" s="82"/>
      <c r="I179" s="77">
        <v>7</v>
      </c>
      <c r="J179" s="78">
        <f t="shared" si="53"/>
        <v>1</v>
      </c>
      <c r="K179" s="82"/>
      <c r="L179" s="82"/>
      <c r="M179" s="80">
        <f t="shared" si="65"/>
        <v>1</v>
      </c>
      <c r="N179" s="77">
        <v>7</v>
      </c>
      <c r="O179" s="78">
        <f t="shared" si="54"/>
        <v>1</v>
      </c>
      <c r="P179" s="82"/>
      <c r="Q179" s="82"/>
      <c r="R179" s="80">
        <f t="shared" si="66"/>
        <v>1</v>
      </c>
      <c r="S179" s="77">
        <v>7</v>
      </c>
      <c r="T179" s="78">
        <f t="shared" si="55"/>
        <v>1</v>
      </c>
      <c r="U179" s="79"/>
      <c r="V179" s="79"/>
      <c r="W179" s="80">
        <f t="shared" si="67"/>
        <v>1</v>
      </c>
      <c r="X179" s="77">
        <v>7</v>
      </c>
      <c r="Y179" s="78">
        <f t="shared" si="56"/>
        <v>1</v>
      </c>
      <c r="Z179" s="79"/>
      <c r="AA179" s="79"/>
      <c r="AB179" s="80">
        <f t="shared" si="68"/>
        <v>1</v>
      </c>
      <c r="AC179" s="77">
        <v>7</v>
      </c>
      <c r="AD179" s="78">
        <f t="shared" si="57"/>
        <v>1</v>
      </c>
      <c r="AE179" s="79"/>
      <c r="AF179" s="79"/>
      <c r="AG179" s="80">
        <f t="shared" si="69"/>
        <v>1</v>
      </c>
      <c r="AH179" s="77">
        <f t="shared" si="70"/>
        <v>35</v>
      </c>
      <c r="AI179" s="79">
        <f t="shared" si="58"/>
        <v>0</v>
      </c>
      <c r="AJ179" s="79">
        <f t="shared" si="71"/>
        <v>0</v>
      </c>
      <c r="AK179" s="81">
        <f t="shared" si="72"/>
        <v>5</v>
      </c>
      <c r="AL179" s="81" t="str">
        <f t="shared" si="59"/>
        <v>CRIT</v>
      </c>
      <c r="AM179" s="81">
        <f t="shared" si="60"/>
        <v>22</v>
      </c>
      <c r="AN179" s="99">
        <f t="shared" si="61"/>
        <v>42884</v>
      </c>
      <c r="AO179" s="99">
        <f t="shared" si="62"/>
        <v>42888</v>
      </c>
      <c r="AP179" s="99"/>
      <c r="AQ179" s="73"/>
      <c r="AR179" s="67"/>
      <c r="AS179" s="132"/>
    </row>
    <row r="180" spans="1:45" ht="20.25" customHeight="1" thickTop="1" thickBot="1" x14ac:dyDescent="0.3">
      <c r="A180" s="74" t="str">
        <f t="shared" ca="1" si="63"/>
        <v/>
      </c>
      <c r="B180" s="75" t="str">
        <f t="shared" ca="1" si="64"/>
        <v/>
      </c>
      <c r="C180" s="76" t="str">
        <f>IF(AND('Interimaire Juin  2017'!D186=$B$1,'Interimaire Juin  2017'!J186=$B$2),'Interimaire Juin  2017'!E186,"")</f>
        <v/>
      </c>
      <c r="D180" s="76" t="str">
        <f>IF(AND('Interimaire Juin  2017'!D186=$B$1,'Interimaire Juin  2017'!J186=$B$2),'Interimaire Juin  2017'!F186,"")</f>
        <v/>
      </c>
      <c r="E180" s="76" t="str">
        <f t="shared" si="52"/>
        <v/>
      </c>
      <c r="F180" s="76" t="str">
        <f t="array" aca="1" ref="F180" ca="1">IFERROR(INDEX(C:C,SMALL($E$2:$E$300,ROW(INDIRECT("172:"&amp;ROWS(C172:C470))))),"")</f>
        <v/>
      </c>
      <c r="G180" s="76" t="str">
        <f t="array" aca="1" ref="G180" ca="1">IFERROR(INDEX(D:D,SMALL($E$2:$E$300,ROW(INDIRECT("172:"&amp;ROWS(D172:D470))))),"")</f>
        <v/>
      </c>
      <c r="H180" s="82"/>
      <c r="I180" s="77">
        <v>7</v>
      </c>
      <c r="J180" s="78">
        <f t="shared" si="53"/>
        <v>1</v>
      </c>
      <c r="K180" s="82"/>
      <c r="L180" s="82"/>
      <c r="M180" s="80">
        <f t="shared" si="65"/>
        <v>1</v>
      </c>
      <c r="N180" s="77">
        <v>7</v>
      </c>
      <c r="O180" s="78">
        <f t="shared" si="54"/>
        <v>1</v>
      </c>
      <c r="P180" s="82"/>
      <c r="Q180" s="82"/>
      <c r="R180" s="80">
        <f t="shared" si="66"/>
        <v>1</v>
      </c>
      <c r="S180" s="77">
        <v>7</v>
      </c>
      <c r="T180" s="78">
        <f t="shared" si="55"/>
        <v>1</v>
      </c>
      <c r="U180" s="79"/>
      <c r="V180" s="79"/>
      <c r="W180" s="80">
        <f t="shared" si="67"/>
        <v>1</v>
      </c>
      <c r="X180" s="77">
        <v>7</v>
      </c>
      <c r="Y180" s="78">
        <f t="shared" si="56"/>
        <v>1</v>
      </c>
      <c r="Z180" s="79"/>
      <c r="AA180" s="79"/>
      <c r="AB180" s="80">
        <f t="shared" si="68"/>
        <v>1</v>
      </c>
      <c r="AC180" s="77">
        <v>7</v>
      </c>
      <c r="AD180" s="78">
        <f t="shared" si="57"/>
        <v>1</v>
      </c>
      <c r="AE180" s="79"/>
      <c r="AF180" s="79"/>
      <c r="AG180" s="80">
        <f t="shared" si="69"/>
        <v>1</v>
      </c>
      <c r="AH180" s="77">
        <f t="shared" si="70"/>
        <v>35</v>
      </c>
      <c r="AI180" s="79">
        <f t="shared" si="58"/>
        <v>0</v>
      </c>
      <c r="AJ180" s="79">
        <f t="shared" si="71"/>
        <v>0</v>
      </c>
      <c r="AK180" s="81">
        <f t="shared" si="72"/>
        <v>5</v>
      </c>
      <c r="AL180" s="81" t="str">
        <f t="shared" si="59"/>
        <v>CRIT</v>
      </c>
      <c r="AM180" s="81">
        <f t="shared" si="60"/>
        <v>22</v>
      </c>
      <c r="AN180" s="99">
        <f t="shared" si="61"/>
        <v>42884</v>
      </c>
      <c r="AO180" s="99">
        <f t="shared" si="62"/>
        <v>42888</v>
      </c>
      <c r="AP180" s="99"/>
      <c r="AQ180" s="73"/>
      <c r="AR180" s="67"/>
      <c r="AS180" s="132"/>
    </row>
    <row r="181" spans="1:45" ht="20.25" customHeight="1" thickTop="1" thickBot="1" x14ac:dyDescent="0.3">
      <c r="A181" s="74" t="str">
        <f t="shared" ca="1" si="63"/>
        <v/>
      </c>
      <c r="B181" s="75" t="str">
        <f t="shared" ca="1" si="64"/>
        <v/>
      </c>
      <c r="C181" s="76" t="str">
        <f>IF(AND('Interimaire Juin  2017'!D187=$B$1,'Interimaire Juin  2017'!J187=$B$2),'Interimaire Juin  2017'!E187,"")</f>
        <v/>
      </c>
      <c r="D181" s="76" t="str">
        <f>IF(AND('Interimaire Juin  2017'!D187=$B$1,'Interimaire Juin  2017'!J187=$B$2),'Interimaire Juin  2017'!F187,"")</f>
        <v/>
      </c>
      <c r="E181" s="76" t="str">
        <f t="shared" si="52"/>
        <v/>
      </c>
      <c r="F181" s="76" t="str">
        <f t="array" aca="1" ref="F181" ca="1">IFERROR(INDEX(C:C,SMALL($E$2:$E$300,ROW(INDIRECT("173:"&amp;ROWS(C173:C471))))),"")</f>
        <v/>
      </c>
      <c r="G181" s="76" t="str">
        <f t="array" aca="1" ref="G181" ca="1">IFERROR(INDEX(D:D,SMALL($E$2:$E$300,ROW(INDIRECT("173:"&amp;ROWS(D173:D471))))),"")</f>
        <v/>
      </c>
      <c r="H181" s="82"/>
      <c r="I181" s="77">
        <v>7</v>
      </c>
      <c r="J181" s="78">
        <f t="shared" si="53"/>
        <v>1</v>
      </c>
      <c r="K181" s="82"/>
      <c r="L181" s="82"/>
      <c r="M181" s="80">
        <f t="shared" si="65"/>
        <v>1</v>
      </c>
      <c r="N181" s="77">
        <v>7</v>
      </c>
      <c r="O181" s="78">
        <f t="shared" si="54"/>
        <v>1</v>
      </c>
      <c r="P181" s="82"/>
      <c r="Q181" s="82"/>
      <c r="R181" s="80">
        <f t="shared" si="66"/>
        <v>1</v>
      </c>
      <c r="S181" s="77">
        <v>7</v>
      </c>
      <c r="T181" s="78">
        <f t="shared" si="55"/>
        <v>1</v>
      </c>
      <c r="U181" s="79"/>
      <c r="V181" s="79"/>
      <c r="W181" s="80">
        <f t="shared" si="67"/>
        <v>1</v>
      </c>
      <c r="X181" s="77">
        <v>7</v>
      </c>
      <c r="Y181" s="78">
        <f t="shared" si="56"/>
        <v>1</v>
      </c>
      <c r="Z181" s="79"/>
      <c r="AA181" s="79"/>
      <c r="AB181" s="80">
        <f t="shared" si="68"/>
        <v>1</v>
      </c>
      <c r="AC181" s="77">
        <v>7</v>
      </c>
      <c r="AD181" s="78">
        <f t="shared" si="57"/>
        <v>1</v>
      </c>
      <c r="AE181" s="79"/>
      <c r="AF181" s="79"/>
      <c r="AG181" s="80">
        <f t="shared" si="69"/>
        <v>1</v>
      </c>
      <c r="AH181" s="77">
        <f t="shared" si="70"/>
        <v>35</v>
      </c>
      <c r="AI181" s="79">
        <f t="shared" si="58"/>
        <v>0</v>
      </c>
      <c r="AJ181" s="79">
        <f t="shared" si="71"/>
        <v>0</v>
      </c>
      <c r="AK181" s="81">
        <f t="shared" si="72"/>
        <v>5</v>
      </c>
      <c r="AL181" s="81" t="str">
        <f t="shared" si="59"/>
        <v>CRIT</v>
      </c>
      <c r="AM181" s="81">
        <f t="shared" si="60"/>
        <v>22</v>
      </c>
      <c r="AN181" s="99">
        <f t="shared" si="61"/>
        <v>42884</v>
      </c>
      <c r="AO181" s="99">
        <f t="shared" si="62"/>
        <v>42888</v>
      </c>
      <c r="AP181" s="99"/>
      <c r="AQ181" s="73"/>
      <c r="AR181" s="67"/>
      <c r="AS181" s="132"/>
    </row>
    <row r="182" spans="1:45" ht="20.25" customHeight="1" thickTop="1" thickBot="1" x14ac:dyDescent="0.3">
      <c r="A182" s="74" t="str">
        <f t="shared" ca="1" si="63"/>
        <v/>
      </c>
      <c r="B182" s="75" t="str">
        <f t="shared" ca="1" si="64"/>
        <v/>
      </c>
      <c r="C182" s="76" t="str">
        <f>IF(AND('Interimaire Juin  2017'!D188=$B$1,'Interimaire Juin  2017'!J188=$B$2),'Interimaire Juin  2017'!E188,"")</f>
        <v/>
      </c>
      <c r="D182" s="76" t="str">
        <f>IF(AND('Interimaire Juin  2017'!D188=$B$1,'Interimaire Juin  2017'!J188=$B$2),'Interimaire Juin  2017'!F188,"")</f>
        <v/>
      </c>
      <c r="E182" s="76" t="str">
        <f t="shared" si="52"/>
        <v/>
      </c>
      <c r="F182" s="76" t="str">
        <f t="array" aca="1" ref="F182" ca="1">IFERROR(INDEX(C:C,SMALL($E$2:$E$300,ROW(INDIRECT("174:"&amp;ROWS(C174:C472))))),"")</f>
        <v/>
      </c>
      <c r="G182" s="76" t="str">
        <f t="array" aca="1" ref="G182" ca="1">IFERROR(INDEX(D:D,SMALL($E$2:$E$300,ROW(INDIRECT("174:"&amp;ROWS(D174:D472))))),"")</f>
        <v/>
      </c>
      <c r="H182" s="82"/>
      <c r="I182" s="77">
        <v>7</v>
      </c>
      <c r="J182" s="78">
        <f t="shared" si="53"/>
        <v>1</v>
      </c>
      <c r="K182" s="82"/>
      <c r="L182" s="82"/>
      <c r="M182" s="80">
        <f t="shared" si="65"/>
        <v>1</v>
      </c>
      <c r="N182" s="77">
        <v>7</v>
      </c>
      <c r="O182" s="78">
        <f t="shared" si="54"/>
        <v>1</v>
      </c>
      <c r="P182" s="82"/>
      <c r="Q182" s="82"/>
      <c r="R182" s="80">
        <f t="shared" si="66"/>
        <v>1</v>
      </c>
      <c r="S182" s="77">
        <v>7</v>
      </c>
      <c r="T182" s="78">
        <f t="shared" si="55"/>
        <v>1</v>
      </c>
      <c r="U182" s="79"/>
      <c r="V182" s="79"/>
      <c r="W182" s="80">
        <f t="shared" si="67"/>
        <v>1</v>
      </c>
      <c r="X182" s="77">
        <v>7</v>
      </c>
      <c r="Y182" s="78">
        <f t="shared" si="56"/>
        <v>1</v>
      </c>
      <c r="Z182" s="79"/>
      <c r="AA182" s="79"/>
      <c r="AB182" s="80">
        <f t="shared" si="68"/>
        <v>1</v>
      </c>
      <c r="AC182" s="77">
        <v>7</v>
      </c>
      <c r="AD182" s="78">
        <f t="shared" si="57"/>
        <v>1</v>
      </c>
      <c r="AE182" s="79"/>
      <c r="AF182" s="79"/>
      <c r="AG182" s="80">
        <f t="shared" si="69"/>
        <v>1</v>
      </c>
      <c r="AH182" s="77">
        <f t="shared" si="70"/>
        <v>35</v>
      </c>
      <c r="AI182" s="79">
        <f t="shared" si="58"/>
        <v>0</v>
      </c>
      <c r="AJ182" s="79">
        <f t="shared" si="71"/>
        <v>0</v>
      </c>
      <c r="AK182" s="81">
        <f t="shared" si="72"/>
        <v>5</v>
      </c>
      <c r="AL182" s="81" t="str">
        <f t="shared" si="59"/>
        <v>CRIT</v>
      </c>
      <c r="AM182" s="81">
        <f t="shared" si="60"/>
        <v>22</v>
      </c>
      <c r="AN182" s="99">
        <f t="shared" si="61"/>
        <v>42884</v>
      </c>
      <c r="AO182" s="99">
        <f t="shared" si="62"/>
        <v>42888</v>
      </c>
      <c r="AP182" s="99"/>
      <c r="AQ182" s="73"/>
      <c r="AR182" s="67"/>
      <c r="AS182" s="132"/>
    </row>
    <row r="183" spans="1:45" ht="20.25" customHeight="1" thickTop="1" thickBot="1" x14ac:dyDescent="0.3">
      <c r="A183" s="74" t="str">
        <f t="shared" ca="1" si="63"/>
        <v/>
      </c>
      <c r="B183" s="75" t="str">
        <f t="shared" ca="1" si="64"/>
        <v/>
      </c>
      <c r="C183" s="76" t="str">
        <f>IF(AND('Interimaire Juin  2017'!D189=$B$1,'Interimaire Juin  2017'!J189=$B$2),'Interimaire Juin  2017'!E189,"")</f>
        <v/>
      </c>
      <c r="D183" s="76" t="str">
        <f>IF(AND('Interimaire Juin  2017'!D189=$B$1,'Interimaire Juin  2017'!J189=$B$2),'Interimaire Juin  2017'!F189,"")</f>
        <v/>
      </c>
      <c r="E183" s="76" t="str">
        <f t="shared" si="52"/>
        <v/>
      </c>
      <c r="F183" s="76" t="str">
        <f t="array" aca="1" ref="F183" ca="1">IFERROR(INDEX(C:C,SMALL($E$2:$E$300,ROW(INDIRECT("175:"&amp;ROWS(C175:C473))))),"")</f>
        <v/>
      </c>
      <c r="G183" s="76" t="str">
        <f t="array" aca="1" ref="G183" ca="1">IFERROR(INDEX(D:D,SMALL($E$2:$E$300,ROW(INDIRECT("175:"&amp;ROWS(D175:D473))))),"")</f>
        <v/>
      </c>
      <c r="H183" s="82"/>
      <c r="I183" s="77">
        <v>7</v>
      </c>
      <c r="J183" s="78">
        <f t="shared" si="53"/>
        <v>1</v>
      </c>
      <c r="K183" s="82"/>
      <c r="L183" s="82"/>
      <c r="M183" s="80">
        <f t="shared" si="65"/>
        <v>1</v>
      </c>
      <c r="N183" s="77">
        <v>7</v>
      </c>
      <c r="O183" s="78">
        <f t="shared" si="54"/>
        <v>1</v>
      </c>
      <c r="P183" s="82"/>
      <c r="Q183" s="82"/>
      <c r="R183" s="80">
        <f t="shared" si="66"/>
        <v>1</v>
      </c>
      <c r="S183" s="77">
        <v>7</v>
      </c>
      <c r="T183" s="78">
        <f t="shared" si="55"/>
        <v>1</v>
      </c>
      <c r="U183" s="79"/>
      <c r="V183" s="79"/>
      <c r="W183" s="80">
        <f t="shared" si="67"/>
        <v>1</v>
      </c>
      <c r="X183" s="77">
        <v>7</v>
      </c>
      <c r="Y183" s="78">
        <f t="shared" si="56"/>
        <v>1</v>
      </c>
      <c r="Z183" s="79"/>
      <c r="AA183" s="79"/>
      <c r="AB183" s="80">
        <f t="shared" si="68"/>
        <v>1</v>
      </c>
      <c r="AC183" s="77">
        <v>7</v>
      </c>
      <c r="AD183" s="78">
        <f t="shared" si="57"/>
        <v>1</v>
      </c>
      <c r="AE183" s="79"/>
      <c r="AF183" s="79"/>
      <c r="AG183" s="80">
        <f t="shared" si="69"/>
        <v>1</v>
      </c>
      <c r="AH183" s="77">
        <f t="shared" si="70"/>
        <v>35</v>
      </c>
      <c r="AI183" s="79">
        <f t="shared" si="58"/>
        <v>0</v>
      </c>
      <c r="AJ183" s="79">
        <f t="shared" si="71"/>
        <v>0</v>
      </c>
      <c r="AK183" s="81">
        <f t="shared" si="72"/>
        <v>5</v>
      </c>
      <c r="AL183" s="81" t="str">
        <f t="shared" si="59"/>
        <v>CRIT</v>
      </c>
      <c r="AM183" s="81">
        <f t="shared" si="60"/>
        <v>22</v>
      </c>
      <c r="AN183" s="99">
        <f t="shared" si="61"/>
        <v>42884</v>
      </c>
      <c r="AO183" s="99">
        <f t="shared" si="62"/>
        <v>42888</v>
      </c>
      <c r="AP183" s="99"/>
      <c r="AQ183" s="73"/>
      <c r="AR183" s="67"/>
      <c r="AS183" s="132"/>
    </row>
    <row r="184" spans="1:45" ht="20.25" customHeight="1" thickTop="1" thickBot="1" x14ac:dyDescent="0.3">
      <c r="A184" s="74" t="str">
        <f t="shared" ca="1" si="63"/>
        <v/>
      </c>
      <c r="B184" s="75" t="str">
        <f t="shared" ca="1" si="64"/>
        <v/>
      </c>
      <c r="C184" s="76" t="str">
        <f>IF(AND('Interimaire Juin  2017'!D190=$B$1,'Interimaire Juin  2017'!J190=$B$2),'Interimaire Juin  2017'!E190,"")</f>
        <v/>
      </c>
      <c r="D184" s="76" t="str">
        <f>IF(AND('Interimaire Juin  2017'!D190=$B$1,'Interimaire Juin  2017'!J190=$B$2),'Interimaire Juin  2017'!F190,"")</f>
        <v/>
      </c>
      <c r="E184" s="76" t="str">
        <f t="shared" si="52"/>
        <v/>
      </c>
      <c r="F184" s="76" t="str">
        <f t="array" aca="1" ref="F184" ca="1">IFERROR(INDEX(C:C,SMALL($E$2:$E$300,ROW(INDIRECT("176:"&amp;ROWS(C176:C474))))),"")</f>
        <v/>
      </c>
      <c r="G184" s="76" t="str">
        <f t="array" aca="1" ref="G184" ca="1">IFERROR(INDEX(D:D,SMALL($E$2:$E$300,ROW(INDIRECT("176:"&amp;ROWS(D176:D474))))),"")</f>
        <v/>
      </c>
      <c r="H184" s="82"/>
      <c r="I184" s="77">
        <v>7</v>
      </c>
      <c r="J184" s="78">
        <f t="shared" si="53"/>
        <v>1</v>
      </c>
      <c r="K184" s="82"/>
      <c r="L184" s="82"/>
      <c r="M184" s="80">
        <f t="shared" si="65"/>
        <v>1</v>
      </c>
      <c r="N184" s="77">
        <v>7</v>
      </c>
      <c r="O184" s="78">
        <f t="shared" si="54"/>
        <v>1</v>
      </c>
      <c r="P184" s="82"/>
      <c r="Q184" s="82"/>
      <c r="R184" s="80">
        <f t="shared" si="66"/>
        <v>1</v>
      </c>
      <c r="S184" s="77">
        <v>7</v>
      </c>
      <c r="T184" s="78">
        <f t="shared" si="55"/>
        <v>1</v>
      </c>
      <c r="U184" s="79"/>
      <c r="V184" s="79"/>
      <c r="W184" s="80">
        <f t="shared" si="67"/>
        <v>1</v>
      </c>
      <c r="X184" s="77">
        <v>7</v>
      </c>
      <c r="Y184" s="78">
        <f t="shared" si="56"/>
        <v>1</v>
      </c>
      <c r="Z184" s="79"/>
      <c r="AA184" s="79"/>
      <c r="AB184" s="80">
        <f t="shared" si="68"/>
        <v>1</v>
      </c>
      <c r="AC184" s="77">
        <v>7</v>
      </c>
      <c r="AD184" s="78">
        <f t="shared" si="57"/>
        <v>1</v>
      </c>
      <c r="AE184" s="79"/>
      <c r="AF184" s="79"/>
      <c r="AG184" s="80">
        <f t="shared" si="69"/>
        <v>1</v>
      </c>
      <c r="AH184" s="77">
        <f t="shared" si="70"/>
        <v>35</v>
      </c>
      <c r="AI184" s="79">
        <f t="shared" si="58"/>
        <v>0</v>
      </c>
      <c r="AJ184" s="79">
        <f t="shared" si="71"/>
        <v>0</v>
      </c>
      <c r="AK184" s="81">
        <f t="shared" si="72"/>
        <v>5</v>
      </c>
      <c r="AL184" s="81" t="str">
        <f t="shared" si="59"/>
        <v>CRIT</v>
      </c>
      <c r="AM184" s="81">
        <f t="shared" si="60"/>
        <v>22</v>
      </c>
      <c r="AN184" s="99">
        <f t="shared" si="61"/>
        <v>42884</v>
      </c>
      <c r="AO184" s="99">
        <f t="shared" si="62"/>
        <v>42888</v>
      </c>
      <c r="AP184" s="99"/>
      <c r="AQ184" s="73"/>
      <c r="AR184" s="67"/>
      <c r="AS184" s="132"/>
    </row>
    <row r="185" spans="1:45" ht="20.25" customHeight="1" thickTop="1" thickBot="1" x14ac:dyDescent="0.3">
      <c r="A185" s="74" t="str">
        <f t="shared" ca="1" si="63"/>
        <v/>
      </c>
      <c r="B185" s="75" t="str">
        <f t="shared" ca="1" si="64"/>
        <v/>
      </c>
      <c r="C185" s="76" t="str">
        <f>IF(AND('Interimaire Juin  2017'!D191=$B$1,'Interimaire Juin  2017'!J191=$B$2),'Interimaire Juin  2017'!E191,"")</f>
        <v/>
      </c>
      <c r="D185" s="76" t="str">
        <f>IF(AND('Interimaire Juin  2017'!D191=$B$1,'Interimaire Juin  2017'!J191=$B$2),'Interimaire Juin  2017'!F191,"")</f>
        <v/>
      </c>
      <c r="E185" s="76" t="str">
        <f t="shared" si="52"/>
        <v/>
      </c>
      <c r="F185" s="76" t="str">
        <f t="array" aca="1" ref="F185" ca="1">IFERROR(INDEX(C:C,SMALL($E$2:$E$300,ROW(INDIRECT("177:"&amp;ROWS(C177:C475))))),"")</f>
        <v/>
      </c>
      <c r="G185" s="76" t="str">
        <f t="array" aca="1" ref="G185" ca="1">IFERROR(INDEX(D:D,SMALL($E$2:$E$300,ROW(INDIRECT("177:"&amp;ROWS(D177:D475))))),"")</f>
        <v/>
      </c>
      <c r="H185" s="82"/>
      <c r="I185" s="77">
        <v>7</v>
      </c>
      <c r="J185" s="78">
        <f t="shared" si="53"/>
        <v>1</v>
      </c>
      <c r="K185" s="82"/>
      <c r="L185" s="82"/>
      <c r="M185" s="80">
        <f t="shared" si="65"/>
        <v>1</v>
      </c>
      <c r="N185" s="77">
        <v>7</v>
      </c>
      <c r="O185" s="78">
        <f t="shared" si="54"/>
        <v>1</v>
      </c>
      <c r="P185" s="82"/>
      <c r="Q185" s="82"/>
      <c r="R185" s="80">
        <f t="shared" si="66"/>
        <v>1</v>
      </c>
      <c r="S185" s="77">
        <v>7</v>
      </c>
      <c r="T185" s="78">
        <f t="shared" si="55"/>
        <v>1</v>
      </c>
      <c r="U185" s="79"/>
      <c r="V185" s="79"/>
      <c r="W185" s="80">
        <f t="shared" si="67"/>
        <v>1</v>
      </c>
      <c r="X185" s="77">
        <v>7</v>
      </c>
      <c r="Y185" s="78">
        <f t="shared" si="56"/>
        <v>1</v>
      </c>
      <c r="Z185" s="79"/>
      <c r="AA185" s="79"/>
      <c r="AB185" s="80">
        <f t="shared" si="68"/>
        <v>1</v>
      </c>
      <c r="AC185" s="77">
        <v>7</v>
      </c>
      <c r="AD185" s="78">
        <f t="shared" si="57"/>
        <v>1</v>
      </c>
      <c r="AE185" s="79"/>
      <c r="AF185" s="79"/>
      <c r="AG185" s="80">
        <f t="shared" si="69"/>
        <v>1</v>
      </c>
      <c r="AH185" s="77">
        <f t="shared" si="70"/>
        <v>35</v>
      </c>
      <c r="AI185" s="79">
        <f t="shared" si="58"/>
        <v>0</v>
      </c>
      <c r="AJ185" s="79">
        <f t="shared" si="71"/>
        <v>0</v>
      </c>
      <c r="AK185" s="81">
        <f t="shared" si="72"/>
        <v>5</v>
      </c>
      <c r="AL185" s="81" t="str">
        <f t="shared" si="59"/>
        <v>CRIT</v>
      </c>
      <c r="AM185" s="81">
        <f t="shared" si="60"/>
        <v>22</v>
      </c>
      <c r="AN185" s="99">
        <f t="shared" si="61"/>
        <v>42884</v>
      </c>
      <c r="AO185" s="99">
        <f t="shared" si="62"/>
        <v>42888</v>
      </c>
      <c r="AP185" s="99"/>
      <c r="AQ185" s="73"/>
      <c r="AR185" s="67"/>
      <c r="AS185" s="132"/>
    </row>
    <row r="186" spans="1:45" ht="20.25" customHeight="1" thickTop="1" thickBot="1" x14ac:dyDescent="0.3">
      <c r="A186" s="74" t="str">
        <f t="shared" ca="1" si="63"/>
        <v/>
      </c>
      <c r="B186" s="75" t="str">
        <f t="shared" ca="1" si="64"/>
        <v/>
      </c>
      <c r="C186" s="76" t="str">
        <f>IF(AND('Interimaire Juin  2017'!D192=$B$1,'Interimaire Juin  2017'!J192=$B$2),'Interimaire Juin  2017'!E192,"")</f>
        <v/>
      </c>
      <c r="D186" s="76" t="str">
        <f>IF(AND('Interimaire Juin  2017'!D192=$B$1,'Interimaire Juin  2017'!J192=$B$2),'Interimaire Juin  2017'!F192,"")</f>
        <v/>
      </c>
      <c r="E186" s="76" t="str">
        <f t="shared" si="52"/>
        <v/>
      </c>
      <c r="F186" s="76" t="str">
        <f t="array" aca="1" ref="F186" ca="1">IFERROR(INDEX(C:C,SMALL($E$2:$E$300,ROW(INDIRECT("178:"&amp;ROWS(C178:C476))))),"")</f>
        <v/>
      </c>
      <c r="G186" s="76" t="str">
        <f t="array" aca="1" ref="G186" ca="1">IFERROR(INDEX(D:D,SMALL($E$2:$E$300,ROW(INDIRECT("178:"&amp;ROWS(D178:D476))))),"")</f>
        <v/>
      </c>
      <c r="H186" s="82"/>
      <c r="I186" s="77">
        <v>7</v>
      </c>
      <c r="J186" s="78">
        <f t="shared" si="53"/>
        <v>1</v>
      </c>
      <c r="K186" s="82"/>
      <c r="L186" s="82"/>
      <c r="M186" s="80">
        <f t="shared" si="65"/>
        <v>1</v>
      </c>
      <c r="N186" s="77">
        <v>7</v>
      </c>
      <c r="O186" s="78">
        <f t="shared" si="54"/>
        <v>1</v>
      </c>
      <c r="P186" s="82"/>
      <c r="Q186" s="82"/>
      <c r="R186" s="80">
        <f t="shared" si="66"/>
        <v>1</v>
      </c>
      <c r="S186" s="77">
        <v>7</v>
      </c>
      <c r="T186" s="78">
        <f t="shared" si="55"/>
        <v>1</v>
      </c>
      <c r="U186" s="79"/>
      <c r="V186" s="79"/>
      <c r="W186" s="80">
        <f t="shared" si="67"/>
        <v>1</v>
      </c>
      <c r="X186" s="77">
        <v>7</v>
      </c>
      <c r="Y186" s="78">
        <f t="shared" si="56"/>
        <v>1</v>
      </c>
      <c r="Z186" s="79"/>
      <c r="AA186" s="79"/>
      <c r="AB186" s="80">
        <f t="shared" si="68"/>
        <v>1</v>
      </c>
      <c r="AC186" s="77">
        <v>7</v>
      </c>
      <c r="AD186" s="78">
        <f t="shared" si="57"/>
        <v>1</v>
      </c>
      <c r="AE186" s="79"/>
      <c r="AF186" s="79"/>
      <c r="AG186" s="80">
        <f t="shared" si="69"/>
        <v>1</v>
      </c>
      <c r="AH186" s="77">
        <f t="shared" si="70"/>
        <v>35</v>
      </c>
      <c r="AI186" s="79">
        <f t="shared" si="58"/>
        <v>0</v>
      </c>
      <c r="AJ186" s="79">
        <f t="shared" si="71"/>
        <v>0</v>
      </c>
      <c r="AK186" s="81">
        <f t="shared" si="72"/>
        <v>5</v>
      </c>
      <c r="AL186" s="81" t="str">
        <f t="shared" si="59"/>
        <v>CRIT</v>
      </c>
      <c r="AM186" s="81">
        <f t="shared" si="60"/>
        <v>22</v>
      </c>
      <c r="AN186" s="99">
        <f t="shared" si="61"/>
        <v>42884</v>
      </c>
      <c r="AO186" s="99">
        <f t="shared" si="62"/>
        <v>42888</v>
      </c>
      <c r="AP186" s="99"/>
      <c r="AQ186" s="73"/>
      <c r="AR186" s="67"/>
      <c r="AS186" s="132"/>
    </row>
    <row r="187" spans="1:45" ht="20.25" customHeight="1" thickTop="1" thickBot="1" x14ac:dyDescent="0.3">
      <c r="A187" s="74" t="str">
        <f t="shared" ca="1" si="63"/>
        <v/>
      </c>
      <c r="B187" s="75" t="str">
        <f t="shared" ca="1" si="64"/>
        <v/>
      </c>
      <c r="C187" s="76" t="str">
        <f>IF(AND('Interimaire Juin  2017'!D193=$B$1,'Interimaire Juin  2017'!J193=$B$2),'Interimaire Juin  2017'!E193,"")</f>
        <v/>
      </c>
      <c r="D187" s="76" t="str">
        <f>IF(AND('Interimaire Juin  2017'!D193=$B$1,'Interimaire Juin  2017'!J193=$B$2),'Interimaire Juin  2017'!F193,"")</f>
        <v/>
      </c>
      <c r="E187" s="76" t="str">
        <f t="shared" si="52"/>
        <v/>
      </c>
      <c r="F187" s="76" t="str">
        <f t="array" aca="1" ref="F187" ca="1">IFERROR(INDEX(C:C,SMALL($E$2:$E$300,ROW(INDIRECT("179:"&amp;ROWS(C179:C477))))),"")</f>
        <v/>
      </c>
      <c r="G187" s="76" t="str">
        <f t="array" aca="1" ref="G187" ca="1">IFERROR(INDEX(D:D,SMALL($E$2:$E$300,ROW(INDIRECT("179:"&amp;ROWS(D179:D477))))),"")</f>
        <v/>
      </c>
      <c r="H187" s="82"/>
      <c r="I187" s="77">
        <v>7</v>
      </c>
      <c r="J187" s="78">
        <f t="shared" si="53"/>
        <v>1</v>
      </c>
      <c r="K187" s="82"/>
      <c r="L187" s="82"/>
      <c r="M187" s="80">
        <f t="shared" si="65"/>
        <v>1</v>
      </c>
      <c r="N187" s="77">
        <v>7</v>
      </c>
      <c r="O187" s="78">
        <f t="shared" si="54"/>
        <v>1</v>
      </c>
      <c r="P187" s="82"/>
      <c r="Q187" s="82"/>
      <c r="R187" s="80">
        <f t="shared" si="66"/>
        <v>1</v>
      </c>
      <c r="S187" s="77">
        <v>7</v>
      </c>
      <c r="T187" s="78">
        <f t="shared" si="55"/>
        <v>1</v>
      </c>
      <c r="U187" s="79"/>
      <c r="V187" s="79"/>
      <c r="W187" s="80">
        <f t="shared" si="67"/>
        <v>1</v>
      </c>
      <c r="X187" s="77">
        <v>7</v>
      </c>
      <c r="Y187" s="78">
        <f t="shared" si="56"/>
        <v>1</v>
      </c>
      <c r="Z187" s="79"/>
      <c r="AA187" s="79"/>
      <c r="AB187" s="80">
        <f t="shared" si="68"/>
        <v>1</v>
      </c>
      <c r="AC187" s="77">
        <v>7</v>
      </c>
      <c r="AD187" s="78">
        <f t="shared" si="57"/>
        <v>1</v>
      </c>
      <c r="AE187" s="79"/>
      <c r="AF187" s="79"/>
      <c r="AG187" s="80">
        <f t="shared" si="69"/>
        <v>1</v>
      </c>
      <c r="AH187" s="77">
        <f t="shared" si="70"/>
        <v>35</v>
      </c>
      <c r="AI187" s="79">
        <f t="shared" si="58"/>
        <v>0</v>
      </c>
      <c r="AJ187" s="79">
        <f t="shared" si="71"/>
        <v>0</v>
      </c>
      <c r="AK187" s="81">
        <f t="shared" si="72"/>
        <v>5</v>
      </c>
      <c r="AL187" s="81" t="str">
        <f t="shared" si="59"/>
        <v>CRIT</v>
      </c>
      <c r="AM187" s="81">
        <f t="shared" si="60"/>
        <v>22</v>
      </c>
      <c r="AN187" s="99">
        <f t="shared" si="61"/>
        <v>42884</v>
      </c>
      <c r="AO187" s="99">
        <f t="shared" si="62"/>
        <v>42888</v>
      </c>
      <c r="AP187" s="99"/>
      <c r="AQ187" s="73"/>
      <c r="AR187" s="67"/>
      <c r="AS187" s="132"/>
    </row>
    <row r="188" spans="1:45" ht="20.25" customHeight="1" thickTop="1" thickBot="1" x14ac:dyDescent="0.3">
      <c r="A188" s="74" t="str">
        <f t="shared" ca="1" si="63"/>
        <v/>
      </c>
      <c r="B188" s="75" t="str">
        <f t="shared" ca="1" si="64"/>
        <v/>
      </c>
      <c r="C188" s="76" t="str">
        <f>IF(AND('Interimaire Juin  2017'!D194=$B$1,'Interimaire Juin  2017'!J194=$B$2),'Interimaire Juin  2017'!E194,"")</f>
        <v/>
      </c>
      <c r="D188" s="76" t="str">
        <f>IF(AND('Interimaire Juin  2017'!D194=$B$1,'Interimaire Juin  2017'!J194=$B$2),'Interimaire Juin  2017'!F194,"")</f>
        <v/>
      </c>
      <c r="E188" s="76" t="str">
        <f t="shared" si="52"/>
        <v/>
      </c>
      <c r="F188" s="76" t="str">
        <f t="array" aca="1" ref="F188" ca="1">IFERROR(INDEX(C:C,SMALL($E$2:$E$300,ROW(INDIRECT("180:"&amp;ROWS(C180:C478))))),"")</f>
        <v/>
      </c>
      <c r="G188" s="76" t="str">
        <f t="array" aca="1" ref="G188" ca="1">IFERROR(INDEX(D:D,SMALL($E$2:$E$300,ROW(INDIRECT("180:"&amp;ROWS(D180:D478))))),"")</f>
        <v/>
      </c>
      <c r="H188" s="82"/>
      <c r="I188" s="77">
        <v>7</v>
      </c>
      <c r="J188" s="78">
        <f t="shared" si="53"/>
        <v>1</v>
      </c>
      <c r="K188" s="82"/>
      <c r="L188" s="82"/>
      <c r="M188" s="80">
        <f t="shared" si="65"/>
        <v>1</v>
      </c>
      <c r="N188" s="77">
        <v>7</v>
      </c>
      <c r="O188" s="78">
        <f t="shared" si="54"/>
        <v>1</v>
      </c>
      <c r="P188" s="82"/>
      <c r="Q188" s="82"/>
      <c r="R188" s="80">
        <f t="shared" si="66"/>
        <v>1</v>
      </c>
      <c r="S188" s="77">
        <v>7</v>
      </c>
      <c r="T188" s="78">
        <f t="shared" si="55"/>
        <v>1</v>
      </c>
      <c r="U188" s="79"/>
      <c r="V188" s="79"/>
      <c r="W188" s="80">
        <f t="shared" si="67"/>
        <v>1</v>
      </c>
      <c r="X188" s="77">
        <v>7</v>
      </c>
      <c r="Y188" s="78">
        <f t="shared" si="56"/>
        <v>1</v>
      </c>
      <c r="Z188" s="79"/>
      <c r="AA188" s="79"/>
      <c r="AB188" s="80">
        <f t="shared" si="68"/>
        <v>1</v>
      </c>
      <c r="AC188" s="77">
        <v>7</v>
      </c>
      <c r="AD188" s="78">
        <f t="shared" si="57"/>
        <v>1</v>
      </c>
      <c r="AE188" s="79"/>
      <c r="AF188" s="79"/>
      <c r="AG188" s="80">
        <f t="shared" si="69"/>
        <v>1</v>
      </c>
      <c r="AH188" s="77">
        <f t="shared" si="70"/>
        <v>35</v>
      </c>
      <c r="AI188" s="79">
        <f t="shared" si="58"/>
        <v>0</v>
      </c>
      <c r="AJ188" s="79">
        <f t="shared" si="71"/>
        <v>0</v>
      </c>
      <c r="AK188" s="81">
        <f t="shared" si="72"/>
        <v>5</v>
      </c>
      <c r="AL188" s="81" t="str">
        <f t="shared" si="59"/>
        <v>CRIT</v>
      </c>
      <c r="AM188" s="81">
        <f t="shared" si="60"/>
        <v>22</v>
      </c>
      <c r="AN188" s="99">
        <f t="shared" si="61"/>
        <v>42884</v>
      </c>
      <c r="AO188" s="99">
        <f t="shared" si="62"/>
        <v>42888</v>
      </c>
      <c r="AP188" s="99"/>
      <c r="AQ188" s="73"/>
      <c r="AR188" s="67"/>
      <c r="AS188" s="132"/>
    </row>
    <row r="189" spans="1:45" ht="20.25" customHeight="1" thickTop="1" thickBot="1" x14ac:dyDescent="0.3">
      <c r="A189" s="74" t="str">
        <f t="shared" ca="1" si="63"/>
        <v/>
      </c>
      <c r="B189" s="75" t="str">
        <f t="shared" ca="1" si="64"/>
        <v/>
      </c>
      <c r="C189" s="76" t="str">
        <f>IF(AND('Interimaire Juin  2017'!D195=$B$1,'Interimaire Juin  2017'!J195=$B$2),'Interimaire Juin  2017'!E195,"")</f>
        <v/>
      </c>
      <c r="D189" s="76" t="str">
        <f>IF(AND('Interimaire Juin  2017'!D195=$B$1,'Interimaire Juin  2017'!J195=$B$2),'Interimaire Juin  2017'!F195,"")</f>
        <v/>
      </c>
      <c r="E189" s="76" t="str">
        <f t="shared" si="52"/>
        <v/>
      </c>
      <c r="F189" s="76" t="str">
        <f t="array" aca="1" ref="F189" ca="1">IFERROR(INDEX(C:C,SMALL($E$2:$E$300,ROW(INDIRECT("181:"&amp;ROWS(C181:C479))))),"")</f>
        <v/>
      </c>
      <c r="G189" s="76" t="str">
        <f t="array" aca="1" ref="G189" ca="1">IFERROR(INDEX(D:D,SMALL($E$2:$E$300,ROW(INDIRECT("181:"&amp;ROWS(D181:D479))))),"")</f>
        <v/>
      </c>
      <c r="H189" s="82"/>
      <c r="I189" s="77">
        <v>7</v>
      </c>
      <c r="J189" s="78">
        <f t="shared" si="53"/>
        <v>1</v>
      </c>
      <c r="K189" s="82"/>
      <c r="L189" s="82"/>
      <c r="M189" s="80">
        <f t="shared" si="65"/>
        <v>1</v>
      </c>
      <c r="N189" s="77">
        <v>7</v>
      </c>
      <c r="O189" s="78">
        <f t="shared" si="54"/>
        <v>1</v>
      </c>
      <c r="P189" s="82"/>
      <c r="Q189" s="82"/>
      <c r="R189" s="80">
        <f t="shared" si="66"/>
        <v>1</v>
      </c>
      <c r="S189" s="77">
        <v>7</v>
      </c>
      <c r="T189" s="78">
        <f t="shared" si="55"/>
        <v>1</v>
      </c>
      <c r="U189" s="79"/>
      <c r="V189" s="79"/>
      <c r="W189" s="80">
        <f t="shared" si="67"/>
        <v>1</v>
      </c>
      <c r="X189" s="77">
        <v>7</v>
      </c>
      <c r="Y189" s="78">
        <f t="shared" si="56"/>
        <v>1</v>
      </c>
      <c r="Z189" s="79"/>
      <c r="AA189" s="79"/>
      <c r="AB189" s="80">
        <f t="shared" si="68"/>
        <v>1</v>
      </c>
      <c r="AC189" s="77">
        <v>7</v>
      </c>
      <c r="AD189" s="78">
        <f t="shared" si="57"/>
        <v>1</v>
      </c>
      <c r="AE189" s="79"/>
      <c r="AF189" s="79"/>
      <c r="AG189" s="80">
        <f t="shared" si="69"/>
        <v>1</v>
      </c>
      <c r="AH189" s="77">
        <f t="shared" si="70"/>
        <v>35</v>
      </c>
      <c r="AI189" s="79">
        <f t="shared" si="58"/>
        <v>0</v>
      </c>
      <c r="AJ189" s="79">
        <f t="shared" si="71"/>
        <v>0</v>
      </c>
      <c r="AK189" s="81">
        <f t="shared" si="72"/>
        <v>5</v>
      </c>
      <c r="AL189" s="81" t="str">
        <f t="shared" si="59"/>
        <v>CRIT</v>
      </c>
      <c r="AM189" s="81">
        <f t="shared" si="60"/>
        <v>22</v>
      </c>
      <c r="AN189" s="99">
        <f t="shared" si="61"/>
        <v>42884</v>
      </c>
      <c r="AO189" s="99">
        <f t="shared" si="62"/>
        <v>42888</v>
      </c>
      <c r="AP189" s="99"/>
      <c r="AQ189" s="73"/>
      <c r="AR189" s="67"/>
      <c r="AS189" s="132"/>
    </row>
    <row r="190" spans="1:45" ht="20.25" customHeight="1" thickTop="1" thickBot="1" x14ac:dyDescent="0.3">
      <c r="A190" s="74" t="str">
        <f t="shared" ca="1" si="63"/>
        <v/>
      </c>
      <c r="B190" s="75" t="str">
        <f t="shared" ca="1" si="64"/>
        <v/>
      </c>
      <c r="C190" s="76" t="str">
        <f>IF(AND('Interimaire Juin  2017'!D196=$B$1,'Interimaire Juin  2017'!J196=$B$2),'Interimaire Juin  2017'!E196,"")</f>
        <v/>
      </c>
      <c r="D190" s="76" t="str">
        <f>IF(AND('Interimaire Juin  2017'!D196=$B$1,'Interimaire Juin  2017'!J196=$B$2),'Interimaire Juin  2017'!F196,"")</f>
        <v/>
      </c>
      <c r="E190" s="76" t="str">
        <f t="shared" si="52"/>
        <v/>
      </c>
      <c r="F190" s="76" t="str">
        <f t="array" aca="1" ref="F190" ca="1">IFERROR(INDEX(C:C,SMALL($E$2:$E$300,ROW(INDIRECT("182:"&amp;ROWS(C182:C480))))),"")</f>
        <v/>
      </c>
      <c r="G190" s="76" t="str">
        <f t="array" aca="1" ref="G190" ca="1">IFERROR(INDEX(D:D,SMALL($E$2:$E$300,ROW(INDIRECT("182:"&amp;ROWS(D182:D480))))),"")</f>
        <v/>
      </c>
      <c r="H190" s="82"/>
      <c r="I190" s="77">
        <v>7</v>
      </c>
      <c r="J190" s="78">
        <f t="shared" si="53"/>
        <v>1</v>
      </c>
      <c r="K190" s="82"/>
      <c r="L190" s="82"/>
      <c r="M190" s="80">
        <f t="shared" si="65"/>
        <v>1</v>
      </c>
      <c r="N190" s="77">
        <v>7</v>
      </c>
      <c r="O190" s="78">
        <f t="shared" si="54"/>
        <v>1</v>
      </c>
      <c r="P190" s="82"/>
      <c r="Q190" s="82"/>
      <c r="R190" s="80">
        <f t="shared" si="66"/>
        <v>1</v>
      </c>
      <c r="S190" s="77">
        <v>7</v>
      </c>
      <c r="T190" s="78">
        <f t="shared" si="55"/>
        <v>1</v>
      </c>
      <c r="U190" s="79"/>
      <c r="V190" s="79"/>
      <c r="W190" s="80">
        <f t="shared" si="67"/>
        <v>1</v>
      </c>
      <c r="X190" s="77">
        <v>7</v>
      </c>
      <c r="Y190" s="78">
        <f t="shared" si="56"/>
        <v>1</v>
      </c>
      <c r="Z190" s="79"/>
      <c r="AA190" s="79"/>
      <c r="AB190" s="80">
        <f t="shared" si="68"/>
        <v>1</v>
      </c>
      <c r="AC190" s="77">
        <v>7</v>
      </c>
      <c r="AD190" s="78">
        <f t="shared" si="57"/>
        <v>1</v>
      </c>
      <c r="AE190" s="79"/>
      <c r="AF190" s="79"/>
      <c r="AG190" s="80">
        <f t="shared" si="69"/>
        <v>1</v>
      </c>
      <c r="AH190" s="77">
        <f t="shared" si="70"/>
        <v>35</v>
      </c>
      <c r="AI190" s="79">
        <f t="shared" si="58"/>
        <v>0</v>
      </c>
      <c r="AJ190" s="79">
        <f t="shared" si="71"/>
        <v>0</v>
      </c>
      <c r="AK190" s="81">
        <f t="shared" si="72"/>
        <v>5</v>
      </c>
      <c r="AL190" s="81" t="str">
        <f t="shared" si="59"/>
        <v>CRIT</v>
      </c>
      <c r="AM190" s="81">
        <f t="shared" si="60"/>
        <v>22</v>
      </c>
      <c r="AN190" s="99">
        <f t="shared" si="61"/>
        <v>42884</v>
      </c>
      <c r="AO190" s="99">
        <f t="shared" si="62"/>
        <v>42888</v>
      </c>
      <c r="AP190" s="99"/>
      <c r="AQ190" s="73"/>
      <c r="AR190" s="67"/>
      <c r="AS190" s="132"/>
    </row>
    <row r="191" spans="1:45" ht="20.25" customHeight="1" thickTop="1" thickBot="1" x14ac:dyDescent="0.3">
      <c r="A191" s="74" t="str">
        <f t="shared" ca="1" si="63"/>
        <v/>
      </c>
      <c r="B191" s="75" t="str">
        <f t="shared" ca="1" si="64"/>
        <v/>
      </c>
      <c r="C191" s="76" t="str">
        <f>IF(AND('Interimaire Juin  2017'!D197=$B$1,'Interimaire Juin  2017'!J197=$B$2),'Interimaire Juin  2017'!E197,"")</f>
        <v/>
      </c>
      <c r="D191" s="76" t="str">
        <f>IF(AND('Interimaire Juin  2017'!D197=$B$1,'Interimaire Juin  2017'!J197=$B$2),'Interimaire Juin  2017'!F197,"")</f>
        <v/>
      </c>
      <c r="E191" s="76" t="str">
        <f t="shared" si="52"/>
        <v/>
      </c>
      <c r="F191" s="76" t="str">
        <f t="array" aca="1" ref="F191" ca="1">IFERROR(INDEX(C:C,SMALL($E$2:$E$300,ROW(INDIRECT("183:"&amp;ROWS(C183:C481))))),"")</f>
        <v/>
      </c>
      <c r="G191" s="76" t="str">
        <f t="array" aca="1" ref="G191" ca="1">IFERROR(INDEX(D:D,SMALL($E$2:$E$300,ROW(INDIRECT("183:"&amp;ROWS(D183:D481))))),"")</f>
        <v/>
      </c>
      <c r="H191" s="82"/>
      <c r="I191" s="77">
        <v>7</v>
      </c>
      <c r="J191" s="78">
        <f t="shared" si="53"/>
        <v>1</v>
      </c>
      <c r="K191" s="82"/>
      <c r="L191" s="82"/>
      <c r="M191" s="80">
        <f t="shared" si="65"/>
        <v>1</v>
      </c>
      <c r="N191" s="77">
        <v>7</v>
      </c>
      <c r="O191" s="78">
        <f t="shared" si="54"/>
        <v>1</v>
      </c>
      <c r="P191" s="82"/>
      <c r="Q191" s="82"/>
      <c r="R191" s="80">
        <f t="shared" si="66"/>
        <v>1</v>
      </c>
      <c r="S191" s="77">
        <v>7</v>
      </c>
      <c r="T191" s="78">
        <f t="shared" si="55"/>
        <v>1</v>
      </c>
      <c r="U191" s="79"/>
      <c r="V191" s="79"/>
      <c r="W191" s="80">
        <f t="shared" si="67"/>
        <v>1</v>
      </c>
      <c r="X191" s="77">
        <v>7</v>
      </c>
      <c r="Y191" s="78">
        <f t="shared" si="56"/>
        <v>1</v>
      </c>
      <c r="Z191" s="79"/>
      <c r="AA191" s="79"/>
      <c r="AB191" s="80">
        <f t="shared" si="68"/>
        <v>1</v>
      </c>
      <c r="AC191" s="77">
        <v>7</v>
      </c>
      <c r="AD191" s="78">
        <f t="shared" si="57"/>
        <v>1</v>
      </c>
      <c r="AE191" s="79"/>
      <c r="AF191" s="79"/>
      <c r="AG191" s="80">
        <f t="shared" si="69"/>
        <v>1</v>
      </c>
      <c r="AH191" s="77">
        <f t="shared" si="70"/>
        <v>35</v>
      </c>
      <c r="AI191" s="79">
        <f t="shared" si="58"/>
        <v>0</v>
      </c>
      <c r="AJ191" s="79">
        <f t="shared" si="71"/>
        <v>0</v>
      </c>
      <c r="AK191" s="81">
        <f t="shared" si="72"/>
        <v>5</v>
      </c>
      <c r="AL191" s="81" t="str">
        <f t="shared" si="59"/>
        <v>CRIT</v>
      </c>
      <c r="AM191" s="81">
        <f t="shared" si="60"/>
        <v>22</v>
      </c>
      <c r="AN191" s="99">
        <f t="shared" si="61"/>
        <v>42884</v>
      </c>
      <c r="AO191" s="99">
        <f t="shared" si="62"/>
        <v>42888</v>
      </c>
      <c r="AP191" s="99"/>
      <c r="AQ191" s="73"/>
      <c r="AR191" s="67"/>
      <c r="AS191" s="132"/>
    </row>
    <row r="192" spans="1:45" ht="20.25" customHeight="1" thickTop="1" thickBot="1" x14ac:dyDescent="0.3">
      <c r="A192" s="74" t="str">
        <f t="shared" ca="1" si="63"/>
        <v/>
      </c>
      <c r="B192" s="75" t="str">
        <f t="shared" ca="1" si="64"/>
        <v/>
      </c>
      <c r="C192" s="76" t="str">
        <f>IF(AND('Interimaire Juin  2017'!D198=$B$1,'Interimaire Juin  2017'!J198=$B$2),'Interimaire Juin  2017'!E198,"")</f>
        <v/>
      </c>
      <c r="D192" s="76" t="str">
        <f>IF(AND('Interimaire Juin  2017'!D198=$B$1,'Interimaire Juin  2017'!J198=$B$2),'Interimaire Juin  2017'!F198,"")</f>
        <v/>
      </c>
      <c r="E192" s="76" t="str">
        <f t="shared" si="52"/>
        <v/>
      </c>
      <c r="F192" s="76" t="str">
        <f t="array" aca="1" ref="F192" ca="1">IFERROR(INDEX(C:C,SMALL($E$2:$E$300,ROW(INDIRECT("184:"&amp;ROWS(C184:C482))))),"")</f>
        <v/>
      </c>
      <c r="G192" s="76" t="str">
        <f t="array" aca="1" ref="G192" ca="1">IFERROR(INDEX(D:D,SMALL($E$2:$E$300,ROW(INDIRECT("184:"&amp;ROWS(D184:D482))))),"")</f>
        <v/>
      </c>
      <c r="H192" s="82"/>
      <c r="I192" s="77">
        <v>7</v>
      </c>
      <c r="J192" s="78">
        <f t="shared" si="53"/>
        <v>1</v>
      </c>
      <c r="K192" s="82"/>
      <c r="L192" s="82"/>
      <c r="M192" s="80">
        <f t="shared" si="65"/>
        <v>1</v>
      </c>
      <c r="N192" s="77">
        <v>7</v>
      </c>
      <c r="O192" s="78">
        <f t="shared" si="54"/>
        <v>1</v>
      </c>
      <c r="P192" s="82"/>
      <c r="Q192" s="82"/>
      <c r="R192" s="80">
        <f t="shared" si="66"/>
        <v>1</v>
      </c>
      <c r="S192" s="77">
        <v>7</v>
      </c>
      <c r="T192" s="78">
        <f t="shared" si="55"/>
        <v>1</v>
      </c>
      <c r="U192" s="79"/>
      <c r="V192" s="79"/>
      <c r="W192" s="80">
        <f t="shared" si="67"/>
        <v>1</v>
      </c>
      <c r="X192" s="77">
        <v>7</v>
      </c>
      <c r="Y192" s="78">
        <f t="shared" si="56"/>
        <v>1</v>
      </c>
      <c r="Z192" s="79"/>
      <c r="AA192" s="79"/>
      <c r="AB192" s="80">
        <f t="shared" si="68"/>
        <v>1</v>
      </c>
      <c r="AC192" s="77">
        <v>7</v>
      </c>
      <c r="AD192" s="78">
        <f t="shared" si="57"/>
        <v>1</v>
      </c>
      <c r="AE192" s="79"/>
      <c r="AF192" s="79"/>
      <c r="AG192" s="80">
        <f t="shared" si="69"/>
        <v>1</v>
      </c>
      <c r="AH192" s="77">
        <f t="shared" si="70"/>
        <v>35</v>
      </c>
      <c r="AI192" s="79">
        <f t="shared" si="58"/>
        <v>0</v>
      </c>
      <c r="AJ192" s="79">
        <f t="shared" si="71"/>
        <v>0</v>
      </c>
      <c r="AK192" s="81">
        <f t="shared" si="72"/>
        <v>5</v>
      </c>
      <c r="AL192" s="81" t="str">
        <f t="shared" si="59"/>
        <v>CRIT</v>
      </c>
      <c r="AM192" s="81">
        <f t="shared" si="60"/>
        <v>22</v>
      </c>
      <c r="AN192" s="99">
        <f t="shared" si="61"/>
        <v>42884</v>
      </c>
      <c r="AO192" s="99">
        <f t="shared" si="62"/>
        <v>42888</v>
      </c>
      <c r="AP192" s="99"/>
      <c r="AQ192" s="73"/>
      <c r="AR192" s="67"/>
      <c r="AS192" s="132"/>
    </row>
    <row r="193" spans="1:45" ht="20.25" customHeight="1" thickTop="1" thickBot="1" x14ac:dyDescent="0.3">
      <c r="A193" s="74" t="str">
        <f t="shared" ca="1" si="63"/>
        <v/>
      </c>
      <c r="B193" s="75" t="str">
        <f t="shared" ca="1" si="64"/>
        <v/>
      </c>
      <c r="C193" s="76" t="str">
        <f>IF(AND('Interimaire Juin  2017'!D199=$B$1,'Interimaire Juin  2017'!J199=$B$2),'Interimaire Juin  2017'!E199,"")</f>
        <v/>
      </c>
      <c r="D193" s="76" t="str">
        <f>IF(AND('Interimaire Juin  2017'!D199=$B$1,'Interimaire Juin  2017'!J199=$B$2),'Interimaire Juin  2017'!F199,"")</f>
        <v/>
      </c>
      <c r="E193" s="76" t="str">
        <f t="shared" si="52"/>
        <v/>
      </c>
      <c r="F193" s="76" t="str">
        <f t="array" aca="1" ref="F193" ca="1">IFERROR(INDEX(C:C,SMALL($E$2:$E$300,ROW(INDIRECT("185:"&amp;ROWS(C185:C483))))),"")</f>
        <v/>
      </c>
      <c r="G193" s="76" t="str">
        <f t="array" aca="1" ref="G193" ca="1">IFERROR(INDEX(D:D,SMALL($E$2:$E$300,ROW(INDIRECT("185:"&amp;ROWS(D185:D483))))),"")</f>
        <v/>
      </c>
      <c r="H193" s="82"/>
      <c r="I193" s="77">
        <v>7</v>
      </c>
      <c r="J193" s="78">
        <f t="shared" si="53"/>
        <v>1</v>
      </c>
      <c r="K193" s="82"/>
      <c r="L193" s="82"/>
      <c r="M193" s="80">
        <f t="shared" si="65"/>
        <v>1</v>
      </c>
      <c r="N193" s="77">
        <v>7</v>
      </c>
      <c r="O193" s="78">
        <f t="shared" si="54"/>
        <v>1</v>
      </c>
      <c r="P193" s="82"/>
      <c r="Q193" s="82"/>
      <c r="R193" s="80">
        <f t="shared" si="66"/>
        <v>1</v>
      </c>
      <c r="S193" s="77">
        <v>7</v>
      </c>
      <c r="T193" s="78">
        <f t="shared" si="55"/>
        <v>1</v>
      </c>
      <c r="U193" s="79"/>
      <c r="V193" s="79"/>
      <c r="W193" s="80">
        <f t="shared" si="67"/>
        <v>1</v>
      </c>
      <c r="X193" s="77">
        <v>7</v>
      </c>
      <c r="Y193" s="78">
        <f t="shared" si="56"/>
        <v>1</v>
      </c>
      <c r="Z193" s="79"/>
      <c r="AA193" s="79"/>
      <c r="AB193" s="80">
        <f t="shared" si="68"/>
        <v>1</v>
      </c>
      <c r="AC193" s="77">
        <v>7</v>
      </c>
      <c r="AD193" s="78">
        <f t="shared" si="57"/>
        <v>1</v>
      </c>
      <c r="AE193" s="79"/>
      <c r="AF193" s="79"/>
      <c r="AG193" s="80">
        <f t="shared" si="69"/>
        <v>1</v>
      </c>
      <c r="AH193" s="77">
        <f t="shared" si="70"/>
        <v>35</v>
      </c>
      <c r="AI193" s="79">
        <f t="shared" si="58"/>
        <v>0</v>
      </c>
      <c r="AJ193" s="79">
        <f t="shared" si="71"/>
        <v>0</v>
      </c>
      <c r="AK193" s="81">
        <f t="shared" si="72"/>
        <v>5</v>
      </c>
      <c r="AL193" s="81" t="str">
        <f t="shared" si="59"/>
        <v>CRIT</v>
      </c>
      <c r="AM193" s="81">
        <f t="shared" si="60"/>
        <v>22</v>
      </c>
      <c r="AN193" s="99">
        <f t="shared" si="61"/>
        <v>42884</v>
      </c>
      <c r="AO193" s="99">
        <f t="shared" si="62"/>
        <v>42888</v>
      </c>
      <c r="AP193" s="99"/>
      <c r="AQ193" s="73"/>
      <c r="AR193" s="67"/>
      <c r="AS193" s="132"/>
    </row>
    <row r="194" spans="1:45" ht="20.25" customHeight="1" thickTop="1" thickBot="1" x14ac:dyDescent="0.3">
      <c r="A194" s="74" t="str">
        <f t="shared" ca="1" si="63"/>
        <v/>
      </c>
      <c r="B194" s="75" t="str">
        <f t="shared" ca="1" si="64"/>
        <v/>
      </c>
      <c r="C194" s="76" t="str">
        <f>IF(AND('Interimaire Juin  2017'!D200=$B$1,'Interimaire Juin  2017'!J200=$B$2),'Interimaire Juin  2017'!E200,"")</f>
        <v/>
      </c>
      <c r="D194" s="76" t="str">
        <f>IF(AND('Interimaire Juin  2017'!D200=$B$1,'Interimaire Juin  2017'!J200=$B$2),'Interimaire Juin  2017'!F200,"")</f>
        <v/>
      </c>
      <c r="E194" s="76" t="str">
        <f t="shared" si="52"/>
        <v/>
      </c>
      <c r="F194" s="76" t="str">
        <f t="array" aca="1" ref="F194" ca="1">IFERROR(INDEX(C:C,SMALL($E$2:$E$300,ROW(INDIRECT("186:"&amp;ROWS(C186:C484))))),"")</f>
        <v/>
      </c>
      <c r="G194" s="76" t="str">
        <f t="array" aca="1" ref="G194" ca="1">IFERROR(INDEX(D:D,SMALL($E$2:$E$300,ROW(INDIRECT("186:"&amp;ROWS(D186:D484))))),"")</f>
        <v/>
      </c>
      <c r="H194" s="82"/>
      <c r="I194" s="77">
        <v>7</v>
      </c>
      <c r="J194" s="78">
        <f t="shared" si="53"/>
        <v>1</v>
      </c>
      <c r="K194" s="82"/>
      <c r="L194" s="82"/>
      <c r="M194" s="80">
        <f t="shared" si="65"/>
        <v>1</v>
      </c>
      <c r="N194" s="77">
        <v>7</v>
      </c>
      <c r="O194" s="78">
        <f t="shared" si="54"/>
        <v>1</v>
      </c>
      <c r="P194" s="82"/>
      <c r="Q194" s="82"/>
      <c r="R194" s="80">
        <f t="shared" si="66"/>
        <v>1</v>
      </c>
      <c r="S194" s="77">
        <v>7</v>
      </c>
      <c r="T194" s="78">
        <f t="shared" si="55"/>
        <v>1</v>
      </c>
      <c r="U194" s="79"/>
      <c r="V194" s="79"/>
      <c r="W194" s="80">
        <f t="shared" si="67"/>
        <v>1</v>
      </c>
      <c r="X194" s="77">
        <v>7</v>
      </c>
      <c r="Y194" s="78">
        <f t="shared" si="56"/>
        <v>1</v>
      </c>
      <c r="Z194" s="79"/>
      <c r="AA194" s="79"/>
      <c r="AB194" s="80">
        <f t="shared" si="68"/>
        <v>1</v>
      </c>
      <c r="AC194" s="77">
        <v>7</v>
      </c>
      <c r="AD194" s="78">
        <f t="shared" si="57"/>
        <v>1</v>
      </c>
      <c r="AE194" s="79"/>
      <c r="AF194" s="79"/>
      <c r="AG194" s="80">
        <f t="shared" si="69"/>
        <v>1</v>
      </c>
      <c r="AH194" s="77">
        <f t="shared" si="70"/>
        <v>35</v>
      </c>
      <c r="AI194" s="79">
        <f t="shared" si="58"/>
        <v>0</v>
      </c>
      <c r="AJ194" s="79">
        <f t="shared" si="71"/>
        <v>0</v>
      </c>
      <c r="AK194" s="81">
        <f t="shared" si="72"/>
        <v>5</v>
      </c>
      <c r="AL194" s="81" t="str">
        <f t="shared" si="59"/>
        <v>CRIT</v>
      </c>
      <c r="AM194" s="81">
        <f t="shared" si="60"/>
        <v>22</v>
      </c>
      <c r="AN194" s="99">
        <f t="shared" si="61"/>
        <v>42884</v>
      </c>
      <c r="AO194" s="99">
        <f t="shared" si="62"/>
        <v>42888</v>
      </c>
      <c r="AP194" s="99"/>
      <c r="AQ194" s="73"/>
      <c r="AR194" s="67"/>
      <c r="AS194" s="132"/>
    </row>
    <row r="195" spans="1:45" ht="20.25" customHeight="1" thickTop="1" thickBot="1" x14ac:dyDescent="0.3">
      <c r="A195" s="74" t="str">
        <f t="shared" ca="1" si="63"/>
        <v/>
      </c>
      <c r="B195" s="75" t="str">
        <f t="shared" ca="1" si="64"/>
        <v/>
      </c>
      <c r="C195" s="76" t="str">
        <f>IF(AND('Interimaire Juin  2017'!D201=$B$1,'Interimaire Juin  2017'!J201=$B$2),'Interimaire Juin  2017'!E201,"")</f>
        <v/>
      </c>
      <c r="D195" s="76" t="str">
        <f>IF(AND('Interimaire Juin  2017'!D201=$B$1,'Interimaire Juin  2017'!J201=$B$2),'Interimaire Juin  2017'!F201,"")</f>
        <v/>
      </c>
      <c r="E195" s="76" t="str">
        <f t="shared" si="52"/>
        <v/>
      </c>
      <c r="F195" s="76" t="str">
        <f t="array" aca="1" ref="F195" ca="1">IFERROR(INDEX(C:C,SMALL($E$2:$E$300,ROW(INDIRECT("187:"&amp;ROWS(C187:C485))))),"")</f>
        <v/>
      </c>
      <c r="G195" s="76" t="str">
        <f t="array" aca="1" ref="G195" ca="1">IFERROR(INDEX(D:D,SMALL($E$2:$E$300,ROW(INDIRECT("187:"&amp;ROWS(D187:D485))))),"")</f>
        <v/>
      </c>
      <c r="H195" s="82"/>
      <c r="I195" s="77">
        <v>7</v>
      </c>
      <c r="J195" s="78">
        <f t="shared" si="53"/>
        <v>1</v>
      </c>
      <c r="K195" s="82"/>
      <c r="L195" s="82"/>
      <c r="M195" s="80">
        <f t="shared" si="65"/>
        <v>1</v>
      </c>
      <c r="N195" s="77">
        <v>7</v>
      </c>
      <c r="O195" s="78">
        <f t="shared" si="54"/>
        <v>1</v>
      </c>
      <c r="P195" s="82"/>
      <c r="Q195" s="82"/>
      <c r="R195" s="80">
        <f t="shared" si="66"/>
        <v>1</v>
      </c>
      <c r="S195" s="77">
        <v>7</v>
      </c>
      <c r="T195" s="78">
        <f t="shared" si="55"/>
        <v>1</v>
      </c>
      <c r="U195" s="79"/>
      <c r="V195" s="79"/>
      <c r="W195" s="80">
        <f t="shared" si="67"/>
        <v>1</v>
      </c>
      <c r="X195" s="77">
        <v>7</v>
      </c>
      <c r="Y195" s="78">
        <f t="shared" si="56"/>
        <v>1</v>
      </c>
      <c r="Z195" s="79"/>
      <c r="AA195" s="79"/>
      <c r="AB195" s="80">
        <f t="shared" si="68"/>
        <v>1</v>
      </c>
      <c r="AC195" s="77">
        <v>7</v>
      </c>
      <c r="AD195" s="78">
        <f t="shared" si="57"/>
        <v>1</v>
      </c>
      <c r="AE195" s="79"/>
      <c r="AF195" s="79"/>
      <c r="AG195" s="80">
        <f t="shared" si="69"/>
        <v>1</v>
      </c>
      <c r="AH195" s="77">
        <f t="shared" si="70"/>
        <v>35</v>
      </c>
      <c r="AI195" s="79">
        <f t="shared" si="58"/>
        <v>0</v>
      </c>
      <c r="AJ195" s="79">
        <f t="shared" si="71"/>
        <v>0</v>
      </c>
      <c r="AK195" s="81">
        <f t="shared" si="72"/>
        <v>5</v>
      </c>
      <c r="AL195" s="81" t="str">
        <f t="shared" si="59"/>
        <v>CRIT</v>
      </c>
      <c r="AM195" s="81">
        <f t="shared" si="60"/>
        <v>22</v>
      </c>
      <c r="AN195" s="99">
        <f t="shared" si="61"/>
        <v>42884</v>
      </c>
      <c r="AO195" s="99">
        <f t="shared" si="62"/>
        <v>42888</v>
      </c>
      <c r="AP195" s="99"/>
      <c r="AQ195" s="73"/>
      <c r="AR195" s="67"/>
      <c r="AS195" s="132"/>
    </row>
    <row r="196" spans="1:45" ht="20.25" customHeight="1" thickTop="1" thickBot="1" x14ac:dyDescent="0.3">
      <c r="A196" s="74" t="str">
        <f t="shared" ca="1" si="63"/>
        <v/>
      </c>
      <c r="B196" s="75" t="str">
        <f t="shared" ca="1" si="64"/>
        <v/>
      </c>
      <c r="C196" s="76" t="str">
        <f>IF(AND('Interimaire Juin  2017'!D202=$B$1,'Interimaire Juin  2017'!J202=$B$2),'Interimaire Juin  2017'!E202,"")</f>
        <v/>
      </c>
      <c r="D196" s="76" t="str">
        <f>IF(AND('Interimaire Juin  2017'!D202=$B$1,'Interimaire Juin  2017'!J202=$B$2),'Interimaire Juin  2017'!F202,"")</f>
        <v/>
      </c>
      <c r="E196" s="76" t="str">
        <f t="shared" si="52"/>
        <v/>
      </c>
      <c r="F196" s="76" t="str">
        <f t="array" aca="1" ref="F196" ca="1">IFERROR(INDEX(C:C,SMALL($E$2:$E$300,ROW(INDIRECT("188:"&amp;ROWS(C188:C486))))),"")</f>
        <v/>
      </c>
      <c r="G196" s="76" t="str">
        <f t="array" aca="1" ref="G196" ca="1">IFERROR(INDEX(D:D,SMALL($E$2:$E$300,ROW(INDIRECT("188:"&amp;ROWS(D188:D486))))),"")</f>
        <v/>
      </c>
      <c r="H196" s="82"/>
      <c r="I196" s="77">
        <v>7</v>
      </c>
      <c r="J196" s="78">
        <f t="shared" si="53"/>
        <v>1</v>
      </c>
      <c r="K196" s="82"/>
      <c r="L196" s="82"/>
      <c r="M196" s="80">
        <f t="shared" si="65"/>
        <v>1</v>
      </c>
      <c r="N196" s="77">
        <v>7</v>
      </c>
      <c r="O196" s="78">
        <f t="shared" si="54"/>
        <v>1</v>
      </c>
      <c r="P196" s="82"/>
      <c r="Q196" s="82"/>
      <c r="R196" s="80">
        <f t="shared" si="66"/>
        <v>1</v>
      </c>
      <c r="S196" s="77">
        <v>7</v>
      </c>
      <c r="T196" s="78">
        <f t="shared" si="55"/>
        <v>1</v>
      </c>
      <c r="U196" s="79"/>
      <c r="V196" s="79"/>
      <c r="W196" s="80">
        <f t="shared" si="67"/>
        <v>1</v>
      </c>
      <c r="X196" s="77">
        <v>7</v>
      </c>
      <c r="Y196" s="78">
        <f t="shared" si="56"/>
        <v>1</v>
      </c>
      <c r="Z196" s="79"/>
      <c r="AA196" s="79"/>
      <c r="AB196" s="80">
        <f t="shared" si="68"/>
        <v>1</v>
      </c>
      <c r="AC196" s="77">
        <v>7</v>
      </c>
      <c r="AD196" s="78">
        <f t="shared" si="57"/>
        <v>1</v>
      </c>
      <c r="AE196" s="79"/>
      <c r="AF196" s="79"/>
      <c r="AG196" s="80">
        <f t="shared" si="69"/>
        <v>1</v>
      </c>
      <c r="AH196" s="77">
        <f t="shared" si="70"/>
        <v>35</v>
      </c>
      <c r="AI196" s="79">
        <f t="shared" si="58"/>
        <v>0</v>
      </c>
      <c r="AJ196" s="79">
        <f t="shared" si="71"/>
        <v>0</v>
      </c>
      <c r="AK196" s="81">
        <f t="shared" si="72"/>
        <v>5</v>
      </c>
      <c r="AL196" s="81" t="str">
        <f t="shared" si="59"/>
        <v>CRIT</v>
      </c>
      <c r="AM196" s="81">
        <f t="shared" si="60"/>
        <v>22</v>
      </c>
      <c r="AN196" s="99">
        <f t="shared" si="61"/>
        <v>42884</v>
      </c>
      <c r="AO196" s="99">
        <f t="shared" si="62"/>
        <v>42888</v>
      </c>
      <c r="AP196" s="99"/>
      <c r="AQ196" s="73"/>
      <c r="AR196" s="67"/>
      <c r="AS196" s="132"/>
    </row>
    <row r="197" spans="1:45" ht="20.25" customHeight="1" thickTop="1" thickBot="1" x14ac:dyDescent="0.3">
      <c r="A197" s="74" t="str">
        <f t="shared" ca="1" si="63"/>
        <v/>
      </c>
      <c r="B197" s="75" t="str">
        <f t="shared" ca="1" si="64"/>
        <v/>
      </c>
      <c r="C197" s="76" t="str">
        <f>IF(AND('Interimaire Juin  2017'!D203=$B$1,'Interimaire Juin  2017'!J203=$B$2),'Interimaire Juin  2017'!E203,"")</f>
        <v/>
      </c>
      <c r="D197" s="76" t="str">
        <f>IF(AND('Interimaire Juin  2017'!D203=$B$1,'Interimaire Juin  2017'!J203=$B$2),'Interimaire Juin  2017'!F203,"")</f>
        <v/>
      </c>
      <c r="E197" s="76" t="str">
        <f t="shared" si="52"/>
        <v/>
      </c>
      <c r="F197" s="76" t="str">
        <f t="array" aca="1" ref="F197" ca="1">IFERROR(INDEX(C:C,SMALL($E$2:$E$300,ROW(INDIRECT("189:"&amp;ROWS(C189:C487))))),"")</f>
        <v/>
      </c>
      <c r="G197" s="76" t="str">
        <f t="array" aca="1" ref="G197" ca="1">IFERROR(INDEX(D:D,SMALL($E$2:$E$300,ROW(INDIRECT("189:"&amp;ROWS(D189:D487))))),"")</f>
        <v/>
      </c>
      <c r="H197" s="82"/>
      <c r="I197" s="77">
        <v>7</v>
      </c>
      <c r="J197" s="78">
        <f t="shared" si="53"/>
        <v>1</v>
      </c>
      <c r="K197" s="82"/>
      <c r="L197" s="82"/>
      <c r="M197" s="80">
        <f t="shared" si="65"/>
        <v>1</v>
      </c>
      <c r="N197" s="77">
        <v>7</v>
      </c>
      <c r="O197" s="78">
        <f t="shared" si="54"/>
        <v>1</v>
      </c>
      <c r="P197" s="82"/>
      <c r="Q197" s="82"/>
      <c r="R197" s="80">
        <f t="shared" si="66"/>
        <v>1</v>
      </c>
      <c r="S197" s="77">
        <v>7</v>
      </c>
      <c r="T197" s="78">
        <f t="shared" si="55"/>
        <v>1</v>
      </c>
      <c r="U197" s="79"/>
      <c r="V197" s="79"/>
      <c r="W197" s="80">
        <f t="shared" si="67"/>
        <v>1</v>
      </c>
      <c r="X197" s="77">
        <v>7</v>
      </c>
      <c r="Y197" s="78">
        <f t="shared" si="56"/>
        <v>1</v>
      </c>
      <c r="Z197" s="79"/>
      <c r="AA197" s="79"/>
      <c r="AB197" s="80">
        <f t="shared" si="68"/>
        <v>1</v>
      </c>
      <c r="AC197" s="77">
        <v>7</v>
      </c>
      <c r="AD197" s="78">
        <f t="shared" si="57"/>
        <v>1</v>
      </c>
      <c r="AE197" s="79"/>
      <c r="AF197" s="79"/>
      <c r="AG197" s="80">
        <f t="shared" si="69"/>
        <v>1</v>
      </c>
      <c r="AH197" s="77">
        <f t="shared" si="70"/>
        <v>35</v>
      </c>
      <c r="AI197" s="79">
        <f t="shared" si="58"/>
        <v>0</v>
      </c>
      <c r="AJ197" s="79">
        <f t="shared" si="71"/>
        <v>0</v>
      </c>
      <c r="AK197" s="81">
        <f t="shared" si="72"/>
        <v>5</v>
      </c>
      <c r="AL197" s="81" t="str">
        <f t="shared" si="59"/>
        <v>CRIT</v>
      </c>
      <c r="AM197" s="81">
        <f t="shared" si="60"/>
        <v>22</v>
      </c>
      <c r="AN197" s="99">
        <f t="shared" si="61"/>
        <v>42884</v>
      </c>
      <c r="AO197" s="99">
        <f t="shared" si="62"/>
        <v>42888</v>
      </c>
      <c r="AP197" s="99"/>
      <c r="AQ197" s="73"/>
      <c r="AR197" s="67"/>
      <c r="AS197" s="132"/>
    </row>
    <row r="198" spans="1:45" ht="20.25" customHeight="1" thickTop="1" thickBot="1" x14ac:dyDescent="0.3">
      <c r="A198" s="74" t="str">
        <f t="shared" ca="1" si="63"/>
        <v/>
      </c>
      <c r="B198" s="75" t="str">
        <f t="shared" ca="1" si="64"/>
        <v/>
      </c>
      <c r="C198" s="76" t="str">
        <f>IF(AND('Interimaire Juin  2017'!D204=$B$1,'Interimaire Juin  2017'!J204=$B$2),'Interimaire Juin  2017'!E204,"")</f>
        <v/>
      </c>
      <c r="D198" s="76" t="str">
        <f>IF(AND('Interimaire Juin  2017'!D204=$B$1,'Interimaire Juin  2017'!J204=$B$2),'Interimaire Juin  2017'!F204,"")</f>
        <v/>
      </c>
      <c r="E198" s="76" t="str">
        <f t="shared" si="52"/>
        <v/>
      </c>
      <c r="F198" s="76" t="str">
        <f t="array" aca="1" ref="F198" ca="1">IFERROR(INDEX(C:C,SMALL($E$2:$E$300,ROW(INDIRECT("190:"&amp;ROWS(C190:C488))))),"")</f>
        <v/>
      </c>
      <c r="G198" s="76" t="str">
        <f t="array" aca="1" ref="G198" ca="1">IFERROR(INDEX(D:D,SMALL($E$2:$E$300,ROW(INDIRECT("190:"&amp;ROWS(D190:D488))))),"")</f>
        <v/>
      </c>
      <c r="H198" s="82"/>
      <c r="I198" s="77">
        <v>7</v>
      </c>
      <c r="J198" s="78">
        <f t="shared" si="53"/>
        <v>1</v>
      </c>
      <c r="K198" s="82"/>
      <c r="L198" s="82"/>
      <c r="M198" s="80">
        <f t="shared" si="65"/>
        <v>1</v>
      </c>
      <c r="N198" s="77">
        <v>7</v>
      </c>
      <c r="O198" s="78">
        <f t="shared" si="54"/>
        <v>1</v>
      </c>
      <c r="P198" s="82"/>
      <c r="Q198" s="82"/>
      <c r="R198" s="80">
        <f t="shared" si="66"/>
        <v>1</v>
      </c>
      <c r="S198" s="77">
        <v>7</v>
      </c>
      <c r="T198" s="78">
        <f t="shared" si="55"/>
        <v>1</v>
      </c>
      <c r="U198" s="79"/>
      <c r="V198" s="79"/>
      <c r="W198" s="80">
        <f t="shared" si="67"/>
        <v>1</v>
      </c>
      <c r="X198" s="77">
        <v>7</v>
      </c>
      <c r="Y198" s="78">
        <f t="shared" si="56"/>
        <v>1</v>
      </c>
      <c r="Z198" s="79"/>
      <c r="AA198" s="79"/>
      <c r="AB198" s="80">
        <f t="shared" si="68"/>
        <v>1</v>
      </c>
      <c r="AC198" s="77">
        <v>7</v>
      </c>
      <c r="AD198" s="78">
        <f t="shared" si="57"/>
        <v>1</v>
      </c>
      <c r="AE198" s="79"/>
      <c r="AF198" s="79"/>
      <c r="AG198" s="80">
        <f t="shared" si="69"/>
        <v>1</v>
      </c>
      <c r="AH198" s="77">
        <f t="shared" si="70"/>
        <v>35</v>
      </c>
      <c r="AI198" s="79">
        <f t="shared" si="58"/>
        <v>0</v>
      </c>
      <c r="AJ198" s="79">
        <f t="shared" si="71"/>
        <v>0</v>
      </c>
      <c r="AK198" s="81">
        <f t="shared" si="72"/>
        <v>5</v>
      </c>
      <c r="AL198" s="81" t="str">
        <f t="shared" si="59"/>
        <v>CRIT</v>
      </c>
      <c r="AM198" s="81">
        <f t="shared" si="60"/>
        <v>22</v>
      </c>
      <c r="AN198" s="99">
        <f t="shared" si="61"/>
        <v>42884</v>
      </c>
      <c r="AO198" s="99">
        <f t="shared" si="62"/>
        <v>42888</v>
      </c>
      <c r="AP198" s="99"/>
      <c r="AQ198" s="73"/>
      <c r="AR198" s="67"/>
      <c r="AS198" s="132"/>
    </row>
    <row r="199" spans="1:45" ht="20.25" customHeight="1" thickTop="1" thickBot="1" x14ac:dyDescent="0.3">
      <c r="A199" s="74" t="str">
        <f t="shared" ca="1" si="63"/>
        <v/>
      </c>
      <c r="B199" s="75" t="str">
        <f t="shared" ca="1" si="64"/>
        <v/>
      </c>
      <c r="C199" s="76" t="str">
        <f>IF(AND('Interimaire Juin  2017'!D205=$B$1,'Interimaire Juin  2017'!J205=$B$2),'Interimaire Juin  2017'!E205,"")</f>
        <v/>
      </c>
      <c r="D199" s="76" t="str">
        <f>IF(AND('Interimaire Juin  2017'!D205=$B$1,'Interimaire Juin  2017'!J205=$B$2),'Interimaire Juin  2017'!F205,"")</f>
        <v/>
      </c>
      <c r="E199" s="76" t="str">
        <f t="shared" si="52"/>
        <v/>
      </c>
      <c r="F199" s="76" t="str">
        <f t="array" aca="1" ref="F199" ca="1">IFERROR(INDEX(C:C,SMALL($E$2:$E$300,ROW(INDIRECT("191:"&amp;ROWS(C191:C489))))),"")</f>
        <v/>
      </c>
      <c r="G199" s="76" t="str">
        <f t="array" aca="1" ref="G199" ca="1">IFERROR(INDEX(D:D,SMALL($E$2:$E$300,ROW(INDIRECT("191:"&amp;ROWS(D191:D489))))),"")</f>
        <v/>
      </c>
      <c r="H199" s="82"/>
      <c r="I199" s="77">
        <v>7</v>
      </c>
      <c r="J199" s="78">
        <f t="shared" si="53"/>
        <v>1</v>
      </c>
      <c r="K199" s="82"/>
      <c r="L199" s="82"/>
      <c r="M199" s="80">
        <f t="shared" si="65"/>
        <v>1</v>
      </c>
      <c r="N199" s="77">
        <v>7</v>
      </c>
      <c r="O199" s="78">
        <f t="shared" si="54"/>
        <v>1</v>
      </c>
      <c r="P199" s="82"/>
      <c r="Q199" s="82"/>
      <c r="R199" s="80">
        <f t="shared" si="66"/>
        <v>1</v>
      </c>
      <c r="S199" s="77">
        <v>7</v>
      </c>
      <c r="T199" s="78">
        <f t="shared" si="55"/>
        <v>1</v>
      </c>
      <c r="U199" s="79"/>
      <c r="V199" s="79"/>
      <c r="W199" s="80">
        <f t="shared" si="67"/>
        <v>1</v>
      </c>
      <c r="X199" s="77">
        <v>7</v>
      </c>
      <c r="Y199" s="78">
        <f t="shared" si="56"/>
        <v>1</v>
      </c>
      <c r="Z199" s="79"/>
      <c r="AA199" s="79"/>
      <c r="AB199" s="80">
        <f t="shared" si="68"/>
        <v>1</v>
      </c>
      <c r="AC199" s="77">
        <v>7</v>
      </c>
      <c r="AD199" s="78">
        <f t="shared" si="57"/>
        <v>1</v>
      </c>
      <c r="AE199" s="79"/>
      <c r="AF199" s="79"/>
      <c r="AG199" s="80">
        <f t="shared" si="69"/>
        <v>1</v>
      </c>
      <c r="AH199" s="77">
        <f t="shared" si="70"/>
        <v>35</v>
      </c>
      <c r="AI199" s="79">
        <f t="shared" si="58"/>
        <v>0</v>
      </c>
      <c r="AJ199" s="79">
        <f t="shared" si="71"/>
        <v>0</v>
      </c>
      <c r="AK199" s="81">
        <f t="shared" si="72"/>
        <v>5</v>
      </c>
      <c r="AL199" s="81" t="str">
        <f t="shared" si="59"/>
        <v>CRIT</v>
      </c>
      <c r="AM199" s="81">
        <f t="shared" si="60"/>
        <v>22</v>
      </c>
      <c r="AN199" s="99">
        <f t="shared" si="61"/>
        <v>42884</v>
      </c>
      <c r="AO199" s="99">
        <f t="shared" si="62"/>
        <v>42888</v>
      </c>
      <c r="AP199" s="99"/>
      <c r="AQ199" s="73"/>
      <c r="AR199" s="67"/>
      <c r="AS199" s="132"/>
    </row>
    <row r="200" spans="1:45" ht="20.25" customHeight="1" thickTop="1" thickBot="1" x14ac:dyDescent="0.3">
      <c r="A200" s="74" t="str">
        <f t="shared" ca="1" si="63"/>
        <v/>
      </c>
      <c r="B200" s="75" t="str">
        <f t="shared" ca="1" si="64"/>
        <v/>
      </c>
      <c r="C200" s="76" t="str">
        <f>IF(AND('Interimaire Juin  2017'!D206=$B$1,'Interimaire Juin  2017'!J206=$B$2),'Interimaire Juin  2017'!E206,"")</f>
        <v/>
      </c>
      <c r="D200" s="76" t="str">
        <f>IF(AND('Interimaire Juin  2017'!D206=$B$1,'Interimaire Juin  2017'!J206=$B$2),'Interimaire Juin  2017'!F206,"")</f>
        <v/>
      </c>
      <c r="E200" s="76" t="str">
        <f t="shared" si="52"/>
        <v/>
      </c>
      <c r="F200" s="76" t="str">
        <f t="array" aca="1" ref="F200" ca="1">IFERROR(INDEX(C:C,SMALL($E$2:$E$300,ROW(INDIRECT("192:"&amp;ROWS(C192:C490))))),"")</f>
        <v/>
      </c>
      <c r="G200" s="76" t="str">
        <f t="array" aca="1" ref="G200" ca="1">IFERROR(INDEX(D:D,SMALL($E$2:$E$300,ROW(INDIRECT("192:"&amp;ROWS(D192:D490))))),"")</f>
        <v/>
      </c>
      <c r="H200" s="82"/>
      <c r="I200" s="77">
        <v>7</v>
      </c>
      <c r="J200" s="78">
        <f t="shared" si="53"/>
        <v>1</v>
      </c>
      <c r="K200" s="82"/>
      <c r="L200" s="82"/>
      <c r="M200" s="80">
        <f t="shared" si="65"/>
        <v>1</v>
      </c>
      <c r="N200" s="77">
        <v>7</v>
      </c>
      <c r="O200" s="78">
        <f t="shared" si="54"/>
        <v>1</v>
      </c>
      <c r="P200" s="82"/>
      <c r="Q200" s="82"/>
      <c r="R200" s="80">
        <f t="shared" si="66"/>
        <v>1</v>
      </c>
      <c r="S200" s="77">
        <v>7</v>
      </c>
      <c r="T200" s="78">
        <f t="shared" si="55"/>
        <v>1</v>
      </c>
      <c r="U200" s="79"/>
      <c r="V200" s="79"/>
      <c r="W200" s="80">
        <f t="shared" si="67"/>
        <v>1</v>
      </c>
      <c r="X200" s="77">
        <v>7</v>
      </c>
      <c r="Y200" s="78">
        <f t="shared" si="56"/>
        <v>1</v>
      </c>
      <c r="Z200" s="79"/>
      <c r="AA200" s="79"/>
      <c r="AB200" s="80">
        <f t="shared" si="68"/>
        <v>1</v>
      </c>
      <c r="AC200" s="77">
        <v>7</v>
      </c>
      <c r="AD200" s="78">
        <f t="shared" si="57"/>
        <v>1</v>
      </c>
      <c r="AE200" s="79"/>
      <c r="AF200" s="79"/>
      <c r="AG200" s="80">
        <f t="shared" si="69"/>
        <v>1</v>
      </c>
      <c r="AH200" s="77">
        <f t="shared" si="70"/>
        <v>35</v>
      </c>
      <c r="AI200" s="79">
        <f t="shared" si="58"/>
        <v>0</v>
      </c>
      <c r="AJ200" s="79">
        <f t="shared" si="71"/>
        <v>0</v>
      </c>
      <c r="AK200" s="81">
        <f t="shared" si="72"/>
        <v>5</v>
      </c>
      <c r="AL200" s="81" t="str">
        <f t="shared" si="59"/>
        <v>CRIT</v>
      </c>
      <c r="AM200" s="81">
        <f t="shared" si="60"/>
        <v>22</v>
      </c>
      <c r="AN200" s="99">
        <f t="shared" si="61"/>
        <v>42884</v>
      </c>
      <c r="AO200" s="99">
        <f t="shared" si="62"/>
        <v>42888</v>
      </c>
      <c r="AP200" s="99"/>
      <c r="AQ200" s="73"/>
      <c r="AR200" s="67"/>
      <c r="AS200" s="132"/>
    </row>
    <row r="201" spans="1:45" ht="20.25" customHeight="1" thickTop="1" thickBot="1" x14ac:dyDescent="0.3">
      <c r="A201" s="74" t="str">
        <f t="shared" ca="1" si="63"/>
        <v/>
      </c>
      <c r="B201" s="75" t="str">
        <f t="shared" ca="1" si="64"/>
        <v/>
      </c>
      <c r="C201" s="76" t="str">
        <f>IF(AND('Interimaire Juin  2017'!D207=$B$1,'Interimaire Juin  2017'!J207=$B$2),'Interimaire Juin  2017'!E207,"")</f>
        <v/>
      </c>
      <c r="D201" s="76" t="str">
        <f>IF(AND('Interimaire Juin  2017'!D207=$B$1,'Interimaire Juin  2017'!J207=$B$2),'Interimaire Juin  2017'!F207,"")</f>
        <v/>
      </c>
      <c r="E201" s="76" t="str">
        <f t="shared" si="52"/>
        <v/>
      </c>
      <c r="F201" s="76" t="str">
        <f t="array" aca="1" ref="F201" ca="1">IFERROR(INDEX(C:C,SMALL($E$2:$E$300,ROW(INDIRECT("193:"&amp;ROWS(C193:C491))))),"")</f>
        <v/>
      </c>
      <c r="G201" s="76" t="str">
        <f t="array" aca="1" ref="G201" ca="1">IFERROR(INDEX(D:D,SMALL($E$2:$E$300,ROW(INDIRECT("193:"&amp;ROWS(D193:D491))))),"")</f>
        <v/>
      </c>
      <c r="H201" s="82"/>
      <c r="I201" s="77">
        <v>7</v>
      </c>
      <c r="J201" s="78">
        <f t="shared" si="53"/>
        <v>1</v>
      </c>
      <c r="K201" s="82"/>
      <c r="L201" s="82"/>
      <c r="M201" s="80">
        <f t="shared" si="65"/>
        <v>1</v>
      </c>
      <c r="N201" s="77">
        <v>7</v>
      </c>
      <c r="O201" s="78">
        <f t="shared" si="54"/>
        <v>1</v>
      </c>
      <c r="P201" s="82"/>
      <c r="Q201" s="82"/>
      <c r="R201" s="80">
        <f t="shared" si="66"/>
        <v>1</v>
      </c>
      <c r="S201" s="77">
        <v>7</v>
      </c>
      <c r="T201" s="78">
        <f t="shared" si="55"/>
        <v>1</v>
      </c>
      <c r="U201" s="79"/>
      <c r="V201" s="79"/>
      <c r="W201" s="80">
        <f t="shared" si="67"/>
        <v>1</v>
      </c>
      <c r="X201" s="77">
        <v>7</v>
      </c>
      <c r="Y201" s="78">
        <f t="shared" si="56"/>
        <v>1</v>
      </c>
      <c r="Z201" s="79"/>
      <c r="AA201" s="79"/>
      <c r="AB201" s="80">
        <f t="shared" si="68"/>
        <v>1</v>
      </c>
      <c r="AC201" s="77">
        <v>7</v>
      </c>
      <c r="AD201" s="78">
        <f t="shared" si="57"/>
        <v>1</v>
      </c>
      <c r="AE201" s="79"/>
      <c r="AF201" s="79"/>
      <c r="AG201" s="80">
        <f t="shared" si="69"/>
        <v>1</v>
      </c>
      <c r="AH201" s="77">
        <f t="shared" si="70"/>
        <v>35</v>
      </c>
      <c r="AI201" s="79">
        <f t="shared" si="58"/>
        <v>0</v>
      </c>
      <c r="AJ201" s="79">
        <f t="shared" si="71"/>
        <v>0</v>
      </c>
      <c r="AK201" s="81">
        <f t="shared" si="72"/>
        <v>5</v>
      </c>
      <c r="AL201" s="81" t="str">
        <f t="shared" si="59"/>
        <v>CRIT</v>
      </c>
      <c r="AM201" s="81">
        <f t="shared" si="60"/>
        <v>22</v>
      </c>
      <c r="AN201" s="99">
        <f t="shared" si="61"/>
        <v>42884</v>
      </c>
      <c r="AO201" s="99">
        <f t="shared" si="62"/>
        <v>42888</v>
      </c>
      <c r="AP201" s="99"/>
      <c r="AQ201" s="73"/>
      <c r="AR201" s="67"/>
      <c r="AS201" s="132"/>
    </row>
    <row r="202" spans="1:45" ht="20.25" customHeight="1" thickTop="1" thickBot="1" x14ac:dyDescent="0.3">
      <c r="A202" s="74" t="str">
        <f t="shared" ca="1" si="63"/>
        <v/>
      </c>
      <c r="B202" s="75" t="str">
        <f t="shared" ca="1" si="64"/>
        <v/>
      </c>
      <c r="C202" s="76" t="str">
        <f>IF(AND('Interimaire Juin  2017'!D208=$B$1,'Interimaire Juin  2017'!J208=$B$2),'Interimaire Juin  2017'!E208,"")</f>
        <v/>
      </c>
      <c r="D202" s="76" t="str">
        <f>IF(AND('Interimaire Juin  2017'!D208=$B$1,'Interimaire Juin  2017'!J208=$B$2),'Interimaire Juin  2017'!F208,"")</f>
        <v/>
      </c>
      <c r="E202" s="76" t="str">
        <f t="shared" ref="E202:E265" si="73">IF(D202="","",ROW())</f>
        <v/>
      </c>
      <c r="F202" s="76" t="str">
        <f t="array" aca="1" ref="F202" ca="1">IFERROR(INDEX(C:C,SMALL($E$2:$E$300,ROW(INDIRECT("194:"&amp;ROWS(C194:C492))))),"")</f>
        <v/>
      </c>
      <c r="G202" s="76" t="str">
        <f t="array" aca="1" ref="G202" ca="1">IFERROR(INDEX(D:D,SMALL($E$2:$E$300,ROW(INDIRECT("194:"&amp;ROWS(D194:D492))))),"")</f>
        <v/>
      </c>
      <c r="H202" s="82"/>
      <c r="I202" s="77">
        <v>7</v>
      </c>
      <c r="J202" s="78">
        <f t="shared" ref="J202:J265" si="74">+IF(I202&gt;=6,1,0)</f>
        <v>1</v>
      </c>
      <c r="K202" s="82"/>
      <c r="L202" s="82"/>
      <c r="M202" s="80">
        <f t="shared" si="65"/>
        <v>1</v>
      </c>
      <c r="N202" s="77">
        <v>7</v>
      </c>
      <c r="O202" s="78">
        <f t="shared" ref="O202:O265" si="75">+IF(N202&gt;=6,1,0)</f>
        <v>1</v>
      </c>
      <c r="P202" s="82"/>
      <c r="Q202" s="82"/>
      <c r="R202" s="80">
        <f t="shared" si="66"/>
        <v>1</v>
      </c>
      <c r="S202" s="77">
        <v>7</v>
      </c>
      <c r="T202" s="78">
        <f t="shared" ref="T202:T265" si="76">+IF(S202&gt;=6,1,0)</f>
        <v>1</v>
      </c>
      <c r="U202" s="79"/>
      <c r="V202" s="79"/>
      <c r="W202" s="80">
        <f t="shared" si="67"/>
        <v>1</v>
      </c>
      <c r="X202" s="77">
        <v>7</v>
      </c>
      <c r="Y202" s="78">
        <f t="shared" ref="Y202:Y265" si="77">+IF(X202&gt;=6,1,0)</f>
        <v>1</v>
      </c>
      <c r="Z202" s="79"/>
      <c r="AA202" s="79"/>
      <c r="AB202" s="80">
        <f t="shared" si="68"/>
        <v>1</v>
      </c>
      <c r="AC202" s="77">
        <v>7</v>
      </c>
      <c r="AD202" s="78">
        <f t="shared" ref="AD202:AD265" si="78">+IF(AC202&gt;=6,1,0)</f>
        <v>1</v>
      </c>
      <c r="AE202" s="79"/>
      <c r="AF202" s="79"/>
      <c r="AG202" s="80">
        <f t="shared" si="69"/>
        <v>1</v>
      </c>
      <c r="AH202" s="77">
        <f t="shared" si="70"/>
        <v>35</v>
      </c>
      <c r="AI202" s="79">
        <f t="shared" ref="AI202:AI265" si="79">+IF(AH202&lt;=35,0,AH202-35)</f>
        <v>0</v>
      </c>
      <c r="AJ202" s="79">
        <f t="shared" si="71"/>
        <v>0</v>
      </c>
      <c r="AK202" s="81">
        <f t="shared" si="72"/>
        <v>5</v>
      </c>
      <c r="AL202" s="81" t="str">
        <f t="shared" ref="AL202:AL265" si="80">+IF($B$1="","",$B$1)</f>
        <v>CRIT</v>
      </c>
      <c r="AM202" s="81">
        <f t="shared" ref="AM202:AM265" si="81">+IF($B$2="","",$B$2)</f>
        <v>22</v>
      </c>
      <c r="AN202" s="99">
        <f t="shared" ref="AN202:AN265" si="82">+IF($B$3="","",$B$3)</f>
        <v>42884</v>
      </c>
      <c r="AO202" s="99">
        <f t="shared" ref="AO202:AO265" si="83">+IF($B$4="","",$B$4)</f>
        <v>42888</v>
      </c>
      <c r="AP202" s="99"/>
      <c r="AQ202" s="73"/>
      <c r="AR202" s="67"/>
      <c r="AS202" s="132"/>
    </row>
    <row r="203" spans="1:45" ht="20.25" customHeight="1" thickTop="1" thickBot="1" x14ac:dyDescent="0.3">
      <c r="A203" s="74" t="str">
        <f t="shared" ca="1" si="63"/>
        <v/>
      </c>
      <c r="B203" s="75" t="str">
        <f t="shared" ca="1" si="64"/>
        <v/>
      </c>
      <c r="C203" s="76" t="str">
        <f>IF(AND('Interimaire Juin  2017'!D209=$B$1,'Interimaire Juin  2017'!J209=$B$2),'Interimaire Juin  2017'!E209,"")</f>
        <v/>
      </c>
      <c r="D203" s="76" t="str">
        <f>IF(AND('Interimaire Juin  2017'!D209=$B$1,'Interimaire Juin  2017'!J209=$B$2),'Interimaire Juin  2017'!F209,"")</f>
        <v/>
      </c>
      <c r="E203" s="76" t="str">
        <f t="shared" si="73"/>
        <v/>
      </c>
      <c r="F203" s="76" t="str">
        <f t="array" aca="1" ref="F203" ca="1">IFERROR(INDEX(C:C,SMALL($E$2:$E$300,ROW(INDIRECT("195:"&amp;ROWS(C195:C493))))),"")</f>
        <v/>
      </c>
      <c r="G203" s="76" t="str">
        <f t="array" aca="1" ref="G203" ca="1">IFERROR(INDEX(D:D,SMALL($E$2:$E$300,ROW(INDIRECT("195:"&amp;ROWS(D195:D493))))),"")</f>
        <v/>
      </c>
      <c r="H203" s="82"/>
      <c r="I203" s="77">
        <v>7</v>
      </c>
      <c r="J203" s="78">
        <f t="shared" si="74"/>
        <v>1</v>
      </c>
      <c r="K203" s="82"/>
      <c r="L203" s="82"/>
      <c r="M203" s="80">
        <f t="shared" si="65"/>
        <v>1</v>
      </c>
      <c r="N203" s="77">
        <v>7</v>
      </c>
      <c r="O203" s="78">
        <f t="shared" si="75"/>
        <v>1</v>
      </c>
      <c r="P203" s="82"/>
      <c r="Q203" s="82"/>
      <c r="R203" s="80">
        <f t="shared" si="66"/>
        <v>1</v>
      </c>
      <c r="S203" s="77">
        <v>7</v>
      </c>
      <c r="T203" s="78">
        <f t="shared" si="76"/>
        <v>1</v>
      </c>
      <c r="U203" s="79"/>
      <c r="V203" s="79"/>
      <c r="W203" s="80">
        <f t="shared" si="67"/>
        <v>1</v>
      </c>
      <c r="X203" s="77">
        <v>7</v>
      </c>
      <c r="Y203" s="78">
        <f t="shared" si="77"/>
        <v>1</v>
      </c>
      <c r="Z203" s="79"/>
      <c r="AA203" s="79"/>
      <c r="AB203" s="80">
        <f t="shared" si="68"/>
        <v>1</v>
      </c>
      <c r="AC203" s="77">
        <v>7</v>
      </c>
      <c r="AD203" s="78">
        <f t="shared" si="78"/>
        <v>1</v>
      </c>
      <c r="AE203" s="79"/>
      <c r="AF203" s="79"/>
      <c r="AG203" s="80">
        <f t="shared" si="69"/>
        <v>1</v>
      </c>
      <c r="AH203" s="77">
        <f t="shared" si="70"/>
        <v>35</v>
      </c>
      <c r="AI203" s="79">
        <f t="shared" si="79"/>
        <v>0</v>
      </c>
      <c r="AJ203" s="79">
        <f t="shared" si="71"/>
        <v>0</v>
      </c>
      <c r="AK203" s="81">
        <f t="shared" si="72"/>
        <v>5</v>
      </c>
      <c r="AL203" s="81" t="str">
        <f t="shared" si="80"/>
        <v>CRIT</v>
      </c>
      <c r="AM203" s="81">
        <f t="shared" si="81"/>
        <v>22</v>
      </c>
      <c r="AN203" s="99">
        <f t="shared" si="82"/>
        <v>42884</v>
      </c>
      <c r="AO203" s="99">
        <f t="shared" si="83"/>
        <v>42888</v>
      </c>
      <c r="AP203" s="99"/>
      <c r="AQ203" s="73"/>
      <c r="AR203" s="67"/>
      <c r="AS203" s="132"/>
    </row>
    <row r="204" spans="1:45" ht="20.25" customHeight="1" thickTop="1" thickBot="1" x14ac:dyDescent="0.3">
      <c r="A204" s="74" t="str">
        <f t="shared" ca="1" si="63"/>
        <v/>
      </c>
      <c r="B204" s="75" t="str">
        <f t="shared" ca="1" si="64"/>
        <v/>
      </c>
      <c r="C204" s="76" t="str">
        <f>IF(AND('Interimaire Juin  2017'!D210=$B$1,'Interimaire Juin  2017'!J210=$B$2),'Interimaire Juin  2017'!E210,"")</f>
        <v/>
      </c>
      <c r="D204" s="76" t="str">
        <f>IF(AND('Interimaire Juin  2017'!D210=$B$1,'Interimaire Juin  2017'!J210=$B$2),'Interimaire Juin  2017'!F210,"")</f>
        <v/>
      </c>
      <c r="E204" s="76" t="str">
        <f t="shared" si="73"/>
        <v/>
      </c>
      <c r="F204" s="76" t="str">
        <f t="array" aca="1" ref="F204" ca="1">IFERROR(INDEX(C:C,SMALL($E$2:$E$300,ROW(INDIRECT("196:"&amp;ROWS(C196:C494))))),"")</f>
        <v/>
      </c>
      <c r="G204" s="76" t="str">
        <f t="array" aca="1" ref="G204" ca="1">IFERROR(INDEX(D:D,SMALL($E$2:$E$300,ROW(INDIRECT("196:"&amp;ROWS(D196:D494))))),"")</f>
        <v/>
      </c>
      <c r="H204" s="82"/>
      <c r="I204" s="77">
        <v>7</v>
      </c>
      <c r="J204" s="78">
        <f t="shared" si="74"/>
        <v>1</v>
      </c>
      <c r="K204" s="82"/>
      <c r="L204" s="82"/>
      <c r="M204" s="80">
        <f t="shared" si="65"/>
        <v>1</v>
      </c>
      <c r="N204" s="77">
        <v>7</v>
      </c>
      <c r="O204" s="78">
        <f t="shared" si="75"/>
        <v>1</v>
      </c>
      <c r="P204" s="82"/>
      <c r="Q204" s="82"/>
      <c r="R204" s="80">
        <f t="shared" si="66"/>
        <v>1</v>
      </c>
      <c r="S204" s="77">
        <v>7</v>
      </c>
      <c r="T204" s="78">
        <f t="shared" si="76"/>
        <v>1</v>
      </c>
      <c r="U204" s="79"/>
      <c r="V204" s="79"/>
      <c r="W204" s="80">
        <f t="shared" si="67"/>
        <v>1</v>
      </c>
      <c r="X204" s="77">
        <v>7</v>
      </c>
      <c r="Y204" s="78">
        <f t="shared" si="77"/>
        <v>1</v>
      </c>
      <c r="Z204" s="79"/>
      <c r="AA204" s="79"/>
      <c r="AB204" s="80">
        <f t="shared" si="68"/>
        <v>1</v>
      </c>
      <c r="AC204" s="77">
        <v>7</v>
      </c>
      <c r="AD204" s="78">
        <f t="shared" si="78"/>
        <v>1</v>
      </c>
      <c r="AE204" s="79"/>
      <c r="AF204" s="79"/>
      <c r="AG204" s="80">
        <f t="shared" si="69"/>
        <v>1</v>
      </c>
      <c r="AH204" s="77">
        <f t="shared" si="70"/>
        <v>35</v>
      </c>
      <c r="AI204" s="79">
        <f t="shared" si="79"/>
        <v>0</v>
      </c>
      <c r="AJ204" s="79">
        <f t="shared" si="71"/>
        <v>0</v>
      </c>
      <c r="AK204" s="81">
        <f t="shared" si="72"/>
        <v>5</v>
      </c>
      <c r="AL204" s="81" t="str">
        <f t="shared" si="80"/>
        <v>CRIT</v>
      </c>
      <c r="AM204" s="81">
        <f t="shared" si="81"/>
        <v>22</v>
      </c>
      <c r="AN204" s="99">
        <f t="shared" si="82"/>
        <v>42884</v>
      </c>
      <c r="AO204" s="99">
        <f t="shared" si="83"/>
        <v>42888</v>
      </c>
      <c r="AP204" s="99"/>
      <c r="AQ204" s="73"/>
      <c r="AR204" s="67"/>
      <c r="AS204" s="132"/>
    </row>
    <row r="205" spans="1:45" ht="20.25" customHeight="1" thickTop="1" thickBot="1" x14ac:dyDescent="0.3">
      <c r="A205" s="74" t="str">
        <f t="shared" ca="1" si="63"/>
        <v/>
      </c>
      <c r="B205" s="75" t="str">
        <f t="shared" ca="1" si="64"/>
        <v/>
      </c>
      <c r="C205" s="76" t="str">
        <f>IF(AND('Interimaire Juin  2017'!D211=$B$1,'Interimaire Juin  2017'!J211=$B$2),'Interimaire Juin  2017'!E211,"")</f>
        <v/>
      </c>
      <c r="D205" s="76" t="str">
        <f>IF(AND('Interimaire Juin  2017'!D211=$B$1,'Interimaire Juin  2017'!J211=$B$2),'Interimaire Juin  2017'!F211,"")</f>
        <v/>
      </c>
      <c r="E205" s="76" t="str">
        <f t="shared" si="73"/>
        <v/>
      </c>
      <c r="F205" s="76" t="str">
        <f t="array" aca="1" ref="F205" ca="1">IFERROR(INDEX(C:C,SMALL($E$2:$E$300,ROW(INDIRECT("197:"&amp;ROWS(C197:C495))))),"")</f>
        <v/>
      </c>
      <c r="G205" s="76" t="str">
        <f t="array" aca="1" ref="G205" ca="1">IFERROR(INDEX(D:D,SMALL($E$2:$E$300,ROW(INDIRECT("197:"&amp;ROWS(D197:D495))))),"")</f>
        <v/>
      </c>
      <c r="H205" s="82"/>
      <c r="I205" s="77">
        <v>7</v>
      </c>
      <c r="J205" s="78">
        <f t="shared" si="74"/>
        <v>1</v>
      </c>
      <c r="K205" s="82"/>
      <c r="L205" s="82"/>
      <c r="M205" s="80">
        <f t="shared" si="65"/>
        <v>1</v>
      </c>
      <c r="N205" s="77">
        <v>7</v>
      </c>
      <c r="O205" s="78">
        <f t="shared" si="75"/>
        <v>1</v>
      </c>
      <c r="P205" s="82"/>
      <c r="Q205" s="82"/>
      <c r="R205" s="80">
        <f t="shared" si="66"/>
        <v>1</v>
      </c>
      <c r="S205" s="77">
        <v>7</v>
      </c>
      <c r="T205" s="78">
        <f t="shared" si="76"/>
        <v>1</v>
      </c>
      <c r="U205" s="79"/>
      <c r="V205" s="79"/>
      <c r="W205" s="80">
        <f t="shared" si="67"/>
        <v>1</v>
      </c>
      <c r="X205" s="77">
        <v>7</v>
      </c>
      <c r="Y205" s="78">
        <f t="shared" si="77"/>
        <v>1</v>
      </c>
      <c r="Z205" s="79"/>
      <c r="AA205" s="79"/>
      <c r="AB205" s="80">
        <f t="shared" si="68"/>
        <v>1</v>
      </c>
      <c r="AC205" s="77">
        <v>7</v>
      </c>
      <c r="AD205" s="78">
        <f t="shared" si="78"/>
        <v>1</v>
      </c>
      <c r="AE205" s="79"/>
      <c r="AF205" s="79"/>
      <c r="AG205" s="80">
        <f t="shared" si="69"/>
        <v>1</v>
      </c>
      <c r="AH205" s="77">
        <f t="shared" si="70"/>
        <v>35</v>
      </c>
      <c r="AI205" s="79">
        <f t="shared" si="79"/>
        <v>0</v>
      </c>
      <c r="AJ205" s="79">
        <f t="shared" si="71"/>
        <v>0</v>
      </c>
      <c r="AK205" s="81">
        <f t="shared" si="72"/>
        <v>5</v>
      </c>
      <c r="AL205" s="81" t="str">
        <f t="shared" si="80"/>
        <v>CRIT</v>
      </c>
      <c r="AM205" s="81">
        <f t="shared" si="81"/>
        <v>22</v>
      </c>
      <c r="AN205" s="99">
        <f t="shared" si="82"/>
        <v>42884</v>
      </c>
      <c r="AO205" s="99">
        <f t="shared" si="83"/>
        <v>42888</v>
      </c>
      <c r="AP205" s="99"/>
      <c r="AQ205" s="73"/>
      <c r="AR205" s="67"/>
      <c r="AS205" s="132"/>
    </row>
    <row r="206" spans="1:45" ht="20.25" customHeight="1" thickTop="1" thickBot="1" x14ac:dyDescent="0.3">
      <c r="A206" s="74" t="str">
        <f t="shared" ca="1" si="63"/>
        <v/>
      </c>
      <c r="B206" s="75" t="str">
        <f t="shared" ca="1" si="64"/>
        <v/>
      </c>
      <c r="C206" s="76" t="str">
        <f>IF(AND('Interimaire Juin  2017'!D212=$B$1,'Interimaire Juin  2017'!J212=$B$2),'Interimaire Juin  2017'!E212,"")</f>
        <v/>
      </c>
      <c r="D206" s="76" t="str">
        <f>IF(AND('Interimaire Juin  2017'!D212=$B$1,'Interimaire Juin  2017'!J212=$B$2),'Interimaire Juin  2017'!F212,"")</f>
        <v/>
      </c>
      <c r="E206" s="76" t="str">
        <f t="shared" si="73"/>
        <v/>
      </c>
      <c r="F206" s="76" t="str">
        <f t="array" aca="1" ref="F206" ca="1">IFERROR(INDEX(C:C,SMALL($E$2:$E$300,ROW(INDIRECT("198:"&amp;ROWS(C198:C496))))),"")</f>
        <v/>
      </c>
      <c r="G206" s="76" t="str">
        <f t="array" aca="1" ref="G206" ca="1">IFERROR(INDEX(D:D,SMALL($E$2:$E$300,ROW(INDIRECT("198:"&amp;ROWS(D198:D496))))),"")</f>
        <v/>
      </c>
      <c r="H206" s="82"/>
      <c r="I206" s="77">
        <v>7</v>
      </c>
      <c r="J206" s="78">
        <f t="shared" si="74"/>
        <v>1</v>
      </c>
      <c r="K206" s="82"/>
      <c r="L206" s="82"/>
      <c r="M206" s="80">
        <f t="shared" si="65"/>
        <v>1</v>
      </c>
      <c r="N206" s="77">
        <v>7</v>
      </c>
      <c r="O206" s="78">
        <f t="shared" si="75"/>
        <v>1</v>
      </c>
      <c r="P206" s="82"/>
      <c r="Q206" s="82"/>
      <c r="R206" s="80">
        <f t="shared" si="66"/>
        <v>1</v>
      </c>
      <c r="S206" s="77">
        <v>7</v>
      </c>
      <c r="T206" s="78">
        <f t="shared" si="76"/>
        <v>1</v>
      </c>
      <c r="U206" s="79"/>
      <c r="V206" s="79"/>
      <c r="W206" s="80">
        <f t="shared" si="67"/>
        <v>1</v>
      </c>
      <c r="X206" s="77">
        <v>7</v>
      </c>
      <c r="Y206" s="78">
        <f t="shared" si="77"/>
        <v>1</v>
      </c>
      <c r="Z206" s="79"/>
      <c r="AA206" s="79"/>
      <c r="AB206" s="80">
        <f t="shared" si="68"/>
        <v>1</v>
      </c>
      <c r="AC206" s="77">
        <v>7</v>
      </c>
      <c r="AD206" s="78">
        <f t="shared" si="78"/>
        <v>1</v>
      </c>
      <c r="AE206" s="79"/>
      <c r="AF206" s="79"/>
      <c r="AG206" s="80">
        <f t="shared" si="69"/>
        <v>1</v>
      </c>
      <c r="AH206" s="77">
        <f t="shared" si="70"/>
        <v>35</v>
      </c>
      <c r="AI206" s="79">
        <f t="shared" si="79"/>
        <v>0</v>
      </c>
      <c r="AJ206" s="79">
        <f t="shared" si="71"/>
        <v>0</v>
      </c>
      <c r="AK206" s="81">
        <f t="shared" si="72"/>
        <v>5</v>
      </c>
      <c r="AL206" s="81" t="str">
        <f t="shared" si="80"/>
        <v>CRIT</v>
      </c>
      <c r="AM206" s="81">
        <f t="shared" si="81"/>
        <v>22</v>
      </c>
      <c r="AN206" s="99">
        <f t="shared" si="82"/>
        <v>42884</v>
      </c>
      <c r="AO206" s="99">
        <f t="shared" si="83"/>
        <v>42888</v>
      </c>
      <c r="AP206" s="99"/>
      <c r="AQ206" s="73"/>
      <c r="AR206" s="67"/>
      <c r="AS206" s="132"/>
    </row>
    <row r="207" spans="1:45" ht="20.25" customHeight="1" thickTop="1" thickBot="1" x14ac:dyDescent="0.3">
      <c r="A207" s="74" t="str">
        <f t="shared" ca="1" si="63"/>
        <v/>
      </c>
      <c r="B207" s="75" t="str">
        <f t="shared" ca="1" si="64"/>
        <v/>
      </c>
      <c r="C207" s="76" t="str">
        <f>IF(AND('Interimaire Juin  2017'!D213=$B$1,'Interimaire Juin  2017'!J213=$B$2),'Interimaire Juin  2017'!E213,"")</f>
        <v/>
      </c>
      <c r="D207" s="76" t="str">
        <f>IF(AND('Interimaire Juin  2017'!D213=$B$1,'Interimaire Juin  2017'!J213=$B$2),'Interimaire Juin  2017'!F213,"")</f>
        <v/>
      </c>
      <c r="E207" s="76" t="str">
        <f t="shared" si="73"/>
        <v/>
      </c>
      <c r="F207" s="76" t="str">
        <f t="array" aca="1" ref="F207" ca="1">IFERROR(INDEX(C:C,SMALL($E$2:$E$300,ROW(INDIRECT("199:"&amp;ROWS(C199:C497))))),"")</f>
        <v/>
      </c>
      <c r="G207" s="76" t="str">
        <f t="array" aca="1" ref="G207" ca="1">IFERROR(INDEX(D:D,SMALL($E$2:$E$300,ROW(INDIRECT("199:"&amp;ROWS(D199:D497))))),"")</f>
        <v/>
      </c>
      <c r="H207" s="82"/>
      <c r="I207" s="77">
        <v>7</v>
      </c>
      <c r="J207" s="78">
        <f t="shared" si="74"/>
        <v>1</v>
      </c>
      <c r="K207" s="82"/>
      <c r="L207" s="82"/>
      <c r="M207" s="80">
        <f t="shared" si="65"/>
        <v>1</v>
      </c>
      <c r="N207" s="77">
        <v>7</v>
      </c>
      <c r="O207" s="78">
        <f t="shared" si="75"/>
        <v>1</v>
      </c>
      <c r="P207" s="82"/>
      <c r="Q207" s="82"/>
      <c r="R207" s="80">
        <f t="shared" si="66"/>
        <v>1</v>
      </c>
      <c r="S207" s="77">
        <v>7</v>
      </c>
      <c r="T207" s="78">
        <f t="shared" si="76"/>
        <v>1</v>
      </c>
      <c r="U207" s="79"/>
      <c r="V207" s="79"/>
      <c r="W207" s="80">
        <f t="shared" si="67"/>
        <v>1</v>
      </c>
      <c r="X207" s="77">
        <v>7</v>
      </c>
      <c r="Y207" s="78">
        <f t="shared" si="77"/>
        <v>1</v>
      </c>
      <c r="Z207" s="79"/>
      <c r="AA207" s="79"/>
      <c r="AB207" s="80">
        <f t="shared" si="68"/>
        <v>1</v>
      </c>
      <c r="AC207" s="77">
        <v>7</v>
      </c>
      <c r="AD207" s="78">
        <f t="shared" si="78"/>
        <v>1</v>
      </c>
      <c r="AE207" s="79"/>
      <c r="AF207" s="79"/>
      <c r="AG207" s="80">
        <f t="shared" si="69"/>
        <v>1</v>
      </c>
      <c r="AH207" s="77">
        <f t="shared" si="70"/>
        <v>35</v>
      </c>
      <c r="AI207" s="79">
        <f t="shared" si="79"/>
        <v>0</v>
      </c>
      <c r="AJ207" s="79">
        <f t="shared" si="71"/>
        <v>0</v>
      </c>
      <c r="AK207" s="81">
        <f t="shared" si="72"/>
        <v>5</v>
      </c>
      <c r="AL207" s="81" t="str">
        <f t="shared" si="80"/>
        <v>CRIT</v>
      </c>
      <c r="AM207" s="81">
        <f t="shared" si="81"/>
        <v>22</v>
      </c>
      <c r="AN207" s="99">
        <f t="shared" si="82"/>
        <v>42884</v>
      </c>
      <c r="AO207" s="99">
        <f t="shared" si="83"/>
        <v>42888</v>
      </c>
      <c r="AP207" s="99"/>
      <c r="AQ207" s="73"/>
      <c r="AR207" s="67"/>
      <c r="AS207" s="132"/>
    </row>
    <row r="208" spans="1:45" ht="20.25" customHeight="1" thickTop="1" thickBot="1" x14ac:dyDescent="0.3">
      <c r="A208" s="74" t="str">
        <f t="shared" ca="1" si="63"/>
        <v/>
      </c>
      <c r="B208" s="75" t="str">
        <f t="shared" ca="1" si="64"/>
        <v/>
      </c>
      <c r="C208" s="76" t="str">
        <f>IF(AND('Interimaire Juin  2017'!D214=$B$1,'Interimaire Juin  2017'!J214=$B$2),'Interimaire Juin  2017'!E214,"")</f>
        <v/>
      </c>
      <c r="D208" s="76" t="str">
        <f>IF(AND('Interimaire Juin  2017'!D214=$B$1,'Interimaire Juin  2017'!J214=$B$2),'Interimaire Juin  2017'!F214,"")</f>
        <v/>
      </c>
      <c r="E208" s="76" t="str">
        <f t="shared" si="73"/>
        <v/>
      </c>
      <c r="F208" s="76" t="str">
        <f t="array" aca="1" ref="F208" ca="1">IFERROR(INDEX(C:C,SMALL($E$2:$E$300,ROW(INDIRECT("200:"&amp;ROWS(C200:C498))))),"")</f>
        <v/>
      </c>
      <c r="G208" s="76" t="str">
        <f t="array" aca="1" ref="G208" ca="1">IFERROR(INDEX(D:D,SMALL($E$2:$E$300,ROW(INDIRECT("200:"&amp;ROWS(D200:D498))))),"")</f>
        <v/>
      </c>
      <c r="H208" s="82"/>
      <c r="I208" s="77">
        <v>7</v>
      </c>
      <c r="J208" s="78">
        <f t="shared" si="74"/>
        <v>1</v>
      </c>
      <c r="K208" s="82"/>
      <c r="L208" s="82"/>
      <c r="M208" s="80">
        <f t="shared" si="65"/>
        <v>1</v>
      </c>
      <c r="N208" s="77">
        <v>7</v>
      </c>
      <c r="O208" s="78">
        <f t="shared" si="75"/>
        <v>1</v>
      </c>
      <c r="P208" s="82"/>
      <c r="Q208" s="82"/>
      <c r="R208" s="80">
        <f t="shared" si="66"/>
        <v>1</v>
      </c>
      <c r="S208" s="77">
        <v>7</v>
      </c>
      <c r="T208" s="78">
        <f t="shared" si="76"/>
        <v>1</v>
      </c>
      <c r="U208" s="79"/>
      <c r="V208" s="79"/>
      <c r="W208" s="80">
        <f t="shared" si="67"/>
        <v>1</v>
      </c>
      <c r="X208" s="77">
        <v>7</v>
      </c>
      <c r="Y208" s="78">
        <f t="shared" si="77"/>
        <v>1</v>
      </c>
      <c r="Z208" s="79"/>
      <c r="AA208" s="79"/>
      <c r="AB208" s="80">
        <f t="shared" si="68"/>
        <v>1</v>
      </c>
      <c r="AC208" s="77">
        <v>7</v>
      </c>
      <c r="AD208" s="78">
        <f t="shared" si="78"/>
        <v>1</v>
      </c>
      <c r="AE208" s="79"/>
      <c r="AF208" s="79"/>
      <c r="AG208" s="80">
        <f t="shared" si="69"/>
        <v>1</v>
      </c>
      <c r="AH208" s="77">
        <f t="shared" si="70"/>
        <v>35</v>
      </c>
      <c r="AI208" s="79">
        <f t="shared" si="79"/>
        <v>0</v>
      </c>
      <c r="AJ208" s="79">
        <f t="shared" si="71"/>
        <v>0</v>
      </c>
      <c r="AK208" s="81">
        <f t="shared" si="72"/>
        <v>5</v>
      </c>
      <c r="AL208" s="81" t="str">
        <f t="shared" si="80"/>
        <v>CRIT</v>
      </c>
      <c r="AM208" s="81">
        <f t="shared" si="81"/>
        <v>22</v>
      </c>
      <c r="AN208" s="99">
        <f t="shared" si="82"/>
        <v>42884</v>
      </c>
      <c r="AO208" s="99">
        <f t="shared" si="83"/>
        <v>42888</v>
      </c>
      <c r="AP208" s="99"/>
      <c r="AQ208" s="73"/>
      <c r="AR208" s="67"/>
      <c r="AS208" s="132"/>
    </row>
    <row r="209" spans="1:45" ht="20.25" customHeight="1" thickTop="1" thickBot="1" x14ac:dyDescent="0.3">
      <c r="A209" s="74" t="str">
        <f t="shared" ca="1" si="63"/>
        <v/>
      </c>
      <c r="B209" s="75" t="str">
        <f t="shared" ca="1" si="64"/>
        <v/>
      </c>
      <c r="C209" s="76" t="str">
        <f>IF(AND('Interimaire Juin  2017'!D215=$B$1,'Interimaire Juin  2017'!J215=$B$2),'Interimaire Juin  2017'!E215,"")</f>
        <v/>
      </c>
      <c r="D209" s="76" t="str">
        <f>IF(AND('Interimaire Juin  2017'!D215=$B$1,'Interimaire Juin  2017'!J215=$B$2),'Interimaire Juin  2017'!F215,"")</f>
        <v/>
      </c>
      <c r="E209" s="76" t="str">
        <f t="shared" si="73"/>
        <v/>
      </c>
      <c r="F209" s="76" t="str">
        <f t="array" aca="1" ref="F209" ca="1">IFERROR(INDEX(C:C,SMALL($E$2:$E$300,ROW(INDIRECT("201:"&amp;ROWS(C201:C499))))),"")</f>
        <v/>
      </c>
      <c r="G209" s="76" t="str">
        <f t="array" aca="1" ref="G209" ca="1">IFERROR(INDEX(D:D,SMALL($E$2:$E$300,ROW(INDIRECT("201:"&amp;ROWS(D201:D499))))),"")</f>
        <v/>
      </c>
      <c r="H209" s="82"/>
      <c r="I209" s="77">
        <v>7</v>
      </c>
      <c r="J209" s="78">
        <f t="shared" si="74"/>
        <v>1</v>
      </c>
      <c r="K209" s="82"/>
      <c r="L209" s="82"/>
      <c r="M209" s="80">
        <f t="shared" si="65"/>
        <v>1</v>
      </c>
      <c r="N209" s="77">
        <v>7</v>
      </c>
      <c r="O209" s="78">
        <f t="shared" si="75"/>
        <v>1</v>
      </c>
      <c r="P209" s="82"/>
      <c r="Q209" s="82"/>
      <c r="R209" s="80">
        <f t="shared" si="66"/>
        <v>1</v>
      </c>
      <c r="S209" s="77">
        <v>7</v>
      </c>
      <c r="T209" s="78">
        <f t="shared" si="76"/>
        <v>1</v>
      </c>
      <c r="U209" s="79"/>
      <c r="V209" s="79"/>
      <c r="W209" s="80">
        <f t="shared" si="67"/>
        <v>1</v>
      </c>
      <c r="X209" s="77">
        <v>7</v>
      </c>
      <c r="Y209" s="78">
        <f t="shared" si="77"/>
        <v>1</v>
      </c>
      <c r="Z209" s="79"/>
      <c r="AA209" s="79"/>
      <c r="AB209" s="80">
        <f t="shared" si="68"/>
        <v>1</v>
      </c>
      <c r="AC209" s="77">
        <v>7</v>
      </c>
      <c r="AD209" s="78">
        <f t="shared" si="78"/>
        <v>1</v>
      </c>
      <c r="AE209" s="79"/>
      <c r="AF209" s="79"/>
      <c r="AG209" s="80">
        <f t="shared" si="69"/>
        <v>1</v>
      </c>
      <c r="AH209" s="77">
        <f t="shared" si="70"/>
        <v>35</v>
      </c>
      <c r="AI209" s="79">
        <f t="shared" si="79"/>
        <v>0</v>
      </c>
      <c r="AJ209" s="79">
        <f t="shared" si="71"/>
        <v>0</v>
      </c>
      <c r="AK209" s="81">
        <f t="shared" si="72"/>
        <v>5</v>
      </c>
      <c r="AL209" s="81" t="str">
        <f t="shared" si="80"/>
        <v>CRIT</v>
      </c>
      <c r="AM209" s="81">
        <f t="shared" si="81"/>
        <v>22</v>
      </c>
      <c r="AN209" s="99">
        <f t="shared" si="82"/>
        <v>42884</v>
      </c>
      <c r="AO209" s="99">
        <f t="shared" si="83"/>
        <v>42888</v>
      </c>
      <c r="AP209" s="99"/>
      <c r="AQ209" s="73"/>
      <c r="AR209" s="67"/>
      <c r="AS209" s="132"/>
    </row>
    <row r="210" spans="1:45" ht="20.25" customHeight="1" thickTop="1" thickBot="1" x14ac:dyDescent="0.3">
      <c r="A210" s="74" t="str">
        <f t="shared" ca="1" si="63"/>
        <v/>
      </c>
      <c r="B210" s="75" t="str">
        <f t="shared" ca="1" si="64"/>
        <v/>
      </c>
      <c r="C210" s="76" t="str">
        <f>IF(AND('Interimaire Juin  2017'!D216=$B$1,'Interimaire Juin  2017'!J216=$B$2),'Interimaire Juin  2017'!E216,"")</f>
        <v/>
      </c>
      <c r="D210" s="76" t="str">
        <f>IF(AND('Interimaire Juin  2017'!D216=$B$1,'Interimaire Juin  2017'!J216=$B$2),'Interimaire Juin  2017'!F216,"")</f>
        <v/>
      </c>
      <c r="E210" s="76" t="str">
        <f t="shared" si="73"/>
        <v/>
      </c>
      <c r="F210" s="76" t="str">
        <f t="array" aca="1" ref="F210" ca="1">IFERROR(INDEX(C:C,SMALL($E$2:$E$300,ROW(INDIRECT("202:"&amp;ROWS(C202:C500))))),"")</f>
        <v/>
      </c>
      <c r="G210" s="76" t="str">
        <f t="array" aca="1" ref="G210" ca="1">IFERROR(INDEX(D:D,SMALL($E$2:$E$300,ROW(INDIRECT("202:"&amp;ROWS(D202:D500))))),"")</f>
        <v/>
      </c>
      <c r="H210" s="82"/>
      <c r="I210" s="77">
        <v>7</v>
      </c>
      <c r="J210" s="78">
        <f t="shared" si="74"/>
        <v>1</v>
      </c>
      <c r="K210" s="82"/>
      <c r="L210" s="82"/>
      <c r="M210" s="80">
        <f t="shared" si="65"/>
        <v>1</v>
      </c>
      <c r="N210" s="77">
        <v>7</v>
      </c>
      <c r="O210" s="78">
        <f t="shared" si="75"/>
        <v>1</v>
      </c>
      <c r="P210" s="82"/>
      <c r="Q210" s="82"/>
      <c r="R210" s="80">
        <f t="shared" si="66"/>
        <v>1</v>
      </c>
      <c r="S210" s="77">
        <v>7</v>
      </c>
      <c r="T210" s="78">
        <f t="shared" si="76"/>
        <v>1</v>
      </c>
      <c r="U210" s="79"/>
      <c r="V210" s="79"/>
      <c r="W210" s="80">
        <f t="shared" si="67"/>
        <v>1</v>
      </c>
      <c r="X210" s="77">
        <v>7</v>
      </c>
      <c r="Y210" s="78">
        <f t="shared" si="77"/>
        <v>1</v>
      </c>
      <c r="Z210" s="79"/>
      <c r="AA210" s="79"/>
      <c r="AB210" s="80">
        <f t="shared" si="68"/>
        <v>1</v>
      </c>
      <c r="AC210" s="77">
        <v>7</v>
      </c>
      <c r="AD210" s="78">
        <f t="shared" si="78"/>
        <v>1</v>
      </c>
      <c r="AE210" s="79"/>
      <c r="AF210" s="79"/>
      <c r="AG210" s="80">
        <f t="shared" si="69"/>
        <v>1</v>
      </c>
      <c r="AH210" s="77">
        <f t="shared" si="70"/>
        <v>35</v>
      </c>
      <c r="AI210" s="79">
        <f t="shared" si="79"/>
        <v>0</v>
      </c>
      <c r="AJ210" s="79">
        <f t="shared" si="71"/>
        <v>0</v>
      </c>
      <c r="AK210" s="81">
        <f t="shared" si="72"/>
        <v>5</v>
      </c>
      <c r="AL210" s="81" t="str">
        <f t="shared" si="80"/>
        <v>CRIT</v>
      </c>
      <c r="AM210" s="81">
        <f t="shared" si="81"/>
        <v>22</v>
      </c>
      <c r="AN210" s="99">
        <f t="shared" si="82"/>
        <v>42884</v>
      </c>
      <c r="AO210" s="99">
        <f t="shared" si="83"/>
        <v>42888</v>
      </c>
      <c r="AP210" s="99"/>
      <c r="AQ210" s="73"/>
      <c r="AR210" s="67"/>
      <c r="AS210" s="132"/>
    </row>
    <row r="211" spans="1:45" ht="20.25" customHeight="1" thickTop="1" thickBot="1" x14ac:dyDescent="0.3">
      <c r="A211" s="74" t="str">
        <f t="shared" ca="1" si="63"/>
        <v/>
      </c>
      <c r="B211" s="75" t="str">
        <f t="shared" ca="1" si="64"/>
        <v/>
      </c>
      <c r="C211" s="76" t="str">
        <f>IF(AND('Interimaire Juin  2017'!D217=$B$1,'Interimaire Juin  2017'!J217=$B$2),'Interimaire Juin  2017'!E217,"")</f>
        <v/>
      </c>
      <c r="D211" s="76" t="str">
        <f>IF(AND('Interimaire Juin  2017'!D217=$B$1,'Interimaire Juin  2017'!J217=$B$2),'Interimaire Juin  2017'!F217,"")</f>
        <v/>
      </c>
      <c r="E211" s="76" t="str">
        <f t="shared" si="73"/>
        <v/>
      </c>
      <c r="F211" s="76" t="str">
        <f t="array" aca="1" ref="F211" ca="1">IFERROR(INDEX(C:C,SMALL($E$2:$E$300,ROW(INDIRECT("203:"&amp;ROWS(C203:C501))))),"")</f>
        <v/>
      </c>
      <c r="G211" s="76" t="str">
        <f t="array" aca="1" ref="G211" ca="1">IFERROR(INDEX(D:D,SMALL($E$2:$E$300,ROW(INDIRECT("203:"&amp;ROWS(D203:D501))))),"")</f>
        <v/>
      </c>
      <c r="H211" s="82"/>
      <c r="I211" s="77">
        <v>7</v>
      </c>
      <c r="J211" s="78">
        <f t="shared" si="74"/>
        <v>1</v>
      </c>
      <c r="K211" s="82"/>
      <c r="L211" s="82"/>
      <c r="M211" s="80">
        <f t="shared" si="65"/>
        <v>1</v>
      </c>
      <c r="N211" s="77">
        <v>7</v>
      </c>
      <c r="O211" s="78">
        <f t="shared" si="75"/>
        <v>1</v>
      </c>
      <c r="P211" s="82"/>
      <c r="Q211" s="82"/>
      <c r="R211" s="80">
        <f t="shared" si="66"/>
        <v>1</v>
      </c>
      <c r="S211" s="77">
        <v>7</v>
      </c>
      <c r="T211" s="78">
        <f t="shared" si="76"/>
        <v>1</v>
      </c>
      <c r="U211" s="79"/>
      <c r="V211" s="79"/>
      <c r="W211" s="80">
        <f t="shared" si="67"/>
        <v>1</v>
      </c>
      <c r="X211" s="77">
        <v>7</v>
      </c>
      <c r="Y211" s="78">
        <f t="shared" si="77"/>
        <v>1</v>
      </c>
      <c r="Z211" s="79"/>
      <c r="AA211" s="79"/>
      <c r="AB211" s="80">
        <f t="shared" si="68"/>
        <v>1</v>
      </c>
      <c r="AC211" s="77">
        <v>7</v>
      </c>
      <c r="AD211" s="78">
        <f t="shared" si="78"/>
        <v>1</v>
      </c>
      <c r="AE211" s="79"/>
      <c r="AF211" s="79"/>
      <c r="AG211" s="80">
        <f t="shared" si="69"/>
        <v>1</v>
      </c>
      <c r="AH211" s="77">
        <f t="shared" si="70"/>
        <v>35</v>
      </c>
      <c r="AI211" s="79">
        <f t="shared" si="79"/>
        <v>0</v>
      </c>
      <c r="AJ211" s="79">
        <f t="shared" si="71"/>
        <v>0</v>
      </c>
      <c r="AK211" s="81">
        <f t="shared" si="72"/>
        <v>5</v>
      </c>
      <c r="AL211" s="81" t="str">
        <f t="shared" si="80"/>
        <v>CRIT</v>
      </c>
      <c r="AM211" s="81">
        <f t="shared" si="81"/>
        <v>22</v>
      </c>
      <c r="AN211" s="99">
        <f t="shared" si="82"/>
        <v>42884</v>
      </c>
      <c r="AO211" s="99">
        <f t="shared" si="83"/>
        <v>42888</v>
      </c>
      <c r="AP211" s="99"/>
      <c r="AQ211" s="73"/>
      <c r="AR211" s="67"/>
      <c r="AS211" s="132"/>
    </row>
    <row r="212" spans="1:45" ht="20.25" customHeight="1" thickTop="1" thickBot="1" x14ac:dyDescent="0.3">
      <c r="A212" s="74" t="str">
        <f t="shared" ca="1" si="63"/>
        <v/>
      </c>
      <c r="B212" s="75" t="str">
        <f t="shared" ca="1" si="64"/>
        <v/>
      </c>
      <c r="C212" s="76" t="str">
        <f>IF(AND('Interimaire Juin  2017'!D218=$B$1,'Interimaire Juin  2017'!J218=$B$2),'Interimaire Juin  2017'!E218,"")</f>
        <v/>
      </c>
      <c r="D212" s="76" t="str">
        <f>IF(AND('Interimaire Juin  2017'!D218=$B$1,'Interimaire Juin  2017'!J218=$B$2),'Interimaire Juin  2017'!F218,"")</f>
        <v/>
      </c>
      <c r="E212" s="76" t="str">
        <f t="shared" si="73"/>
        <v/>
      </c>
      <c r="F212" s="76" t="str">
        <f t="array" aca="1" ref="F212" ca="1">IFERROR(INDEX(C:C,SMALL($E$2:$E$300,ROW(INDIRECT("204:"&amp;ROWS(C204:C502))))),"")</f>
        <v/>
      </c>
      <c r="G212" s="76" t="str">
        <f t="array" aca="1" ref="G212" ca="1">IFERROR(INDEX(D:D,SMALL($E$2:$E$300,ROW(INDIRECT("204:"&amp;ROWS(D204:D502))))),"")</f>
        <v/>
      </c>
      <c r="H212" s="82"/>
      <c r="I212" s="77">
        <v>7</v>
      </c>
      <c r="J212" s="78">
        <f t="shared" si="74"/>
        <v>1</v>
      </c>
      <c r="K212" s="82"/>
      <c r="L212" s="82"/>
      <c r="M212" s="80">
        <f t="shared" si="65"/>
        <v>1</v>
      </c>
      <c r="N212" s="77">
        <v>7</v>
      </c>
      <c r="O212" s="78">
        <f t="shared" si="75"/>
        <v>1</v>
      </c>
      <c r="P212" s="82"/>
      <c r="Q212" s="82"/>
      <c r="R212" s="80">
        <f t="shared" si="66"/>
        <v>1</v>
      </c>
      <c r="S212" s="77">
        <v>7</v>
      </c>
      <c r="T212" s="78">
        <f t="shared" si="76"/>
        <v>1</v>
      </c>
      <c r="U212" s="79"/>
      <c r="V212" s="79"/>
      <c r="W212" s="80">
        <f t="shared" si="67"/>
        <v>1</v>
      </c>
      <c r="X212" s="77">
        <v>7</v>
      </c>
      <c r="Y212" s="78">
        <f t="shared" si="77"/>
        <v>1</v>
      </c>
      <c r="Z212" s="79"/>
      <c r="AA212" s="79"/>
      <c r="AB212" s="80">
        <f t="shared" si="68"/>
        <v>1</v>
      </c>
      <c r="AC212" s="77">
        <v>7</v>
      </c>
      <c r="AD212" s="78">
        <f t="shared" si="78"/>
        <v>1</v>
      </c>
      <c r="AE212" s="79"/>
      <c r="AF212" s="79"/>
      <c r="AG212" s="80">
        <f t="shared" si="69"/>
        <v>1</v>
      </c>
      <c r="AH212" s="77">
        <f t="shared" si="70"/>
        <v>35</v>
      </c>
      <c r="AI212" s="79">
        <f t="shared" si="79"/>
        <v>0</v>
      </c>
      <c r="AJ212" s="79">
        <f t="shared" si="71"/>
        <v>0</v>
      </c>
      <c r="AK212" s="81">
        <f t="shared" si="72"/>
        <v>5</v>
      </c>
      <c r="AL212" s="81" t="str">
        <f t="shared" si="80"/>
        <v>CRIT</v>
      </c>
      <c r="AM212" s="81">
        <f t="shared" si="81"/>
        <v>22</v>
      </c>
      <c r="AN212" s="99">
        <f t="shared" si="82"/>
        <v>42884</v>
      </c>
      <c r="AO212" s="99">
        <f t="shared" si="83"/>
        <v>42888</v>
      </c>
      <c r="AP212" s="99"/>
      <c r="AQ212" s="73"/>
      <c r="AR212" s="67"/>
      <c r="AS212" s="132"/>
    </row>
    <row r="213" spans="1:45" ht="20.25" customHeight="1" thickTop="1" thickBot="1" x14ac:dyDescent="0.3">
      <c r="A213" s="74" t="str">
        <f t="shared" ca="1" si="63"/>
        <v/>
      </c>
      <c r="B213" s="75" t="str">
        <f t="shared" ca="1" si="64"/>
        <v/>
      </c>
      <c r="C213" s="76" t="str">
        <f>IF(AND('Interimaire Juin  2017'!D219=$B$1,'Interimaire Juin  2017'!J219=$B$2),'Interimaire Juin  2017'!E219,"")</f>
        <v/>
      </c>
      <c r="D213" s="76" t="str">
        <f>IF(AND('Interimaire Juin  2017'!D219=$B$1,'Interimaire Juin  2017'!J219=$B$2),'Interimaire Juin  2017'!F219,"")</f>
        <v/>
      </c>
      <c r="E213" s="76" t="str">
        <f t="shared" si="73"/>
        <v/>
      </c>
      <c r="F213" s="76" t="str">
        <f t="array" aca="1" ref="F213" ca="1">IFERROR(INDEX(C:C,SMALL($E$2:$E$300,ROW(INDIRECT("205:"&amp;ROWS(C205:C503))))),"")</f>
        <v/>
      </c>
      <c r="G213" s="76" t="str">
        <f t="array" aca="1" ref="G213" ca="1">IFERROR(INDEX(D:D,SMALL($E$2:$E$300,ROW(INDIRECT("205:"&amp;ROWS(D205:D503))))),"")</f>
        <v/>
      </c>
      <c r="H213" s="82"/>
      <c r="I213" s="77">
        <v>7</v>
      </c>
      <c r="J213" s="78">
        <f t="shared" si="74"/>
        <v>1</v>
      </c>
      <c r="K213" s="82"/>
      <c r="L213" s="82"/>
      <c r="M213" s="80">
        <f t="shared" si="65"/>
        <v>1</v>
      </c>
      <c r="N213" s="77">
        <v>7</v>
      </c>
      <c r="O213" s="78">
        <f t="shared" si="75"/>
        <v>1</v>
      </c>
      <c r="P213" s="82"/>
      <c r="Q213" s="82"/>
      <c r="R213" s="80">
        <f t="shared" si="66"/>
        <v>1</v>
      </c>
      <c r="S213" s="77">
        <v>7</v>
      </c>
      <c r="T213" s="78">
        <f t="shared" si="76"/>
        <v>1</v>
      </c>
      <c r="U213" s="79"/>
      <c r="V213" s="79"/>
      <c r="W213" s="80">
        <f t="shared" si="67"/>
        <v>1</v>
      </c>
      <c r="X213" s="77">
        <v>7</v>
      </c>
      <c r="Y213" s="78">
        <f t="shared" si="77"/>
        <v>1</v>
      </c>
      <c r="Z213" s="79"/>
      <c r="AA213" s="79"/>
      <c r="AB213" s="80">
        <f t="shared" si="68"/>
        <v>1</v>
      </c>
      <c r="AC213" s="77">
        <v>7</v>
      </c>
      <c r="AD213" s="78">
        <f t="shared" si="78"/>
        <v>1</v>
      </c>
      <c r="AE213" s="79"/>
      <c r="AF213" s="79"/>
      <c r="AG213" s="80">
        <f t="shared" si="69"/>
        <v>1</v>
      </c>
      <c r="AH213" s="77">
        <f t="shared" si="70"/>
        <v>35</v>
      </c>
      <c r="AI213" s="79">
        <f t="shared" si="79"/>
        <v>0</v>
      </c>
      <c r="AJ213" s="79">
        <f t="shared" si="71"/>
        <v>0</v>
      </c>
      <c r="AK213" s="81">
        <f t="shared" si="72"/>
        <v>5</v>
      </c>
      <c r="AL213" s="81" t="str">
        <f t="shared" si="80"/>
        <v>CRIT</v>
      </c>
      <c r="AM213" s="81">
        <f t="shared" si="81"/>
        <v>22</v>
      </c>
      <c r="AN213" s="99">
        <f t="shared" si="82"/>
        <v>42884</v>
      </c>
      <c r="AO213" s="99">
        <f t="shared" si="83"/>
        <v>42888</v>
      </c>
      <c r="AP213" s="99"/>
      <c r="AQ213" s="73"/>
      <c r="AR213" s="67"/>
      <c r="AS213" s="132"/>
    </row>
    <row r="214" spans="1:45" ht="20.25" customHeight="1" thickTop="1" thickBot="1" x14ac:dyDescent="0.3">
      <c r="A214" s="74" t="str">
        <f t="shared" ca="1" si="63"/>
        <v/>
      </c>
      <c r="B214" s="75" t="str">
        <f t="shared" ca="1" si="64"/>
        <v/>
      </c>
      <c r="C214" s="76" t="str">
        <f>IF(AND('Interimaire Juin  2017'!D220=$B$1,'Interimaire Juin  2017'!J220=$B$2),'Interimaire Juin  2017'!E220,"")</f>
        <v/>
      </c>
      <c r="D214" s="76" t="str">
        <f>IF(AND('Interimaire Juin  2017'!D220=$B$1,'Interimaire Juin  2017'!J220=$B$2),'Interimaire Juin  2017'!F220,"")</f>
        <v/>
      </c>
      <c r="E214" s="76" t="str">
        <f t="shared" si="73"/>
        <v/>
      </c>
      <c r="F214" s="76" t="str">
        <f t="array" aca="1" ref="F214" ca="1">IFERROR(INDEX(C:C,SMALL($E$2:$E$300,ROW(INDIRECT("206:"&amp;ROWS(C206:C504))))),"")</f>
        <v/>
      </c>
      <c r="G214" s="76" t="str">
        <f t="array" aca="1" ref="G214" ca="1">IFERROR(INDEX(D:D,SMALL($E$2:$E$300,ROW(INDIRECT("206:"&amp;ROWS(D206:D504))))),"")</f>
        <v/>
      </c>
      <c r="H214" s="82"/>
      <c r="I214" s="77">
        <v>7</v>
      </c>
      <c r="J214" s="78">
        <f t="shared" si="74"/>
        <v>1</v>
      </c>
      <c r="K214" s="82"/>
      <c r="L214" s="82"/>
      <c r="M214" s="80">
        <f t="shared" si="65"/>
        <v>1</v>
      </c>
      <c r="N214" s="77">
        <v>7</v>
      </c>
      <c r="O214" s="78">
        <f t="shared" si="75"/>
        <v>1</v>
      </c>
      <c r="P214" s="82"/>
      <c r="Q214" s="82"/>
      <c r="R214" s="80">
        <f t="shared" si="66"/>
        <v>1</v>
      </c>
      <c r="S214" s="77">
        <v>7</v>
      </c>
      <c r="T214" s="78">
        <f t="shared" si="76"/>
        <v>1</v>
      </c>
      <c r="U214" s="79"/>
      <c r="V214" s="79"/>
      <c r="W214" s="80">
        <f t="shared" si="67"/>
        <v>1</v>
      </c>
      <c r="X214" s="77">
        <v>7</v>
      </c>
      <c r="Y214" s="78">
        <f t="shared" si="77"/>
        <v>1</v>
      </c>
      <c r="Z214" s="79"/>
      <c r="AA214" s="79"/>
      <c r="AB214" s="80">
        <f t="shared" si="68"/>
        <v>1</v>
      </c>
      <c r="AC214" s="77">
        <v>7</v>
      </c>
      <c r="AD214" s="78">
        <f t="shared" si="78"/>
        <v>1</v>
      </c>
      <c r="AE214" s="79"/>
      <c r="AF214" s="79"/>
      <c r="AG214" s="80">
        <f t="shared" si="69"/>
        <v>1</v>
      </c>
      <c r="AH214" s="77">
        <f t="shared" si="70"/>
        <v>35</v>
      </c>
      <c r="AI214" s="79">
        <f t="shared" si="79"/>
        <v>0</v>
      </c>
      <c r="AJ214" s="79">
        <f t="shared" si="71"/>
        <v>0</v>
      </c>
      <c r="AK214" s="81">
        <f t="shared" si="72"/>
        <v>5</v>
      </c>
      <c r="AL214" s="81" t="str">
        <f t="shared" si="80"/>
        <v>CRIT</v>
      </c>
      <c r="AM214" s="81">
        <f t="shared" si="81"/>
        <v>22</v>
      </c>
      <c r="AN214" s="99">
        <f t="shared" si="82"/>
        <v>42884</v>
      </c>
      <c r="AO214" s="99">
        <f t="shared" si="83"/>
        <v>42888</v>
      </c>
      <c r="AP214" s="99"/>
      <c r="AQ214" s="73"/>
      <c r="AR214" s="67"/>
      <c r="AS214" s="132"/>
    </row>
    <row r="215" spans="1:45" ht="20.25" customHeight="1" thickTop="1" thickBot="1" x14ac:dyDescent="0.3">
      <c r="A215" s="74" t="str">
        <f t="shared" ca="1" si="63"/>
        <v/>
      </c>
      <c r="B215" s="75" t="str">
        <f t="shared" ca="1" si="64"/>
        <v/>
      </c>
      <c r="C215" s="76" t="str">
        <f>IF(AND('Interimaire Juin  2017'!D221=$B$1,'Interimaire Juin  2017'!J221=$B$2),'Interimaire Juin  2017'!E221,"")</f>
        <v/>
      </c>
      <c r="D215" s="76" t="str">
        <f>IF(AND('Interimaire Juin  2017'!D221=$B$1,'Interimaire Juin  2017'!J221=$B$2),'Interimaire Juin  2017'!F221,"")</f>
        <v/>
      </c>
      <c r="E215" s="76" t="str">
        <f t="shared" si="73"/>
        <v/>
      </c>
      <c r="F215" s="76" t="str">
        <f t="array" aca="1" ref="F215" ca="1">IFERROR(INDEX(C:C,SMALL($E$2:$E$300,ROW(INDIRECT("207:"&amp;ROWS(C207:C505))))),"")</f>
        <v/>
      </c>
      <c r="G215" s="76" t="str">
        <f t="array" aca="1" ref="G215" ca="1">IFERROR(INDEX(D:D,SMALL($E$2:$E$300,ROW(INDIRECT("207:"&amp;ROWS(D207:D505))))),"")</f>
        <v/>
      </c>
      <c r="H215" s="82"/>
      <c r="I215" s="77">
        <v>7</v>
      </c>
      <c r="J215" s="78">
        <f t="shared" si="74"/>
        <v>1</v>
      </c>
      <c r="K215" s="82"/>
      <c r="L215" s="82"/>
      <c r="M215" s="80">
        <f t="shared" si="65"/>
        <v>1</v>
      </c>
      <c r="N215" s="77">
        <v>7</v>
      </c>
      <c r="O215" s="78">
        <f t="shared" si="75"/>
        <v>1</v>
      </c>
      <c r="P215" s="82"/>
      <c r="Q215" s="82"/>
      <c r="R215" s="80">
        <f t="shared" si="66"/>
        <v>1</v>
      </c>
      <c r="S215" s="77">
        <v>7</v>
      </c>
      <c r="T215" s="78">
        <f t="shared" si="76"/>
        <v>1</v>
      </c>
      <c r="U215" s="79"/>
      <c r="V215" s="79"/>
      <c r="W215" s="80">
        <f t="shared" si="67"/>
        <v>1</v>
      </c>
      <c r="X215" s="77">
        <v>7</v>
      </c>
      <c r="Y215" s="78">
        <f t="shared" si="77"/>
        <v>1</v>
      </c>
      <c r="Z215" s="79"/>
      <c r="AA215" s="79"/>
      <c r="AB215" s="80">
        <f t="shared" si="68"/>
        <v>1</v>
      </c>
      <c r="AC215" s="77">
        <v>7</v>
      </c>
      <c r="AD215" s="78">
        <f t="shared" si="78"/>
        <v>1</v>
      </c>
      <c r="AE215" s="79"/>
      <c r="AF215" s="79"/>
      <c r="AG215" s="80">
        <f t="shared" si="69"/>
        <v>1</v>
      </c>
      <c r="AH215" s="77">
        <f t="shared" si="70"/>
        <v>35</v>
      </c>
      <c r="AI215" s="79">
        <f t="shared" si="79"/>
        <v>0</v>
      </c>
      <c r="AJ215" s="79">
        <f t="shared" si="71"/>
        <v>0</v>
      </c>
      <c r="AK215" s="81">
        <f t="shared" si="72"/>
        <v>5</v>
      </c>
      <c r="AL215" s="81" t="str">
        <f t="shared" si="80"/>
        <v>CRIT</v>
      </c>
      <c r="AM215" s="81">
        <f t="shared" si="81"/>
        <v>22</v>
      </c>
      <c r="AN215" s="99">
        <f t="shared" si="82"/>
        <v>42884</v>
      </c>
      <c r="AO215" s="99">
        <f t="shared" si="83"/>
        <v>42888</v>
      </c>
      <c r="AP215" s="99"/>
      <c r="AQ215" s="73"/>
      <c r="AR215" s="67"/>
      <c r="AS215" s="132"/>
    </row>
    <row r="216" spans="1:45" ht="20.25" customHeight="1" thickTop="1" thickBot="1" x14ac:dyDescent="0.3">
      <c r="A216" s="74" t="str">
        <f t="shared" ca="1" si="63"/>
        <v/>
      </c>
      <c r="B216" s="75" t="str">
        <f t="shared" ca="1" si="64"/>
        <v/>
      </c>
      <c r="C216" s="76" t="str">
        <f>IF(AND('Interimaire Juin  2017'!D222=$B$1,'Interimaire Juin  2017'!J222=$B$2),'Interimaire Juin  2017'!E222,"")</f>
        <v/>
      </c>
      <c r="D216" s="76" t="str">
        <f>IF(AND('Interimaire Juin  2017'!D222=$B$1,'Interimaire Juin  2017'!J222=$B$2),'Interimaire Juin  2017'!F222,"")</f>
        <v/>
      </c>
      <c r="E216" s="76" t="str">
        <f t="shared" si="73"/>
        <v/>
      </c>
      <c r="F216" s="76" t="str">
        <f t="array" aca="1" ref="F216" ca="1">IFERROR(INDEX(C:C,SMALL($E$2:$E$300,ROW(INDIRECT("208:"&amp;ROWS(C208:C506))))),"")</f>
        <v/>
      </c>
      <c r="G216" s="76" t="str">
        <f t="array" aca="1" ref="G216" ca="1">IFERROR(INDEX(D:D,SMALL($E$2:$E$300,ROW(INDIRECT("208:"&amp;ROWS(D208:D506))))),"")</f>
        <v/>
      </c>
      <c r="H216" s="82"/>
      <c r="I216" s="77">
        <v>7</v>
      </c>
      <c r="J216" s="78">
        <f t="shared" si="74"/>
        <v>1</v>
      </c>
      <c r="K216" s="82"/>
      <c r="L216" s="82"/>
      <c r="M216" s="80">
        <f t="shared" si="65"/>
        <v>1</v>
      </c>
      <c r="N216" s="77">
        <v>7</v>
      </c>
      <c r="O216" s="78">
        <f t="shared" si="75"/>
        <v>1</v>
      </c>
      <c r="P216" s="82"/>
      <c r="Q216" s="82"/>
      <c r="R216" s="80">
        <f t="shared" si="66"/>
        <v>1</v>
      </c>
      <c r="S216" s="77">
        <v>7</v>
      </c>
      <c r="T216" s="78">
        <f t="shared" si="76"/>
        <v>1</v>
      </c>
      <c r="U216" s="79"/>
      <c r="V216" s="79"/>
      <c r="W216" s="80">
        <f t="shared" si="67"/>
        <v>1</v>
      </c>
      <c r="X216" s="77">
        <v>7</v>
      </c>
      <c r="Y216" s="78">
        <f t="shared" si="77"/>
        <v>1</v>
      </c>
      <c r="Z216" s="79"/>
      <c r="AA216" s="79"/>
      <c r="AB216" s="80">
        <f t="shared" si="68"/>
        <v>1</v>
      </c>
      <c r="AC216" s="77">
        <v>7</v>
      </c>
      <c r="AD216" s="78">
        <f t="shared" si="78"/>
        <v>1</v>
      </c>
      <c r="AE216" s="79"/>
      <c r="AF216" s="79"/>
      <c r="AG216" s="80">
        <f t="shared" si="69"/>
        <v>1</v>
      </c>
      <c r="AH216" s="77">
        <f t="shared" si="70"/>
        <v>35</v>
      </c>
      <c r="AI216" s="79">
        <f t="shared" si="79"/>
        <v>0</v>
      </c>
      <c r="AJ216" s="79">
        <f t="shared" si="71"/>
        <v>0</v>
      </c>
      <c r="AK216" s="81">
        <f t="shared" si="72"/>
        <v>5</v>
      </c>
      <c r="AL216" s="81" t="str">
        <f t="shared" si="80"/>
        <v>CRIT</v>
      </c>
      <c r="AM216" s="81">
        <f t="shared" si="81"/>
        <v>22</v>
      </c>
      <c r="AN216" s="99">
        <f t="shared" si="82"/>
        <v>42884</v>
      </c>
      <c r="AO216" s="99">
        <f t="shared" si="83"/>
        <v>42888</v>
      </c>
      <c r="AP216" s="99"/>
      <c r="AQ216" s="73"/>
      <c r="AR216" s="67"/>
      <c r="AS216" s="132"/>
    </row>
    <row r="217" spans="1:45" ht="20.25" customHeight="1" thickTop="1" thickBot="1" x14ac:dyDescent="0.3">
      <c r="A217" s="74" t="str">
        <f t="shared" ca="1" si="63"/>
        <v/>
      </c>
      <c r="B217" s="75" t="str">
        <f t="shared" ca="1" si="64"/>
        <v/>
      </c>
      <c r="C217" s="76" t="str">
        <f>IF(AND('Interimaire Juin  2017'!D223=$B$1,'Interimaire Juin  2017'!J223=$B$2),'Interimaire Juin  2017'!E223,"")</f>
        <v/>
      </c>
      <c r="D217" s="76" t="str">
        <f>IF(AND('Interimaire Juin  2017'!D223=$B$1,'Interimaire Juin  2017'!J223=$B$2),'Interimaire Juin  2017'!F223,"")</f>
        <v/>
      </c>
      <c r="E217" s="76" t="str">
        <f t="shared" si="73"/>
        <v/>
      </c>
      <c r="F217" s="76" t="str">
        <f t="array" aca="1" ref="F217" ca="1">IFERROR(INDEX(C:C,SMALL($E$2:$E$300,ROW(INDIRECT("209:"&amp;ROWS(C209:C507))))),"")</f>
        <v/>
      </c>
      <c r="G217" s="76" t="str">
        <f t="array" aca="1" ref="G217" ca="1">IFERROR(INDEX(D:D,SMALL($E$2:$E$300,ROW(INDIRECT("209:"&amp;ROWS(D209:D507))))),"")</f>
        <v/>
      </c>
      <c r="H217" s="82"/>
      <c r="I217" s="77">
        <v>7</v>
      </c>
      <c r="J217" s="78">
        <f t="shared" si="74"/>
        <v>1</v>
      </c>
      <c r="K217" s="82"/>
      <c r="L217" s="82"/>
      <c r="M217" s="80">
        <f t="shared" si="65"/>
        <v>1</v>
      </c>
      <c r="N217" s="77">
        <v>7</v>
      </c>
      <c r="O217" s="78">
        <f t="shared" si="75"/>
        <v>1</v>
      </c>
      <c r="P217" s="82"/>
      <c r="Q217" s="82"/>
      <c r="R217" s="80">
        <f t="shared" si="66"/>
        <v>1</v>
      </c>
      <c r="S217" s="77">
        <v>7</v>
      </c>
      <c r="T217" s="78">
        <f t="shared" si="76"/>
        <v>1</v>
      </c>
      <c r="U217" s="79"/>
      <c r="V217" s="79"/>
      <c r="W217" s="80">
        <f t="shared" si="67"/>
        <v>1</v>
      </c>
      <c r="X217" s="77">
        <v>7</v>
      </c>
      <c r="Y217" s="78">
        <f t="shared" si="77"/>
        <v>1</v>
      </c>
      <c r="Z217" s="79"/>
      <c r="AA217" s="79"/>
      <c r="AB217" s="80">
        <f t="shared" si="68"/>
        <v>1</v>
      </c>
      <c r="AC217" s="77">
        <v>7</v>
      </c>
      <c r="AD217" s="78">
        <f t="shared" si="78"/>
        <v>1</v>
      </c>
      <c r="AE217" s="79"/>
      <c r="AF217" s="79"/>
      <c r="AG217" s="80">
        <f t="shared" si="69"/>
        <v>1</v>
      </c>
      <c r="AH217" s="77">
        <f t="shared" si="70"/>
        <v>35</v>
      </c>
      <c r="AI217" s="79">
        <f t="shared" si="79"/>
        <v>0</v>
      </c>
      <c r="AJ217" s="79">
        <f t="shared" si="71"/>
        <v>0</v>
      </c>
      <c r="AK217" s="81">
        <f t="shared" si="72"/>
        <v>5</v>
      </c>
      <c r="AL217" s="81" t="str">
        <f t="shared" si="80"/>
        <v>CRIT</v>
      </c>
      <c r="AM217" s="81">
        <f t="shared" si="81"/>
        <v>22</v>
      </c>
      <c r="AN217" s="99">
        <f t="shared" si="82"/>
        <v>42884</v>
      </c>
      <c r="AO217" s="99">
        <f t="shared" si="83"/>
        <v>42888</v>
      </c>
      <c r="AP217" s="99"/>
      <c r="AQ217" s="73"/>
      <c r="AR217" s="67"/>
      <c r="AS217" s="132"/>
    </row>
    <row r="218" spans="1:45" ht="20.25" customHeight="1" thickTop="1" thickBot="1" x14ac:dyDescent="0.3">
      <c r="A218" s="74" t="str">
        <f t="shared" ca="1" si="63"/>
        <v/>
      </c>
      <c r="B218" s="75" t="str">
        <f t="shared" ca="1" si="64"/>
        <v/>
      </c>
      <c r="C218" s="76" t="str">
        <f>IF(AND('Interimaire Juin  2017'!D224=$B$1,'Interimaire Juin  2017'!J224=$B$2),'Interimaire Juin  2017'!E224,"")</f>
        <v/>
      </c>
      <c r="D218" s="76" t="str">
        <f>IF(AND('Interimaire Juin  2017'!D224=$B$1,'Interimaire Juin  2017'!J224=$B$2),'Interimaire Juin  2017'!F224,"")</f>
        <v/>
      </c>
      <c r="E218" s="76" t="str">
        <f t="shared" si="73"/>
        <v/>
      </c>
      <c r="F218" s="76" t="str">
        <f t="array" aca="1" ref="F218" ca="1">IFERROR(INDEX(C:C,SMALL($E$2:$E$300,ROW(INDIRECT("210:"&amp;ROWS(C210:C508))))),"")</f>
        <v/>
      </c>
      <c r="G218" s="76" t="str">
        <f t="array" aca="1" ref="G218" ca="1">IFERROR(INDEX(D:D,SMALL($E$2:$E$300,ROW(INDIRECT("210:"&amp;ROWS(D210:D508))))),"")</f>
        <v/>
      </c>
      <c r="H218" s="82"/>
      <c r="I218" s="77">
        <v>7</v>
      </c>
      <c r="J218" s="78">
        <f t="shared" si="74"/>
        <v>1</v>
      </c>
      <c r="K218" s="82"/>
      <c r="L218" s="82"/>
      <c r="M218" s="80">
        <f t="shared" si="65"/>
        <v>1</v>
      </c>
      <c r="N218" s="77">
        <v>7</v>
      </c>
      <c r="O218" s="78">
        <f t="shared" si="75"/>
        <v>1</v>
      </c>
      <c r="P218" s="82"/>
      <c r="Q218" s="82"/>
      <c r="R218" s="80">
        <f t="shared" si="66"/>
        <v>1</v>
      </c>
      <c r="S218" s="77">
        <v>7</v>
      </c>
      <c r="T218" s="78">
        <f t="shared" si="76"/>
        <v>1</v>
      </c>
      <c r="U218" s="79"/>
      <c r="V218" s="79"/>
      <c r="W218" s="80">
        <f t="shared" si="67"/>
        <v>1</v>
      </c>
      <c r="X218" s="77">
        <v>7</v>
      </c>
      <c r="Y218" s="78">
        <f t="shared" si="77"/>
        <v>1</v>
      </c>
      <c r="Z218" s="79"/>
      <c r="AA218" s="79"/>
      <c r="AB218" s="80">
        <f t="shared" si="68"/>
        <v>1</v>
      </c>
      <c r="AC218" s="77">
        <v>7</v>
      </c>
      <c r="AD218" s="78">
        <f t="shared" si="78"/>
        <v>1</v>
      </c>
      <c r="AE218" s="79"/>
      <c r="AF218" s="79"/>
      <c r="AG218" s="80">
        <f t="shared" si="69"/>
        <v>1</v>
      </c>
      <c r="AH218" s="77">
        <f t="shared" si="70"/>
        <v>35</v>
      </c>
      <c r="AI218" s="79">
        <f t="shared" si="79"/>
        <v>0</v>
      </c>
      <c r="AJ218" s="79">
        <f t="shared" si="71"/>
        <v>0</v>
      </c>
      <c r="AK218" s="81">
        <f t="shared" si="72"/>
        <v>5</v>
      </c>
      <c r="AL218" s="81" t="str">
        <f t="shared" si="80"/>
        <v>CRIT</v>
      </c>
      <c r="AM218" s="81">
        <f t="shared" si="81"/>
        <v>22</v>
      </c>
      <c r="AN218" s="99">
        <f t="shared" si="82"/>
        <v>42884</v>
      </c>
      <c r="AO218" s="99">
        <f t="shared" si="83"/>
        <v>42888</v>
      </c>
      <c r="AP218" s="99"/>
      <c r="AQ218" s="73"/>
      <c r="AR218" s="67"/>
      <c r="AS218" s="132"/>
    </row>
    <row r="219" spans="1:45" ht="20.25" customHeight="1" thickTop="1" thickBot="1" x14ac:dyDescent="0.3">
      <c r="A219" s="74" t="str">
        <f t="shared" ca="1" si="63"/>
        <v/>
      </c>
      <c r="B219" s="75" t="str">
        <f t="shared" ca="1" si="64"/>
        <v/>
      </c>
      <c r="C219" s="76" t="str">
        <f>IF(AND('Interimaire Juin  2017'!D225=$B$1,'Interimaire Juin  2017'!J225=$B$2),'Interimaire Juin  2017'!E225,"")</f>
        <v/>
      </c>
      <c r="D219" s="76" t="str">
        <f>IF(AND('Interimaire Juin  2017'!D225=$B$1,'Interimaire Juin  2017'!J225=$B$2),'Interimaire Juin  2017'!F225,"")</f>
        <v/>
      </c>
      <c r="E219" s="76" t="str">
        <f t="shared" si="73"/>
        <v/>
      </c>
      <c r="F219" s="76" t="str">
        <f t="array" aca="1" ref="F219" ca="1">IFERROR(INDEX(C:C,SMALL($E$2:$E$300,ROW(INDIRECT("211:"&amp;ROWS(C211:C509))))),"")</f>
        <v/>
      </c>
      <c r="G219" s="76" t="str">
        <f t="array" aca="1" ref="G219" ca="1">IFERROR(INDEX(D:D,SMALL($E$2:$E$300,ROW(INDIRECT("211:"&amp;ROWS(D211:D509))))),"")</f>
        <v/>
      </c>
      <c r="H219" s="82"/>
      <c r="I219" s="77">
        <v>7</v>
      </c>
      <c r="J219" s="78">
        <f t="shared" si="74"/>
        <v>1</v>
      </c>
      <c r="K219" s="82"/>
      <c r="L219" s="82"/>
      <c r="M219" s="80">
        <f t="shared" si="65"/>
        <v>1</v>
      </c>
      <c r="N219" s="77">
        <v>7</v>
      </c>
      <c r="O219" s="78">
        <f t="shared" si="75"/>
        <v>1</v>
      </c>
      <c r="P219" s="82"/>
      <c r="Q219" s="82"/>
      <c r="R219" s="80">
        <f t="shared" si="66"/>
        <v>1</v>
      </c>
      <c r="S219" s="77">
        <v>7</v>
      </c>
      <c r="T219" s="78">
        <f t="shared" si="76"/>
        <v>1</v>
      </c>
      <c r="U219" s="79"/>
      <c r="V219" s="79"/>
      <c r="W219" s="80">
        <f t="shared" si="67"/>
        <v>1</v>
      </c>
      <c r="X219" s="77">
        <v>7</v>
      </c>
      <c r="Y219" s="78">
        <f t="shared" si="77"/>
        <v>1</v>
      </c>
      <c r="Z219" s="79"/>
      <c r="AA219" s="79"/>
      <c r="AB219" s="80">
        <f t="shared" si="68"/>
        <v>1</v>
      </c>
      <c r="AC219" s="77">
        <v>7</v>
      </c>
      <c r="AD219" s="78">
        <f t="shared" si="78"/>
        <v>1</v>
      </c>
      <c r="AE219" s="79"/>
      <c r="AF219" s="79"/>
      <c r="AG219" s="80">
        <f t="shared" si="69"/>
        <v>1</v>
      </c>
      <c r="AH219" s="77">
        <f t="shared" si="70"/>
        <v>35</v>
      </c>
      <c r="AI219" s="79">
        <f t="shared" si="79"/>
        <v>0</v>
      </c>
      <c r="AJ219" s="79">
        <f t="shared" si="71"/>
        <v>0</v>
      </c>
      <c r="AK219" s="81">
        <f t="shared" si="72"/>
        <v>5</v>
      </c>
      <c r="AL219" s="81" t="str">
        <f t="shared" si="80"/>
        <v>CRIT</v>
      </c>
      <c r="AM219" s="81">
        <f t="shared" si="81"/>
        <v>22</v>
      </c>
      <c r="AN219" s="99">
        <f t="shared" si="82"/>
        <v>42884</v>
      </c>
      <c r="AO219" s="99">
        <f t="shared" si="83"/>
        <v>42888</v>
      </c>
      <c r="AP219" s="99"/>
      <c r="AQ219" s="73"/>
      <c r="AR219" s="67"/>
      <c r="AS219" s="132"/>
    </row>
    <row r="220" spans="1:45" ht="20.25" customHeight="1" thickTop="1" thickBot="1" x14ac:dyDescent="0.3">
      <c r="A220" s="74" t="str">
        <f t="shared" ca="1" si="63"/>
        <v/>
      </c>
      <c r="B220" s="75" t="str">
        <f t="shared" ca="1" si="64"/>
        <v/>
      </c>
      <c r="C220" s="76" t="str">
        <f>IF(AND('Interimaire Juin  2017'!D226=$B$1,'Interimaire Juin  2017'!J226=$B$2),'Interimaire Juin  2017'!E226,"")</f>
        <v/>
      </c>
      <c r="D220" s="76" t="str">
        <f>IF(AND('Interimaire Juin  2017'!D226=$B$1,'Interimaire Juin  2017'!J226=$B$2),'Interimaire Juin  2017'!F226,"")</f>
        <v/>
      </c>
      <c r="E220" s="76" t="str">
        <f t="shared" si="73"/>
        <v/>
      </c>
      <c r="F220" s="76" t="str">
        <f t="array" aca="1" ref="F220" ca="1">IFERROR(INDEX(C:C,SMALL($E$2:$E$300,ROW(INDIRECT("212:"&amp;ROWS(C212:C510))))),"")</f>
        <v/>
      </c>
      <c r="G220" s="76" t="str">
        <f t="array" aca="1" ref="G220" ca="1">IFERROR(INDEX(D:D,SMALL($E$2:$E$300,ROW(INDIRECT("212:"&amp;ROWS(D212:D510))))),"")</f>
        <v/>
      </c>
      <c r="H220" s="82"/>
      <c r="I220" s="77">
        <v>7</v>
      </c>
      <c r="J220" s="78">
        <f t="shared" si="74"/>
        <v>1</v>
      </c>
      <c r="K220" s="82"/>
      <c r="L220" s="82"/>
      <c r="M220" s="80">
        <f t="shared" si="65"/>
        <v>1</v>
      </c>
      <c r="N220" s="77">
        <v>7</v>
      </c>
      <c r="O220" s="78">
        <f t="shared" si="75"/>
        <v>1</v>
      </c>
      <c r="P220" s="82"/>
      <c r="Q220" s="82"/>
      <c r="R220" s="80">
        <f t="shared" si="66"/>
        <v>1</v>
      </c>
      <c r="S220" s="77">
        <v>7</v>
      </c>
      <c r="T220" s="78">
        <f t="shared" si="76"/>
        <v>1</v>
      </c>
      <c r="U220" s="79"/>
      <c r="V220" s="79"/>
      <c r="W220" s="80">
        <f t="shared" si="67"/>
        <v>1</v>
      </c>
      <c r="X220" s="77">
        <v>7</v>
      </c>
      <c r="Y220" s="78">
        <f t="shared" si="77"/>
        <v>1</v>
      </c>
      <c r="Z220" s="79"/>
      <c r="AA220" s="79"/>
      <c r="AB220" s="80">
        <f t="shared" si="68"/>
        <v>1</v>
      </c>
      <c r="AC220" s="77">
        <v>7</v>
      </c>
      <c r="AD220" s="78">
        <f t="shared" si="78"/>
        <v>1</v>
      </c>
      <c r="AE220" s="79"/>
      <c r="AF220" s="79"/>
      <c r="AG220" s="80">
        <f t="shared" si="69"/>
        <v>1</v>
      </c>
      <c r="AH220" s="77">
        <f t="shared" si="70"/>
        <v>35</v>
      </c>
      <c r="AI220" s="79">
        <f t="shared" si="79"/>
        <v>0</v>
      </c>
      <c r="AJ220" s="79">
        <f t="shared" si="71"/>
        <v>0</v>
      </c>
      <c r="AK220" s="81">
        <f t="shared" si="72"/>
        <v>5</v>
      </c>
      <c r="AL220" s="81" t="str">
        <f t="shared" si="80"/>
        <v>CRIT</v>
      </c>
      <c r="AM220" s="81">
        <f t="shared" si="81"/>
        <v>22</v>
      </c>
      <c r="AN220" s="99">
        <f t="shared" si="82"/>
        <v>42884</v>
      </c>
      <c r="AO220" s="99">
        <f t="shared" si="83"/>
        <v>42888</v>
      </c>
      <c r="AP220" s="99"/>
      <c r="AQ220" s="73"/>
      <c r="AR220" s="67"/>
      <c r="AS220" s="132"/>
    </row>
    <row r="221" spans="1:45" ht="20.25" customHeight="1" thickTop="1" thickBot="1" x14ac:dyDescent="0.3">
      <c r="A221" s="74" t="str">
        <f t="shared" ref="A221:A284" ca="1" si="84">+F221</f>
        <v/>
      </c>
      <c r="B221" s="75" t="str">
        <f t="shared" ref="B221:B284" ca="1" si="85">+G221</f>
        <v/>
      </c>
      <c r="C221" s="76" t="str">
        <f>IF(AND('Interimaire Juin  2017'!D227=$B$1,'Interimaire Juin  2017'!J227=$B$2),'Interimaire Juin  2017'!E227,"")</f>
        <v/>
      </c>
      <c r="D221" s="76" t="str">
        <f>IF(AND('Interimaire Juin  2017'!D227=$B$1,'Interimaire Juin  2017'!J227=$B$2),'Interimaire Juin  2017'!F227,"")</f>
        <v/>
      </c>
      <c r="E221" s="76" t="str">
        <f t="shared" si="73"/>
        <v/>
      </c>
      <c r="F221" s="76" t="str">
        <f t="array" aca="1" ref="F221" ca="1">IFERROR(INDEX(C:C,SMALL($E$2:$E$300,ROW(INDIRECT("213:"&amp;ROWS(C213:C511))))),"")</f>
        <v/>
      </c>
      <c r="G221" s="76" t="str">
        <f t="array" aca="1" ref="G221" ca="1">IFERROR(INDEX(D:D,SMALL($E$2:$E$300,ROW(INDIRECT("213:"&amp;ROWS(D213:D511))))),"")</f>
        <v/>
      </c>
      <c r="H221" s="82"/>
      <c r="I221" s="77">
        <v>7</v>
      </c>
      <c r="J221" s="78">
        <f t="shared" si="74"/>
        <v>1</v>
      </c>
      <c r="K221" s="82"/>
      <c r="L221" s="82"/>
      <c r="M221" s="80">
        <f t="shared" si="65"/>
        <v>1</v>
      </c>
      <c r="N221" s="77">
        <v>7</v>
      </c>
      <c r="O221" s="78">
        <f t="shared" si="75"/>
        <v>1</v>
      </c>
      <c r="P221" s="82"/>
      <c r="Q221" s="82"/>
      <c r="R221" s="80">
        <f t="shared" si="66"/>
        <v>1</v>
      </c>
      <c r="S221" s="77">
        <v>7</v>
      </c>
      <c r="T221" s="78">
        <f t="shared" si="76"/>
        <v>1</v>
      </c>
      <c r="U221" s="79"/>
      <c r="V221" s="79"/>
      <c r="W221" s="80">
        <f t="shared" si="67"/>
        <v>1</v>
      </c>
      <c r="X221" s="77">
        <v>7</v>
      </c>
      <c r="Y221" s="78">
        <f t="shared" si="77"/>
        <v>1</v>
      </c>
      <c r="Z221" s="79"/>
      <c r="AA221" s="79"/>
      <c r="AB221" s="80">
        <f t="shared" si="68"/>
        <v>1</v>
      </c>
      <c r="AC221" s="77">
        <v>7</v>
      </c>
      <c r="AD221" s="78">
        <f t="shared" si="78"/>
        <v>1</v>
      </c>
      <c r="AE221" s="79"/>
      <c r="AF221" s="79"/>
      <c r="AG221" s="80">
        <f t="shared" si="69"/>
        <v>1</v>
      </c>
      <c r="AH221" s="77">
        <f t="shared" si="70"/>
        <v>35</v>
      </c>
      <c r="AI221" s="79">
        <f t="shared" si="79"/>
        <v>0</v>
      </c>
      <c r="AJ221" s="79">
        <f t="shared" si="71"/>
        <v>0</v>
      </c>
      <c r="AK221" s="81">
        <f t="shared" si="72"/>
        <v>5</v>
      </c>
      <c r="AL221" s="81" t="str">
        <f t="shared" si="80"/>
        <v>CRIT</v>
      </c>
      <c r="AM221" s="81">
        <f t="shared" si="81"/>
        <v>22</v>
      </c>
      <c r="AN221" s="99">
        <f t="shared" si="82"/>
        <v>42884</v>
      </c>
      <c r="AO221" s="99">
        <f t="shared" si="83"/>
        <v>42888</v>
      </c>
      <c r="AP221" s="99"/>
      <c r="AQ221" s="73"/>
      <c r="AR221" s="67"/>
      <c r="AS221" s="132"/>
    </row>
    <row r="222" spans="1:45" ht="20.25" customHeight="1" thickTop="1" thickBot="1" x14ac:dyDescent="0.3">
      <c r="A222" s="74" t="str">
        <f t="shared" ca="1" si="84"/>
        <v/>
      </c>
      <c r="B222" s="75" t="str">
        <f t="shared" ca="1" si="85"/>
        <v/>
      </c>
      <c r="C222" s="76" t="str">
        <f>IF(AND('Interimaire Juin  2017'!D228=$B$1,'Interimaire Juin  2017'!J228=$B$2),'Interimaire Juin  2017'!E228,"")</f>
        <v/>
      </c>
      <c r="D222" s="76" t="str">
        <f>IF(AND('Interimaire Juin  2017'!D228=$B$1,'Interimaire Juin  2017'!J228=$B$2),'Interimaire Juin  2017'!F228,"")</f>
        <v/>
      </c>
      <c r="E222" s="76" t="str">
        <f t="shared" si="73"/>
        <v/>
      </c>
      <c r="F222" s="76" t="str">
        <f t="array" aca="1" ref="F222" ca="1">IFERROR(INDEX(C:C,SMALL($E$2:$E$300,ROW(INDIRECT("214:"&amp;ROWS(C214:C512))))),"")</f>
        <v/>
      </c>
      <c r="G222" s="76" t="str">
        <f t="array" aca="1" ref="G222" ca="1">IFERROR(INDEX(D:D,SMALL($E$2:$E$300,ROW(INDIRECT("214:"&amp;ROWS(D214:D512))))),"")</f>
        <v/>
      </c>
      <c r="H222" s="82"/>
      <c r="I222" s="77">
        <v>7</v>
      </c>
      <c r="J222" s="78">
        <f t="shared" si="74"/>
        <v>1</v>
      </c>
      <c r="K222" s="82"/>
      <c r="L222" s="82"/>
      <c r="M222" s="80">
        <f t="shared" si="65"/>
        <v>1</v>
      </c>
      <c r="N222" s="77">
        <v>7</v>
      </c>
      <c r="O222" s="78">
        <f t="shared" si="75"/>
        <v>1</v>
      </c>
      <c r="P222" s="82"/>
      <c r="Q222" s="82"/>
      <c r="R222" s="80">
        <f t="shared" si="66"/>
        <v>1</v>
      </c>
      <c r="S222" s="77">
        <v>7</v>
      </c>
      <c r="T222" s="78">
        <f t="shared" si="76"/>
        <v>1</v>
      </c>
      <c r="U222" s="79"/>
      <c r="V222" s="79"/>
      <c r="W222" s="80">
        <f t="shared" si="67"/>
        <v>1</v>
      </c>
      <c r="X222" s="77">
        <v>7</v>
      </c>
      <c r="Y222" s="78">
        <f t="shared" si="77"/>
        <v>1</v>
      </c>
      <c r="Z222" s="79"/>
      <c r="AA222" s="79"/>
      <c r="AB222" s="80">
        <f t="shared" si="68"/>
        <v>1</v>
      </c>
      <c r="AC222" s="77">
        <v>7</v>
      </c>
      <c r="AD222" s="78">
        <f t="shared" si="78"/>
        <v>1</v>
      </c>
      <c r="AE222" s="79"/>
      <c r="AF222" s="79"/>
      <c r="AG222" s="80">
        <f t="shared" si="69"/>
        <v>1</v>
      </c>
      <c r="AH222" s="77">
        <f t="shared" si="70"/>
        <v>35</v>
      </c>
      <c r="AI222" s="79">
        <f t="shared" si="79"/>
        <v>0</v>
      </c>
      <c r="AJ222" s="79">
        <f t="shared" si="71"/>
        <v>0</v>
      </c>
      <c r="AK222" s="81">
        <f t="shared" si="72"/>
        <v>5</v>
      </c>
      <c r="AL222" s="81" t="str">
        <f t="shared" si="80"/>
        <v>CRIT</v>
      </c>
      <c r="AM222" s="81">
        <f t="shared" si="81"/>
        <v>22</v>
      </c>
      <c r="AN222" s="99">
        <f t="shared" si="82"/>
        <v>42884</v>
      </c>
      <c r="AO222" s="99">
        <f t="shared" si="83"/>
        <v>42888</v>
      </c>
      <c r="AP222" s="99"/>
      <c r="AQ222" s="73"/>
      <c r="AR222" s="67"/>
      <c r="AS222" s="132"/>
    </row>
    <row r="223" spans="1:45" ht="20.25" customHeight="1" thickTop="1" thickBot="1" x14ac:dyDescent="0.3">
      <c r="A223" s="74" t="str">
        <f t="shared" ca="1" si="84"/>
        <v/>
      </c>
      <c r="B223" s="75" t="str">
        <f t="shared" ca="1" si="85"/>
        <v/>
      </c>
      <c r="C223" s="76" t="str">
        <f>IF(AND('Interimaire Juin  2017'!D229=$B$1,'Interimaire Juin  2017'!J229=$B$2),'Interimaire Juin  2017'!E229,"")</f>
        <v/>
      </c>
      <c r="D223" s="76" t="str">
        <f>IF(AND('Interimaire Juin  2017'!D229=$B$1,'Interimaire Juin  2017'!J229=$B$2),'Interimaire Juin  2017'!F229,"")</f>
        <v/>
      </c>
      <c r="E223" s="76" t="str">
        <f t="shared" si="73"/>
        <v/>
      </c>
      <c r="F223" s="76" t="str">
        <f t="array" aca="1" ref="F223" ca="1">IFERROR(INDEX(C:C,SMALL($E$2:$E$300,ROW(INDIRECT("215:"&amp;ROWS(C215:C513))))),"")</f>
        <v/>
      </c>
      <c r="G223" s="76" t="str">
        <f t="array" aca="1" ref="G223" ca="1">IFERROR(INDEX(D:D,SMALL($E$2:$E$300,ROW(INDIRECT("215:"&amp;ROWS(D215:D513))))),"")</f>
        <v/>
      </c>
      <c r="H223" s="82"/>
      <c r="I223" s="77">
        <v>7</v>
      </c>
      <c r="J223" s="78">
        <f t="shared" si="74"/>
        <v>1</v>
      </c>
      <c r="K223" s="82"/>
      <c r="L223" s="82"/>
      <c r="M223" s="80">
        <f t="shared" si="65"/>
        <v>1</v>
      </c>
      <c r="N223" s="77">
        <v>7</v>
      </c>
      <c r="O223" s="78">
        <f t="shared" si="75"/>
        <v>1</v>
      </c>
      <c r="P223" s="82"/>
      <c r="Q223" s="82"/>
      <c r="R223" s="80">
        <f t="shared" si="66"/>
        <v>1</v>
      </c>
      <c r="S223" s="77">
        <v>7</v>
      </c>
      <c r="T223" s="78">
        <f t="shared" si="76"/>
        <v>1</v>
      </c>
      <c r="U223" s="79"/>
      <c r="V223" s="79"/>
      <c r="W223" s="80">
        <f t="shared" si="67"/>
        <v>1</v>
      </c>
      <c r="X223" s="77">
        <v>7</v>
      </c>
      <c r="Y223" s="78">
        <f t="shared" si="77"/>
        <v>1</v>
      </c>
      <c r="Z223" s="79"/>
      <c r="AA223" s="79"/>
      <c r="AB223" s="80">
        <f t="shared" si="68"/>
        <v>1</v>
      </c>
      <c r="AC223" s="77">
        <v>7</v>
      </c>
      <c r="AD223" s="78">
        <f t="shared" si="78"/>
        <v>1</v>
      </c>
      <c r="AE223" s="79"/>
      <c r="AF223" s="79"/>
      <c r="AG223" s="80">
        <f t="shared" si="69"/>
        <v>1</v>
      </c>
      <c r="AH223" s="77">
        <f t="shared" si="70"/>
        <v>35</v>
      </c>
      <c r="AI223" s="79">
        <f t="shared" si="79"/>
        <v>0</v>
      </c>
      <c r="AJ223" s="79">
        <f t="shared" si="71"/>
        <v>0</v>
      </c>
      <c r="AK223" s="81">
        <f t="shared" si="72"/>
        <v>5</v>
      </c>
      <c r="AL223" s="81" t="str">
        <f t="shared" si="80"/>
        <v>CRIT</v>
      </c>
      <c r="AM223" s="81">
        <f t="shared" si="81"/>
        <v>22</v>
      </c>
      <c r="AN223" s="99">
        <f t="shared" si="82"/>
        <v>42884</v>
      </c>
      <c r="AO223" s="99">
        <f t="shared" si="83"/>
        <v>42888</v>
      </c>
      <c r="AP223" s="99"/>
      <c r="AQ223" s="73"/>
      <c r="AR223" s="67"/>
      <c r="AS223" s="132"/>
    </row>
    <row r="224" spans="1:45" ht="20.25" customHeight="1" thickTop="1" thickBot="1" x14ac:dyDescent="0.3">
      <c r="A224" s="74" t="str">
        <f t="shared" ca="1" si="84"/>
        <v/>
      </c>
      <c r="B224" s="75" t="str">
        <f t="shared" ca="1" si="85"/>
        <v/>
      </c>
      <c r="C224" s="76" t="str">
        <f>IF(AND('Interimaire Juin  2017'!D230=$B$1,'Interimaire Juin  2017'!J230=$B$2),'Interimaire Juin  2017'!E230,"")</f>
        <v/>
      </c>
      <c r="D224" s="76" t="str">
        <f>IF(AND('Interimaire Juin  2017'!D230=$B$1,'Interimaire Juin  2017'!J230=$B$2),'Interimaire Juin  2017'!F230,"")</f>
        <v/>
      </c>
      <c r="E224" s="76" t="str">
        <f t="shared" si="73"/>
        <v/>
      </c>
      <c r="F224" s="76" t="str">
        <f t="array" aca="1" ref="F224" ca="1">IFERROR(INDEX(C:C,SMALL($E$2:$E$300,ROW(INDIRECT("216:"&amp;ROWS(C216:C514))))),"")</f>
        <v/>
      </c>
      <c r="G224" s="76" t="str">
        <f t="array" aca="1" ref="G224" ca="1">IFERROR(INDEX(D:D,SMALL($E$2:$E$300,ROW(INDIRECT("216:"&amp;ROWS(D216:D514))))),"")</f>
        <v/>
      </c>
      <c r="H224" s="82"/>
      <c r="I224" s="77">
        <v>7</v>
      </c>
      <c r="J224" s="78">
        <f t="shared" si="74"/>
        <v>1</v>
      </c>
      <c r="K224" s="82"/>
      <c r="L224" s="82"/>
      <c r="M224" s="80">
        <f t="shared" si="65"/>
        <v>1</v>
      </c>
      <c r="N224" s="77">
        <v>7</v>
      </c>
      <c r="O224" s="78">
        <f t="shared" si="75"/>
        <v>1</v>
      </c>
      <c r="P224" s="82"/>
      <c r="Q224" s="82"/>
      <c r="R224" s="80">
        <f t="shared" si="66"/>
        <v>1</v>
      </c>
      <c r="S224" s="77">
        <v>7</v>
      </c>
      <c r="T224" s="78">
        <f t="shared" si="76"/>
        <v>1</v>
      </c>
      <c r="U224" s="79"/>
      <c r="V224" s="79"/>
      <c r="W224" s="80">
        <f t="shared" si="67"/>
        <v>1</v>
      </c>
      <c r="X224" s="77">
        <v>7</v>
      </c>
      <c r="Y224" s="78">
        <f t="shared" si="77"/>
        <v>1</v>
      </c>
      <c r="Z224" s="79"/>
      <c r="AA224" s="79"/>
      <c r="AB224" s="80">
        <f t="shared" si="68"/>
        <v>1</v>
      </c>
      <c r="AC224" s="77">
        <v>7</v>
      </c>
      <c r="AD224" s="78">
        <f t="shared" si="78"/>
        <v>1</v>
      </c>
      <c r="AE224" s="79"/>
      <c r="AF224" s="79"/>
      <c r="AG224" s="80">
        <f t="shared" si="69"/>
        <v>1</v>
      </c>
      <c r="AH224" s="77">
        <f t="shared" si="70"/>
        <v>35</v>
      </c>
      <c r="AI224" s="79">
        <f t="shared" si="79"/>
        <v>0</v>
      </c>
      <c r="AJ224" s="79">
        <f t="shared" si="71"/>
        <v>0</v>
      </c>
      <c r="AK224" s="81">
        <f t="shared" si="72"/>
        <v>5</v>
      </c>
      <c r="AL224" s="81" t="str">
        <f t="shared" si="80"/>
        <v>CRIT</v>
      </c>
      <c r="AM224" s="81">
        <f t="shared" si="81"/>
        <v>22</v>
      </c>
      <c r="AN224" s="99">
        <f t="shared" si="82"/>
        <v>42884</v>
      </c>
      <c r="AO224" s="99">
        <f t="shared" si="83"/>
        <v>42888</v>
      </c>
      <c r="AP224" s="99"/>
      <c r="AQ224" s="73"/>
      <c r="AR224" s="67"/>
      <c r="AS224" s="132"/>
    </row>
    <row r="225" spans="1:45" ht="20.25" customHeight="1" thickTop="1" thickBot="1" x14ac:dyDescent="0.3">
      <c r="A225" s="74" t="str">
        <f t="shared" ca="1" si="84"/>
        <v/>
      </c>
      <c r="B225" s="75" t="str">
        <f t="shared" ca="1" si="85"/>
        <v/>
      </c>
      <c r="C225" s="76" t="str">
        <f>IF(AND('Interimaire Juin  2017'!D231=$B$1,'Interimaire Juin  2017'!J231=$B$2),'Interimaire Juin  2017'!E231,"")</f>
        <v/>
      </c>
      <c r="D225" s="76" t="str">
        <f>IF(AND('Interimaire Juin  2017'!D231=$B$1,'Interimaire Juin  2017'!J231=$B$2),'Interimaire Juin  2017'!F231,"")</f>
        <v/>
      </c>
      <c r="E225" s="76" t="str">
        <f t="shared" si="73"/>
        <v/>
      </c>
      <c r="F225" s="76" t="str">
        <f t="array" aca="1" ref="F225" ca="1">IFERROR(INDEX(C:C,SMALL($E$2:$E$300,ROW(INDIRECT("217:"&amp;ROWS(C217:C515))))),"")</f>
        <v/>
      </c>
      <c r="G225" s="76" t="str">
        <f t="array" aca="1" ref="G225" ca="1">IFERROR(INDEX(D:D,SMALL($E$2:$E$300,ROW(INDIRECT("217:"&amp;ROWS(D217:D515))))),"")</f>
        <v/>
      </c>
      <c r="H225" s="82"/>
      <c r="I225" s="77">
        <v>7</v>
      </c>
      <c r="J225" s="78">
        <f t="shared" si="74"/>
        <v>1</v>
      </c>
      <c r="K225" s="82"/>
      <c r="L225" s="82"/>
      <c r="M225" s="80">
        <f t="shared" si="65"/>
        <v>1</v>
      </c>
      <c r="N225" s="77">
        <v>7</v>
      </c>
      <c r="O225" s="78">
        <f t="shared" si="75"/>
        <v>1</v>
      </c>
      <c r="P225" s="82"/>
      <c r="Q225" s="82"/>
      <c r="R225" s="80">
        <f t="shared" si="66"/>
        <v>1</v>
      </c>
      <c r="S225" s="77">
        <v>7</v>
      </c>
      <c r="T225" s="78">
        <f t="shared" si="76"/>
        <v>1</v>
      </c>
      <c r="U225" s="79"/>
      <c r="V225" s="79"/>
      <c r="W225" s="80">
        <f t="shared" si="67"/>
        <v>1</v>
      </c>
      <c r="X225" s="77">
        <v>7</v>
      </c>
      <c r="Y225" s="78">
        <f t="shared" si="77"/>
        <v>1</v>
      </c>
      <c r="Z225" s="79"/>
      <c r="AA225" s="79"/>
      <c r="AB225" s="80">
        <f t="shared" si="68"/>
        <v>1</v>
      </c>
      <c r="AC225" s="77">
        <v>7</v>
      </c>
      <c r="AD225" s="78">
        <f t="shared" si="78"/>
        <v>1</v>
      </c>
      <c r="AE225" s="79"/>
      <c r="AF225" s="79"/>
      <c r="AG225" s="80">
        <f t="shared" si="69"/>
        <v>1</v>
      </c>
      <c r="AH225" s="77">
        <f t="shared" si="70"/>
        <v>35</v>
      </c>
      <c r="AI225" s="79">
        <f t="shared" si="79"/>
        <v>0</v>
      </c>
      <c r="AJ225" s="79">
        <f t="shared" si="71"/>
        <v>0</v>
      </c>
      <c r="AK225" s="81">
        <f t="shared" si="72"/>
        <v>5</v>
      </c>
      <c r="AL225" s="81" t="str">
        <f t="shared" si="80"/>
        <v>CRIT</v>
      </c>
      <c r="AM225" s="81">
        <f t="shared" si="81"/>
        <v>22</v>
      </c>
      <c r="AN225" s="99">
        <f t="shared" si="82"/>
        <v>42884</v>
      </c>
      <c r="AO225" s="99">
        <f t="shared" si="83"/>
        <v>42888</v>
      </c>
      <c r="AP225" s="99"/>
      <c r="AQ225" s="73"/>
      <c r="AR225" s="67"/>
      <c r="AS225" s="132"/>
    </row>
    <row r="226" spans="1:45" ht="20.25" customHeight="1" thickTop="1" thickBot="1" x14ac:dyDescent="0.3">
      <c r="A226" s="74" t="str">
        <f t="shared" ca="1" si="84"/>
        <v/>
      </c>
      <c r="B226" s="75" t="str">
        <f t="shared" ca="1" si="85"/>
        <v/>
      </c>
      <c r="C226" s="76" t="str">
        <f>IF(AND('Interimaire Juin  2017'!D232=$B$1,'Interimaire Juin  2017'!J232=$B$2),'Interimaire Juin  2017'!E232,"")</f>
        <v/>
      </c>
      <c r="D226" s="76" t="str">
        <f>IF(AND('Interimaire Juin  2017'!D232=$B$1,'Interimaire Juin  2017'!J232=$B$2),'Interimaire Juin  2017'!F232,"")</f>
        <v/>
      </c>
      <c r="E226" s="76" t="str">
        <f t="shared" si="73"/>
        <v/>
      </c>
      <c r="F226" s="76" t="str">
        <f t="array" aca="1" ref="F226" ca="1">IFERROR(INDEX(C:C,SMALL($E$2:$E$300,ROW(INDIRECT("218:"&amp;ROWS(C218:C516))))),"")</f>
        <v/>
      </c>
      <c r="G226" s="76" t="str">
        <f t="array" aca="1" ref="G226" ca="1">IFERROR(INDEX(D:D,SMALL($E$2:$E$300,ROW(INDIRECT("218:"&amp;ROWS(D218:D516))))),"")</f>
        <v/>
      </c>
      <c r="H226" s="82"/>
      <c r="I226" s="77">
        <v>7</v>
      </c>
      <c r="J226" s="78">
        <f t="shared" si="74"/>
        <v>1</v>
      </c>
      <c r="K226" s="82"/>
      <c r="L226" s="82"/>
      <c r="M226" s="80">
        <f t="shared" si="65"/>
        <v>1</v>
      </c>
      <c r="N226" s="77">
        <v>7</v>
      </c>
      <c r="O226" s="78">
        <f t="shared" si="75"/>
        <v>1</v>
      </c>
      <c r="P226" s="82"/>
      <c r="Q226" s="82"/>
      <c r="R226" s="80">
        <f t="shared" si="66"/>
        <v>1</v>
      </c>
      <c r="S226" s="77">
        <v>7</v>
      </c>
      <c r="T226" s="78">
        <f t="shared" si="76"/>
        <v>1</v>
      </c>
      <c r="U226" s="79"/>
      <c r="V226" s="79"/>
      <c r="W226" s="80">
        <f t="shared" si="67"/>
        <v>1</v>
      </c>
      <c r="X226" s="77">
        <v>7</v>
      </c>
      <c r="Y226" s="78">
        <f t="shared" si="77"/>
        <v>1</v>
      </c>
      <c r="Z226" s="79"/>
      <c r="AA226" s="79"/>
      <c r="AB226" s="80">
        <f t="shared" si="68"/>
        <v>1</v>
      </c>
      <c r="AC226" s="77">
        <v>7</v>
      </c>
      <c r="AD226" s="78">
        <f t="shared" si="78"/>
        <v>1</v>
      </c>
      <c r="AE226" s="79"/>
      <c r="AF226" s="79"/>
      <c r="AG226" s="80">
        <f t="shared" si="69"/>
        <v>1</v>
      </c>
      <c r="AH226" s="77">
        <f t="shared" si="70"/>
        <v>35</v>
      </c>
      <c r="AI226" s="79">
        <f t="shared" si="79"/>
        <v>0</v>
      </c>
      <c r="AJ226" s="79">
        <f t="shared" si="71"/>
        <v>0</v>
      </c>
      <c r="AK226" s="81">
        <f t="shared" si="72"/>
        <v>5</v>
      </c>
      <c r="AL226" s="81" t="str">
        <f t="shared" si="80"/>
        <v>CRIT</v>
      </c>
      <c r="AM226" s="81">
        <f t="shared" si="81"/>
        <v>22</v>
      </c>
      <c r="AN226" s="99">
        <f t="shared" si="82"/>
        <v>42884</v>
      </c>
      <c r="AO226" s="99">
        <f t="shared" si="83"/>
        <v>42888</v>
      </c>
      <c r="AP226" s="99"/>
      <c r="AQ226" s="73"/>
      <c r="AR226" s="67"/>
      <c r="AS226" s="132"/>
    </row>
    <row r="227" spans="1:45" ht="20.25" customHeight="1" thickTop="1" thickBot="1" x14ac:dyDescent="0.3">
      <c r="A227" s="74" t="str">
        <f t="shared" ca="1" si="84"/>
        <v/>
      </c>
      <c r="B227" s="75" t="str">
        <f t="shared" ca="1" si="85"/>
        <v/>
      </c>
      <c r="C227" s="76" t="str">
        <f>IF(AND('Interimaire Juin  2017'!D233=$B$1,'Interimaire Juin  2017'!J233=$B$2),'Interimaire Juin  2017'!E233,"")</f>
        <v/>
      </c>
      <c r="D227" s="76" t="str">
        <f>IF(AND('Interimaire Juin  2017'!D233=$B$1,'Interimaire Juin  2017'!J233=$B$2),'Interimaire Juin  2017'!F233,"")</f>
        <v/>
      </c>
      <c r="E227" s="76" t="str">
        <f t="shared" si="73"/>
        <v/>
      </c>
      <c r="F227" s="76" t="str">
        <f t="array" aca="1" ref="F227" ca="1">IFERROR(INDEX(C:C,SMALL($E$2:$E$300,ROW(INDIRECT("219:"&amp;ROWS(C219:C517))))),"")</f>
        <v/>
      </c>
      <c r="G227" s="76" t="str">
        <f t="array" aca="1" ref="G227" ca="1">IFERROR(INDEX(D:D,SMALL($E$2:$E$300,ROW(INDIRECT("219:"&amp;ROWS(D219:D517))))),"")</f>
        <v/>
      </c>
      <c r="H227" s="82"/>
      <c r="I227" s="77">
        <v>7</v>
      </c>
      <c r="J227" s="78">
        <f t="shared" si="74"/>
        <v>1</v>
      </c>
      <c r="K227" s="82"/>
      <c r="L227" s="82"/>
      <c r="M227" s="80">
        <f t="shared" si="65"/>
        <v>1</v>
      </c>
      <c r="N227" s="77">
        <v>7</v>
      </c>
      <c r="O227" s="78">
        <f t="shared" si="75"/>
        <v>1</v>
      </c>
      <c r="P227" s="82"/>
      <c r="Q227" s="82"/>
      <c r="R227" s="80">
        <f t="shared" si="66"/>
        <v>1</v>
      </c>
      <c r="S227" s="77">
        <v>7</v>
      </c>
      <c r="T227" s="78">
        <f t="shared" si="76"/>
        <v>1</v>
      </c>
      <c r="U227" s="79"/>
      <c r="V227" s="79"/>
      <c r="W227" s="80">
        <f t="shared" si="67"/>
        <v>1</v>
      </c>
      <c r="X227" s="77">
        <v>7</v>
      </c>
      <c r="Y227" s="78">
        <f t="shared" si="77"/>
        <v>1</v>
      </c>
      <c r="Z227" s="79"/>
      <c r="AA227" s="79"/>
      <c r="AB227" s="80">
        <f t="shared" si="68"/>
        <v>1</v>
      </c>
      <c r="AC227" s="77">
        <v>7</v>
      </c>
      <c r="AD227" s="78">
        <f t="shared" si="78"/>
        <v>1</v>
      </c>
      <c r="AE227" s="79"/>
      <c r="AF227" s="79"/>
      <c r="AG227" s="80">
        <f t="shared" si="69"/>
        <v>1</v>
      </c>
      <c r="AH227" s="77">
        <f t="shared" si="70"/>
        <v>35</v>
      </c>
      <c r="AI227" s="79">
        <f t="shared" si="79"/>
        <v>0</v>
      </c>
      <c r="AJ227" s="79">
        <f t="shared" si="71"/>
        <v>0</v>
      </c>
      <c r="AK227" s="81">
        <f t="shared" si="72"/>
        <v>5</v>
      </c>
      <c r="AL227" s="81" t="str">
        <f t="shared" si="80"/>
        <v>CRIT</v>
      </c>
      <c r="AM227" s="81">
        <f t="shared" si="81"/>
        <v>22</v>
      </c>
      <c r="AN227" s="99">
        <f t="shared" si="82"/>
        <v>42884</v>
      </c>
      <c r="AO227" s="99">
        <f t="shared" si="83"/>
        <v>42888</v>
      </c>
      <c r="AP227" s="99"/>
      <c r="AQ227" s="73"/>
      <c r="AR227" s="67"/>
      <c r="AS227" s="132"/>
    </row>
    <row r="228" spans="1:45" ht="20.25" customHeight="1" thickTop="1" thickBot="1" x14ac:dyDescent="0.3">
      <c r="A228" s="74" t="str">
        <f t="shared" ca="1" si="84"/>
        <v/>
      </c>
      <c r="B228" s="75" t="str">
        <f t="shared" ca="1" si="85"/>
        <v/>
      </c>
      <c r="C228" s="76" t="str">
        <f>IF(AND('Interimaire Juin  2017'!D234=$B$1,'Interimaire Juin  2017'!J234=$B$2),'Interimaire Juin  2017'!E234,"")</f>
        <v/>
      </c>
      <c r="D228" s="76" t="str">
        <f>IF(AND('Interimaire Juin  2017'!D234=$B$1,'Interimaire Juin  2017'!J234=$B$2),'Interimaire Juin  2017'!F234,"")</f>
        <v/>
      </c>
      <c r="E228" s="76" t="str">
        <f t="shared" si="73"/>
        <v/>
      </c>
      <c r="F228" s="76" t="str">
        <f t="array" aca="1" ref="F228" ca="1">IFERROR(INDEX(C:C,SMALL($E$2:$E$300,ROW(INDIRECT("220:"&amp;ROWS(C220:C518))))),"")</f>
        <v/>
      </c>
      <c r="G228" s="76" t="str">
        <f t="array" aca="1" ref="G228" ca="1">IFERROR(INDEX(D:D,SMALL($E$2:$E$300,ROW(INDIRECT("220:"&amp;ROWS(D220:D518))))),"")</f>
        <v/>
      </c>
      <c r="H228" s="82"/>
      <c r="I228" s="77">
        <v>7</v>
      </c>
      <c r="J228" s="78">
        <f t="shared" si="74"/>
        <v>1</v>
      </c>
      <c r="K228" s="82"/>
      <c r="L228" s="82"/>
      <c r="M228" s="80">
        <f t="shared" si="65"/>
        <v>1</v>
      </c>
      <c r="N228" s="77">
        <v>7</v>
      </c>
      <c r="O228" s="78">
        <f t="shared" si="75"/>
        <v>1</v>
      </c>
      <c r="P228" s="82"/>
      <c r="Q228" s="82"/>
      <c r="R228" s="80">
        <f t="shared" si="66"/>
        <v>1</v>
      </c>
      <c r="S228" s="77">
        <v>7</v>
      </c>
      <c r="T228" s="78">
        <f t="shared" si="76"/>
        <v>1</v>
      </c>
      <c r="U228" s="79"/>
      <c r="V228" s="79"/>
      <c r="W228" s="80">
        <f t="shared" si="67"/>
        <v>1</v>
      </c>
      <c r="X228" s="77">
        <v>7</v>
      </c>
      <c r="Y228" s="78">
        <f t="shared" si="77"/>
        <v>1</v>
      </c>
      <c r="Z228" s="79"/>
      <c r="AA228" s="79"/>
      <c r="AB228" s="80">
        <f t="shared" si="68"/>
        <v>1</v>
      </c>
      <c r="AC228" s="77">
        <v>7</v>
      </c>
      <c r="AD228" s="78">
        <f t="shared" si="78"/>
        <v>1</v>
      </c>
      <c r="AE228" s="79"/>
      <c r="AF228" s="79"/>
      <c r="AG228" s="80">
        <f t="shared" si="69"/>
        <v>1</v>
      </c>
      <c r="AH228" s="77">
        <f t="shared" si="70"/>
        <v>35</v>
      </c>
      <c r="AI228" s="79">
        <f t="shared" si="79"/>
        <v>0</v>
      </c>
      <c r="AJ228" s="79">
        <f t="shared" si="71"/>
        <v>0</v>
      </c>
      <c r="AK228" s="81">
        <f t="shared" si="72"/>
        <v>5</v>
      </c>
      <c r="AL228" s="81" t="str">
        <f t="shared" si="80"/>
        <v>CRIT</v>
      </c>
      <c r="AM228" s="81">
        <f t="shared" si="81"/>
        <v>22</v>
      </c>
      <c r="AN228" s="99">
        <f t="shared" si="82"/>
        <v>42884</v>
      </c>
      <c r="AO228" s="99">
        <f t="shared" si="83"/>
        <v>42888</v>
      </c>
      <c r="AP228" s="99"/>
      <c r="AQ228" s="73"/>
      <c r="AR228" s="67"/>
      <c r="AS228" s="132"/>
    </row>
    <row r="229" spans="1:45" ht="20.25" customHeight="1" thickTop="1" thickBot="1" x14ac:dyDescent="0.3">
      <c r="A229" s="74" t="str">
        <f t="shared" ca="1" si="84"/>
        <v/>
      </c>
      <c r="B229" s="75" t="str">
        <f t="shared" ca="1" si="85"/>
        <v/>
      </c>
      <c r="C229" s="76" t="str">
        <f>IF(AND('Interimaire Juin  2017'!D235=$B$1,'Interimaire Juin  2017'!J235=$B$2),'Interimaire Juin  2017'!E235,"")</f>
        <v/>
      </c>
      <c r="D229" s="76" t="str">
        <f>IF(AND('Interimaire Juin  2017'!D235=$B$1,'Interimaire Juin  2017'!J235=$B$2),'Interimaire Juin  2017'!F235,"")</f>
        <v/>
      </c>
      <c r="E229" s="76" t="str">
        <f t="shared" si="73"/>
        <v/>
      </c>
      <c r="F229" s="76" t="str">
        <f t="array" aca="1" ref="F229" ca="1">IFERROR(INDEX(C:C,SMALL($E$2:$E$300,ROW(INDIRECT("221:"&amp;ROWS(C221:C519))))),"")</f>
        <v/>
      </c>
      <c r="G229" s="76" t="str">
        <f t="array" aca="1" ref="G229" ca="1">IFERROR(INDEX(D:D,SMALL($E$2:$E$300,ROW(INDIRECT("221:"&amp;ROWS(D221:D519))))),"")</f>
        <v/>
      </c>
      <c r="H229" s="82"/>
      <c r="I229" s="77">
        <v>7</v>
      </c>
      <c r="J229" s="78">
        <f t="shared" si="74"/>
        <v>1</v>
      </c>
      <c r="K229" s="82"/>
      <c r="L229" s="82"/>
      <c r="M229" s="80">
        <f t="shared" ref="M229:M292" si="86">+J229</f>
        <v>1</v>
      </c>
      <c r="N229" s="77">
        <v>7</v>
      </c>
      <c r="O229" s="78">
        <f t="shared" si="75"/>
        <v>1</v>
      </c>
      <c r="P229" s="82"/>
      <c r="Q229" s="82"/>
      <c r="R229" s="80">
        <f t="shared" ref="R229:R292" si="87">+O229</f>
        <v>1</v>
      </c>
      <c r="S229" s="77">
        <v>7</v>
      </c>
      <c r="T229" s="78">
        <f t="shared" si="76"/>
        <v>1</v>
      </c>
      <c r="U229" s="79"/>
      <c r="V229" s="79"/>
      <c r="W229" s="80">
        <f t="shared" ref="W229:W292" si="88">+T229</f>
        <v>1</v>
      </c>
      <c r="X229" s="77">
        <v>7</v>
      </c>
      <c r="Y229" s="78">
        <f t="shared" si="77"/>
        <v>1</v>
      </c>
      <c r="Z229" s="79"/>
      <c r="AA229" s="79"/>
      <c r="AB229" s="80">
        <f t="shared" ref="AB229:AB292" si="89">+Y229</f>
        <v>1</v>
      </c>
      <c r="AC229" s="77">
        <v>7</v>
      </c>
      <c r="AD229" s="78">
        <f t="shared" si="78"/>
        <v>1</v>
      </c>
      <c r="AE229" s="79"/>
      <c r="AF229" s="79"/>
      <c r="AG229" s="80">
        <f t="shared" ref="AG229:AG292" si="90">+AD229</f>
        <v>1</v>
      </c>
      <c r="AH229" s="77">
        <f t="shared" ref="AH229:AH292" si="91">I229+N229+S229+X229+AC229</f>
        <v>35</v>
      </c>
      <c r="AI229" s="79">
        <f t="shared" si="79"/>
        <v>0</v>
      </c>
      <c r="AJ229" s="79">
        <f t="shared" ref="AJ229:AJ292" si="92">+AF229+AA229+V229+Q229+L229</f>
        <v>0</v>
      </c>
      <c r="AK229" s="81">
        <f t="shared" ref="AK229:AK292" si="93">+AG229+AB229+W229+O229+J229</f>
        <v>5</v>
      </c>
      <c r="AL229" s="81" t="str">
        <f t="shared" si="80"/>
        <v>CRIT</v>
      </c>
      <c r="AM229" s="81">
        <f t="shared" si="81"/>
        <v>22</v>
      </c>
      <c r="AN229" s="99">
        <f t="shared" si="82"/>
        <v>42884</v>
      </c>
      <c r="AO229" s="99">
        <f t="shared" si="83"/>
        <v>42888</v>
      </c>
      <c r="AP229" s="99"/>
      <c r="AQ229" s="73"/>
      <c r="AR229" s="67"/>
      <c r="AS229" s="132"/>
    </row>
    <row r="230" spans="1:45" ht="20.25" customHeight="1" thickTop="1" thickBot="1" x14ac:dyDescent="0.3">
      <c r="A230" s="74" t="str">
        <f t="shared" ca="1" si="84"/>
        <v/>
      </c>
      <c r="B230" s="75" t="str">
        <f t="shared" ca="1" si="85"/>
        <v/>
      </c>
      <c r="C230" s="76" t="str">
        <f>IF(AND('Interimaire Juin  2017'!D236=$B$1,'Interimaire Juin  2017'!J236=$B$2),'Interimaire Juin  2017'!E236,"")</f>
        <v/>
      </c>
      <c r="D230" s="76" t="str">
        <f>IF(AND('Interimaire Juin  2017'!D236=$B$1,'Interimaire Juin  2017'!J236=$B$2),'Interimaire Juin  2017'!F236,"")</f>
        <v/>
      </c>
      <c r="E230" s="76" t="str">
        <f t="shared" si="73"/>
        <v/>
      </c>
      <c r="F230" s="76" t="str">
        <f t="array" aca="1" ref="F230" ca="1">IFERROR(INDEX(C:C,SMALL($E$2:$E$300,ROW(INDIRECT("222:"&amp;ROWS(C222:C520))))),"")</f>
        <v/>
      </c>
      <c r="G230" s="76" t="str">
        <f t="array" aca="1" ref="G230" ca="1">IFERROR(INDEX(D:D,SMALL($E$2:$E$300,ROW(INDIRECT("222:"&amp;ROWS(D222:D520))))),"")</f>
        <v/>
      </c>
      <c r="H230" s="82"/>
      <c r="I230" s="77">
        <v>7</v>
      </c>
      <c r="J230" s="78">
        <f t="shared" si="74"/>
        <v>1</v>
      </c>
      <c r="K230" s="82"/>
      <c r="L230" s="82"/>
      <c r="M230" s="80">
        <f t="shared" si="86"/>
        <v>1</v>
      </c>
      <c r="N230" s="77">
        <v>7</v>
      </c>
      <c r="O230" s="78">
        <f t="shared" si="75"/>
        <v>1</v>
      </c>
      <c r="P230" s="82"/>
      <c r="Q230" s="82"/>
      <c r="R230" s="80">
        <f t="shared" si="87"/>
        <v>1</v>
      </c>
      <c r="S230" s="77">
        <v>7</v>
      </c>
      <c r="T230" s="78">
        <f t="shared" si="76"/>
        <v>1</v>
      </c>
      <c r="U230" s="79"/>
      <c r="V230" s="79"/>
      <c r="W230" s="80">
        <f t="shared" si="88"/>
        <v>1</v>
      </c>
      <c r="X230" s="77">
        <v>7</v>
      </c>
      <c r="Y230" s="78">
        <f t="shared" si="77"/>
        <v>1</v>
      </c>
      <c r="Z230" s="79"/>
      <c r="AA230" s="79"/>
      <c r="AB230" s="80">
        <f t="shared" si="89"/>
        <v>1</v>
      </c>
      <c r="AC230" s="77">
        <v>7</v>
      </c>
      <c r="AD230" s="78">
        <f t="shared" si="78"/>
        <v>1</v>
      </c>
      <c r="AE230" s="79"/>
      <c r="AF230" s="79"/>
      <c r="AG230" s="80">
        <f t="shared" si="90"/>
        <v>1</v>
      </c>
      <c r="AH230" s="77">
        <f t="shared" si="91"/>
        <v>35</v>
      </c>
      <c r="AI230" s="79">
        <f t="shared" si="79"/>
        <v>0</v>
      </c>
      <c r="AJ230" s="79">
        <f t="shared" si="92"/>
        <v>0</v>
      </c>
      <c r="AK230" s="81">
        <f t="shared" si="93"/>
        <v>5</v>
      </c>
      <c r="AL230" s="81" t="str">
        <f t="shared" si="80"/>
        <v>CRIT</v>
      </c>
      <c r="AM230" s="81">
        <f t="shared" si="81"/>
        <v>22</v>
      </c>
      <c r="AN230" s="99">
        <f t="shared" si="82"/>
        <v>42884</v>
      </c>
      <c r="AO230" s="99">
        <f t="shared" si="83"/>
        <v>42888</v>
      </c>
      <c r="AP230" s="99"/>
      <c r="AQ230" s="73"/>
      <c r="AR230" s="67"/>
      <c r="AS230" s="132"/>
    </row>
    <row r="231" spans="1:45" ht="20.25" customHeight="1" thickTop="1" thickBot="1" x14ac:dyDescent="0.3">
      <c r="A231" s="74" t="str">
        <f t="shared" ca="1" si="84"/>
        <v/>
      </c>
      <c r="B231" s="75" t="str">
        <f t="shared" ca="1" si="85"/>
        <v/>
      </c>
      <c r="C231" s="76" t="str">
        <f>IF(AND('Interimaire Juin  2017'!D237=$B$1,'Interimaire Juin  2017'!J237=$B$2),'Interimaire Juin  2017'!E237,"")</f>
        <v/>
      </c>
      <c r="D231" s="76" t="str">
        <f>IF(AND('Interimaire Juin  2017'!D237=$B$1,'Interimaire Juin  2017'!J237=$B$2),'Interimaire Juin  2017'!F237,"")</f>
        <v/>
      </c>
      <c r="E231" s="76" t="str">
        <f t="shared" si="73"/>
        <v/>
      </c>
      <c r="F231" s="76" t="str">
        <f t="array" aca="1" ref="F231" ca="1">IFERROR(INDEX(C:C,SMALL($E$2:$E$300,ROW(INDIRECT("223:"&amp;ROWS(C223:C521))))),"")</f>
        <v/>
      </c>
      <c r="G231" s="76" t="str">
        <f t="array" aca="1" ref="G231" ca="1">IFERROR(INDEX(D:D,SMALL($E$2:$E$300,ROW(INDIRECT("223:"&amp;ROWS(D223:D521))))),"")</f>
        <v/>
      </c>
      <c r="H231" s="82"/>
      <c r="I231" s="77">
        <v>7</v>
      </c>
      <c r="J231" s="78">
        <f t="shared" si="74"/>
        <v>1</v>
      </c>
      <c r="K231" s="82"/>
      <c r="L231" s="82"/>
      <c r="M231" s="80">
        <f t="shared" si="86"/>
        <v>1</v>
      </c>
      <c r="N231" s="77">
        <v>7</v>
      </c>
      <c r="O231" s="78">
        <f t="shared" si="75"/>
        <v>1</v>
      </c>
      <c r="P231" s="82"/>
      <c r="Q231" s="82"/>
      <c r="R231" s="80">
        <f t="shared" si="87"/>
        <v>1</v>
      </c>
      <c r="S231" s="77">
        <v>7</v>
      </c>
      <c r="T231" s="78">
        <f t="shared" si="76"/>
        <v>1</v>
      </c>
      <c r="U231" s="79"/>
      <c r="V231" s="79"/>
      <c r="W231" s="80">
        <f t="shared" si="88"/>
        <v>1</v>
      </c>
      <c r="X231" s="77">
        <v>7</v>
      </c>
      <c r="Y231" s="78">
        <f t="shared" si="77"/>
        <v>1</v>
      </c>
      <c r="Z231" s="79"/>
      <c r="AA231" s="79"/>
      <c r="AB231" s="80">
        <f t="shared" si="89"/>
        <v>1</v>
      </c>
      <c r="AC231" s="77">
        <v>7</v>
      </c>
      <c r="AD231" s="78">
        <f t="shared" si="78"/>
        <v>1</v>
      </c>
      <c r="AE231" s="79"/>
      <c r="AF231" s="79"/>
      <c r="AG231" s="80">
        <f t="shared" si="90"/>
        <v>1</v>
      </c>
      <c r="AH231" s="77">
        <f t="shared" si="91"/>
        <v>35</v>
      </c>
      <c r="AI231" s="79">
        <f t="shared" si="79"/>
        <v>0</v>
      </c>
      <c r="AJ231" s="79">
        <f t="shared" si="92"/>
        <v>0</v>
      </c>
      <c r="AK231" s="81">
        <f t="shared" si="93"/>
        <v>5</v>
      </c>
      <c r="AL231" s="81" t="str">
        <f t="shared" si="80"/>
        <v>CRIT</v>
      </c>
      <c r="AM231" s="81">
        <f t="shared" si="81"/>
        <v>22</v>
      </c>
      <c r="AN231" s="99">
        <f t="shared" si="82"/>
        <v>42884</v>
      </c>
      <c r="AO231" s="99">
        <f t="shared" si="83"/>
        <v>42888</v>
      </c>
      <c r="AP231" s="99"/>
      <c r="AQ231" s="73"/>
      <c r="AR231" s="67"/>
      <c r="AS231" s="132"/>
    </row>
    <row r="232" spans="1:45" ht="20.25" customHeight="1" thickTop="1" thickBot="1" x14ac:dyDescent="0.3">
      <c r="A232" s="74" t="str">
        <f t="shared" ca="1" si="84"/>
        <v/>
      </c>
      <c r="B232" s="75" t="str">
        <f t="shared" ca="1" si="85"/>
        <v/>
      </c>
      <c r="C232" s="76" t="str">
        <f>IF(AND('Interimaire Juin  2017'!D238=$B$1,'Interimaire Juin  2017'!J238=$B$2),'Interimaire Juin  2017'!E238,"")</f>
        <v/>
      </c>
      <c r="D232" s="76" t="str">
        <f>IF(AND('Interimaire Juin  2017'!D238=$B$1,'Interimaire Juin  2017'!J238=$B$2),'Interimaire Juin  2017'!F238,"")</f>
        <v/>
      </c>
      <c r="E232" s="76" t="str">
        <f t="shared" si="73"/>
        <v/>
      </c>
      <c r="F232" s="76" t="str">
        <f t="array" aca="1" ref="F232" ca="1">IFERROR(INDEX(C:C,SMALL($E$2:$E$300,ROW(INDIRECT("224:"&amp;ROWS(C224:C522))))),"")</f>
        <v/>
      </c>
      <c r="G232" s="76" t="str">
        <f t="array" aca="1" ref="G232" ca="1">IFERROR(INDEX(D:D,SMALL($E$2:$E$300,ROW(INDIRECT("224:"&amp;ROWS(D224:D522))))),"")</f>
        <v/>
      </c>
      <c r="H232" s="82"/>
      <c r="I232" s="77">
        <v>7</v>
      </c>
      <c r="J232" s="78">
        <f t="shared" si="74"/>
        <v>1</v>
      </c>
      <c r="K232" s="82"/>
      <c r="L232" s="82"/>
      <c r="M232" s="80">
        <f t="shared" si="86"/>
        <v>1</v>
      </c>
      <c r="N232" s="77">
        <v>7</v>
      </c>
      <c r="O232" s="78">
        <f t="shared" si="75"/>
        <v>1</v>
      </c>
      <c r="P232" s="82"/>
      <c r="Q232" s="82"/>
      <c r="R232" s="80">
        <f t="shared" si="87"/>
        <v>1</v>
      </c>
      <c r="S232" s="77">
        <v>7</v>
      </c>
      <c r="T232" s="78">
        <f t="shared" si="76"/>
        <v>1</v>
      </c>
      <c r="U232" s="79"/>
      <c r="V232" s="79"/>
      <c r="W232" s="80">
        <f t="shared" si="88"/>
        <v>1</v>
      </c>
      <c r="X232" s="77">
        <v>7</v>
      </c>
      <c r="Y232" s="78">
        <f t="shared" si="77"/>
        <v>1</v>
      </c>
      <c r="Z232" s="79"/>
      <c r="AA232" s="79"/>
      <c r="AB232" s="80">
        <f t="shared" si="89"/>
        <v>1</v>
      </c>
      <c r="AC232" s="77">
        <v>7</v>
      </c>
      <c r="AD232" s="78">
        <f t="shared" si="78"/>
        <v>1</v>
      </c>
      <c r="AE232" s="79"/>
      <c r="AF232" s="79"/>
      <c r="AG232" s="80">
        <f t="shared" si="90"/>
        <v>1</v>
      </c>
      <c r="AH232" s="77">
        <f t="shared" si="91"/>
        <v>35</v>
      </c>
      <c r="AI232" s="79">
        <f t="shared" si="79"/>
        <v>0</v>
      </c>
      <c r="AJ232" s="79">
        <f t="shared" si="92"/>
        <v>0</v>
      </c>
      <c r="AK232" s="81">
        <f t="shared" si="93"/>
        <v>5</v>
      </c>
      <c r="AL232" s="81" t="str">
        <f t="shared" si="80"/>
        <v>CRIT</v>
      </c>
      <c r="AM232" s="81">
        <f t="shared" si="81"/>
        <v>22</v>
      </c>
      <c r="AN232" s="99">
        <f t="shared" si="82"/>
        <v>42884</v>
      </c>
      <c r="AO232" s="99">
        <f t="shared" si="83"/>
        <v>42888</v>
      </c>
      <c r="AP232" s="99"/>
      <c r="AQ232" s="73"/>
      <c r="AR232" s="67"/>
      <c r="AS232" s="132"/>
    </row>
    <row r="233" spans="1:45" ht="20.25" customHeight="1" thickTop="1" thickBot="1" x14ac:dyDescent="0.3">
      <c r="A233" s="74" t="str">
        <f t="shared" ca="1" si="84"/>
        <v/>
      </c>
      <c r="B233" s="75" t="str">
        <f t="shared" ca="1" si="85"/>
        <v/>
      </c>
      <c r="C233" s="76" t="str">
        <f>IF(AND('Interimaire Juin  2017'!D239=$B$1,'Interimaire Juin  2017'!J239=$B$2),'Interimaire Juin  2017'!E239,"")</f>
        <v/>
      </c>
      <c r="D233" s="76" t="str">
        <f>IF(AND('Interimaire Juin  2017'!D239=$B$1,'Interimaire Juin  2017'!J239=$B$2),'Interimaire Juin  2017'!F239,"")</f>
        <v/>
      </c>
      <c r="E233" s="76" t="str">
        <f t="shared" si="73"/>
        <v/>
      </c>
      <c r="F233" s="76" t="str">
        <f t="array" aca="1" ref="F233" ca="1">IFERROR(INDEX(C:C,SMALL($E$2:$E$300,ROW(INDIRECT("225:"&amp;ROWS(C225:C523))))),"")</f>
        <v/>
      </c>
      <c r="G233" s="76" t="str">
        <f t="array" aca="1" ref="G233" ca="1">IFERROR(INDEX(D:D,SMALL($E$2:$E$300,ROW(INDIRECT("225:"&amp;ROWS(D225:D523))))),"")</f>
        <v/>
      </c>
      <c r="H233" s="82"/>
      <c r="I233" s="77">
        <v>7</v>
      </c>
      <c r="J233" s="78">
        <f t="shared" si="74"/>
        <v>1</v>
      </c>
      <c r="K233" s="82"/>
      <c r="L233" s="82"/>
      <c r="M233" s="80">
        <f t="shared" si="86"/>
        <v>1</v>
      </c>
      <c r="N233" s="77">
        <v>7</v>
      </c>
      <c r="O233" s="78">
        <f t="shared" si="75"/>
        <v>1</v>
      </c>
      <c r="P233" s="82"/>
      <c r="Q233" s="82"/>
      <c r="R233" s="80">
        <f t="shared" si="87"/>
        <v>1</v>
      </c>
      <c r="S233" s="77">
        <v>7</v>
      </c>
      <c r="T233" s="78">
        <f t="shared" si="76"/>
        <v>1</v>
      </c>
      <c r="U233" s="79"/>
      <c r="V233" s="79"/>
      <c r="W233" s="80">
        <f t="shared" si="88"/>
        <v>1</v>
      </c>
      <c r="X233" s="77">
        <v>7</v>
      </c>
      <c r="Y233" s="78">
        <f t="shared" si="77"/>
        <v>1</v>
      </c>
      <c r="Z233" s="79"/>
      <c r="AA233" s="79"/>
      <c r="AB233" s="80">
        <f t="shared" si="89"/>
        <v>1</v>
      </c>
      <c r="AC233" s="77">
        <v>7</v>
      </c>
      <c r="AD233" s="78">
        <f t="shared" si="78"/>
        <v>1</v>
      </c>
      <c r="AE233" s="79"/>
      <c r="AF233" s="79"/>
      <c r="AG233" s="80">
        <f t="shared" si="90"/>
        <v>1</v>
      </c>
      <c r="AH233" s="77">
        <f t="shared" si="91"/>
        <v>35</v>
      </c>
      <c r="AI233" s="79">
        <f t="shared" si="79"/>
        <v>0</v>
      </c>
      <c r="AJ233" s="79">
        <f t="shared" si="92"/>
        <v>0</v>
      </c>
      <c r="AK233" s="81">
        <f t="shared" si="93"/>
        <v>5</v>
      </c>
      <c r="AL233" s="81" t="str">
        <f t="shared" si="80"/>
        <v>CRIT</v>
      </c>
      <c r="AM233" s="81">
        <f t="shared" si="81"/>
        <v>22</v>
      </c>
      <c r="AN233" s="99">
        <f t="shared" si="82"/>
        <v>42884</v>
      </c>
      <c r="AO233" s="99">
        <f t="shared" si="83"/>
        <v>42888</v>
      </c>
      <c r="AP233" s="99"/>
      <c r="AQ233" s="73"/>
      <c r="AR233" s="67"/>
      <c r="AS233" s="132"/>
    </row>
    <row r="234" spans="1:45" ht="20.25" customHeight="1" thickTop="1" thickBot="1" x14ac:dyDescent="0.3">
      <c r="A234" s="74" t="str">
        <f t="shared" ca="1" si="84"/>
        <v/>
      </c>
      <c r="B234" s="75" t="str">
        <f t="shared" ca="1" si="85"/>
        <v/>
      </c>
      <c r="C234" s="76" t="str">
        <f>IF(AND('Interimaire Juin  2017'!D240=$B$1,'Interimaire Juin  2017'!J240=$B$2),'Interimaire Juin  2017'!E240,"")</f>
        <v/>
      </c>
      <c r="D234" s="76" t="str">
        <f>IF(AND('Interimaire Juin  2017'!D240=$B$1,'Interimaire Juin  2017'!J240=$B$2),'Interimaire Juin  2017'!F240,"")</f>
        <v/>
      </c>
      <c r="E234" s="76" t="str">
        <f t="shared" si="73"/>
        <v/>
      </c>
      <c r="F234" s="76" t="str">
        <f t="array" aca="1" ref="F234" ca="1">IFERROR(INDEX(C:C,SMALL($E$2:$E$300,ROW(INDIRECT("226:"&amp;ROWS(C226:C524))))),"")</f>
        <v/>
      </c>
      <c r="G234" s="76" t="str">
        <f t="array" aca="1" ref="G234" ca="1">IFERROR(INDEX(D:D,SMALL($E$2:$E$300,ROW(INDIRECT("226:"&amp;ROWS(D226:D524))))),"")</f>
        <v/>
      </c>
      <c r="H234" s="82"/>
      <c r="I234" s="77">
        <v>7</v>
      </c>
      <c r="J234" s="78">
        <f t="shared" si="74"/>
        <v>1</v>
      </c>
      <c r="K234" s="82"/>
      <c r="L234" s="82"/>
      <c r="M234" s="80">
        <f t="shared" si="86"/>
        <v>1</v>
      </c>
      <c r="N234" s="77">
        <v>7</v>
      </c>
      <c r="O234" s="78">
        <f t="shared" si="75"/>
        <v>1</v>
      </c>
      <c r="P234" s="82"/>
      <c r="Q234" s="82"/>
      <c r="R234" s="80">
        <f t="shared" si="87"/>
        <v>1</v>
      </c>
      <c r="S234" s="77">
        <v>7</v>
      </c>
      <c r="T234" s="78">
        <f t="shared" si="76"/>
        <v>1</v>
      </c>
      <c r="U234" s="79"/>
      <c r="V234" s="79"/>
      <c r="W234" s="80">
        <f t="shared" si="88"/>
        <v>1</v>
      </c>
      <c r="X234" s="77">
        <v>7</v>
      </c>
      <c r="Y234" s="78">
        <f t="shared" si="77"/>
        <v>1</v>
      </c>
      <c r="Z234" s="79"/>
      <c r="AA234" s="79"/>
      <c r="AB234" s="80">
        <f t="shared" si="89"/>
        <v>1</v>
      </c>
      <c r="AC234" s="77">
        <v>7</v>
      </c>
      <c r="AD234" s="78">
        <f t="shared" si="78"/>
        <v>1</v>
      </c>
      <c r="AE234" s="79"/>
      <c r="AF234" s="79"/>
      <c r="AG234" s="80">
        <f t="shared" si="90"/>
        <v>1</v>
      </c>
      <c r="AH234" s="77">
        <f t="shared" si="91"/>
        <v>35</v>
      </c>
      <c r="AI234" s="79">
        <f t="shared" si="79"/>
        <v>0</v>
      </c>
      <c r="AJ234" s="79">
        <f t="shared" si="92"/>
        <v>0</v>
      </c>
      <c r="AK234" s="81">
        <f t="shared" si="93"/>
        <v>5</v>
      </c>
      <c r="AL234" s="81" t="str">
        <f t="shared" si="80"/>
        <v>CRIT</v>
      </c>
      <c r="AM234" s="81">
        <f t="shared" si="81"/>
        <v>22</v>
      </c>
      <c r="AN234" s="99">
        <f t="shared" si="82"/>
        <v>42884</v>
      </c>
      <c r="AO234" s="99">
        <f t="shared" si="83"/>
        <v>42888</v>
      </c>
      <c r="AP234" s="99"/>
      <c r="AQ234" s="73"/>
      <c r="AR234" s="67"/>
      <c r="AS234" s="132"/>
    </row>
    <row r="235" spans="1:45" ht="20.25" customHeight="1" thickTop="1" thickBot="1" x14ac:dyDescent="0.3">
      <c r="A235" s="74" t="str">
        <f t="shared" ca="1" si="84"/>
        <v/>
      </c>
      <c r="B235" s="75" t="str">
        <f t="shared" ca="1" si="85"/>
        <v/>
      </c>
      <c r="C235" s="76" t="str">
        <f>IF(AND('Interimaire Juin  2017'!D241=$B$1,'Interimaire Juin  2017'!J241=$B$2),'Interimaire Juin  2017'!E241,"")</f>
        <v/>
      </c>
      <c r="D235" s="76" t="str">
        <f>IF(AND('Interimaire Juin  2017'!D241=$B$1,'Interimaire Juin  2017'!J241=$B$2),'Interimaire Juin  2017'!F241,"")</f>
        <v/>
      </c>
      <c r="E235" s="76" t="str">
        <f t="shared" si="73"/>
        <v/>
      </c>
      <c r="F235" s="76" t="str">
        <f t="array" aca="1" ref="F235" ca="1">IFERROR(INDEX(C:C,SMALL($E$2:$E$300,ROW(INDIRECT("227:"&amp;ROWS(C227:C525))))),"")</f>
        <v/>
      </c>
      <c r="G235" s="76" t="str">
        <f t="array" aca="1" ref="G235" ca="1">IFERROR(INDEX(D:D,SMALL($E$2:$E$300,ROW(INDIRECT("227:"&amp;ROWS(D227:D525))))),"")</f>
        <v/>
      </c>
      <c r="H235" s="82"/>
      <c r="I235" s="77">
        <v>7</v>
      </c>
      <c r="J235" s="78">
        <f t="shared" si="74"/>
        <v>1</v>
      </c>
      <c r="K235" s="82"/>
      <c r="L235" s="82"/>
      <c r="M235" s="80">
        <f t="shared" si="86"/>
        <v>1</v>
      </c>
      <c r="N235" s="77">
        <v>7</v>
      </c>
      <c r="O235" s="78">
        <f t="shared" si="75"/>
        <v>1</v>
      </c>
      <c r="P235" s="82"/>
      <c r="Q235" s="82"/>
      <c r="R235" s="80">
        <f t="shared" si="87"/>
        <v>1</v>
      </c>
      <c r="S235" s="77">
        <v>7</v>
      </c>
      <c r="T235" s="78">
        <f t="shared" si="76"/>
        <v>1</v>
      </c>
      <c r="U235" s="79"/>
      <c r="V235" s="79"/>
      <c r="W235" s="80">
        <f t="shared" si="88"/>
        <v>1</v>
      </c>
      <c r="X235" s="77">
        <v>7</v>
      </c>
      <c r="Y235" s="78">
        <f t="shared" si="77"/>
        <v>1</v>
      </c>
      <c r="Z235" s="79"/>
      <c r="AA235" s="79"/>
      <c r="AB235" s="80">
        <f t="shared" si="89"/>
        <v>1</v>
      </c>
      <c r="AC235" s="77">
        <v>7</v>
      </c>
      <c r="AD235" s="78">
        <f t="shared" si="78"/>
        <v>1</v>
      </c>
      <c r="AE235" s="79"/>
      <c r="AF235" s="79"/>
      <c r="AG235" s="80">
        <f t="shared" si="90"/>
        <v>1</v>
      </c>
      <c r="AH235" s="77">
        <f t="shared" si="91"/>
        <v>35</v>
      </c>
      <c r="AI235" s="79">
        <f t="shared" si="79"/>
        <v>0</v>
      </c>
      <c r="AJ235" s="79">
        <f t="shared" si="92"/>
        <v>0</v>
      </c>
      <c r="AK235" s="81">
        <f t="shared" si="93"/>
        <v>5</v>
      </c>
      <c r="AL235" s="81" t="str">
        <f t="shared" si="80"/>
        <v>CRIT</v>
      </c>
      <c r="AM235" s="81">
        <f t="shared" si="81"/>
        <v>22</v>
      </c>
      <c r="AN235" s="99">
        <f t="shared" si="82"/>
        <v>42884</v>
      </c>
      <c r="AO235" s="99">
        <f t="shared" si="83"/>
        <v>42888</v>
      </c>
      <c r="AP235" s="99"/>
      <c r="AQ235" s="73"/>
      <c r="AR235" s="67"/>
      <c r="AS235" s="132"/>
    </row>
    <row r="236" spans="1:45" ht="20.25" customHeight="1" thickTop="1" thickBot="1" x14ac:dyDescent="0.3">
      <c r="A236" s="74" t="str">
        <f t="shared" ca="1" si="84"/>
        <v/>
      </c>
      <c r="B236" s="75" t="str">
        <f t="shared" ca="1" si="85"/>
        <v/>
      </c>
      <c r="C236" s="76" t="str">
        <f>IF(AND('Interimaire Juin  2017'!D242=$B$1,'Interimaire Juin  2017'!J242=$B$2),'Interimaire Juin  2017'!E242,"")</f>
        <v/>
      </c>
      <c r="D236" s="76" t="str">
        <f>IF(AND('Interimaire Juin  2017'!D242=$B$1,'Interimaire Juin  2017'!J242=$B$2),'Interimaire Juin  2017'!F242,"")</f>
        <v/>
      </c>
      <c r="E236" s="76" t="str">
        <f t="shared" si="73"/>
        <v/>
      </c>
      <c r="F236" s="76" t="str">
        <f t="array" aca="1" ref="F236" ca="1">IFERROR(INDEX(C:C,SMALL($E$2:$E$300,ROW(INDIRECT("228:"&amp;ROWS(C228:C526))))),"")</f>
        <v/>
      </c>
      <c r="G236" s="76" t="str">
        <f t="array" aca="1" ref="G236" ca="1">IFERROR(INDEX(D:D,SMALL($E$2:$E$300,ROW(INDIRECT("228:"&amp;ROWS(D228:D526))))),"")</f>
        <v/>
      </c>
      <c r="H236" s="82"/>
      <c r="I236" s="77">
        <v>7</v>
      </c>
      <c r="J236" s="78">
        <f t="shared" si="74"/>
        <v>1</v>
      </c>
      <c r="K236" s="82"/>
      <c r="L236" s="82"/>
      <c r="M236" s="80">
        <f t="shared" si="86"/>
        <v>1</v>
      </c>
      <c r="N236" s="77">
        <v>7</v>
      </c>
      <c r="O236" s="78">
        <f t="shared" si="75"/>
        <v>1</v>
      </c>
      <c r="P236" s="82"/>
      <c r="Q236" s="82"/>
      <c r="R236" s="80">
        <f t="shared" si="87"/>
        <v>1</v>
      </c>
      <c r="S236" s="77">
        <v>7</v>
      </c>
      <c r="T236" s="78">
        <f t="shared" si="76"/>
        <v>1</v>
      </c>
      <c r="U236" s="79"/>
      <c r="V236" s="79"/>
      <c r="W236" s="80">
        <f t="shared" si="88"/>
        <v>1</v>
      </c>
      <c r="X236" s="77">
        <v>7</v>
      </c>
      <c r="Y236" s="78">
        <f t="shared" si="77"/>
        <v>1</v>
      </c>
      <c r="Z236" s="79"/>
      <c r="AA236" s="79"/>
      <c r="AB236" s="80">
        <f t="shared" si="89"/>
        <v>1</v>
      </c>
      <c r="AC236" s="77">
        <v>7</v>
      </c>
      <c r="AD236" s="78">
        <f t="shared" si="78"/>
        <v>1</v>
      </c>
      <c r="AE236" s="79"/>
      <c r="AF236" s="79"/>
      <c r="AG236" s="80">
        <f t="shared" si="90"/>
        <v>1</v>
      </c>
      <c r="AH236" s="77">
        <f t="shared" si="91"/>
        <v>35</v>
      </c>
      <c r="AI236" s="79">
        <f t="shared" si="79"/>
        <v>0</v>
      </c>
      <c r="AJ236" s="79">
        <f t="shared" si="92"/>
        <v>0</v>
      </c>
      <c r="AK236" s="81">
        <f t="shared" si="93"/>
        <v>5</v>
      </c>
      <c r="AL236" s="81" t="str">
        <f t="shared" si="80"/>
        <v>CRIT</v>
      </c>
      <c r="AM236" s="81">
        <f t="shared" si="81"/>
        <v>22</v>
      </c>
      <c r="AN236" s="99">
        <f t="shared" si="82"/>
        <v>42884</v>
      </c>
      <c r="AO236" s="99">
        <f t="shared" si="83"/>
        <v>42888</v>
      </c>
      <c r="AP236" s="99"/>
      <c r="AQ236" s="73"/>
      <c r="AR236" s="67"/>
      <c r="AS236" s="132"/>
    </row>
    <row r="237" spans="1:45" ht="20.25" customHeight="1" thickTop="1" thickBot="1" x14ac:dyDescent="0.3">
      <c r="A237" s="74" t="str">
        <f t="shared" ca="1" si="84"/>
        <v/>
      </c>
      <c r="B237" s="75" t="str">
        <f t="shared" ca="1" si="85"/>
        <v/>
      </c>
      <c r="C237" s="76" t="str">
        <f>IF(AND('Interimaire Juin  2017'!D243=$B$1,'Interimaire Juin  2017'!J243=$B$2),'Interimaire Juin  2017'!E243,"")</f>
        <v/>
      </c>
      <c r="D237" s="76" t="str">
        <f>IF(AND('Interimaire Juin  2017'!D243=$B$1,'Interimaire Juin  2017'!J243=$B$2),'Interimaire Juin  2017'!F243,"")</f>
        <v/>
      </c>
      <c r="E237" s="76" t="str">
        <f t="shared" si="73"/>
        <v/>
      </c>
      <c r="F237" s="76" t="str">
        <f t="array" aca="1" ref="F237" ca="1">IFERROR(INDEX(C:C,SMALL($E$2:$E$300,ROW(INDIRECT("229:"&amp;ROWS(C229:C527))))),"")</f>
        <v/>
      </c>
      <c r="G237" s="76" t="str">
        <f t="array" aca="1" ref="G237" ca="1">IFERROR(INDEX(D:D,SMALL($E$2:$E$300,ROW(INDIRECT("229:"&amp;ROWS(D229:D527))))),"")</f>
        <v/>
      </c>
      <c r="H237" s="82"/>
      <c r="I237" s="77">
        <v>7</v>
      </c>
      <c r="J237" s="78">
        <f t="shared" si="74"/>
        <v>1</v>
      </c>
      <c r="K237" s="82"/>
      <c r="L237" s="82"/>
      <c r="M237" s="80">
        <f t="shared" si="86"/>
        <v>1</v>
      </c>
      <c r="N237" s="77">
        <v>7</v>
      </c>
      <c r="O237" s="78">
        <f t="shared" si="75"/>
        <v>1</v>
      </c>
      <c r="P237" s="82"/>
      <c r="Q237" s="82"/>
      <c r="R237" s="80">
        <f t="shared" si="87"/>
        <v>1</v>
      </c>
      <c r="S237" s="77">
        <v>7</v>
      </c>
      <c r="T237" s="78">
        <f t="shared" si="76"/>
        <v>1</v>
      </c>
      <c r="U237" s="79"/>
      <c r="V237" s="79"/>
      <c r="W237" s="80">
        <f t="shared" si="88"/>
        <v>1</v>
      </c>
      <c r="X237" s="77">
        <v>7</v>
      </c>
      <c r="Y237" s="78">
        <f t="shared" si="77"/>
        <v>1</v>
      </c>
      <c r="Z237" s="79"/>
      <c r="AA237" s="79"/>
      <c r="AB237" s="80">
        <f t="shared" si="89"/>
        <v>1</v>
      </c>
      <c r="AC237" s="77">
        <v>7</v>
      </c>
      <c r="AD237" s="78">
        <f t="shared" si="78"/>
        <v>1</v>
      </c>
      <c r="AE237" s="79"/>
      <c r="AF237" s="79"/>
      <c r="AG237" s="80">
        <f t="shared" si="90"/>
        <v>1</v>
      </c>
      <c r="AH237" s="77">
        <f t="shared" si="91"/>
        <v>35</v>
      </c>
      <c r="AI237" s="79">
        <f t="shared" si="79"/>
        <v>0</v>
      </c>
      <c r="AJ237" s="79">
        <f t="shared" si="92"/>
        <v>0</v>
      </c>
      <c r="AK237" s="81">
        <f t="shared" si="93"/>
        <v>5</v>
      </c>
      <c r="AL237" s="81" t="str">
        <f t="shared" si="80"/>
        <v>CRIT</v>
      </c>
      <c r="AM237" s="81">
        <f t="shared" si="81"/>
        <v>22</v>
      </c>
      <c r="AN237" s="99">
        <f t="shared" si="82"/>
        <v>42884</v>
      </c>
      <c r="AO237" s="99">
        <f t="shared" si="83"/>
        <v>42888</v>
      </c>
      <c r="AP237" s="99"/>
      <c r="AQ237" s="73"/>
      <c r="AR237" s="67"/>
      <c r="AS237" s="132"/>
    </row>
    <row r="238" spans="1:45" ht="20.25" customHeight="1" thickTop="1" thickBot="1" x14ac:dyDescent="0.3">
      <c r="A238" s="74" t="str">
        <f t="shared" ca="1" si="84"/>
        <v/>
      </c>
      <c r="B238" s="75" t="str">
        <f t="shared" ca="1" si="85"/>
        <v/>
      </c>
      <c r="C238" s="76" t="str">
        <f>IF(AND('Interimaire Juin  2017'!D244=$B$1,'Interimaire Juin  2017'!J244=$B$2),'Interimaire Juin  2017'!E244,"")</f>
        <v/>
      </c>
      <c r="D238" s="76" t="str">
        <f>IF(AND('Interimaire Juin  2017'!D244=$B$1,'Interimaire Juin  2017'!J244=$B$2),'Interimaire Juin  2017'!F244,"")</f>
        <v/>
      </c>
      <c r="E238" s="76" t="str">
        <f t="shared" si="73"/>
        <v/>
      </c>
      <c r="F238" s="76" t="str">
        <f t="array" aca="1" ref="F238" ca="1">IFERROR(INDEX(C:C,SMALL($E$2:$E$300,ROW(INDIRECT("230:"&amp;ROWS(C230:C528))))),"")</f>
        <v/>
      </c>
      <c r="G238" s="76" t="str">
        <f t="array" aca="1" ref="G238" ca="1">IFERROR(INDEX(D:D,SMALL($E$2:$E$300,ROW(INDIRECT("230:"&amp;ROWS(D230:D528))))),"")</f>
        <v/>
      </c>
      <c r="H238" s="82"/>
      <c r="I238" s="77">
        <v>7</v>
      </c>
      <c r="J238" s="78">
        <f t="shared" si="74"/>
        <v>1</v>
      </c>
      <c r="K238" s="82"/>
      <c r="L238" s="82"/>
      <c r="M238" s="80">
        <f t="shared" si="86"/>
        <v>1</v>
      </c>
      <c r="N238" s="77">
        <v>7</v>
      </c>
      <c r="O238" s="78">
        <f t="shared" si="75"/>
        <v>1</v>
      </c>
      <c r="P238" s="82"/>
      <c r="Q238" s="82"/>
      <c r="R238" s="80">
        <f t="shared" si="87"/>
        <v>1</v>
      </c>
      <c r="S238" s="77">
        <v>7</v>
      </c>
      <c r="T238" s="78">
        <f t="shared" si="76"/>
        <v>1</v>
      </c>
      <c r="U238" s="79"/>
      <c r="V238" s="79"/>
      <c r="W238" s="80">
        <f t="shared" si="88"/>
        <v>1</v>
      </c>
      <c r="X238" s="77">
        <v>7</v>
      </c>
      <c r="Y238" s="78">
        <f t="shared" si="77"/>
        <v>1</v>
      </c>
      <c r="Z238" s="79"/>
      <c r="AA238" s="79"/>
      <c r="AB238" s="80">
        <f t="shared" si="89"/>
        <v>1</v>
      </c>
      <c r="AC238" s="77">
        <v>7</v>
      </c>
      <c r="AD238" s="78">
        <f t="shared" si="78"/>
        <v>1</v>
      </c>
      <c r="AE238" s="79"/>
      <c r="AF238" s="79"/>
      <c r="AG238" s="80">
        <f t="shared" si="90"/>
        <v>1</v>
      </c>
      <c r="AH238" s="77">
        <f t="shared" si="91"/>
        <v>35</v>
      </c>
      <c r="AI238" s="79">
        <f t="shared" si="79"/>
        <v>0</v>
      </c>
      <c r="AJ238" s="79">
        <f t="shared" si="92"/>
        <v>0</v>
      </c>
      <c r="AK238" s="81">
        <f t="shared" si="93"/>
        <v>5</v>
      </c>
      <c r="AL238" s="81" t="str">
        <f t="shared" si="80"/>
        <v>CRIT</v>
      </c>
      <c r="AM238" s="81">
        <f t="shared" si="81"/>
        <v>22</v>
      </c>
      <c r="AN238" s="99">
        <f t="shared" si="82"/>
        <v>42884</v>
      </c>
      <c r="AO238" s="99">
        <f t="shared" si="83"/>
        <v>42888</v>
      </c>
      <c r="AP238" s="99"/>
      <c r="AQ238" s="73"/>
      <c r="AR238" s="67"/>
      <c r="AS238" s="132"/>
    </row>
    <row r="239" spans="1:45" ht="20.25" customHeight="1" thickTop="1" thickBot="1" x14ac:dyDescent="0.3">
      <c r="A239" s="74" t="str">
        <f t="shared" ca="1" si="84"/>
        <v/>
      </c>
      <c r="B239" s="75" t="str">
        <f t="shared" ca="1" si="85"/>
        <v/>
      </c>
      <c r="C239" s="76" t="str">
        <f>IF(AND('Interimaire Juin  2017'!D245=$B$1,'Interimaire Juin  2017'!J245=$B$2),'Interimaire Juin  2017'!E245,"")</f>
        <v/>
      </c>
      <c r="D239" s="76" t="str">
        <f>IF(AND('Interimaire Juin  2017'!D245=$B$1,'Interimaire Juin  2017'!J245=$B$2),'Interimaire Juin  2017'!F245,"")</f>
        <v/>
      </c>
      <c r="E239" s="76" t="str">
        <f t="shared" si="73"/>
        <v/>
      </c>
      <c r="F239" s="76" t="str">
        <f t="array" aca="1" ref="F239" ca="1">IFERROR(INDEX(C:C,SMALL($E$2:$E$300,ROW(INDIRECT("231:"&amp;ROWS(C231:C529))))),"")</f>
        <v/>
      </c>
      <c r="G239" s="76" t="str">
        <f t="array" aca="1" ref="G239" ca="1">IFERROR(INDEX(D:D,SMALL($E$2:$E$300,ROW(INDIRECT("231:"&amp;ROWS(D231:D529))))),"")</f>
        <v/>
      </c>
      <c r="H239" s="82"/>
      <c r="I239" s="77">
        <v>7</v>
      </c>
      <c r="J239" s="78">
        <f t="shared" si="74"/>
        <v>1</v>
      </c>
      <c r="K239" s="82"/>
      <c r="L239" s="82"/>
      <c r="M239" s="80">
        <f t="shared" si="86"/>
        <v>1</v>
      </c>
      <c r="N239" s="77">
        <v>7</v>
      </c>
      <c r="O239" s="78">
        <f t="shared" si="75"/>
        <v>1</v>
      </c>
      <c r="P239" s="82"/>
      <c r="Q239" s="82"/>
      <c r="R239" s="80">
        <f t="shared" si="87"/>
        <v>1</v>
      </c>
      <c r="S239" s="77">
        <v>7</v>
      </c>
      <c r="T239" s="78">
        <f t="shared" si="76"/>
        <v>1</v>
      </c>
      <c r="U239" s="79"/>
      <c r="V239" s="79"/>
      <c r="W239" s="80">
        <f t="shared" si="88"/>
        <v>1</v>
      </c>
      <c r="X239" s="77">
        <v>7</v>
      </c>
      <c r="Y239" s="78">
        <f t="shared" si="77"/>
        <v>1</v>
      </c>
      <c r="Z239" s="79"/>
      <c r="AA239" s="79"/>
      <c r="AB239" s="80">
        <f t="shared" si="89"/>
        <v>1</v>
      </c>
      <c r="AC239" s="77">
        <v>7</v>
      </c>
      <c r="AD239" s="78">
        <f t="shared" si="78"/>
        <v>1</v>
      </c>
      <c r="AE239" s="79"/>
      <c r="AF239" s="79"/>
      <c r="AG239" s="80">
        <f t="shared" si="90"/>
        <v>1</v>
      </c>
      <c r="AH239" s="77">
        <f t="shared" si="91"/>
        <v>35</v>
      </c>
      <c r="AI239" s="79">
        <f t="shared" si="79"/>
        <v>0</v>
      </c>
      <c r="AJ239" s="79">
        <f t="shared" si="92"/>
        <v>0</v>
      </c>
      <c r="AK239" s="81">
        <f t="shared" si="93"/>
        <v>5</v>
      </c>
      <c r="AL239" s="81" t="str">
        <f t="shared" si="80"/>
        <v>CRIT</v>
      </c>
      <c r="AM239" s="81">
        <f t="shared" si="81"/>
        <v>22</v>
      </c>
      <c r="AN239" s="99">
        <f t="shared" si="82"/>
        <v>42884</v>
      </c>
      <c r="AO239" s="99">
        <f t="shared" si="83"/>
        <v>42888</v>
      </c>
      <c r="AP239" s="99"/>
      <c r="AQ239" s="73"/>
      <c r="AR239" s="67"/>
      <c r="AS239" s="132"/>
    </row>
    <row r="240" spans="1:45" ht="20.25" customHeight="1" thickTop="1" thickBot="1" x14ac:dyDescent="0.3">
      <c r="A240" s="74" t="str">
        <f t="shared" ca="1" si="84"/>
        <v/>
      </c>
      <c r="B240" s="75" t="str">
        <f t="shared" ca="1" si="85"/>
        <v/>
      </c>
      <c r="C240" s="76" t="str">
        <f>IF(AND('Interimaire Juin  2017'!D246=$B$1,'Interimaire Juin  2017'!J246=$B$2),'Interimaire Juin  2017'!E246,"")</f>
        <v/>
      </c>
      <c r="D240" s="76" t="str">
        <f>IF(AND('Interimaire Juin  2017'!D246=$B$1,'Interimaire Juin  2017'!J246=$B$2),'Interimaire Juin  2017'!F246,"")</f>
        <v/>
      </c>
      <c r="E240" s="76" t="str">
        <f t="shared" si="73"/>
        <v/>
      </c>
      <c r="F240" s="76" t="str">
        <f t="array" aca="1" ref="F240" ca="1">IFERROR(INDEX(C:C,SMALL($E$2:$E$300,ROW(INDIRECT("232:"&amp;ROWS(C232:C530))))),"")</f>
        <v/>
      </c>
      <c r="G240" s="76" t="str">
        <f t="array" aca="1" ref="G240" ca="1">IFERROR(INDEX(D:D,SMALL($E$2:$E$300,ROW(INDIRECT("232:"&amp;ROWS(D232:D530))))),"")</f>
        <v/>
      </c>
      <c r="H240" s="82"/>
      <c r="I240" s="77">
        <v>7</v>
      </c>
      <c r="J240" s="78">
        <f t="shared" si="74"/>
        <v>1</v>
      </c>
      <c r="K240" s="82"/>
      <c r="L240" s="82"/>
      <c r="M240" s="80">
        <f t="shared" si="86"/>
        <v>1</v>
      </c>
      <c r="N240" s="77">
        <v>7</v>
      </c>
      <c r="O240" s="78">
        <f t="shared" si="75"/>
        <v>1</v>
      </c>
      <c r="P240" s="82"/>
      <c r="Q240" s="82"/>
      <c r="R240" s="80">
        <f t="shared" si="87"/>
        <v>1</v>
      </c>
      <c r="S240" s="77">
        <v>7</v>
      </c>
      <c r="T240" s="78">
        <f t="shared" si="76"/>
        <v>1</v>
      </c>
      <c r="U240" s="79"/>
      <c r="V240" s="79"/>
      <c r="W240" s="80">
        <f t="shared" si="88"/>
        <v>1</v>
      </c>
      <c r="X240" s="77">
        <v>7</v>
      </c>
      <c r="Y240" s="78">
        <f t="shared" si="77"/>
        <v>1</v>
      </c>
      <c r="Z240" s="79"/>
      <c r="AA240" s="79"/>
      <c r="AB240" s="80">
        <f t="shared" si="89"/>
        <v>1</v>
      </c>
      <c r="AC240" s="77">
        <v>7</v>
      </c>
      <c r="AD240" s="78">
        <f t="shared" si="78"/>
        <v>1</v>
      </c>
      <c r="AE240" s="79"/>
      <c r="AF240" s="79"/>
      <c r="AG240" s="80">
        <f t="shared" si="90"/>
        <v>1</v>
      </c>
      <c r="AH240" s="77">
        <f t="shared" si="91"/>
        <v>35</v>
      </c>
      <c r="AI240" s="79">
        <f t="shared" si="79"/>
        <v>0</v>
      </c>
      <c r="AJ240" s="79">
        <f t="shared" si="92"/>
        <v>0</v>
      </c>
      <c r="AK240" s="81">
        <f t="shared" si="93"/>
        <v>5</v>
      </c>
      <c r="AL240" s="81" t="str">
        <f t="shared" si="80"/>
        <v>CRIT</v>
      </c>
      <c r="AM240" s="81">
        <f t="shared" si="81"/>
        <v>22</v>
      </c>
      <c r="AN240" s="99">
        <f t="shared" si="82"/>
        <v>42884</v>
      </c>
      <c r="AO240" s="99">
        <f t="shared" si="83"/>
        <v>42888</v>
      </c>
      <c r="AP240" s="99"/>
      <c r="AQ240" s="73"/>
      <c r="AR240" s="67"/>
      <c r="AS240" s="132"/>
    </row>
    <row r="241" spans="1:45" ht="20.25" customHeight="1" thickTop="1" thickBot="1" x14ac:dyDescent="0.3">
      <c r="A241" s="74" t="str">
        <f t="shared" ca="1" si="84"/>
        <v/>
      </c>
      <c r="B241" s="75" t="str">
        <f t="shared" ca="1" si="85"/>
        <v/>
      </c>
      <c r="C241" s="76" t="str">
        <f>IF(AND('Interimaire Juin  2017'!D247=$B$1,'Interimaire Juin  2017'!J247=$B$2),'Interimaire Juin  2017'!E247,"")</f>
        <v/>
      </c>
      <c r="D241" s="76" t="str">
        <f>IF(AND('Interimaire Juin  2017'!D247=$B$1,'Interimaire Juin  2017'!J247=$B$2),'Interimaire Juin  2017'!F247,"")</f>
        <v/>
      </c>
      <c r="E241" s="76" t="str">
        <f t="shared" si="73"/>
        <v/>
      </c>
      <c r="F241" s="76" t="str">
        <f t="array" aca="1" ref="F241" ca="1">IFERROR(INDEX(C:C,SMALL($E$2:$E$300,ROW(INDIRECT("233:"&amp;ROWS(C233:C531))))),"")</f>
        <v/>
      </c>
      <c r="G241" s="76" t="str">
        <f t="array" aca="1" ref="G241" ca="1">IFERROR(INDEX(D:D,SMALL($E$2:$E$300,ROW(INDIRECT("233:"&amp;ROWS(D233:D531))))),"")</f>
        <v/>
      </c>
      <c r="H241" s="82"/>
      <c r="I241" s="77">
        <v>7</v>
      </c>
      <c r="J241" s="78">
        <f t="shared" si="74"/>
        <v>1</v>
      </c>
      <c r="K241" s="82"/>
      <c r="L241" s="82"/>
      <c r="M241" s="80">
        <f t="shared" si="86"/>
        <v>1</v>
      </c>
      <c r="N241" s="77">
        <v>7</v>
      </c>
      <c r="O241" s="78">
        <f t="shared" si="75"/>
        <v>1</v>
      </c>
      <c r="P241" s="82"/>
      <c r="Q241" s="82"/>
      <c r="R241" s="80">
        <f t="shared" si="87"/>
        <v>1</v>
      </c>
      <c r="S241" s="77">
        <v>7</v>
      </c>
      <c r="T241" s="78">
        <f t="shared" si="76"/>
        <v>1</v>
      </c>
      <c r="U241" s="79"/>
      <c r="V241" s="79"/>
      <c r="W241" s="80">
        <f t="shared" si="88"/>
        <v>1</v>
      </c>
      <c r="X241" s="77">
        <v>7</v>
      </c>
      <c r="Y241" s="78">
        <f t="shared" si="77"/>
        <v>1</v>
      </c>
      <c r="Z241" s="79"/>
      <c r="AA241" s="79"/>
      <c r="AB241" s="80">
        <f t="shared" si="89"/>
        <v>1</v>
      </c>
      <c r="AC241" s="77">
        <v>7</v>
      </c>
      <c r="AD241" s="78">
        <f t="shared" si="78"/>
        <v>1</v>
      </c>
      <c r="AE241" s="79"/>
      <c r="AF241" s="79"/>
      <c r="AG241" s="80">
        <f t="shared" si="90"/>
        <v>1</v>
      </c>
      <c r="AH241" s="77">
        <f t="shared" si="91"/>
        <v>35</v>
      </c>
      <c r="AI241" s="79">
        <f t="shared" si="79"/>
        <v>0</v>
      </c>
      <c r="AJ241" s="79">
        <f t="shared" si="92"/>
        <v>0</v>
      </c>
      <c r="AK241" s="81">
        <f t="shared" si="93"/>
        <v>5</v>
      </c>
      <c r="AL241" s="81" t="str">
        <f t="shared" si="80"/>
        <v>CRIT</v>
      </c>
      <c r="AM241" s="81">
        <f t="shared" si="81"/>
        <v>22</v>
      </c>
      <c r="AN241" s="99">
        <f t="shared" si="82"/>
        <v>42884</v>
      </c>
      <c r="AO241" s="99">
        <f t="shared" si="83"/>
        <v>42888</v>
      </c>
      <c r="AP241" s="99"/>
      <c r="AQ241" s="73"/>
      <c r="AR241" s="67"/>
      <c r="AS241" s="132"/>
    </row>
    <row r="242" spans="1:45" ht="20.25" customHeight="1" thickTop="1" thickBot="1" x14ac:dyDescent="0.3">
      <c r="A242" s="74" t="str">
        <f t="shared" ca="1" si="84"/>
        <v/>
      </c>
      <c r="B242" s="75" t="str">
        <f t="shared" ca="1" si="85"/>
        <v/>
      </c>
      <c r="C242" s="76" t="str">
        <f>IF(AND('Interimaire Juin  2017'!D248=$B$1,'Interimaire Juin  2017'!J248=$B$2),'Interimaire Juin  2017'!E248,"")</f>
        <v/>
      </c>
      <c r="D242" s="76" t="str">
        <f>IF(AND('Interimaire Juin  2017'!D248=$B$1,'Interimaire Juin  2017'!J248=$B$2),'Interimaire Juin  2017'!F248,"")</f>
        <v/>
      </c>
      <c r="E242" s="76" t="str">
        <f t="shared" si="73"/>
        <v/>
      </c>
      <c r="F242" s="76" t="str">
        <f t="array" aca="1" ref="F242" ca="1">IFERROR(INDEX(C:C,SMALL($E$2:$E$300,ROW(INDIRECT("234:"&amp;ROWS(C234:C532))))),"")</f>
        <v/>
      </c>
      <c r="G242" s="76" t="str">
        <f t="array" aca="1" ref="G242" ca="1">IFERROR(INDEX(D:D,SMALL($E$2:$E$300,ROW(INDIRECT("234:"&amp;ROWS(D234:D532))))),"")</f>
        <v/>
      </c>
      <c r="H242" s="82"/>
      <c r="I242" s="77">
        <v>7</v>
      </c>
      <c r="J242" s="78">
        <f t="shared" si="74"/>
        <v>1</v>
      </c>
      <c r="K242" s="82"/>
      <c r="L242" s="82"/>
      <c r="M242" s="80">
        <f t="shared" si="86"/>
        <v>1</v>
      </c>
      <c r="N242" s="77">
        <v>7</v>
      </c>
      <c r="O242" s="78">
        <f t="shared" si="75"/>
        <v>1</v>
      </c>
      <c r="P242" s="82"/>
      <c r="Q242" s="82"/>
      <c r="R242" s="80">
        <f t="shared" si="87"/>
        <v>1</v>
      </c>
      <c r="S242" s="77">
        <v>7</v>
      </c>
      <c r="T242" s="78">
        <f t="shared" si="76"/>
        <v>1</v>
      </c>
      <c r="U242" s="79"/>
      <c r="V242" s="79"/>
      <c r="W242" s="80">
        <f t="shared" si="88"/>
        <v>1</v>
      </c>
      <c r="X242" s="77">
        <v>7</v>
      </c>
      <c r="Y242" s="78">
        <f t="shared" si="77"/>
        <v>1</v>
      </c>
      <c r="Z242" s="79"/>
      <c r="AA242" s="79"/>
      <c r="AB242" s="80">
        <f t="shared" si="89"/>
        <v>1</v>
      </c>
      <c r="AC242" s="77">
        <v>7</v>
      </c>
      <c r="AD242" s="78">
        <f t="shared" si="78"/>
        <v>1</v>
      </c>
      <c r="AE242" s="79"/>
      <c r="AF242" s="79"/>
      <c r="AG242" s="80">
        <f t="shared" si="90"/>
        <v>1</v>
      </c>
      <c r="AH242" s="77">
        <f t="shared" si="91"/>
        <v>35</v>
      </c>
      <c r="AI242" s="79">
        <f t="shared" si="79"/>
        <v>0</v>
      </c>
      <c r="AJ242" s="79">
        <f t="shared" si="92"/>
        <v>0</v>
      </c>
      <c r="AK242" s="81">
        <f t="shared" si="93"/>
        <v>5</v>
      </c>
      <c r="AL242" s="81" t="str">
        <f t="shared" si="80"/>
        <v>CRIT</v>
      </c>
      <c r="AM242" s="81">
        <f t="shared" si="81"/>
        <v>22</v>
      </c>
      <c r="AN242" s="99">
        <f t="shared" si="82"/>
        <v>42884</v>
      </c>
      <c r="AO242" s="99">
        <f t="shared" si="83"/>
        <v>42888</v>
      </c>
      <c r="AP242" s="99"/>
      <c r="AQ242" s="73"/>
      <c r="AR242" s="67"/>
      <c r="AS242" s="132"/>
    </row>
    <row r="243" spans="1:45" ht="20.25" customHeight="1" thickTop="1" thickBot="1" x14ac:dyDescent="0.3">
      <c r="A243" s="74" t="str">
        <f t="shared" ca="1" si="84"/>
        <v/>
      </c>
      <c r="B243" s="75" t="str">
        <f t="shared" ca="1" si="85"/>
        <v/>
      </c>
      <c r="C243" s="76" t="str">
        <f>IF(AND('Interimaire Juin  2017'!D249=$B$1,'Interimaire Juin  2017'!J249=$B$2),'Interimaire Juin  2017'!E249,"")</f>
        <v/>
      </c>
      <c r="D243" s="76" t="str">
        <f>IF(AND('Interimaire Juin  2017'!D249=$B$1,'Interimaire Juin  2017'!J249=$B$2),'Interimaire Juin  2017'!F249,"")</f>
        <v/>
      </c>
      <c r="E243" s="76" t="str">
        <f t="shared" si="73"/>
        <v/>
      </c>
      <c r="F243" s="76" t="str">
        <f t="array" aca="1" ref="F243" ca="1">IFERROR(INDEX(C:C,SMALL($E$2:$E$300,ROW(INDIRECT("235:"&amp;ROWS(C235:C533))))),"")</f>
        <v/>
      </c>
      <c r="G243" s="76" t="str">
        <f t="array" aca="1" ref="G243" ca="1">IFERROR(INDEX(D:D,SMALL($E$2:$E$300,ROW(INDIRECT("235:"&amp;ROWS(D235:D533))))),"")</f>
        <v/>
      </c>
      <c r="H243" s="82"/>
      <c r="I243" s="77">
        <v>7</v>
      </c>
      <c r="J243" s="78">
        <f t="shared" si="74"/>
        <v>1</v>
      </c>
      <c r="K243" s="82"/>
      <c r="L243" s="82"/>
      <c r="M243" s="80">
        <f t="shared" si="86"/>
        <v>1</v>
      </c>
      <c r="N243" s="77">
        <v>7</v>
      </c>
      <c r="O243" s="78">
        <f t="shared" si="75"/>
        <v>1</v>
      </c>
      <c r="P243" s="82"/>
      <c r="Q243" s="82"/>
      <c r="R243" s="80">
        <f t="shared" si="87"/>
        <v>1</v>
      </c>
      <c r="S243" s="77">
        <v>7</v>
      </c>
      <c r="T243" s="78">
        <f t="shared" si="76"/>
        <v>1</v>
      </c>
      <c r="U243" s="79"/>
      <c r="V243" s="79"/>
      <c r="W243" s="80">
        <f t="shared" si="88"/>
        <v>1</v>
      </c>
      <c r="X243" s="77">
        <v>7</v>
      </c>
      <c r="Y243" s="78">
        <f t="shared" si="77"/>
        <v>1</v>
      </c>
      <c r="Z243" s="79"/>
      <c r="AA243" s="79"/>
      <c r="AB243" s="80">
        <f t="shared" si="89"/>
        <v>1</v>
      </c>
      <c r="AC243" s="77">
        <v>7</v>
      </c>
      <c r="AD243" s="78">
        <f t="shared" si="78"/>
        <v>1</v>
      </c>
      <c r="AE243" s="79"/>
      <c r="AF243" s="79"/>
      <c r="AG243" s="80">
        <f t="shared" si="90"/>
        <v>1</v>
      </c>
      <c r="AH243" s="77">
        <f t="shared" si="91"/>
        <v>35</v>
      </c>
      <c r="AI243" s="79">
        <f t="shared" si="79"/>
        <v>0</v>
      </c>
      <c r="AJ243" s="79">
        <f t="shared" si="92"/>
        <v>0</v>
      </c>
      <c r="AK243" s="81">
        <f t="shared" si="93"/>
        <v>5</v>
      </c>
      <c r="AL243" s="81" t="str">
        <f t="shared" si="80"/>
        <v>CRIT</v>
      </c>
      <c r="AM243" s="81">
        <f t="shared" si="81"/>
        <v>22</v>
      </c>
      <c r="AN243" s="99">
        <f t="shared" si="82"/>
        <v>42884</v>
      </c>
      <c r="AO243" s="99">
        <f t="shared" si="83"/>
        <v>42888</v>
      </c>
      <c r="AP243" s="99"/>
      <c r="AQ243" s="73"/>
      <c r="AR243" s="67"/>
      <c r="AS243" s="132"/>
    </row>
    <row r="244" spans="1:45" ht="20.25" customHeight="1" thickTop="1" thickBot="1" x14ac:dyDescent="0.3">
      <c r="A244" s="74" t="str">
        <f t="shared" ca="1" si="84"/>
        <v/>
      </c>
      <c r="B244" s="75" t="str">
        <f t="shared" ca="1" si="85"/>
        <v/>
      </c>
      <c r="C244" s="76" t="str">
        <f>IF(AND('Interimaire Juin  2017'!D250=$B$1,'Interimaire Juin  2017'!J250=$B$2),'Interimaire Juin  2017'!E250,"")</f>
        <v/>
      </c>
      <c r="D244" s="76" t="str">
        <f>IF(AND('Interimaire Juin  2017'!D250=$B$1,'Interimaire Juin  2017'!J250=$B$2),'Interimaire Juin  2017'!F250,"")</f>
        <v/>
      </c>
      <c r="E244" s="76" t="str">
        <f t="shared" si="73"/>
        <v/>
      </c>
      <c r="F244" s="76" t="str">
        <f t="array" aca="1" ref="F244" ca="1">IFERROR(INDEX(C:C,SMALL($E$2:$E$300,ROW(INDIRECT("236:"&amp;ROWS(C236:C534))))),"")</f>
        <v/>
      </c>
      <c r="G244" s="76" t="str">
        <f t="array" aca="1" ref="G244" ca="1">IFERROR(INDEX(D:D,SMALL($E$2:$E$300,ROW(INDIRECT("236:"&amp;ROWS(D236:D534))))),"")</f>
        <v/>
      </c>
      <c r="H244" s="82"/>
      <c r="I244" s="77">
        <v>7</v>
      </c>
      <c r="J244" s="78">
        <f t="shared" si="74"/>
        <v>1</v>
      </c>
      <c r="K244" s="82"/>
      <c r="L244" s="82"/>
      <c r="M244" s="80">
        <f t="shared" si="86"/>
        <v>1</v>
      </c>
      <c r="N244" s="77">
        <v>7</v>
      </c>
      <c r="O244" s="78">
        <f t="shared" si="75"/>
        <v>1</v>
      </c>
      <c r="P244" s="82"/>
      <c r="Q244" s="82"/>
      <c r="R244" s="80">
        <f t="shared" si="87"/>
        <v>1</v>
      </c>
      <c r="S244" s="77">
        <v>7</v>
      </c>
      <c r="T244" s="78">
        <f t="shared" si="76"/>
        <v>1</v>
      </c>
      <c r="U244" s="79"/>
      <c r="V244" s="79"/>
      <c r="W244" s="80">
        <f t="shared" si="88"/>
        <v>1</v>
      </c>
      <c r="X244" s="77">
        <v>7</v>
      </c>
      <c r="Y244" s="78">
        <f t="shared" si="77"/>
        <v>1</v>
      </c>
      <c r="Z244" s="79"/>
      <c r="AA244" s="79"/>
      <c r="AB244" s="80">
        <f t="shared" si="89"/>
        <v>1</v>
      </c>
      <c r="AC244" s="77">
        <v>7</v>
      </c>
      <c r="AD244" s="78">
        <f t="shared" si="78"/>
        <v>1</v>
      </c>
      <c r="AE244" s="79"/>
      <c r="AF244" s="79"/>
      <c r="AG244" s="80">
        <f t="shared" si="90"/>
        <v>1</v>
      </c>
      <c r="AH244" s="77">
        <f t="shared" si="91"/>
        <v>35</v>
      </c>
      <c r="AI244" s="79">
        <f t="shared" si="79"/>
        <v>0</v>
      </c>
      <c r="AJ244" s="79">
        <f t="shared" si="92"/>
        <v>0</v>
      </c>
      <c r="AK244" s="81">
        <f t="shared" si="93"/>
        <v>5</v>
      </c>
      <c r="AL244" s="81" t="str">
        <f t="shared" si="80"/>
        <v>CRIT</v>
      </c>
      <c r="AM244" s="81">
        <f t="shared" si="81"/>
        <v>22</v>
      </c>
      <c r="AN244" s="99">
        <f t="shared" si="82"/>
        <v>42884</v>
      </c>
      <c r="AO244" s="99">
        <f t="shared" si="83"/>
        <v>42888</v>
      </c>
      <c r="AP244" s="99"/>
      <c r="AQ244" s="73"/>
      <c r="AR244" s="67"/>
      <c r="AS244" s="132"/>
    </row>
    <row r="245" spans="1:45" ht="20.25" customHeight="1" thickTop="1" thickBot="1" x14ac:dyDescent="0.3">
      <c r="A245" s="74" t="str">
        <f t="shared" ca="1" si="84"/>
        <v/>
      </c>
      <c r="B245" s="75" t="str">
        <f t="shared" ca="1" si="85"/>
        <v/>
      </c>
      <c r="C245" s="76" t="str">
        <f>IF(AND('Interimaire Juin  2017'!D251=$B$1,'Interimaire Juin  2017'!J251=$B$2),'Interimaire Juin  2017'!E251,"")</f>
        <v/>
      </c>
      <c r="D245" s="76" t="str">
        <f>IF(AND('Interimaire Juin  2017'!D251=$B$1,'Interimaire Juin  2017'!J251=$B$2),'Interimaire Juin  2017'!F251,"")</f>
        <v/>
      </c>
      <c r="E245" s="76" t="str">
        <f t="shared" si="73"/>
        <v/>
      </c>
      <c r="F245" s="76" t="str">
        <f t="array" aca="1" ref="F245" ca="1">IFERROR(INDEX(C:C,SMALL($E$2:$E$300,ROW(INDIRECT("237:"&amp;ROWS(C237:C535))))),"")</f>
        <v/>
      </c>
      <c r="G245" s="76" t="str">
        <f t="array" aca="1" ref="G245" ca="1">IFERROR(INDEX(D:D,SMALL($E$2:$E$300,ROW(INDIRECT("237:"&amp;ROWS(D237:D535))))),"")</f>
        <v/>
      </c>
      <c r="H245" s="82"/>
      <c r="I245" s="77">
        <v>7</v>
      </c>
      <c r="J245" s="78">
        <f t="shared" si="74"/>
        <v>1</v>
      </c>
      <c r="K245" s="82"/>
      <c r="L245" s="82"/>
      <c r="M245" s="80">
        <f t="shared" si="86"/>
        <v>1</v>
      </c>
      <c r="N245" s="77">
        <v>7</v>
      </c>
      <c r="O245" s="78">
        <f t="shared" si="75"/>
        <v>1</v>
      </c>
      <c r="P245" s="82"/>
      <c r="Q245" s="82"/>
      <c r="R245" s="80">
        <f t="shared" si="87"/>
        <v>1</v>
      </c>
      <c r="S245" s="77">
        <v>7</v>
      </c>
      <c r="T245" s="78">
        <f t="shared" si="76"/>
        <v>1</v>
      </c>
      <c r="U245" s="79"/>
      <c r="V245" s="79"/>
      <c r="W245" s="80">
        <f t="shared" si="88"/>
        <v>1</v>
      </c>
      <c r="X245" s="77">
        <v>7</v>
      </c>
      <c r="Y245" s="78">
        <f t="shared" si="77"/>
        <v>1</v>
      </c>
      <c r="Z245" s="79"/>
      <c r="AA245" s="79"/>
      <c r="AB245" s="80">
        <f t="shared" si="89"/>
        <v>1</v>
      </c>
      <c r="AC245" s="77">
        <v>7</v>
      </c>
      <c r="AD245" s="78">
        <f t="shared" si="78"/>
        <v>1</v>
      </c>
      <c r="AE245" s="79"/>
      <c r="AF245" s="79"/>
      <c r="AG245" s="80">
        <f t="shared" si="90"/>
        <v>1</v>
      </c>
      <c r="AH245" s="77">
        <f t="shared" si="91"/>
        <v>35</v>
      </c>
      <c r="AI245" s="79">
        <f t="shared" si="79"/>
        <v>0</v>
      </c>
      <c r="AJ245" s="79">
        <f t="shared" si="92"/>
        <v>0</v>
      </c>
      <c r="AK245" s="81">
        <f t="shared" si="93"/>
        <v>5</v>
      </c>
      <c r="AL245" s="81" t="str">
        <f t="shared" si="80"/>
        <v>CRIT</v>
      </c>
      <c r="AM245" s="81">
        <f t="shared" si="81"/>
        <v>22</v>
      </c>
      <c r="AN245" s="99">
        <f t="shared" si="82"/>
        <v>42884</v>
      </c>
      <c r="AO245" s="99">
        <f t="shared" si="83"/>
        <v>42888</v>
      </c>
      <c r="AP245" s="99"/>
      <c r="AQ245" s="73"/>
      <c r="AR245" s="67"/>
      <c r="AS245" s="132"/>
    </row>
    <row r="246" spans="1:45" ht="20.25" customHeight="1" thickTop="1" thickBot="1" x14ac:dyDescent="0.3">
      <c r="A246" s="74" t="str">
        <f t="shared" ca="1" si="84"/>
        <v/>
      </c>
      <c r="B246" s="75" t="str">
        <f t="shared" ca="1" si="85"/>
        <v/>
      </c>
      <c r="C246" s="76" t="str">
        <f>IF(AND('Interimaire Juin  2017'!D252=$B$1,'Interimaire Juin  2017'!J252=$B$2),'Interimaire Juin  2017'!E252,"")</f>
        <v/>
      </c>
      <c r="D246" s="76" t="str">
        <f>IF(AND('Interimaire Juin  2017'!D252=$B$1,'Interimaire Juin  2017'!J252=$B$2),'Interimaire Juin  2017'!F252,"")</f>
        <v/>
      </c>
      <c r="E246" s="76" t="str">
        <f t="shared" si="73"/>
        <v/>
      </c>
      <c r="F246" s="76" t="str">
        <f t="array" aca="1" ref="F246" ca="1">IFERROR(INDEX(C:C,SMALL($E$2:$E$300,ROW(INDIRECT("238:"&amp;ROWS(C238:C536))))),"")</f>
        <v/>
      </c>
      <c r="G246" s="76" t="str">
        <f t="array" aca="1" ref="G246" ca="1">IFERROR(INDEX(D:D,SMALL($E$2:$E$300,ROW(INDIRECT("238:"&amp;ROWS(D238:D536))))),"")</f>
        <v/>
      </c>
      <c r="H246" s="82"/>
      <c r="I246" s="77">
        <v>7</v>
      </c>
      <c r="J246" s="78">
        <f t="shared" si="74"/>
        <v>1</v>
      </c>
      <c r="K246" s="82"/>
      <c r="L246" s="82"/>
      <c r="M246" s="80">
        <f t="shared" si="86"/>
        <v>1</v>
      </c>
      <c r="N246" s="77">
        <v>7</v>
      </c>
      <c r="O246" s="78">
        <f t="shared" si="75"/>
        <v>1</v>
      </c>
      <c r="P246" s="82"/>
      <c r="Q246" s="82"/>
      <c r="R246" s="80">
        <f t="shared" si="87"/>
        <v>1</v>
      </c>
      <c r="S246" s="77">
        <v>7</v>
      </c>
      <c r="T246" s="78">
        <f t="shared" si="76"/>
        <v>1</v>
      </c>
      <c r="U246" s="79"/>
      <c r="V246" s="79"/>
      <c r="W246" s="80">
        <f t="shared" si="88"/>
        <v>1</v>
      </c>
      <c r="X246" s="77">
        <v>7</v>
      </c>
      <c r="Y246" s="78">
        <f t="shared" si="77"/>
        <v>1</v>
      </c>
      <c r="Z246" s="79"/>
      <c r="AA246" s="79"/>
      <c r="AB246" s="80">
        <f t="shared" si="89"/>
        <v>1</v>
      </c>
      <c r="AC246" s="77">
        <v>7</v>
      </c>
      <c r="AD246" s="78">
        <f t="shared" si="78"/>
        <v>1</v>
      </c>
      <c r="AE246" s="79"/>
      <c r="AF246" s="79"/>
      <c r="AG246" s="80">
        <f t="shared" si="90"/>
        <v>1</v>
      </c>
      <c r="AH246" s="77">
        <f t="shared" si="91"/>
        <v>35</v>
      </c>
      <c r="AI246" s="79">
        <f t="shared" si="79"/>
        <v>0</v>
      </c>
      <c r="AJ246" s="79">
        <f t="shared" si="92"/>
        <v>0</v>
      </c>
      <c r="AK246" s="81">
        <f t="shared" si="93"/>
        <v>5</v>
      </c>
      <c r="AL246" s="81" t="str">
        <f t="shared" si="80"/>
        <v>CRIT</v>
      </c>
      <c r="AM246" s="81">
        <f t="shared" si="81"/>
        <v>22</v>
      </c>
      <c r="AN246" s="99">
        <f t="shared" si="82"/>
        <v>42884</v>
      </c>
      <c r="AO246" s="99">
        <f t="shared" si="83"/>
        <v>42888</v>
      </c>
      <c r="AP246" s="99"/>
      <c r="AQ246" s="73"/>
      <c r="AR246" s="67"/>
      <c r="AS246" s="132"/>
    </row>
    <row r="247" spans="1:45" ht="20.25" customHeight="1" thickTop="1" thickBot="1" x14ac:dyDescent="0.3">
      <c r="A247" s="74" t="str">
        <f t="shared" ca="1" si="84"/>
        <v/>
      </c>
      <c r="B247" s="75" t="str">
        <f t="shared" ca="1" si="85"/>
        <v/>
      </c>
      <c r="C247" s="76" t="str">
        <f>IF(AND('Interimaire Juin  2017'!D253=$B$1,'Interimaire Juin  2017'!J253=$B$2),'Interimaire Juin  2017'!E253,"")</f>
        <v/>
      </c>
      <c r="D247" s="76" t="str">
        <f>IF(AND('Interimaire Juin  2017'!D253=$B$1,'Interimaire Juin  2017'!J253=$B$2),'Interimaire Juin  2017'!F253,"")</f>
        <v/>
      </c>
      <c r="E247" s="76" t="str">
        <f t="shared" si="73"/>
        <v/>
      </c>
      <c r="F247" s="76" t="str">
        <f t="array" aca="1" ref="F247" ca="1">IFERROR(INDEX(C:C,SMALL($E$2:$E$300,ROW(INDIRECT("239:"&amp;ROWS(C239:C537))))),"")</f>
        <v/>
      </c>
      <c r="G247" s="76" t="str">
        <f t="array" aca="1" ref="G247" ca="1">IFERROR(INDEX(D:D,SMALL($E$2:$E$300,ROW(INDIRECT("239:"&amp;ROWS(D239:D537))))),"")</f>
        <v/>
      </c>
      <c r="H247" s="82"/>
      <c r="I247" s="77">
        <v>7</v>
      </c>
      <c r="J247" s="78">
        <f t="shared" si="74"/>
        <v>1</v>
      </c>
      <c r="K247" s="82"/>
      <c r="L247" s="82"/>
      <c r="M247" s="80">
        <f t="shared" si="86"/>
        <v>1</v>
      </c>
      <c r="N247" s="77">
        <v>7</v>
      </c>
      <c r="O247" s="78">
        <f t="shared" si="75"/>
        <v>1</v>
      </c>
      <c r="P247" s="82"/>
      <c r="Q247" s="82"/>
      <c r="R247" s="80">
        <f t="shared" si="87"/>
        <v>1</v>
      </c>
      <c r="S247" s="77">
        <v>7</v>
      </c>
      <c r="T247" s="78">
        <f t="shared" si="76"/>
        <v>1</v>
      </c>
      <c r="U247" s="79"/>
      <c r="V247" s="79"/>
      <c r="W247" s="80">
        <f t="shared" si="88"/>
        <v>1</v>
      </c>
      <c r="X247" s="77">
        <v>7</v>
      </c>
      <c r="Y247" s="78">
        <f t="shared" si="77"/>
        <v>1</v>
      </c>
      <c r="Z247" s="79"/>
      <c r="AA247" s="79"/>
      <c r="AB247" s="80">
        <f t="shared" si="89"/>
        <v>1</v>
      </c>
      <c r="AC247" s="77">
        <v>7</v>
      </c>
      <c r="AD247" s="78">
        <f t="shared" si="78"/>
        <v>1</v>
      </c>
      <c r="AE247" s="79"/>
      <c r="AF247" s="79"/>
      <c r="AG247" s="80">
        <f t="shared" si="90"/>
        <v>1</v>
      </c>
      <c r="AH247" s="77">
        <f t="shared" si="91"/>
        <v>35</v>
      </c>
      <c r="AI247" s="79">
        <f t="shared" si="79"/>
        <v>0</v>
      </c>
      <c r="AJ247" s="79">
        <f t="shared" si="92"/>
        <v>0</v>
      </c>
      <c r="AK247" s="81">
        <f t="shared" si="93"/>
        <v>5</v>
      </c>
      <c r="AL247" s="81" t="str">
        <f t="shared" si="80"/>
        <v>CRIT</v>
      </c>
      <c r="AM247" s="81">
        <f t="shared" si="81"/>
        <v>22</v>
      </c>
      <c r="AN247" s="99">
        <f t="shared" si="82"/>
        <v>42884</v>
      </c>
      <c r="AO247" s="99">
        <f t="shared" si="83"/>
        <v>42888</v>
      </c>
      <c r="AP247" s="99"/>
      <c r="AQ247" s="73"/>
      <c r="AR247" s="67"/>
      <c r="AS247" s="132"/>
    </row>
    <row r="248" spans="1:45" ht="20.25" customHeight="1" thickTop="1" thickBot="1" x14ac:dyDescent="0.3">
      <c r="A248" s="74" t="str">
        <f t="shared" ca="1" si="84"/>
        <v/>
      </c>
      <c r="B248" s="75" t="str">
        <f t="shared" ca="1" si="85"/>
        <v/>
      </c>
      <c r="C248" s="76" t="str">
        <f>IF(AND('Interimaire Juin  2017'!D254=$B$1,'Interimaire Juin  2017'!J254=$B$2),'Interimaire Juin  2017'!E254,"")</f>
        <v/>
      </c>
      <c r="D248" s="76" t="str">
        <f>IF(AND('Interimaire Juin  2017'!D254=$B$1,'Interimaire Juin  2017'!J254=$B$2),'Interimaire Juin  2017'!F254,"")</f>
        <v/>
      </c>
      <c r="E248" s="76" t="str">
        <f t="shared" si="73"/>
        <v/>
      </c>
      <c r="F248" s="76" t="str">
        <f t="array" aca="1" ref="F248" ca="1">IFERROR(INDEX(C:C,SMALL($E$2:$E$300,ROW(INDIRECT("240:"&amp;ROWS(C240:C538))))),"")</f>
        <v/>
      </c>
      <c r="G248" s="76" t="str">
        <f t="array" aca="1" ref="G248" ca="1">IFERROR(INDEX(D:D,SMALL($E$2:$E$300,ROW(INDIRECT("240:"&amp;ROWS(D240:D538))))),"")</f>
        <v/>
      </c>
      <c r="H248" s="82"/>
      <c r="I248" s="77">
        <v>7</v>
      </c>
      <c r="J248" s="78">
        <f t="shared" si="74"/>
        <v>1</v>
      </c>
      <c r="K248" s="82"/>
      <c r="L248" s="82"/>
      <c r="M248" s="80">
        <f t="shared" si="86"/>
        <v>1</v>
      </c>
      <c r="N248" s="77">
        <v>7</v>
      </c>
      <c r="O248" s="78">
        <f t="shared" si="75"/>
        <v>1</v>
      </c>
      <c r="P248" s="82"/>
      <c r="Q248" s="82"/>
      <c r="R248" s="80">
        <f t="shared" si="87"/>
        <v>1</v>
      </c>
      <c r="S248" s="77">
        <v>7</v>
      </c>
      <c r="T248" s="78">
        <f t="shared" si="76"/>
        <v>1</v>
      </c>
      <c r="U248" s="79"/>
      <c r="V248" s="79"/>
      <c r="W248" s="80">
        <f t="shared" si="88"/>
        <v>1</v>
      </c>
      <c r="X248" s="77">
        <v>7</v>
      </c>
      <c r="Y248" s="78">
        <f t="shared" si="77"/>
        <v>1</v>
      </c>
      <c r="Z248" s="79"/>
      <c r="AA248" s="79"/>
      <c r="AB248" s="80">
        <f t="shared" si="89"/>
        <v>1</v>
      </c>
      <c r="AC248" s="77">
        <v>7</v>
      </c>
      <c r="AD248" s="78">
        <f t="shared" si="78"/>
        <v>1</v>
      </c>
      <c r="AE248" s="79"/>
      <c r="AF248" s="79"/>
      <c r="AG248" s="80">
        <f t="shared" si="90"/>
        <v>1</v>
      </c>
      <c r="AH248" s="77">
        <f t="shared" si="91"/>
        <v>35</v>
      </c>
      <c r="AI248" s="79">
        <f t="shared" si="79"/>
        <v>0</v>
      </c>
      <c r="AJ248" s="79">
        <f t="shared" si="92"/>
        <v>0</v>
      </c>
      <c r="AK248" s="81">
        <f t="shared" si="93"/>
        <v>5</v>
      </c>
      <c r="AL248" s="81" t="str">
        <f t="shared" si="80"/>
        <v>CRIT</v>
      </c>
      <c r="AM248" s="81">
        <f t="shared" si="81"/>
        <v>22</v>
      </c>
      <c r="AN248" s="99">
        <f t="shared" si="82"/>
        <v>42884</v>
      </c>
      <c r="AO248" s="99">
        <f t="shared" si="83"/>
        <v>42888</v>
      </c>
      <c r="AP248" s="99"/>
      <c r="AQ248" s="73"/>
      <c r="AR248" s="67"/>
      <c r="AS248" s="132"/>
    </row>
    <row r="249" spans="1:45" ht="20.25" customHeight="1" thickTop="1" thickBot="1" x14ac:dyDescent="0.3">
      <c r="A249" s="74" t="str">
        <f t="shared" ca="1" si="84"/>
        <v/>
      </c>
      <c r="B249" s="75" t="str">
        <f t="shared" ca="1" si="85"/>
        <v/>
      </c>
      <c r="C249" s="76" t="str">
        <f>IF(AND('Interimaire Juin  2017'!D255=$B$1,'Interimaire Juin  2017'!J255=$B$2),'Interimaire Juin  2017'!E255,"")</f>
        <v/>
      </c>
      <c r="D249" s="76" t="str">
        <f>IF(AND('Interimaire Juin  2017'!D255=$B$1,'Interimaire Juin  2017'!J255=$B$2),'Interimaire Juin  2017'!F255,"")</f>
        <v/>
      </c>
      <c r="E249" s="76" t="str">
        <f t="shared" si="73"/>
        <v/>
      </c>
      <c r="F249" s="76" t="str">
        <f t="array" aca="1" ref="F249" ca="1">IFERROR(INDEX(C:C,SMALL($E$2:$E$300,ROW(INDIRECT("241:"&amp;ROWS(C241:C539))))),"")</f>
        <v/>
      </c>
      <c r="G249" s="76" t="str">
        <f t="array" aca="1" ref="G249" ca="1">IFERROR(INDEX(D:D,SMALL($E$2:$E$300,ROW(INDIRECT("241:"&amp;ROWS(D241:D539))))),"")</f>
        <v/>
      </c>
      <c r="H249" s="82"/>
      <c r="I249" s="77">
        <v>7</v>
      </c>
      <c r="J249" s="78">
        <f t="shared" si="74"/>
        <v>1</v>
      </c>
      <c r="K249" s="82"/>
      <c r="L249" s="82"/>
      <c r="M249" s="80">
        <f t="shared" si="86"/>
        <v>1</v>
      </c>
      <c r="N249" s="77">
        <v>7</v>
      </c>
      <c r="O249" s="78">
        <f t="shared" si="75"/>
        <v>1</v>
      </c>
      <c r="P249" s="82"/>
      <c r="Q249" s="82"/>
      <c r="R249" s="80">
        <f t="shared" si="87"/>
        <v>1</v>
      </c>
      <c r="S249" s="77">
        <v>7</v>
      </c>
      <c r="T249" s="78">
        <f t="shared" si="76"/>
        <v>1</v>
      </c>
      <c r="U249" s="79"/>
      <c r="V249" s="79"/>
      <c r="W249" s="80">
        <f t="shared" si="88"/>
        <v>1</v>
      </c>
      <c r="X249" s="77">
        <v>7</v>
      </c>
      <c r="Y249" s="78">
        <f t="shared" si="77"/>
        <v>1</v>
      </c>
      <c r="Z249" s="79"/>
      <c r="AA249" s="79"/>
      <c r="AB249" s="80">
        <f t="shared" si="89"/>
        <v>1</v>
      </c>
      <c r="AC249" s="77">
        <v>7</v>
      </c>
      <c r="AD249" s="78">
        <f t="shared" si="78"/>
        <v>1</v>
      </c>
      <c r="AE249" s="79"/>
      <c r="AF249" s="79"/>
      <c r="AG249" s="80">
        <f t="shared" si="90"/>
        <v>1</v>
      </c>
      <c r="AH249" s="77">
        <f t="shared" si="91"/>
        <v>35</v>
      </c>
      <c r="AI249" s="79">
        <f t="shared" si="79"/>
        <v>0</v>
      </c>
      <c r="AJ249" s="79">
        <f t="shared" si="92"/>
        <v>0</v>
      </c>
      <c r="AK249" s="81">
        <f t="shared" si="93"/>
        <v>5</v>
      </c>
      <c r="AL249" s="81" t="str">
        <f t="shared" si="80"/>
        <v>CRIT</v>
      </c>
      <c r="AM249" s="81">
        <f t="shared" si="81"/>
        <v>22</v>
      </c>
      <c r="AN249" s="99">
        <f t="shared" si="82"/>
        <v>42884</v>
      </c>
      <c r="AO249" s="99">
        <f t="shared" si="83"/>
        <v>42888</v>
      </c>
      <c r="AP249" s="99"/>
      <c r="AQ249" s="73"/>
      <c r="AR249" s="67"/>
      <c r="AS249" s="132"/>
    </row>
    <row r="250" spans="1:45" ht="20.25" customHeight="1" thickTop="1" thickBot="1" x14ac:dyDescent="0.3">
      <c r="A250" s="74" t="str">
        <f t="shared" ca="1" si="84"/>
        <v/>
      </c>
      <c r="B250" s="75" t="str">
        <f t="shared" ca="1" si="85"/>
        <v/>
      </c>
      <c r="C250" s="76" t="str">
        <f>IF(AND('Interimaire Juin  2017'!D256=$B$1,'Interimaire Juin  2017'!J256=$B$2),'Interimaire Juin  2017'!E256,"")</f>
        <v/>
      </c>
      <c r="D250" s="76" t="str">
        <f>IF(AND('Interimaire Juin  2017'!D256=$B$1,'Interimaire Juin  2017'!J256=$B$2),'Interimaire Juin  2017'!F256,"")</f>
        <v/>
      </c>
      <c r="E250" s="76" t="str">
        <f t="shared" si="73"/>
        <v/>
      </c>
      <c r="F250" s="76" t="str">
        <f t="array" aca="1" ref="F250" ca="1">IFERROR(INDEX(C:C,SMALL($E$2:$E$300,ROW(INDIRECT("242:"&amp;ROWS(C242:C540))))),"")</f>
        <v/>
      </c>
      <c r="G250" s="76" t="str">
        <f t="array" aca="1" ref="G250" ca="1">IFERROR(INDEX(D:D,SMALL($E$2:$E$300,ROW(INDIRECT("242:"&amp;ROWS(D242:D540))))),"")</f>
        <v/>
      </c>
      <c r="H250" s="82"/>
      <c r="I250" s="77">
        <v>7</v>
      </c>
      <c r="J250" s="78">
        <f t="shared" si="74"/>
        <v>1</v>
      </c>
      <c r="K250" s="82"/>
      <c r="L250" s="82"/>
      <c r="M250" s="80">
        <f t="shared" si="86"/>
        <v>1</v>
      </c>
      <c r="N250" s="77">
        <v>7</v>
      </c>
      <c r="O250" s="78">
        <f t="shared" si="75"/>
        <v>1</v>
      </c>
      <c r="P250" s="82"/>
      <c r="Q250" s="82"/>
      <c r="R250" s="80">
        <f t="shared" si="87"/>
        <v>1</v>
      </c>
      <c r="S250" s="77">
        <v>7</v>
      </c>
      <c r="T250" s="78">
        <f t="shared" si="76"/>
        <v>1</v>
      </c>
      <c r="U250" s="79"/>
      <c r="V250" s="79"/>
      <c r="W250" s="80">
        <f t="shared" si="88"/>
        <v>1</v>
      </c>
      <c r="X250" s="77">
        <v>7</v>
      </c>
      <c r="Y250" s="78">
        <f t="shared" si="77"/>
        <v>1</v>
      </c>
      <c r="Z250" s="79"/>
      <c r="AA250" s="79"/>
      <c r="AB250" s="80">
        <f t="shared" si="89"/>
        <v>1</v>
      </c>
      <c r="AC250" s="77">
        <v>7</v>
      </c>
      <c r="AD250" s="78">
        <f t="shared" si="78"/>
        <v>1</v>
      </c>
      <c r="AE250" s="79"/>
      <c r="AF250" s="79"/>
      <c r="AG250" s="80">
        <f t="shared" si="90"/>
        <v>1</v>
      </c>
      <c r="AH250" s="77">
        <f t="shared" si="91"/>
        <v>35</v>
      </c>
      <c r="AI250" s="79">
        <f t="shared" si="79"/>
        <v>0</v>
      </c>
      <c r="AJ250" s="79">
        <f t="shared" si="92"/>
        <v>0</v>
      </c>
      <c r="AK250" s="81">
        <f t="shared" si="93"/>
        <v>5</v>
      </c>
      <c r="AL250" s="81" t="str">
        <f t="shared" si="80"/>
        <v>CRIT</v>
      </c>
      <c r="AM250" s="81">
        <f t="shared" si="81"/>
        <v>22</v>
      </c>
      <c r="AN250" s="99">
        <f t="shared" si="82"/>
        <v>42884</v>
      </c>
      <c r="AO250" s="99">
        <f t="shared" si="83"/>
        <v>42888</v>
      </c>
      <c r="AP250" s="99"/>
      <c r="AQ250" s="73"/>
      <c r="AR250" s="67"/>
      <c r="AS250" s="132"/>
    </row>
    <row r="251" spans="1:45" ht="20.25" customHeight="1" thickTop="1" thickBot="1" x14ac:dyDescent="0.3">
      <c r="A251" s="74" t="str">
        <f t="shared" ca="1" si="84"/>
        <v/>
      </c>
      <c r="B251" s="75" t="str">
        <f t="shared" ca="1" si="85"/>
        <v/>
      </c>
      <c r="C251" s="76" t="str">
        <f>IF(AND('Interimaire Juin  2017'!D257=$B$1,'Interimaire Juin  2017'!J257=$B$2),'Interimaire Juin  2017'!E257,"")</f>
        <v/>
      </c>
      <c r="D251" s="76" t="str">
        <f>IF(AND('Interimaire Juin  2017'!D257=$B$1,'Interimaire Juin  2017'!J257=$B$2),'Interimaire Juin  2017'!F257,"")</f>
        <v/>
      </c>
      <c r="E251" s="76" t="str">
        <f t="shared" si="73"/>
        <v/>
      </c>
      <c r="F251" s="76" t="str">
        <f t="array" aca="1" ref="F251" ca="1">IFERROR(INDEX(C:C,SMALL($E$2:$E$300,ROW(INDIRECT("243:"&amp;ROWS(C243:C541))))),"")</f>
        <v/>
      </c>
      <c r="G251" s="76" t="str">
        <f t="array" aca="1" ref="G251" ca="1">IFERROR(INDEX(D:D,SMALL($E$2:$E$300,ROW(INDIRECT("243:"&amp;ROWS(D243:D541))))),"")</f>
        <v/>
      </c>
      <c r="H251" s="82"/>
      <c r="I251" s="77">
        <v>7</v>
      </c>
      <c r="J251" s="78">
        <f t="shared" si="74"/>
        <v>1</v>
      </c>
      <c r="K251" s="82"/>
      <c r="L251" s="82"/>
      <c r="M251" s="80">
        <f t="shared" si="86"/>
        <v>1</v>
      </c>
      <c r="N251" s="77">
        <v>7</v>
      </c>
      <c r="O251" s="78">
        <f t="shared" si="75"/>
        <v>1</v>
      </c>
      <c r="P251" s="82"/>
      <c r="Q251" s="82"/>
      <c r="R251" s="80">
        <f t="shared" si="87"/>
        <v>1</v>
      </c>
      <c r="S251" s="77">
        <v>7</v>
      </c>
      <c r="T251" s="78">
        <f t="shared" si="76"/>
        <v>1</v>
      </c>
      <c r="U251" s="79"/>
      <c r="V251" s="79"/>
      <c r="W251" s="80">
        <f t="shared" si="88"/>
        <v>1</v>
      </c>
      <c r="X251" s="77">
        <v>7</v>
      </c>
      <c r="Y251" s="78">
        <f t="shared" si="77"/>
        <v>1</v>
      </c>
      <c r="Z251" s="79"/>
      <c r="AA251" s="79"/>
      <c r="AB251" s="80">
        <f t="shared" si="89"/>
        <v>1</v>
      </c>
      <c r="AC251" s="77">
        <v>7</v>
      </c>
      <c r="AD251" s="78">
        <f t="shared" si="78"/>
        <v>1</v>
      </c>
      <c r="AE251" s="79"/>
      <c r="AF251" s="79"/>
      <c r="AG251" s="80">
        <f t="shared" si="90"/>
        <v>1</v>
      </c>
      <c r="AH251" s="77">
        <f t="shared" si="91"/>
        <v>35</v>
      </c>
      <c r="AI251" s="79">
        <f t="shared" si="79"/>
        <v>0</v>
      </c>
      <c r="AJ251" s="79">
        <f t="shared" si="92"/>
        <v>0</v>
      </c>
      <c r="AK251" s="81">
        <f t="shared" si="93"/>
        <v>5</v>
      </c>
      <c r="AL251" s="81" t="str">
        <f t="shared" si="80"/>
        <v>CRIT</v>
      </c>
      <c r="AM251" s="81">
        <f t="shared" si="81"/>
        <v>22</v>
      </c>
      <c r="AN251" s="99">
        <f t="shared" si="82"/>
        <v>42884</v>
      </c>
      <c r="AO251" s="99">
        <f t="shared" si="83"/>
        <v>42888</v>
      </c>
      <c r="AP251" s="99"/>
      <c r="AQ251" s="73"/>
      <c r="AR251" s="67"/>
      <c r="AS251" s="132"/>
    </row>
    <row r="252" spans="1:45" ht="20.25" customHeight="1" thickTop="1" thickBot="1" x14ac:dyDescent="0.3">
      <c r="A252" s="74" t="str">
        <f t="shared" ca="1" si="84"/>
        <v/>
      </c>
      <c r="B252" s="75" t="str">
        <f t="shared" ca="1" si="85"/>
        <v/>
      </c>
      <c r="C252" s="76" t="str">
        <f>IF(AND('Interimaire Juin  2017'!D258=$B$1,'Interimaire Juin  2017'!J258=$B$2),'Interimaire Juin  2017'!E258,"")</f>
        <v/>
      </c>
      <c r="D252" s="76" t="str">
        <f>IF(AND('Interimaire Juin  2017'!D258=$B$1,'Interimaire Juin  2017'!J258=$B$2),'Interimaire Juin  2017'!F258,"")</f>
        <v/>
      </c>
      <c r="E252" s="76" t="str">
        <f t="shared" si="73"/>
        <v/>
      </c>
      <c r="F252" s="76" t="str">
        <f t="array" aca="1" ref="F252" ca="1">IFERROR(INDEX(C:C,SMALL($E$2:$E$300,ROW(INDIRECT("244:"&amp;ROWS(C244:C542))))),"")</f>
        <v/>
      </c>
      <c r="G252" s="76" t="str">
        <f t="array" aca="1" ref="G252" ca="1">IFERROR(INDEX(D:D,SMALL($E$2:$E$300,ROW(INDIRECT("244:"&amp;ROWS(D244:D542))))),"")</f>
        <v/>
      </c>
      <c r="H252" s="82"/>
      <c r="I252" s="77">
        <v>7</v>
      </c>
      <c r="J252" s="78">
        <f t="shared" si="74"/>
        <v>1</v>
      </c>
      <c r="K252" s="82"/>
      <c r="L252" s="82"/>
      <c r="M252" s="80">
        <f t="shared" si="86"/>
        <v>1</v>
      </c>
      <c r="N252" s="77">
        <v>7</v>
      </c>
      <c r="O252" s="78">
        <f t="shared" si="75"/>
        <v>1</v>
      </c>
      <c r="P252" s="82"/>
      <c r="Q252" s="82"/>
      <c r="R252" s="80">
        <f t="shared" si="87"/>
        <v>1</v>
      </c>
      <c r="S252" s="77">
        <v>7</v>
      </c>
      <c r="T252" s="78">
        <f t="shared" si="76"/>
        <v>1</v>
      </c>
      <c r="U252" s="79"/>
      <c r="V252" s="79"/>
      <c r="W252" s="80">
        <f t="shared" si="88"/>
        <v>1</v>
      </c>
      <c r="X252" s="77">
        <v>7</v>
      </c>
      <c r="Y252" s="78">
        <f t="shared" si="77"/>
        <v>1</v>
      </c>
      <c r="Z252" s="79"/>
      <c r="AA252" s="79"/>
      <c r="AB252" s="80">
        <f t="shared" si="89"/>
        <v>1</v>
      </c>
      <c r="AC252" s="77">
        <v>7</v>
      </c>
      <c r="AD252" s="78">
        <f t="shared" si="78"/>
        <v>1</v>
      </c>
      <c r="AE252" s="79"/>
      <c r="AF252" s="79"/>
      <c r="AG252" s="80">
        <f t="shared" si="90"/>
        <v>1</v>
      </c>
      <c r="AH252" s="77">
        <f t="shared" si="91"/>
        <v>35</v>
      </c>
      <c r="AI252" s="79">
        <f t="shared" si="79"/>
        <v>0</v>
      </c>
      <c r="AJ252" s="79">
        <f t="shared" si="92"/>
        <v>0</v>
      </c>
      <c r="AK252" s="81">
        <f t="shared" si="93"/>
        <v>5</v>
      </c>
      <c r="AL252" s="81" t="str">
        <f t="shared" si="80"/>
        <v>CRIT</v>
      </c>
      <c r="AM252" s="81">
        <f t="shared" si="81"/>
        <v>22</v>
      </c>
      <c r="AN252" s="99">
        <f t="shared" si="82"/>
        <v>42884</v>
      </c>
      <c r="AO252" s="99">
        <f t="shared" si="83"/>
        <v>42888</v>
      </c>
      <c r="AP252" s="99"/>
      <c r="AQ252" s="73"/>
      <c r="AR252" s="67"/>
      <c r="AS252" s="132"/>
    </row>
    <row r="253" spans="1:45" ht="20.25" customHeight="1" thickTop="1" thickBot="1" x14ac:dyDescent="0.3">
      <c r="A253" s="74" t="str">
        <f t="shared" ca="1" si="84"/>
        <v/>
      </c>
      <c r="B253" s="75" t="str">
        <f t="shared" ca="1" si="85"/>
        <v/>
      </c>
      <c r="C253" s="76" t="str">
        <f>IF(AND('Interimaire Juin  2017'!D259=$B$1,'Interimaire Juin  2017'!J259=$B$2),'Interimaire Juin  2017'!E259,"")</f>
        <v/>
      </c>
      <c r="D253" s="76" t="str">
        <f>IF(AND('Interimaire Juin  2017'!D259=$B$1,'Interimaire Juin  2017'!J259=$B$2),'Interimaire Juin  2017'!F259,"")</f>
        <v/>
      </c>
      <c r="E253" s="76" t="str">
        <f t="shared" si="73"/>
        <v/>
      </c>
      <c r="F253" s="76" t="str">
        <f t="array" aca="1" ref="F253" ca="1">IFERROR(INDEX(C:C,SMALL($E$2:$E$300,ROW(INDIRECT("245:"&amp;ROWS(C245:C543))))),"")</f>
        <v/>
      </c>
      <c r="G253" s="76" t="str">
        <f t="array" aca="1" ref="G253" ca="1">IFERROR(INDEX(D:D,SMALL($E$2:$E$300,ROW(INDIRECT("245:"&amp;ROWS(D245:D543))))),"")</f>
        <v/>
      </c>
      <c r="H253" s="82"/>
      <c r="I253" s="77">
        <v>7</v>
      </c>
      <c r="J253" s="78">
        <f t="shared" si="74"/>
        <v>1</v>
      </c>
      <c r="K253" s="82"/>
      <c r="L253" s="82"/>
      <c r="M253" s="80">
        <f t="shared" si="86"/>
        <v>1</v>
      </c>
      <c r="N253" s="77">
        <v>7</v>
      </c>
      <c r="O253" s="78">
        <f t="shared" si="75"/>
        <v>1</v>
      </c>
      <c r="P253" s="82"/>
      <c r="Q253" s="82"/>
      <c r="R253" s="80">
        <f t="shared" si="87"/>
        <v>1</v>
      </c>
      <c r="S253" s="77">
        <v>7</v>
      </c>
      <c r="T253" s="78">
        <f t="shared" si="76"/>
        <v>1</v>
      </c>
      <c r="U253" s="79"/>
      <c r="V253" s="79"/>
      <c r="W253" s="80">
        <f t="shared" si="88"/>
        <v>1</v>
      </c>
      <c r="X253" s="77">
        <v>7</v>
      </c>
      <c r="Y253" s="78">
        <f t="shared" si="77"/>
        <v>1</v>
      </c>
      <c r="Z253" s="79"/>
      <c r="AA253" s="79"/>
      <c r="AB253" s="80">
        <f t="shared" si="89"/>
        <v>1</v>
      </c>
      <c r="AC253" s="77">
        <v>7</v>
      </c>
      <c r="AD253" s="78">
        <f t="shared" si="78"/>
        <v>1</v>
      </c>
      <c r="AE253" s="79"/>
      <c r="AF253" s="79"/>
      <c r="AG253" s="80">
        <f t="shared" si="90"/>
        <v>1</v>
      </c>
      <c r="AH253" s="77">
        <f t="shared" si="91"/>
        <v>35</v>
      </c>
      <c r="AI253" s="79">
        <f t="shared" si="79"/>
        <v>0</v>
      </c>
      <c r="AJ253" s="79">
        <f t="shared" si="92"/>
        <v>0</v>
      </c>
      <c r="AK253" s="81">
        <f t="shared" si="93"/>
        <v>5</v>
      </c>
      <c r="AL253" s="81" t="str">
        <f t="shared" si="80"/>
        <v>CRIT</v>
      </c>
      <c r="AM253" s="81">
        <f t="shared" si="81"/>
        <v>22</v>
      </c>
      <c r="AN253" s="99">
        <f t="shared" si="82"/>
        <v>42884</v>
      </c>
      <c r="AO253" s="99">
        <f t="shared" si="83"/>
        <v>42888</v>
      </c>
      <c r="AP253" s="99"/>
      <c r="AQ253" s="73"/>
      <c r="AR253" s="67"/>
      <c r="AS253" s="132"/>
    </row>
    <row r="254" spans="1:45" ht="20.25" customHeight="1" thickTop="1" thickBot="1" x14ac:dyDescent="0.3">
      <c r="A254" s="74" t="str">
        <f t="shared" ca="1" si="84"/>
        <v/>
      </c>
      <c r="B254" s="75" t="str">
        <f t="shared" ca="1" si="85"/>
        <v/>
      </c>
      <c r="C254" s="76" t="str">
        <f>IF(AND('Interimaire Juin  2017'!D260=$B$1,'Interimaire Juin  2017'!J260=$B$2),'Interimaire Juin  2017'!E260,"")</f>
        <v/>
      </c>
      <c r="D254" s="76" t="str">
        <f>IF(AND('Interimaire Juin  2017'!D260=$B$1,'Interimaire Juin  2017'!J260=$B$2),'Interimaire Juin  2017'!F260,"")</f>
        <v/>
      </c>
      <c r="E254" s="76" t="str">
        <f t="shared" si="73"/>
        <v/>
      </c>
      <c r="F254" s="76" t="str">
        <f t="array" aca="1" ref="F254" ca="1">IFERROR(INDEX(C:C,SMALL($E$2:$E$300,ROW(INDIRECT("246:"&amp;ROWS(C246:C544))))),"")</f>
        <v/>
      </c>
      <c r="G254" s="76" t="str">
        <f t="array" aca="1" ref="G254" ca="1">IFERROR(INDEX(D:D,SMALL($E$2:$E$300,ROW(INDIRECT("246:"&amp;ROWS(D246:D544))))),"")</f>
        <v/>
      </c>
      <c r="H254" s="82"/>
      <c r="I254" s="77">
        <v>7</v>
      </c>
      <c r="J254" s="78">
        <f t="shared" si="74"/>
        <v>1</v>
      </c>
      <c r="K254" s="82"/>
      <c r="L254" s="82"/>
      <c r="M254" s="80">
        <f t="shared" si="86"/>
        <v>1</v>
      </c>
      <c r="N254" s="77">
        <v>7</v>
      </c>
      <c r="O254" s="78">
        <f t="shared" si="75"/>
        <v>1</v>
      </c>
      <c r="P254" s="82"/>
      <c r="Q254" s="82"/>
      <c r="R254" s="80">
        <f t="shared" si="87"/>
        <v>1</v>
      </c>
      <c r="S254" s="77">
        <v>7</v>
      </c>
      <c r="T254" s="78">
        <f t="shared" si="76"/>
        <v>1</v>
      </c>
      <c r="U254" s="79"/>
      <c r="V254" s="79"/>
      <c r="W254" s="80">
        <f t="shared" si="88"/>
        <v>1</v>
      </c>
      <c r="X254" s="77">
        <v>7</v>
      </c>
      <c r="Y254" s="78">
        <f t="shared" si="77"/>
        <v>1</v>
      </c>
      <c r="Z254" s="79"/>
      <c r="AA254" s="79"/>
      <c r="AB254" s="80">
        <f t="shared" si="89"/>
        <v>1</v>
      </c>
      <c r="AC254" s="77">
        <v>7</v>
      </c>
      <c r="AD254" s="78">
        <f t="shared" si="78"/>
        <v>1</v>
      </c>
      <c r="AE254" s="79"/>
      <c r="AF254" s="79"/>
      <c r="AG254" s="80">
        <f t="shared" si="90"/>
        <v>1</v>
      </c>
      <c r="AH254" s="77">
        <f t="shared" si="91"/>
        <v>35</v>
      </c>
      <c r="AI254" s="79">
        <f t="shared" si="79"/>
        <v>0</v>
      </c>
      <c r="AJ254" s="79">
        <f t="shared" si="92"/>
        <v>0</v>
      </c>
      <c r="AK254" s="81">
        <f t="shared" si="93"/>
        <v>5</v>
      </c>
      <c r="AL254" s="81" t="str">
        <f t="shared" si="80"/>
        <v>CRIT</v>
      </c>
      <c r="AM254" s="81">
        <f t="shared" si="81"/>
        <v>22</v>
      </c>
      <c r="AN254" s="99">
        <f t="shared" si="82"/>
        <v>42884</v>
      </c>
      <c r="AO254" s="99">
        <f t="shared" si="83"/>
        <v>42888</v>
      </c>
      <c r="AP254" s="99"/>
      <c r="AQ254" s="73"/>
      <c r="AR254" s="67"/>
      <c r="AS254" s="132"/>
    </row>
    <row r="255" spans="1:45" ht="20.25" customHeight="1" thickTop="1" thickBot="1" x14ac:dyDescent="0.3">
      <c r="A255" s="74" t="str">
        <f t="shared" ca="1" si="84"/>
        <v/>
      </c>
      <c r="B255" s="75" t="str">
        <f t="shared" ca="1" si="85"/>
        <v/>
      </c>
      <c r="C255" s="76" t="str">
        <f>IF(AND('Interimaire Juin  2017'!D261=$B$1,'Interimaire Juin  2017'!J261=$B$2),'Interimaire Juin  2017'!E261,"")</f>
        <v/>
      </c>
      <c r="D255" s="76" t="str">
        <f>IF(AND('Interimaire Juin  2017'!D261=$B$1,'Interimaire Juin  2017'!J261=$B$2),'Interimaire Juin  2017'!F261,"")</f>
        <v/>
      </c>
      <c r="E255" s="76" t="str">
        <f t="shared" si="73"/>
        <v/>
      </c>
      <c r="F255" s="76" t="str">
        <f t="array" aca="1" ref="F255" ca="1">IFERROR(INDEX(C:C,SMALL($E$2:$E$300,ROW(INDIRECT("247:"&amp;ROWS(C247:C545))))),"")</f>
        <v/>
      </c>
      <c r="G255" s="76" t="str">
        <f t="array" aca="1" ref="G255" ca="1">IFERROR(INDEX(D:D,SMALL($E$2:$E$300,ROW(INDIRECT("247:"&amp;ROWS(D247:D545))))),"")</f>
        <v/>
      </c>
      <c r="H255" s="82"/>
      <c r="I255" s="77">
        <v>7</v>
      </c>
      <c r="J255" s="78">
        <f t="shared" si="74"/>
        <v>1</v>
      </c>
      <c r="K255" s="82"/>
      <c r="L255" s="82"/>
      <c r="M255" s="80">
        <f t="shared" si="86"/>
        <v>1</v>
      </c>
      <c r="N255" s="77">
        <v>7</v>
      </c>
      <c r="O255" s="78">
        <f t="shared" si="75"/>
        <v>1</v>
      </c>
      <c r="P255" s="82"/>
      <c r="Q255" s="82"/>
      <c r="R255" s="80">
        <f t="shared" si="87"/>
        <v>1</v>
      </c>
      <c r="S255" s="77">
        <v>7</v>
      </c>
      <c r="T255" s="78">
        <f t="shared" si="76"/>
        <v>1</v>
      </c>
      <c r="U255" s="79"/>
      <c r="V255" s="79"/>
      <c r="W255" s="80">
        <f t="shared" si="88"/>
        <v>1</v>
      </c>
      <c r="X255" s="77">
        <v>7</v>
      </c>
      <c r="Y255" s="78">
        <f t="shared" si="77"/>
        <v>1</v>
      </c>
      <c r="Z255" s="79"/>
      <c r="AA255" s="79"/>
      <c r="AB255" s="80">
        <f t="shared" si="89"/>
        <v>1</v>
      </c>
      <c r="AC255" s="77">
        <v>7</v>
      </c>
      <c r="AD255" s="78">
        <f t="shared" si="78"/>
        <v>1</v>
      </c>
      <c r="AE255" s="79"/>
      <c r="AF255" s="79"/>
      <c r="AG255" s="80">
        <f t="shared" si="90"/>
        <v>1</v>
      </c>
      <c r="AH255" s="77">
        <f t="shared" si="91"/>
        <v>35</v>
      </c>
      <c r="AI255" s="79">
        <f t="shared" si="79"/>
        <v>0</v>
      </c>
      <c r="AJ255" s="79">
        <f t="shared" si="92"/>
        <v>0</v>
      </c>
      <c r="AK255" s="81">
        <f t="shared" si="93"/>
        <v>5</v>
      </c>
      <c r="AL255" s="81" t="str">
        <f t="shared" si="80"/>
        <v>CRIT</v>
      </c>
      <c r="AM255" s="81">
        <f t="shared" si="81"/>
        <v>22</v>
      </c>
      <c r="AN255" s="99">
        <f t="shared" si="82"/>
        <v>42884</v>
      </c>
      <c r="AO255" s="99">
        <f t="shared" si="83"/>
        <v>42888</v>
      </c>
      <c r="AP255" s="99"/>
      <c r="AQ255" s="73"/>
      <c r="AR255" s="67"/>
      <c r="AS255" s="132"/>
    </row>
    <row r="256" spans="1:45" ht="20.25" customHeight="1" thickTop="1" thickBot="1" x14ac:dyDescent="0.3">
      <c r="A256" s="74" t="str">
        <f t="shared" ca="1" si="84"/>
        <v/>
      </c>
      <c r="B256" s="75" t="str">
        <f t="shared" ca="1" si="85"/>
        <v/>
      </c>
      <c r="C256" s="76" t="str">
        <f>IF(AND('Interimaire Juin  2017'!D262=$B$1,'Interimaire Juin  2017'!J262=$B$2),'Interimaire Juin  2017'!E262,"")</f>
        <v/>
      </c>
      <c r="D256" s="76" t="str">
        <f>IF(AND('Interimaire Juin  2017'!D262=$B$1,'Interimaire Juin  2017'!J262=$B$2),'Interimaire Juin  2017'!F262,"")</f>
        <v/>
      </c>
      <c r="E256" s="76" t="str">
        <f t="shared" si="73"/>
        <v/>
      </c>
      <c r="F256" s="76" t="str">
        <f t="array" aca="1" ref="F256" ca="1">IFERROR(INDEX(C:C,SMALL($E$2:$E$300,ROW(INDIRECT("248:"&amp;ROWS(C248:C546))))),"")</f>
        <v/>
      </c>
      <c r="G256" s="76" t="str">
        <f t="array" aca="1" ref="G256" ca="1">IFERROR(INDEX(D:D,SMALL($E$2:$E$300,ROW(INDIRECT("248:"&amp;ROWS(D248:D546))))),"")</f>
        <v/>
      </c>
      <c r="H256" s="82"/>
      <c r="I256" s="77">
        <v>7</v>
      </c>
      <c r="J256" s="78">
        <f t="shared" si="74"/>
        <v>1</v>
      </c>
      <c r="K256" s="82"/>
      <c r="L256" s="82"/>
      <c r="M256" s="80">
        <f t="shared" si="86"/>
        <v>1</v>
      </c>
      <c r="N256" s="77">
        <v>7</v>
      </c>
      <c r="O256" s="78">
        <f t="shared" si="75"/>
        <v>1</v>
      </c>
      <c r="P256" s="82"/>
      <c r="Q256" s="82"/>
      <c r="R256" s="80">
        <f t="shared" si="87"/>
        <v>1</v>
      </c>
      <c r="S256" s="77">
        <v>7</v>
      </c>
      <c r="T256" s="78">
        <f t="shared" si="76"/>
        <v>1</v>
      </c>
      <c r="U256" s="79"/>
      <c r="V256" s="79"/>
      <c r="W256" s="80">
        <f t="shared" si="88"/>
        <v>1</v>
      </c>
      <c r="X256" s="77">
        <v>7</v>
      </c>
      <c r="Y256" s="78">
        <f t="shared" si="77"/>
        <v>1</v>
      </c>
      <c r="Z256" s="79"/>
      <c r="AA256" s="79"/>
      <c r="AB256" s="80">
        <f t="shared" si="89"/>
        <v>1</v>
      </c>
      <c r="AC256" s="77">
        <v>7</v>
      </c>
      <c r="AD256" s="78">
        <f t="shared" si="78"/>
        <v>1</v>
      </c>
      <c r="AE256" s="79"/>
      <c r="AF256" s="79"/>
      <c r="AG256" s="80">
        <f t="shared" si="90"/>
        <v>1</v>
      </c>
      <c r="AH256" s="77">
        <f t="shared" si="91"/>
        <v>35</v>
      </c>
      <c r="AI256" s="79">
        <f t="shared" si="79"/>
        <v>0</v>
      </c>
      <c r="AJ256" s="79">
        <f t="shared" si="92"/>
        <v>0</v>
      </c>
      <c r="AK256" s="81">
        <f t="shared" si="93"/>
        <v>5</v>
      </c>
      <c r="AL256" s="81" t="str">
        <f t="shared" si="80"/>
        <v>CRIT</v>
      </c>
      <c r="AM256" s="81">
        <f t="shared" si="81"/>
        <v>22</v>
      </c>
      <c r="AN256" s="99">
        <f t="shared" si="82"/>
        <v>42884</v>
      </c>
      <c r="AO256" s="99">
        <f t="shared" si="83"/>
        <v>42888</v>
      </c>
      <c r="AP256" s="99"/>
      <c r="AQ256" s="73"/>
      <c r="AR256" s="67"/>
      <c r="AS256" s="132"/>
    </row>
    <row r="257" spans="1:45" ht="20.25" customHeight="1" thickTop="1" thickBot="1" x14ac:dyDescent="0.3">
      <c r="A257" s="74" t="str">
        <f t="shared" ca="1" si="84"/>
        <v/>
      </c>
      <c r="B257" s="75" t="str">
        <f t="shared" ca="1" si="85"/>
        <v/>
      </c>
      <c r="C257" s="76" t="str">
        <f>IF(AND('Interimaire Juin  2017'!D263=$B$1,'Interimaire Juin  2017'!J263=$B$2),'Interimaire Juin  2017'!E263,"")</f>
        <v/>
      </c>
      <c r="D257" s="76" t="str">
        <f>IF(AND('Interimaire Juin  2017'!D263=$B$1,'Interimaire Juin  2017'!J263=$B$2),'Interimaire Juin  2017'!F263,"")</f>
        <v/>
      </c>
      <c r="E257" s="76" t="str">
        <f t="shared" si="73"/>
        <v/>
      </c>
      <c r="F257" s="76" t="str">
        <f t="array" aca="1" ref="F257" ca="1">IFERROR(INDEX(C:C,SMALL($E$2:$E$300,ROW(INDIRECT("249:"&amp;ROWS(C249:C547))))),"")</f>
        <v/>
      </c>
      <c r="G257" s="76" t="str">
        <f t="array" aca="1" ref="G257" ca="1">IFERROR(INDEX(D:D,SMALL($E$2:$E$300,ROW(INDIRECT("249:"&amp;ROWS(D249:D547))))),"")</f>
        <v/>
      </c>
      <c r="H257" s="82"/>
      <c r="I257" s="77">
        <v>7</v>
      </c>
      <c r="J257" s="78">
        <f t="shared" si="74"/>
        <v>1</v>
      </c>
      <c r="K257" s="82"/>
      <c r="L257" s="82"/>
      <c r="M257" s="80">
        <f t="shared" si="86"/>
        <v>1</v>
      </c>
      <c r="N257" s="77">
        <v>7</v>
      </c>
      <c r="O257" s="78">
        <f t="shared" si="75"/>
        <v>1</v>
      </c>
      <c r="P257" s="82"/>
      <c r="Q257" s="82"/>
      <c r="R257" s="80">
        <f t="shared" si="87"/>
        <v>1</v>
      </c>
      <c r="S257" s="77">
        <v>7</v>
      </c>
      <c r="T257" s="78">
        <f t="shared" si="76"/>
        <v>1</v>
      </c>
      <c r="U257" s="79"/>
      <c r="V257" s="79"/>
      <c r="W257" s="80">
        <f t="shared" si="88"/>
        <v>1</v>
      </c>
      <c r="X257" s="77">
        <v>7</v>
      </c>
      <c r="Y257" s="78">
        <f t="shared" si="77"/>
        <v>1</v>
      </c>
      <c r="Z257" s="79"/>
      <c r="AA257" s="79"/>
      <c r="AB257" s="80">
        <f t="shared" si="89"/>
        <v>1</v>
      </c>
      <c r="AC257" s="77">
        <v>7</v>
      </c>
      <c r="AD257" s="78">
        <f t="shared" si="78"/>
        <v>1</v>
      </c>
      <c r="AE257" s="79"/>
      <c r="AF257" s="79"/>
      <c r="AG257" s="80">
        <f t="shared" si="90"/>
        <v>1</v>
      </c>
      <c r="AH257" s="77">
        <f t="shared" si="91"/>
        <v>35</v>
      </c>
      <c r="AI257" s="79">
        <f t="shared" si="79"/>
        <v>0</v>
      </c>
      <c r="AJ257" s="79">
        <f t="shared" si="92"/>
        <v>0</v>
      </c>
      <c r="AK257" s="81">
        <f t="shared" si="93"/>
        <v>5</v>
      </c>
      <c r="AL257" s="81" t="str">
        <f t="shared" si="80"/>
        <v>CRIT</v>
      </c>
      <c r="AM257" s="81">
        <f t="shared" si="81"/>
        <v>22</v>
      </c>
      <c r="AN257" s="99">
        <f t="shared" si="82"/>
        <v>42884</v>
      </c>
      <c r="AO257" s="99">
        <f t="shared" si="83"/>
        <v>42888</v>
      </c>
      <c r="AP257" s="99"/>
      <c r="AQ257" s="73"/>
      <c r="AR257" s="67"/>
      <c r="AS257" s="132"/>
    </row>
    <row r="258" spans="1:45" ht="20.25" customHeight="1" thickTop="1" thickBot="1" x14ac:dyDescent="0.3">
      <c r="A258" s="74" t="str">
        <f t="shared" ca="1" si="84"/>
        <v/>
      </c>
      <c r="B258" s="75" t="str">
        <f t="shared" ca="1" si="85"/>
        <v/>
      </c>
      <c r="C258" s="76" t="str">
        <f>IF(AND('Interimaire Juin  2017'!D264=$B$1,'Interimaire Juin  2017'!J264=$B$2),'Interimaire Juin  2017'!E264,"")</f>
        <v/>
      </c>
      <c r="D258" s="76" t="str">
        <f>IF(AND('Interimaire Juin  2017'!D264=$B$1,'Interimaire Juin  2017'!J264=$B$2),'Interimaire Juin  2017'!F264,"")</f>
        <v/>
      </c>
      <c r="E258" s="76" t="str">
        <f t="shared" si="73"/>
        <v/>
      </c>
      <c r="F258" s="76" t="str">
        <f t="array" aca="1" ref="F258" ca="1">IFERROR(INDEX(C:C,SMALL($E$2:$E$300,ROW(INDIRECT("250:"&amp;ROWS(C250:C548))))),"")</f>
        <v/>
      </c>
      <c r="G258" s="76" t="str">
        <f t="array" aca="1" ref="G258" ca="1">IFERROR(INDEX(D:D,SMALL($E$2:$E$300,ROW(INDIRECT("250:"&amp;ROWS(D250:D548))))),"")</f>
        <v/>
      </c>
      <c r="H258" s="82"/>
      <c r="I258" s="77">
        <v>7</v>
      </c>
      <c r="J258" s="78">
        <f t="shared" si="74"/>
        <v>1</v>
      </c>
      <c r="K258" s="82"/>
      <c r="L258" s="82"/>
      <c r="M258" s="80">
        <f t="shared" si="86"/>
        <v>1</v>
      </c>
      <c r="N258" s="77">
        <v>7</v>
      </c>
      <c r="O258" s="78">
        <f t="shared" si="75"/>
        <v>1</v>
      </c>
      <c r="P258" s="82"/>
      <c r="Q258" s="82"/>
      <c r="R258" s="80">
        <f t="shared" si="87"/>
        <v>1</v>
      </c>
      <c r="S258" s="77">
        <v>7</v>
      </c>
      <c r="T258" s="78">
        <f t="shared" si="76"/>
        <v>1</v>
      </c>
      <c r="U258" s="79"/>
      <c r="V258" s="79"/>
      <c r="W258" s="80">
        <f t="shared" si="88"/>
        <v>1</v>
      </c>
      <c r="X258" s="77">
        <v>7</v>
      </c>
      <c r="Y258" s="78">
        <f t="shared" si="77"/>
        <v>1</v>
      </c>
      <c r="Z258" s="79"/>
      <c r="AA258" s="79"/>
      <c r="AB258" s="80">
        <f t="shared" si="89"/>
        <v>1</v>
      </c>
      <c r="AC258" s="77">
        <v>7</v>
      </c>
      <c r="AD258" s="78">
        <f t="shared" si="78"/>
        <v>1</v>
      </c>
      <c r="AE258" s="79"/>
      <c r="AF258" s="79"/>
      <c r="AG258" s="80">
        <f t="shared" si="90"/>
        <v>1</v>
      </c>
      <c r="AH258" s="77">
        <f t="shared" si="91"/>
        <v>35</v>
      </c>
      <c r="AI258" s="79">
        <f t="shared" si="79"/>
        <v>0</v>
      </c>
      <c r="AJ258" s="79">
        <f t="shared" si="92"/>
        <v>0</v>
      </c>
      <c r="AK258" s="81">
        <f t="shared" si="93"/>
        <v>5</v>
      </c>
      <c r="AL258" s="81" t="str">
        <f t="shared" si="80"/>
        <v>CRIT</v>
      </c>
      <c r="AM258" s="81">
        <f t="shared" si="81"/>
        <v>22</v>
      </c>
      <c r="AN258" s="99">
        <f t="shared" si="82"/>
        <v>42884</v>
      </c>
      <c r="AO258" s="99">
        <f t="shared" si="83"/>
        <v>42888</v>
      </c>
      <c r="AP258" s="99"/>
      <c r="AQ258" s="73"/>
      <c r="AR258" s="67"/>
      <c r="AS258" s="132"/>
    </row>
    <row r="259" spans="1:45" ht="20.25" customHeight="1" thickTop="1" thickBot="1" x14ac:dyDescent="0.3">
      <c r="A259" s="74" t="str">
        <f t="shared" ca="1" si="84"/>
        <v/>
      </c>
      <c r="B259" s="75" t="str">
        <f t="shared" ca="1" si="85"/>
        <v/>
      </c>
      <c r="C259" s="76" t="str">
        <f>IF(AND('Interimaire Juin  2017'!D265=$B$1,'Interimaire Juin  2017'!J265=$B$2),'Interimaire Juin  2017'!E265,"")</f>
        <v/>
      </c>
      <c r="D259" s="76" t="str">
        <f>IF(AND('Interimaire Juin  2017'!D265=$B$1,'Interimaire Juin  2017'!J265=$B$2),'Interimaire Juin  2017'!F265,"")</f>
        <v/>
      </c>
      <c r="E259" s="76" t="str">
        <f t="shared" si="73"/>
        <v/>
      </c>
      <c r="F259" s="76" t="str">
        <f t="array" aca="1" ref="F259" ca="1">IFERROR(INDEX(C:C,SMALL($E$2:$E$300,ROW(INDIRECT("251:"&amp;ROWS(C251:C549))))),"")</f>
        <v/>
      </c>
      <c r="G259" s="76" t="str">
        <f t="array" aca="1" ref="G259" ca="1">IFERROR(INDEX(D:D,SMALL($E$2:$E$300,ROW(INDIRECT("251:"&amp;ROWS(D251:D549))))),"")</f>
        <v/>
      </c>
      <c r="H259" s="82"/>
      <c r="I259" s="77">
        <v>7</v>
      </c>
      <c r="J259" s="78">
        <f t="shared" si="74"/>
        <v>1</v>
      </c>
      <c r="K259" s="82"/>
      <c r="L259" s="82"/>
      <c r="M259" s="80">
        <f t="shared" si="86"/>
        <v>1</v>
      </c>
      <c r="N259" s="77">
        <v>7</v>
      </c>
      <c r="O259" s="78">
        <f t="shared" si="75"/>
        <v>1</v>
      </c>
      <c r="P259" s="82"/>
      <c r="Q259" s="82"/>
      <c r="R259" s="80">
        <f t="shared" si="87"/>
        <v>1</v>
      </c>
      <c r="S259" s="77">
        <v>7</v>
      </c>
      <c r="T259" s="78">
        <f t="shared" si="76"/>
        <v>1</v>
      </c>
      <c r="U259" s="79"/>
      <c r="V259" s="79"/>
      <c r="W259" s="80">
        <f t="shared" si="88"/>
        <v>1</v>
      </c>
      <c r="X259" s="77">
        <v>7</v>
      </c>
      <c r="Y259" s="78">
        <f t="shared" si="77"/>
        <v>1</v>
      </c>
      <c r="Z259" s="79"/>
      <c r="AA259" s="79"/>
      <c r="AB259" s="80">
        <f t="shared" si="89"/>
        <v>1</v>
      </c>
      <c r="AC259" s="77">
        <v>7</v>
      </c>
      <c r="AD259" s="78">
        <f t="shared" si="78"/>
        <v>1</v>
      </c>
      <c r="AE259" s="79"/>
      <c r="AF259" s="79"/>
      <c r="AG259" s="80">
        <f t="shared" si="90"/>
        <v>1</v>
      </c>
      <c r="AH259" s="77">
        <f t="shared" si="91"/>
        <v>35</v>
      </c>
      <c r="AI259" s="79">
        <f t="shared" si="79"/>
        <v>0</v>
      </c>
      <c r="AJ259" s="79">
        <f t="shared" si="92"/>
        <v>0</v>
      </c>
      <c r="AK259" s="81">
        <f t="shared" si="93"/>
        <v>5</v>
      </c>
      <c r="AL259" s="81" t="str">
        <f t="shared" si="80"/>
        <v>CRIT</v>
      </c>
      <c r="AM259" s="81">
        <f t="shared" si="81"/>
        <v>22</v>
      </c>
      <c r="AN259" s="99">
        <f t="shared" si="82"/>
        <v>42884</v>
      </c>
      <c r="AO259" s="99">
        <f t="shared" si="83"/>
        <v>42888</v>
      </c>
      <c r="AP259" s="99"/>
      <c r="AQ259" s="73"/>
      <c r="AR259" s="67"/>
      <c r="AS259" s="132"/>
    </row>
    <row r="260" spans="1:45" ht="20.25" customHeight="1" thickTop="1" thickBot="1" x14ac:dyDescent="0.3">
      <c r="A260" s="74" t="str">
        <f t="shared" ca="1" si="84"/>
        <v/>
      </c>
      <c r="B260" s="75" t="str">
        <f t="shared" ca="1" si="85"/>
        <v/>
      </c>
      <c r="C260" s="76" t="str">
        <f>IF(AND('Interimaire Juin  2017'!D266=$B$1,'Interimaire Juin  2017'!J266=$B$2),'Interimaire Juin  2017'!E266,"")</f>
        <v/>
      </c>
      <c r="D260" s="76" t="str">
        <f>IF(AND('Interimaire Juin  2017'!D266=$B$1,'Interimaire Juin  2017'!J266=$B$2),'Interimaire Juin  2017'!F266,"")</f>
        <v/>
      </c>
      <c r="E260" s="76" t="str">
        <f t="shared" si="73"/>
        <v/>
      </c>
      <c r="F260" s="76" t="str">
        <f t="array" aca="1" ref="F260" ca="1">IFERROR(INDEX(C:C,SMALL($E$2:$E$300,ROW(INDIRECT("252:"&amp;ROWS(C252:C550))))),"")</f>
        <v/>
      </c>
      <c r="G260" s="76" t="str">
        <f t="array" aca="1" ref="G260" ca="1">IFERROR(INDEX(D:D,SMALL($E$2:$E$300,ROW(INDIRECT("252:"&amp;ROWS(D252:D550))))),"")</f>
        <v/>
      </c>
      <c r="H260" s="82"/>
      <c r="I260" s="77">
        <v>7</v>
      </c>
      <c r="J260" s="78">
        <f t="shared" si="74"/>
        <v>1</v>
      </c>
      <c r="K260" s="82"/>
      <c r="L260" s="82"/>
      <c r="M260" s="80">
        <f t="shared" si="86"/>
        <v>1</v>
      </c>
      <c r="N260" s="77">
        <v>7</v>
      </c>
      <c r="O260" s="78">
        <f t="shared" si="75"/>
        <v>1</v>
      </c>
      <c r="P260" s="82"/>
      <c r="Q260" s="82"/>
      <c r="R260" s="80">
        <f t="shared" si="87"/>
        <v>1</v>
      </c>
      <c r="S260" s="77">
        <v>7</v>
      </c>
      <c r="T260" s="78">
        <f t="shared" si="76"/>
        <v>1</v>
      </c>
      <c r="U260" s="79"/>
      <c r="V260" s="79"/>
      <c r="W260" s="80">
        <f t="shared" si="88"/>
        <v>1</v>
      </c>
      <c r="X260" s="77">
        <v>7</v>
      </c>
      <c r="Y260" s="78">
        <f t="shared" si="77"/>
        <v>1</v>
      </c>
      <c r="Z260" s="79"/>
      <c r="AA260" s="79"/>
      <c r="AB260" s="80">
        <f t="shared" si="89"/>
        <v>1</v>
      </c>
      <c r="AC260" s="77">
        <v>7</v>
      </c>
      <c r="AD260" s="78">
        <f t="shared" si="78"/>
        <v>1</v>
      </c>
      <c r="AE260" s="79"/>
      <c r="AF260" s="79"/>
      <c r="AG260" s="80">
        <f t="shared" si="90"/>
        <v>1</v>
      </c>
      <c r="AH260" s="77">
        <f t="shared" si="91"/>
        <v>35</v>
      </c>
      <c r="AI260" s="79">
        <f t="shared" si="79"/>
        <v>0</v>
      </c>
      <c r="AJ260" s="79">
        <f t="shared" si="92"/>
        <v>0</v>
      </c>
      <c r="AK260" s="81">
        <f t="shared" si="93"/>
        <v>5</v>
      </c>
      <c r="AL260" s="81" t="str">
        <f t="shared" si="80"/>
        <v>CRIT</v>
      </c>
      <c r="AM260" s="81">
        <f t="shared" si="81"/>
        <v>22</v>
      </c>
      <c r="AN260" s="99">
        <f t="shared" si="82"/>
        <v>42884</v>
      </c>
      <c r="AO260" s="99">
        <f t="shared" si="83"/>
        <v>42888</v>
      </c>
      <c r="AP260" s="99"/>
      <c r="AQ260" s="73"/>
      <c r="AR260" s="67"/>
      <c r="AS260" s="132"/>
    </row>
    <row r="261" spans="1:45" ht="20.25" customHeight="1" thickTop="1" thickBot="1" x14ac:dyDescent="0.3">
      <c r="A261" s="74" t="str">
        <f t="shared" ca="1" si="84"/>
        <v/>
      </c>
      <c r="B261" s="75" t="str">
        <f t="shared" ca="1" si="85"/>
        <v/>
      </c>
      <c r="C261" s="76" t="str">
        <f>IF(AND('Interimaire Juin  2017'!D267=$B$1,'Interimaire Juin  2017'!J267=$B$2),'Interimaire Juin  2017'!E267,"")</f>
        <v/>
      </c>
      <c r="D261" s="76" t="str">
        <f>IF(AND('Interimaire Juin  2017'!D267=$B$1,'Interimaire Juin  2017'!J267=$B$2),'Interimaire Juin  2017'!F267,"")</f>
        <v/>
      </c>
      <c r="E261" s="76" t="str">
        <f t="shared" si="73"/>
        <v/>
      </c>
      <c r="F261" s="76" t="str">
        <f t="array" aca="1" ref="F261" ca="1">IFERROR(INDEX(C:C,SMALL($E$2:$E$300,ROW(INDIRECT("253:"&amp;ROWS(C253:C551))))),"")</f>
        <v/>
      </c>
      <c r="G261" s="76" t="str">
        <f t="array" aca="1" ref="G261" ca="1">IFERROR(INDEX(D:D,SMALL($E$2:$E$300,ROW(INDIRECT("253:"&amp;ROWS(D253:D551))))),"")</f>
        <v/>
      </c>
      <c r="H261" s="82"/>
      <c r="I261" s="77">
        <v>7</v>
      </c>
      <c r="J261" s="78">
        <f t="shared" si="74"/>
        <v>1</v>
      </c>
      <c r="K261" s="82"/>
      <c r="L261" s="82"/>
      <c r="M261" s="80">
        <f t="shared" si="86"/>
        <v>1</v>
      </c>
      <c r="N261" s="77">
        <v>7</v>
      </c>
      <c r="O261" s="78">
        <f t="shared" si="75"/>
        <v>1</v>
      </c>
      <c r="P261" s="82"/>
      <c r="Q261" s="82"/>
      <c r="R261" s="80">
        <f t="shared" si="87"/>
        <v>1</v>
      </c>
      <c r="S261" s="77">
        <v>7</v>
      </c>
      <c r="T261" s="78">
        <f t="shared" si="76"/>
        <v>1</v>
      </c>
      <c r="U261" s="79"/>
      <c r="V261" s="79"/>
      <c r="W261" s="80">
        <f t="shared" si="88"/>
        <v>1</v>
      </c>
      <c r="X261" s="77">
        <v>7</v>
      </c>
      <c r="Y261" s="78">
        <f t="shared" si="77"/>
        <v>1</v>
      </c>
      <c r="Z261" s="79"/>
      <c r="AA261" s="79"/>
      <c r="AB261" s="80">
        <f t="shared" si="89"/>
        <v>1</v>
      </c>
      <c r="AC261" s="77">
        <v>7</v>
      </c>
      <c r="AD261" s="78">
        <f t="shared" si="78"/>
        <v>1</v>
      </c>
      <c r="AE261" s="79"/>
      <c r="AF261" s="79"/>
      <c r="AG261" s="80">
        <f t="shared" si="90"/>
        <v>1</v>
      </c>
      <c r="AH261" s="77">
        <f t="shared" si="91"/>
        <v>35</v>
      </c>
      <c r="AI261" s="79">
        <f t="shared" si="79"/>
        <v>0</v>
      </c>
      <c r="AJ261" s="79">
        <f t="shared" si="92"/>
        <v>0</v>
      </c>
      <c r="AK261" s="81">
        <f t="shared" si="93"/>
        <v>5</v>
      </c>
      <c r="AL261" s="81" t="str">
        <f t="shared" si="80"/>
        <v>CRIT</v>
      </c>
      <c r="AM261" s="81">
        <f t="shared" si="81"/>
        <v>22</v>
      </c>
      <c r="AN261" s="99">
        <f t="shared" si="82"/>
        <v>42884</v>
      </c>
      <c r="AO261" s="99">
        <f t="shared" si="83"/>
        <v>42888</v>
      </c>
      <c r="AP261" s="99"/>
      <c r="AQ261" s="73"/>
      <c r="AR261" s="67"/>
      <c r="AS261" s="132"/>
    </row>
    <row r="262" spans="1:45" ht="20.25" customHeight="1" thickTop="1" thickBot="1" x14ac:dyDescent="0.3">
      <c r="A262" s="74" t="str">
        <f t="shared" ca="1" si="84"/>
        <v/>
      </c>
      <c r="B262" s="75" t="str">
        <f t="shared" ca="1" si="85"/>
        <v/>
      </c>
      <c r="C262" s="76" t="str">
        <f>IF(AND('Interimaire Juin  2017'!D268=$B$1,'Interimaire Juin  2017'!J268=$B$2),'Interimaire Juin  2017'!E268,"")</f>
        <v/>
      </c>
      <c r="D262" s="76" t="str">
        <f>IF(AND('Interimaire Juin  2017'!D268=$B$1,'Interimaire Juin  2017'!J268=$B$2),'Interimaire Juin  2017'!F268,"")</f>
        <v/>
      </c>
      <c r="E262" s="76" t="str">
        <f t="shared" si="73"/>
        <v/>
      </c>
      <c r="F262" s="76" t="str">
        <f t="array" aca="1" ref="F262" ca="1">IFERROR(INDEX(C:C,SMALL($E$2:$E$300,ROW(INDIRECT("254:"&amp;ROWS(C254:C552))))),"")</f>
        <v/>
      </c>
      <c r="G262" s="76" t="str">
        <f t="array" aca="1" ref="G262" ca="1">IFERROR(INDEX(D:D,SMALL($E$2:$E$300,ROW(INDIRECT("254:"&amp;ROWS(D254:D552))))),"")</f>
        <v/>
      </c>
      <c r="H262" s="82"/>
      <c r="I262" s="77">
        <v>7</v>
      </c>
      <c r="J262" s="78">
        <f t="shared" si="74"/>
        <v>1</v>
      </c>
      <c r="K262" s="82"/>
      <c r="L262" s="82"/>
      <c r="M262" s="80">
        <f t="shared" si="86"/>
        <v>1</v>
      </c>
      <c r="N262" s="77">
        <v>7</v>
      </c>
      <c r="O262" s="78">
        <f t="shared" si="75"/>
        <v>1</v>
      </c>
      <c r="P262" s="82"/>
      <c r="Q262" s="82"/>
      <c r="R262" s="80">
        <f t="shared" si="87"/>
        <v>1</v>
      </c>
      <c r="S262" s="77">
        <v>7</v>
      </c>
      <c r="T262" s="78">
        <f t="shared" si="76"/>
        <v>1</v>
      </c>
      <c r="U262" s="79"/>
      <c r="V262" s="79"/>
      <c r="W262" s="80">
        <f t="shared" si="88"/>
        <v>1</v>
      </c>
      <c r="X262" s="77">
        <v>7</v>
      </c>
      <c r="Y262" s="78">
        <f t="shared" si="77"/>
        <v>1</v>
      </c>
      <c r="Z262" s="79"/>
      <c r="AA262" s="79"/>
      <c r="AB262" s="80">
        <f t="shared" si="89"/>
        <v>1</v>
      </c>
      <c r="AC262" s="77">
        <v>7</v>
      </c>
      <c r="AD262" s="78">
        <f t="shared" si="78"/>
        <v>1</v>
      </c>
      <c r="AE262" s="79"/>
      <c r="AF262" s="79"/>
      <c r="AG262" s="80">
        <f t="shared" si="90"/>
        <v>1</v>
      </c>
      <c r="AH262" s="77">
        <f t="shared" si="91"/>
        <v>35</v>
      </c>
      <c r="AI262" s="79">
        <f t="shared" si="79"/>
        <v>0</v>
      </c>
      <c r="AJ262" s="79">
        <f t="shared" si="92"/>
        <v>0</v>
      </c>
      <c r="AK262" s="81">
        <f t="shared" si="93"/>
        <v>5</v>
      </c>
      <c r="AL262" s="81" t="str">
        <f t="shared" si="80"/>
        <v>CRIT</v>
      </c>
      <c r="AM262" s="81">
        <f t="shared" si="81"/>
        <v>22</v>
      </c>
      <c r="AN262" s="99">
        <f t="shared" si="82"/>
        <v>42884</v>
      </c>
      <c r="AO262" s="99">
        <f t="shared" si="83"/>
        <v>42888</v>
      </c>
      <c r="AP262" s="99"/>
      <c r="AQ262" s="73"/>
      <c r="AR262" s="67"/>
      <c r="AS262" s="132"/>
    </row>
    <row r="263" spans="1:45" ht="20.25" customHeight="1" thickTop="1" thickBot="1" x14ac:dyDescent="0.3">
      <c r="A263" s="74" t="str">
        <f t="shared" ca="1" si="84"/>
        <v/>
      </c>
      <c r="B263" s="75" t="str">
        <f t="shared" ca="1" si="85"/>
        <v/>
      </c>
      <c r="C263" s="76" t="str">
        <f>IF(AND('Interimaire Juin  2017'!D269=$B$1,'Interimaire Juin  2017'!J269=$B$2),'Interimaire Juin  2017'!E269,"")</f>
        <v/>
      </c>
      <c r="D263" s="76" t="str">
        <f>IF(AND('Interimaire Juin  2017'!D269=$B$1,'Interimaire Juin  2017'!J269=$B$2),'Interimaire Juin  2017'!F269,"")</f>
        <v/>
      </c>
      <c r="E263" s="76" t="str">
        <f t="shared" si="73"/>
        <v/>
      </c>
      <c r="F263" s="76" t="str">
        <f t="array" aca="1" ref="F263" ca="1">IFERROR(INDEX(C:C,SMALL($E$2:$E$300,ROW(INDIRECT("255:"&amp;ROWS(C255:C553))))),"")</f>
        <v/>
      </c>
      <c r="G263" s="76" t="str">
        <f t="array" aca="1" ref="G263" ca="1">IFERROR(INDEX(D:D,SMALL($E$2:$E$300,ROW(INDIRECT("255:"&amp;ROWS(D255:D553))))),"")</f>
        <v/>
      </c>
      <c r="H263" s="82"/>
      <c r="I263" s="77">
        <v>7</v>
      </c>
      <c r="J263" s="78">
        <f t="shared" si="74"/>
        <v>1</v>
      </c>
      <c r="K263" s="82"/>
      <c r="L263" s="82"/>
      <c r="M263" s="80">
        <f t="shared" si="86"/>
        <v>1</v>
      </c>
      <c r="N263" s="77">
        <v>7</v>
      </c>
      <c r="O263" s="78">
        <f t="shared" si="75"/>
        <v>1</v>
      </c>
      <c r="P263" s="82"/>
      <c r="Q263" s="82"/>
      <c r="R263" s="80">
        <f t="shared" si="87"/>
        <v>1</v>
      </c>
      <c r="S263" s="77">
        <v>7</v>
      </c>
      <c r="T263" s="78">
        <f t="shared" si="76"/>
        <v>1</v>
      </c>
      <c r="U263" s="79"/>
      <c r="V263" s="79"/>
      <c r="W263" s="80">
        <f t="shared" si="88"/>
        <v>1</v>
      </c>
      <c r="X263" s="77">
        <v>7</v>
      </c>
      <c r="Y263" s="78">
        <f t="shared" si="77"/>
        <v>1</v>
      </c>
      <c r="Z263" s="79"/>
      <c r="AA263" s="79"/>
      <c r="AB263" s="80">
        <f t="shared" si="89"/>
        <v>1</v>
      </c>
      <c r="AC263" s="77">
        <v>7</v>
      </c>
      <c r="AD263" s="78">
        <f t="shared" si="78"/>
        <v>1</v>
      </c>
      <c r="AE263" s="79"/>
      <c r="AF263" s="79"/>
      <c r="AG263" s="80">
        <f t="shared" si="90"/>
        <v>1</v>
      </c>
      <c r="AH263" s="77">
        <f t="shared" si="91"/>
        <v>35</v>
      </c>
      <c r="AI263" s="79">
        <f t="shared" si="79"/>
        <v>0</v>
      </c>
      <c r="AJ263" s="79">
        <f t="shared" si="92"/>
        <v>0</v>
      </c>
      <c r="AK263" s="81">
        <f t="shared" si="93"/>
        <v>5</v>
      </c>
      <c r="AL263" s="81" t="str">
        <f t="shared" si="80"/>
        <v>CRIT</v>
      </c>
      <c r="AM263" s="81">
        <f t="shared" si="81"/>
        <v>22</v>
      </c>
      <c r="AN263" s="99">
        <f t="shared" si="82"/>
        <v>42884</v>
      </c>
      <c r="AO263" s="99">
        <f t="shared" si="83"/>
        <v>42888</v>
      </c>
      <c r="AP263" s="99"/>
      <c r="AQ263" s="73"/>
      <c r="AR263" s="67"/>
      <c r="AS263" s="132"/>
    </row>
    <row r="264" spans="1:45" ht="20.25" customHeight="1" thickTop="1" thickBot="1" x14ac:dyDescent="0.3">
      <c r="A264" s="74" t="str">
        <f t="shared" ca="1" si="84"/>
        <v/>
      </c>
      <c r="B264" s="75" t="str">
        <f t="shared" ca="1" si="85"/>
        <v/>
      </c>
      <c r="C264" s="76" t="str">
        <f>IF(AND('Interimaire Juin  2017'!D270=$B$1,'Interimaire Juin  2017'!J270=$B$2),'Interimaire Juin  2017'!E270,"")</f>
        <v/>
      </c>
      <c r="D264" s="76" t="str">
        <f>IF(AND('Interimaire Juin  2017'!D270=$B$1,'Interimaire Juin  2017'!J270=$B$2),'Interimaire Juin  2017'!F270,"")</f>
        <v/>
      </c>
      <c r="E264" s="76" t="str">
        <f t="shared" si="73"/>
        <v/>
      </c>
      <c r="F264" s="76" t="str">
        <f t="array" aca="1" ref="F264" ca="1">IFERROR(INDEX(C:C,SMALL($E$2:$E$300,ROW(INDIRECT("256:"&amp;ROWS(C256:C554))))),"")</f>
        <v/>
      </c>
      <c r="G264" s="76" t="str">
        <f t="array" aca="1" ref="G264" ca="1">IFERROR(INDEX(D:D,SMALL($E$2:$E$300,ROW(INDIRECT("256:"&amp;ROWS(D256:D554))))),"")</f>
        <v/>
      </c>
      <c r="H264" s="82"/>
      <c r="I264" s="77">
        <v>7</v>
      </c>
      <c r="J264" s="78">
        <f t="shared" si="74"/>
        <v>1</v>
      </c>
      <c r="K264" s="82"/>
      <c r="L264" s="82"/>
      <c r="M264" s="80">
        <f t="shared" si="86"/>
        <v>1</v>
      </c>
      <c r="N264" s="77">
        <v>7</v>
      </c>
      <c r="O264" s="78">
        <f t="shared" si="75"/>
        <v>1</v>
      </c>
      <c r="P264" s="82"/>
      <c r="Q264" s="82"/>
      <c r="R264" s="80">
        <f t="shared" si="87"/>
        <v>1</v>
      </c>
      <c r="S264" s="77">
        <v>7</v>
      </c>
      <c r="T264" s="78">
        <f t="shared" si="76"/>
        <v>1</v>
      </c>
      <c r="U264" s="79"/>
      <c r="V264" s="79"/>
      <c r="W264" s="80">
        <f t="shared" si="88"/>
        <v>1</v>
      </c>
      <c r="X264" s="77">
        <v>7</v>
      </c>
      <c r="Y264" s="78">
        <f t="shared" si="77"/>
        <v>1</v>
      </c>
      <c r="Z264" s="79"/>
      <c r="AA264" s="79"/>
      <c r="AB264" s="80">
        <f t="shared" si="89"/>
        <v>1</v>
      </c>
      <c r="AC264" s="77">
        <v>7</v>
      </c>
      <c r="AD264" s="78">
        <f t="shared" si="78"/>
        <v>1</v>
      </c>
      <c r="AE264" s="79"/>
      <c r="AF264" s="79"/>
      <c r="AG264" s="80">
        <f t="shared" si="90"/>
        <v>1</v>
      </c>
      <c r="AH264" s="77">
        <f t="shared" si="91"/>
        <v>35</v>
      </c>
      <c r="AI264" s="79">
        <f t="shared" si="79"/>
        <v>0</v>
      </c>
      <c r="AJ264" s="79">
        <f t="shared" si="92"/>
        <v>0</v>
      </c>
      <c r="AK264" s="81">
        <f t="shared" si="93"/>
        <v>5</v>
      </c>
      <c r="AL264" s="81" t="str">
        <f t="shared" si="80"/>
        <v>CRIT</v>
      </c>
      <c r="AM264" s="81">
        <f t="shared" si="81"/>
        <v>22</v>
      </c>
      <c r="AN264" s="99">
        <f t="shared" si="82"/>
        <v>42884</v>
      </c>
      <c r="AO264" s="99">
        <f t="shared" si="83"/>
        <v>42888</v>
      </c>
      <c r="AP264" s="99"/>
      <c r="AQ264" s="73"/>
      <c r="AR264" s="67"/>
      <c r="AS264" s="132"/>
    </row>
    <row r="265" spans="1:45" ht="20.25" customHeight="1" thickTop="1" thickBot="1" x14ac:dyDescent="0.3">
      <c r="A265" s="74" t="str">
        <f t="shared" ca="1" si="84"/>
        <v/>
      </c>
      <c r="B265" s="75" t="str">
        <f t="shared" ca="1" si="85"/>
        <v/>
      </c>
      <c r="C265" s="76" t="str">
        <f>IF(AND('Interimaire Juin  2017'!D271=$B$1,'Interimaire Juin  2017'!J271=$B$2),'Interimaire Juin  2017'!E271,"")</f>
        <v/>
      </c>
      <c r="D265" s="76" t="str">
        <f>IF(AND('Interimaire Juin  2017'!D271=$B$1,'Interimaire Juin  2017'!J271=$B$2),'Interimaire Juin  2017'!F271,"")</f>
        <v/>
      </c>
      <c r="E265" s="76" t="str">
        <f t="shared" si="73"/>
        <v/>
      </c>
      <c r="F265" s="76" t="str">
        <f t="array" aca="1" ref="F265" ca="1">IFERROR(INDEX(C:C,SMALL($E$2:$E$300,ROW(INDIRECT("257:"&amp;ROWS(C257:C555))))),"")</f>
        <v/>
      </c>
      <c r="G265" s="76" t="str">
        <f t="array" aca="1" ref="G265" ca="1">IFERROR(INDEX(D:D,SMALL($E$2:$E$300,ROW(INDIRECT("257:"&amp;ROWS(D257:D555))))),"")</f>
        <v/>
      </c>
      <c r="H265" s="82"/>
      <c r="I265" s="77">
        <v>7</v>
      </c>
      <c r="J265" s="78">
        <f t="shared" si="74"/>
        <v>1</v>
      </c>
      <c r="K265" s="82"/>
      <c r="L265" s="82"/>
      <c r="M265" s="80">
        <f t="shared" si="86"/>
        <v>1</v>
      </c>
      <c r="N265" s="77">
        <v>7</v>
      </c>
      <c r="O265" s="78">
        <f t="shared" si="75"/>
        <v>1</v>
      </c>
      <c r="P265" s="82"/>
      <c r="Q265" s="82"/>
      <c r="R265" s="80">
        <f t="shared" si="87"/>
        <v>1</v>
      </c>
      <c r="S265" s="77">
        <v>7</v>
      </c>
      <c r="T265" s="78">
        <f t="shared" si="76"/>
        <v>1</v>
      </c>
      <c r="U265" s="79"/>
      <c r="V265" s="79"/>
      <c r="W265" s="80">
        <f t="shared" si="88"/>
        <v>1</v>
      </c>
      <c r="X265" s="77">
        <v>7</v>
      </c>
      <c r="Y265" s="78">
        <f t="shared" si="77"/>
        <v>1</v>
      </c>
      <c r="Z265" s="79"/>
      <c r="AA265" s="79"/>
      <c r="AB265" s="80">
        <f t="shared" si="89"/>
        <v>1</v>
      </c>
      <c r="AC265" s="77">
        <v>7</v>
      </c>
      <c r="AD265" s="78">
        <f t="shared" si="78"/>
        <v>1</v>
      </c>
      <c r="AE265" s="79"/>
      <c r="AF265" s="79"/>
      <c r="AG265" s="80">
        <f t="shared" si="90"/>
        <v>1</v>
      </c>
      <c r="AH265" s="77">
        <f t="shared" si="91"/>
        <v>35</v>
      </c>
      <c r="AI265" s="79">
        <f t="shared" si="79"/>
        <v>0</v>
      </c>
      <c r="AJ265" s="79">
        <f t="shared" si="92"/>
        <v>0</v>
      </c>
      <c r="AK265" s="81">
        <f t="shared" si="93"/>
        <v>5</v>
      </c>
      <c r="AL265" s="81" t="str">
        <f t="shared" si="80"/>
        <v>CRIT</v>
      </c>
      <c r="AM265" s="81">
        <f t="shared" si="81"/>
        <v>22</v>
      </c>
      <c r="AN265" s="99">
        <f t="shared" si="82"/>
        <v>42884</v>
      </c>
      <c r="AO265" s="99">
        <f t="shared" si="83"/>
        <v>42888</v>
      </c>
      <c r="AP265" s="99"/>
      <c r="AQ265" s="73"/>
      <c r="AR265" s="67"/>
      <c r="AS265" s="132"/>
    </row>
    <row r="266" spans="1:45" ht="20.25" customHeight="1" thickTop="1" thickBot="1" x14ac:dyDescent="0.3">
      <c r="A266" s="74" t="str">
        <f t="shared" ca="1" si="84"/>
        <v/>
      </c>
      <c r="B266" s="75" t="str">
        <f t="shared" ca="1" si="85"/>
        <v/>
      </c>
      <c r="C266" s="76" t="str">
        <f>IF(AND('Interimaire Juin  2017'!D272=$B$1,'Interimaire Juin  2017'!J272=$B$2),'Interimaire Juin  2017'!E272,"")</f>
        <v/>
      </c>
      <c r="D266" s="76" t="str">
        <f>IF(AND('Interimaire Juin  2017'!D272=$B$1,'Interimaire Juin  2017'!J272=$B$2),'Interimaire Juin  2017'!F272,"")</f>
        <v/>
      </c>
      <c r="E266" s="76" t="str">
        <f t="shared" ref="E266:E300" si="94">IF(D266="","",ROW())</f>
        <v/>
      </c>
      <c r="F266" s="76" t="str">
        <f t="array" aca="1" ref="F266" ca="1">IFERROR(INDEX(C:C,SMALL($E$2:$E$300,ROW(INDIRECT("258:"&amp;ROWS(C258:C556))))),"")</f>
        <v/>
      </c>
      <c r="G266" s="76" t="str">
        <f t="array" aca="1" ref="G266" ca="1">IFERROR(INDEX(D:D,SMALL($E$2:$E$300,ROW(INDIRECT("258:"&amp;ROWS(D258:D556))))),"")</f>
        <v/>
      </c>
      <c r="H266" s="82"/>
      <c r="I266" s="77">
        <v>7</v>
      </c>
      <c r="J266" s="78">
        <f t="shared" ref="J266:J300" si="95">+IF(I266&gt;=6,1,0)</f>
        <v>1</v>
      </c>
      <c r="K266" s="82"/>
      <c r="L266" s="82"/>
      <c r="M266" s="80">
        <f t="shared" si="86"/>
        <v>1</v>
      </c>
      <c r="N266" s="77">
        <v>7</v>
      </c>
      <c r="O266" s="78">
        <f t="shared" ref="O266:O300" si="96">+IF(N266&gt;=6,1,0)</f>
        <v>1</v>
      </c>
      <c r="P266" s="82"/>
      <c r="Q266" s="82"/>
      <c r="R266" s="80">
        <f t="shared" si="87"/>
        <v>1</v>
      </c>
      <c r="S266" s="77">
        <v>7</v>
      </c>
      <c r="T266" s="78">
        <f t="shared" ref="T266:T300" si="97">+IF(S266&gt;=6,1,0)</f>
        <v>1</v>
      </c>
      <c r="U266" s="79"/>
      <c r="V266" s="79"/>
      <c r="W266" s="80">
        <f t="shared" si="88"/>
        <v>1</v>
      </c>
      <c r="X266" s="77">
        <v>7</v>
      </c>
      <c r="Y266" s="78">
        <f t="shared" ref="Y266:Y300" si="98">+IF(X266&gt;=6,1,0)</f>
        <v>1</v>
      </c>
      <c r="Z266" s="79"/>
      <c r="AA266" s="79"/>
      <c r="AB266" s="80">
        <f t="shared" si="89"/>
        <v>1</v>
      </c>
      <c r="AC266" s="77">
        <v>7</v>
      </c>
      <c r="AD266" s="78">
        <f t="shared" ref="AD266:AD300" si="99">+IF(AC266&gt;=6,1,0)</f>
        <v>1</v>
      </c>
      <c r="AE266" s="79"/>
      <c r="AF266" s="79"/>
      <c r="AG266" s="80">
        <f t="shared" si="90"/>
        <v>1</v>
      </c>
      <c r="AH266" s="77">
        <f t="shared" si="91"/>
        <v>35</v>
      </c>
      <c r="AI266" s="79">
        <f t="shared" ref="AI266:AI300" si="100">+IF(AH266&lt;=35,0,AH266-35)</f>
        <v>0</v>
      </c>
      <c r="AJ266" s="79">
        <f t="shared" si="92"/>
        <v>0</v>
      </c>
      <c r="AK266" s="81">
        <f t="shared" si="93"/>
        <v>5</v>
      </c>
      <c r="AL266" s="81" t="str">
        <f t="shared" ref="AL266:AL300" si="101">+IF($B$1="","",$B$1)</f>
        <v>CRIT</v>
      </c>
      <c r="AM266" s="81">
        <f t="shared" ref="AM266:AM300" si="102">+IF($B$2="","",$B$2)</f>
        <v>22</v>
      </c>
      <c r="AN266" s="99">
        <f t="shared" ref="AN266:AN300" si="103">+IF($B$3="","",$B$3)</f>
        <v>42884</v>
      </c>
      <c r="AO266" s="99">
        <f t="shared" ref="AO266:AO300" si="104">+IF($B$4="","",$B$4)</f>
        <v>42888</v>
      </c>
      <c r="AP266" s="99"/>
      <c r="AQ266" s="73"/>
      <c r="AR266" s="67"/>
      <c r="AS266" s="132"/>
    </row>
    <row r="267" spans="1:45" ht="20.25" customHeight="1" thickTop="1" thickBot="1" x14ac:dyDescent="0.3">
      <c r="A267" s="74" t="str">
        <f t="shared" ca="1" si="84"/>
        <v/>
      </c>
      <c r="B267" s="75" t="str">
        <f t="shared" ca="1" si="85"/>
        <v/>
      </c>
      <c r="C267" s="76" t="str">
        <f>IF(AND('Interimaire Juin  2017'!D273=$B$1,'Interimaire Juin  2017'!J273=$B$2),'Interimaire Juin  2017'!E273,"")</f>
        <v/>
      </c>
      <c r="D267" s="76" t="str">
        <f>IF(AND('Interimaire Juin  2017'!D273=$B$1,'Interimaire Juin  2017'!J273=$B$2),'Interimaire Juin  2017'!F273,"")</f>
        <v/>
      </c>
      <c r="E267" s="76" t="str">
        <f t="shared" si="94"/>
        <v/>
      </c>
      <c r="F267" s="76" t="str">
        <f t="array" aca="1" ref="F267" ca="1">IFERROR(INDEX(C:C,SMALL($E$2:$E$300,ROW(INDIRECT("259:"&amp;ROWS(C259:C557))))),"")</f>
        <v/>
      </c>
      <c r="G267" s="76" t="str">
        <f t="array" aca="1" ref="G267" ca="1">IFERROR(INDEX(D:D,SMALL($E$2:$E$300,ROW(INDIRECT("259:"&amp;ROWS(D259:D557))))),"")</f>
        <v/>
      </c>
      <c r="H267" s="82"/>
      <c r="I267" s="77">
        <v>7</v>
      </c>
      <c r="J267" s="78">
        <f t="shared" si="95"/>
        <v>1</v>
      </c>
      <c r="K267" s="82"/>
      <c r="L267" s="82"/>
      <c r="M267" s="80">
        <f t="shared" si="86"/>
        <v>1</v>
      </c>
      <c r="N267" s="77">
        <v>7</v>
      </c>
      <c r="O267" s="78">
        <f t="shared" si="96"/>
        <v>1</v>
      </c>
      <c r="P267" s="82"/>
      <c r="Q267" s="82"/>
      <c r="R267" s="80">
        <f t="shared" si="87"/>
        <v>1</v>
      </c>
      <c r="S267" s="77">
        <v>7</v>
      </c>
      <c r="T267" s="78">
        <f t="shared" si="97"/>
        <v>1</v>
      </c>
      <c r="U267" s="79"/>
      <c r="V267" s="79"/>
      <c r="W267" s="80">
        <f t="shared" si="88"/>
        <v>1</v>
      </c>
      <c r="X267" s="77">
        <v>7</v>
      </c>
      <c r="Y267" s="78">
        <f t="shared" si="98"/>
        <v>1</v>
      </c>
      <c r="Z267" s="79"/>
      <c r="AA267" s="79"/>
      <c r="AB267" s="80">
        <f t="shared" si="89"/>
        <v>1</v>
      </c>
      <c r="AC267" s="77">
        <v>7</v>
      </c>
      <c r="AD267" s="78">
        <f t="shared" si="99"/>
        <v>1</v>
      </c>
      <c r="AE267" s="79"/>
      <c r="AF267" s="79"/>
      <c r="AG267" s="80">
        <f t="shared" si="90"/>
        <v>1</v>
      </c>
      <c r="AH267" s="77">
        <f t="shared" si="91"/>
        <v>35</v>
      </c>
      <c r="AI267" s="79">
        <f t="shared" si="100"/>
        <v>0</v>
      </c>
      <c r="AJ267" s="79">
        <f t="shared" si="92"/>
        <v>0</v>
      </c>
      <c r="AK267" s="81">
        <f t="shared" si="93"/>
        <v>5</v>
      </c>
      <c r="AL267" s="81" t="str">
        <f t="shared" si="101"/>
        <v>CRIT</v>
      </c>
      <c r="AM267" s="81">
        <f t="shared" si="102"/>
        <v>22</v>
      </c>
      <c r="AN267" s="99">
        <f t="shared" si="103"/>
        <v>42884</v>
      </c>
      <c r="AO267" s="99">
        <f t="shared" si="104"/>
        <v>42888</v>
      </c>
      <c r="AP267" s="99"/>
      <c r="AQ267" s="73"/>
      <c r="AR267" s="67"/>
      <c r="AS267" s="132"/>
    </row>
    <row r="268" spans="1:45" ht="20.25" customHeight="1" thickTop="1" thickBot="1" x14ac:dyDescent="0.3">
      <c r="A268" s="74" t="str">
        <f t="shared" ca="1" si="84"/>
        <v/>
      </c>
      <c r="B268" s="75" t="str">
        <f t="shared" ca="1" si="85"/>
        <v/>
      </c>
      <c r="C268" s="76" t="str">
        <f>IF(AND('Interimaire Juin  2017'!D274=$B$1,'Interimaire Juin  2017'!J274=$B$2),'Interimaire Juin  2017'!E274,"")</f>
        <v/>
      </c>
      <c r="D268" s="76" t="str">
        <f>IF(AND('Interimaire Juin  2017'!D274=$B$1,'Interimaire Juin  2017'!J274=$B$2),'Interimaire Juin  2017'!F274,"")</f>
        <v/>
      </c>
      <c r="E268" s="76" t="str">
        <f t="shared" si="94"/>
        <v/>
      </c>
      <c r="F268" s="76" t="str">
        <f t="array" aca="1" ref="F268" ca="1">IFERROR(INDEX(C:C,SMALL($E$2:$E$300,ROW(INDIRECT("260:"&amp;ROWS(C260:C558))))),"")</f>
        <v/>
      </c>
      <c r="G268" s="76" t="str">
        <f t="array" aca="1" ref="G268" ca="1">IFERROR(INDEX(D:D,SMALL($E$2:$E$300,ROW(INDIRECT("260:"&amp;ROWS(D260:D558))))),"")</f>
        <v/>
      </c>
      <c r="H268" s="82"/>
      <c r="I268" s="77">
        <v>7</v>
      </c>
      <c r="J268" s="78">
        <f t="shared" si="95"/>
        <v>1</v>
      </c>
      <c r="K268" s="82"/>
      <c r="L268" s="82"/>
      <c r="M268" s="80">
        <f t="shared" si="86"/>
        <v>1</v>
      </c>
      <c r="N268" s="77">
        <v>7</v>
      </c>
      <c r="O268" s="78">
        <f t="shared" si="96"/>
        <v>1</v>
      </c>
      <c r="P268" s="82"/>
      <c r="Q268" s="82"/>
      <c r="R268" s="80">
        <f t="shared" si="87"/>
        <v>1</v>
      </c>
      <c r="S268" s="77">
        <v>7</v>
      </c>
      <c r="T268" s="78">
        <f t="shared" si="97"/>
        <v>1</v>
      </c>
      <c r="U268" s="79"/>
      <c r="V268" s="79"/>
      <c r="W268" s="80">
        <f t="shared" si="88"/>
        <v>1</v>
      </c>
      <c r="X268" s="77">
        <v>7</v>
      </c>
      <c r="Y268" s="78">
        <f t="shared" si="98"/>
        <v>1</v>
      </c>
      <c r="Z268" s="79"/>
      <c r="AA268" s="79"/>
      <c r="AB268" s="80">
        <f t="shared" si="89"/>
        <v>1</v>
      </c>
      <c r="AC268" s="77">
        <v>7</v>
      </c>
      <c r="AD268" s="78">
        <f t="shared" si="99"/>
        <v>1</v>
      </c>
      <c r="AE268" s="79"/>
      <c r="AF268" s="79"/>
      <c r="AG268" s="80">
        <f t="shared" si="90"/>
        <v>1</v>
      </c>
      <c r="AH268" s="77">
        <f t="shared" si="91"/>
        <v>35</v>
      </c>
      <c r="AI268" s="79">
        <f t="shared" si="100"/>
        <v>0</v>
      </c>
      <c r="AJ268" s="79">
        <f t="shared" si="92"/>
        <v>0</v>
      </c>
      <c r="AK268" s="81">
        <f t="shared" si="93"/>
        <v>5</v>
      </c>
      <c r="AL268" s="81" t="str">
        <f t="shared" si="101"/>
        <v>CRIT</v>
      </c>
      <c r="AM268" s="81">
        <f t="shared" si="102"/>
        <v>22</v>
      </c>
      <c r="AN268" s="99">
        <f t="shared" si="103"/>
        <v>42884</v>
      </c>
      <c r="AO268" s="99">
        <f t="shared" si="104"/>
        <v>42888</v>
      </c>
      <c r="AP268" s="99"/>
      <c r="AQ268" s="73"/>
      <c r="AR268" s="67"/>
      <c r="AS268" s="132"/>
    </row>
    <row r="269" spans="1:45" ht="20.25" customHeight="1" thickTop="1" thickBot="1" x14ac:dyDescent="0.3">
      <c r="A269" s="74" t="str">
        <f t="shared" ca="1" si="84"/>
        <v/>
      </c>
      <c r="B269" s="75" t="str">
        <f t="shared" ca="1" si="85"/>
        <v/>
      </c>
      <c r="C269" s="76" t="str">
        <f>IF(AND('Interimaire Juin  2017'!D275=$B$1,'Interimaire Juin  2017'!J275=$B$2),'Interimaire Juin  2017'!E275,"")</f>
        <v/>
      </c>
      <c r="D269" s="76" t="str">
        <f>IF(AND('Interimaire Juin  2017'!D275=$B$1,'Interimaire Juin  2017'!J275=$B$2),'Interimaire Juin  2017'!F275,"")</f>
        <v/>
      </c>
      <c r="E269" s="76" t="str">
        <f t="shared" si="94"/>
        <v/>
      </c>
      <c r="F269" s="76" t="str">
        <f t="array" aca="1" ref="F269" ca="1">IFERROR(INDEX(C:C,SMALL($E$2:$E$300,ROW(INDIRECT("261:"&amp;ROWS(C261:C559))))),"")</f>
        <v/>
      </c>
      <c r="G269" s="76" t="str">
        <f t="array" aca="1" ref="G269" ca="1">IFERROR(INDEX(D:D,SMALL($E$2:$E$300,ROW(INDIRECT("261:"&amp;ROWS(D261:D559))))),"")</f>
        <v/>
      </c>
      <c r="H269" s="82"/>
      <c r="I269" s="77">
        <v>7</v>
      </c>
      <c r="J269" s="78">
        <f t="shared" si="95"/>
        <v>1</v>
      </c>
      <c r="K269" s="82"/>
      <c r="L269" s="82"/>
      <c r="M269" s="80">
        <f t="shared" si="86"/>
        <v>1</v>
      </c>
      <c r="N269" s="77">
        <v>7</v>
      </c>
      <c r="O269" s="78">
        <f t="shared" si="96"/>
        <v>1</v>
      </c>
      <c r="P269" s="82"/>
      <c r="Q269" s="82"/>
      <c r="R269" s="80">
        <f t="shared" si="87"/>
        <v>1</v>
      </c>
      <c r="S269" s="77">
        <v>7</v>
      </c>
      <c r="T269" s="78">
        <f t="shared" si="97"/>
        <v>1</v>
      </c>
      <c r="U269" s="79"/>
      <c r="V269" s="79"/>
      <c r="W269" s="80">
        <f t="shared" si="88"/>
        <v>1</v>
      </c>
      <c r="X269" s="77">
        <v>7</v>
      </c>
      <c r="Y269" s="78">
        <f t="shared" si="98"/>
        <v>1</v>
      </c>
      <c r="Z269" s="79"/>
      <c r="AA269" s="79"/>
      <c r="AB269" s="80">
        <f t="shared" si="89"/>
        <v>1</v>
      </c>
      <c r="AC269" s="77">
        <v>7</v>
      </c>
      <c r="AD269" s="78">
        <f t="shared" si="99"/>
        <v>1</v>
      </c>
      <c r="AE269" s="79"/>
      <c r="AF269" s="79"/>
      <c r="AG269" s="80">
        <f t="shared" si="90"/>
        <v>1</v>
      </c>
      <c r="AH269" s="77">
        <f t="shared" si="91"/>
        <v>35</v>
      </c>
      <c r="AI269" s="79">
        <f t="shared" si="100"/>
        <v>0</v>
      </c>
      <c r="AJ269" s="79">
        <f t="shared" si="92"/>
        <v>0</v>
      </c>
      <c r="AK269" s="81">
        <f t="shared" si="93"/>
        <v>5</v>
      </c>
      <c r="AL269" s="81" t="str">
        <f t="shared" si="101"/>
        <v>CRIT</v>
      </c>
      <c r="AM269" s="81">
        <f t="shared" si="102"/>
        <v>22</v>
      </c>
      <c r="AN269" s="99">
        <f t="shared" si="103"/>
        <v>42884</v>
      </c>
      <c r="AO269" s="99">
        <f t="shared" si="104"/>
        <v>42888</v>
      </c>
      <c r="AP269" s="99"/>
      <c r="AQ269" s="73"/>
      <c r="AR269" s="67"/>
      <c r="AS269" s="132"/>
    </row>
    <row r="270" spans="1:45" ht="20.25" customHeight="1" thickTop="1" thickBot="1" x14ac:dyDescent="0.3">
      <c r="A270" s="74" t="str">
        <f t="shared" ca="1" si="84"/>
        <v/>
      </c>
      <c r="B270" s="75" t="str">
        <f t="shared" ca="1" si="85"/>
        <v/>
      </c>
      <c r="C270" s="76" t="str">
        <f>IF(AND('Interimaire Juin  2017'!D276=$B$1,'Interimaire Juin  2017'!J276=$B$2),'Interimaire Juin  2017'!E276,"")</f>
        <v/>
      </c>
      <c r="D270" s="76" t="str">
        <f>IF(AND('Interimaire Juin  2017'!D276=$B$1,'Interimaire Juin  2017'!J276=$B$2),'Interimaire Juin  2017'!F276,"")</f>
        <v/>
      </c>
      <c r="E270" s="76" t="str">
        <f t="shared" si="94"/>
        <v/>
      </c>
      <c r="F270" s="76" t="str">
        <f t="array" aca="1" ref="F270" ca="1">IFERROR(INDEX(C:C,SMALL($E$2:$E$300,ROW(INDIRECT("262:"&amp;ROWS(C262:C560))))),"")</f>
        <v/>
      </c>
      <c r="G270" s="76" t="str">
        <f t="array" aca="1" ref="G270" ca="1">IFERROR(INDEX(D:D,SMALL($E$2:$E$300,ROW(INDIRECT("262:"&amp;ROWS(D262:D560))))),"")</f>
        <v/>
      </c>
      <c r="H270" s="82"/>
      <c r="I270" s="77">
        <v>7</v>
      </c>
      <c r="J270" s="78">
        <f t="shared" si="95"/>
        <v>1</v>
      </c>
      <c r="K270" s="82"/>
      <c r="L270" s="82"/>
      <c r="M270" s="80">
        <f t="shared" si="86"/>
        <v>1</v>
      </c>
      <c r="N270" s="77">
        <v>7</v>
      </c>
      <c r="O270" s="78">
        <f t="shared" si="96"/>
        <v>1</v>
      </c>
      <c r="P270" s="82"/>
      <c r="Q270" s="82"/>
      <c r="R270" s="80">
        <f t="shared" si="87"/>
        <v>1</v>
      </c>
      <c r="S270" s="77">
        <v>7</v>
      </c>
      <c r="T270" s="78">
        <f t="shared" si="97"/>
        <v>1</v>
      </c>
      <c r="U270" s="79"/>
      <c r="V270" s="79"/>
      <c r="W270" s="80">
        <f t="shared" si="88"/>
        <v>1</v>
      </c>
      <c r="X270" s="77">
        <v>7</v>
      </c>
      <c r="Y270" s="78">
        <f t="shared" si="98"/>
        <v>1</v>
      </c>
      <c r="Z270" s="79"/>
      <c r="AA270" s="79"/>
      <c r="AB270" s="80">
        <f t="shared" si="89"/>
        <v>1</v>
      </c>
      <c r="AC270" s="77">
        <v>7</v>
      </c>
      <c r="AD270" s="78">
        <f t="shared" si="99"/>
        <v>1</v>
      </c>
      <c r="AE270" s="79"/>
      <c r="AF270" s="79"/>
      <c r="AG270" s="80">
        <f t="shared" si="90"/>
        <v>1</v>
      </c>
      <c r="AH270" s="77">
        <f t="shared" si="91"/>
        <v>35</v>
      </c>
      <c r="AI270" s="79">
        <f t="shared" si="100"/>
        <v>0</v>
      </c>
      <c r="AJ270" s="79">
        <f t="shared" si="92"/>
        <v>0</v>
      </c>
      <c r="AK270" s="81">
        <f t="shared" si="93"/>
        <v>5</v>
      </c>
      <c r="AL270" s="81" t="str">
        <f t="shared" si="101"/>
        <v>CRIT</v>
      </c>
      <c r="AM270" s="81">
        <f t="shared" si="102"/>
        <v>22</v>
      </c>
      <c r="AN270" s="99">
        <f t="shared" si="103"/>
        <v>42884</v>
      </c>
      <c r="AO270" s="99">
        <f t="shared" si="104"/>
        <v>42888</v>
      </c>
      <c r="AP270" s="99"/>
      <c r="AQ270" s="73"/>
      <c r="AR270" s="67"/>
      <c r="AS270" s="132"/>
    </row>
    <row r="271" spans="1:45" ht="20.25" customHeight="1" thickTop="1" thickBot="1" x14ac:dyDescent="0.3">
      <c r="A271" s="74" t="str">
        <f t="shared" ca="1" si="84"/>
        <v/>
      </c>
      <c r="B271" s="75" t="str">
        <f t="shared" ca="1" si="85"/>
        <v/>
      </c>
      <c r="C271" s="76" t="str">
        <f>IF(AND('Interimaire Juin  2017'!D277=$B$1,'Interimaire Juin  2017'!J277=$B$2),'Interimaire Juin  2017'!E277,"")</f>
        <v/>
      </c>
      <c r="D271" s="76" t="str">
        <f>IF(AND('Interimaire Juin  2017'!D277=$B$1,'Interimaire Juin  2017'!J277=$B$2),'Interimaire Juin  2017'!F277,"")</f>
        <v/>
      </c>
      <c r="E271" s="76" t="str">
        <f t="shared" si="94"/>
        <v/>
      </c>
      <c r="F271" s="76" t="str">
        <f t="array" aca="1" ref="F271" ca="1">IFERROR(INDEX(C:C,SMALL($E$2:$E$300,ROW(INDIRECT("263:"&amp;ROWS(C263:C561))))),"")</f>
        <v/>
      </c>
      <c r="G271" s="76" t="str">
        <f t="array" aca="1" ref="G271" ca="1">IFERROR(INDEX(D:D,SMALL($E$2:$E$300,ROW(INDIRECT("263:"&amp;ROWS(D263:D561))))),"")</f>
        <v/>
      </c>
      <c r="H271" s="82"/>
      <c r="I271" s="77">
        <v>7</v>
      </c>
      <c r="J271" s="78">
        <f t="shared" si="95"/>
        <v>1</v>
      </c>
      <c r="K271" s="82"/>
      <c r="L271" s="82"/>
      <c r="M271" s="80">
        <f t="shared" si="86"/>
        <v>1</v>
      </c>
      <c r="N271" s="77">
        <v>7</v>
      </c>
      <c r="O271" s="78">
        <f t="shared" si="96"/>
        <v>1</v>
      </c>
      <c r="P271" s="82"/>
      <c r="Q271" s="82"/>
      <c r="R271" s="80">
        <f t="shared" si="87"/>
        <v>1</v>
      </c>
      <c r="S271" s="77">
        <v>7</v>
      </c>
      <c r="T271" s="78">
        <f t="shared" si="97"/>
        <v>1</v>
      </c>
      <c r="U271" s="79"/>
      <c r="V271" s="79"/>
      <c r="W271" s="80">
        <f t="shared" si="88"/>
        <v>1</v>
      </c>
      <c r="X271" s="77">
        <v>7</v>
      </c>
      <c r="Y271" s="78">
        <f t="shared" si="98"/>
        <v>1</v>
      </c>
      <c r="Z271" s="79"/>
      <c r="AA271" s="79"/>
      <c r="AB271" s="80">
        <f t="shared" si="89"/>
        <v>1</v>
      </c>
      <c r="AC271" s="77">
        <v>7</v>
      </c>
      <c r="AD271" s="78">
        <f t="shared" si="99"/>
        <v>1</v>
      </c>
      <c r="AE271" s="79"/>
      <c r="AF271" s="79"/>
      <c r="AG271" s="80">
        <f t="shared" si="90"/>
        <v>1</v>
      </c>
      <c r="AH271" s="77">
        <f t="shared" si="91"/>
        <v>35</v>
      </c>
      <c r="AI271" s="79">
        <f t="shared" si="100"/>
        <v>0</v>
      </c>
      <c r="AJ271" s="79">
        <f t="shared" si="92"/>
        <v>0</v>
      </c>
      <c r="AK271" s="81">
        <f t="shared" si="93"/>
        <v>5</v>
      </c>
      <c r="AL271" s="81" t="str">
        <f t="shared" si="101"/>
        <v>CRIT</v>
      </c>
      <c r="AM271" s="81">
        <f t="shared" si="102"/>
        <v>22</v>
      </c>
      <c r="AN271" s="99">
        <f t="shared" si="103"/>
        <v>42884</v>
      </c>
      <c r="AO271" s="99">
        <f t="shared" si="104"/>
        <v>42888</v>
      </c>
      <c r="AP271" s="99"/>
      <c r="AQ271" s="73"/>
      <c r="AR271" s="67"/>
      <c r="AS271" s="132"/>
    </row>
    <row r="272" spans="1:45" ht="20.25" customHeight="1" thickTop="1" thickBot="1" x14ac:dyDescent="0.3">
      <c r="A272" s="74" t="str">
        <f t="shared" ca="1" si="84"/>
        <v/>
      </c>
      <c r="B272" s="75" t="str">
        <f t="shared" ca="1" si="85"/>
        <v/>
      </c>
      <c r="C272" s="76" t="str">
        <f>IF(AND('Interimaire Juin  2017'!D278=$B$1,'Interimaire Juin  2017'!J278=$B$2),'Interimaire Juin  2017'!E278,"")</f>
        <v/>
      </c>
      <c r="D272" s="76" t="str">
        <f>IF(AND('Interimaire Juin  2017'!D278=$B$1,'Interimaire Juin  2017'!J278=$B$2),'Interimaire Juin  2017'!F278,"")</f>
        <v/>
      </c>
      <c r="E272" s="76" t="str">
        <f t="shared" si="94"/>
        <v/>
      </c>
      <c r="F272" s="76" t="str">
        <f t="array" aca="1" ref="F272" ca="1">IFERROR(INDEX(C:C,SMALL($E$2:$E$300,ROW(INDIRECT("264:"&amp;ROWS(C264:C562))))),"")</f>
        <v/>
      </c>
      <c r="G272" s="76" t="str">
        <f t="array" aca="1" ref="G272" ca="1">IFERROR(INDEX(D:D,SMALL($E$2:$E$300,ROW(INDIRECT("264:"&amp;ROWS(D264:D562))))),"")</f>
        <v/>
      </c>
      <c r="H272" s="82"/>
      <c r="I272" s="77">
        <v>7</v>
      </c>
      <c r="J272" s="78">
        <f t="shared" si="95"/>
        <v>1</v>
      </c>
      <c r="K272" s="82"/>
      <c r="L272" s="82"/>
      <c r="M272" s="80">
        <f t="shared" si="86"/>
        <v>1</v>
      </c>
      <c r="N272" s="77">
        <v>7</v>
      </c>
      <c r="O272" s="78">
        <f t="shared" si="96"/>
        <v>1</v>
      </c>
      <c r="P272" s="82"/>
      <c r="Q272" s="82"/>
      <c r="R272" s="80">
        <f t="shared" si="87"/>
        <v>1</v>
      </c>
      <c r="S272" s="77">
        <v>7</v>
      </c>
      <c r="T272" s="78">
        <f t="shared" si="97"/>
        <v>1</v>
      </c>
      <c r="U272" s="79"/>
      <c r="V272" s="79"/>
      <c r="W272" s="80">
        <f t="shared" si="88"/>
        <v>1</v>
      </c>
      <c r="X272" s="77">
        <v>7</v>
      </c>
      <c r="Y272" s="78">
        <f t="shared" si="98"/>
        <v>1</v>
      </c>
      <c r="Z272" s="79"/>
      <c r="AA272" s="79"/>
      <c r="AB272" s="80">
        <f t="shared" si="89"/>
        <v>1</v>
      </c>
      <c r="AC272" s="77">
        <v>7</v>
      </c>
      <c r="AD272" s="78">
        <f t="shared" si="99"/>
        <v>1</v>
      </c>
      <c r="AE272" s="79"/>
      <c r="AF272" s="79"/>
      <c r="AG272" s="80">
        <f t="shared" si="90"/>
        <v>1</v>
      </c>
      <c r="AH272" s="77">
        <f t="shared" si="91"/>
        <v>35</v>
      </c>
      <c r="AI272" s="79">
        <f t="shared" si="100"/>
        <v>0</v>
      </c>
      <c r="AJ272" s="79">
        <f t="shared" si="92"/>
        <v>0</v>
      </c>
      <c r="AK272" s="81">
        <f t="shared" si="93"/>
        <v>5</v>
      </c>
      <c r="AL272" s="81" t="str">
        <f t="shared" si="101"/>
        <v>CRIT</v>
      </c>
      <c r="AM272" s="81">
        <f t="shared" si="102"/>
        <v>22</v>
      </c>
      <c r="AN272" s="99">
        <f t="shared" si="103"/>
        <v>42884</v>
      </c>
      <c r="AO272" s="99">
        <f t="shared" si="104"/>
        <v>42888</v>
      </c>
      <c r="AP272" s="99"/>
      <c r="AQ272" s="73"/>
      <c r="AR272" s="67"/>
      <c r="AS272" s="132"/>
    </row>
    <row r="273" spans="1:45" ht="20.25" customHeight="1" thickTop="1" thickBot="1" x14ac:dyDescent="0.3">
      <c r="A273" s="74" t="str">
        <f t="shared" ca="1" si="84"/>
        <v/>
      </c>
      <c r="B273" s="75" t="str">
        <f t="shared" ca="1" si="85"/>
        <v/>
      </c>
      <c r="C273" s="76" t="str">
        <f>IF(AND('Interimaire Juin  2017'!D279=$B$1,'Interimaire Juin  2017'!J279=$B$2),'Interimaire Juin  2017'!E279,"")</f>
        <v/>
      </c>
      <c r="D273" s="76" t="str">
        <f>IF(AND('Interimaire Juin  2017'!D279=$B$1,'Interimaire Juin  2017'!J279=$B$2),'Interimaire Juin  2017'!F279,"")</f>
        <v/>
      </c>
      <c r="E273" s="76" t="str">
        <f t="shared" si="94"/>
        <v/>
      </c>
      <c r="F273" s="76" t="str">
        <f t="array" aca="1" ref="F273" ca="1">IFERROR(INDEX(C:C,SMALL($E$2:$E$300,ROW(INDIRECT("265:"&amp;ROWS(C265:C563))))),"")</f>
        <v/>
      </c>
      <c r="G273" s="76" t="str">
        <f t="array" aca="1" ref="G273" ca="1">IFERROR(INDEX(D:D,SMALL($E$2:$E$300,ROW(INDIRECT("265:"&amp;ROWS(D265:D563))))),"")</f>
        <v/>
      </c>
      <c r="H273" s="82"/>
      <c r="I273" s="77">
        <v>7</v>
      </c>
      <c r="J273" s="78">
        <f t="shared" si="95"/>
        <v>1</v>
      </c>
      <c r="K273" s="82"/>
      <c r="L273" s="82"/>
      <c r="M273" s="80">
        <f t="shared" si="86"/>
        <v>1</v>
      </c>
      <c r="N273" s="77">
        <v>7</v>
      </c>
      <c r="O273" s="78">
        <f t="shared" si="96"/>
        <v>1</v>
      </c>
      <c r="P273" s="82"/>
      <c r="Q273" s="82"/>
      <c r="R273" s="80">
        <f t="shared" si="87"/>
        <v>1</v>
      </c>
      <c r="S273" s="77">
        <v>7</v>
      </c>
      <c r="T273" s="78">
        <f t="shared" si="97"/>
        <v>1</v>
      </c>
      <c r="U273" s="79"/>
      <c r="V273" s="79"/>
      <c r="W273" s="80">
        <f t="shared" si="88"/>
        <v>1</v>
      </c>
      <c r="X273" s="77">
        <v>7</v>
      </c>
      <c r="Y273" s="78">
        <f t="shared" si="98"/>
        <v>1</v>
      </c>
      <c r="Z273" s="79"/>
      <c r="AA273" s="79"/>
      <c r="AB273" s="80">
        <f t="shared" si="89"/>
        <v>1</v>
      </c>
      <c r="AC273" s="77">
        <v>7</v>
      </c>
      <c r="AD273" s="78">
        <f t="shared" si="99"/>
        <v>1</v>
      </c>
      <c r="AE273" s="79"/>
      <c r="AF273" s="79"/>
      <c r="AG273" s="80">
        <f t="shared" si="90"/>
        <v>1</v>
      </c>
      <c r="AH273" s="77">
        <f t="shared" si="91"/>
        <v>35</v>
      </c>
      <c r="AI273" s="79">
        <f t="shared" si="100"/>
        <v>0</v>
      </c>
      <c r="AJ273" s="79">
        <f t="shared" si="92"/>
        <v>0</v>
      </c>
      <c r="AK273" s="81">
        <f t="shared" si="93"/>
        <v>5</v>
      </c>
      <c r="AL273" s="81" t="str">
        <f t="shared" si="101"/>
        <v>CRIT</v>
      </c>
      <c r="AM273" s="81">
        <f t="shared" si="102"/>
        <v>22</v>
      </c>
      <c r="AN273" s="99">
        <f t="shared" si="103"/>
        <v>42884</v>
      </c>
      <c r="AO273" s="99">
        <f t="shared" si="104"/>
        <v>42888</v>
      </c>
      <c r="AP273" s="99"/>
      <c r="AQ273" s="73"/>
      <c r="AR273" s="67"/>
      <c r="AS273" s="132"/>
    </row>
    <row r="274" spans="1:45" ht="20.25" customHeight="1" thickTop="1" thickBot="1" x14ac:dyDescent="0.3">
      <c r="A274" s="74" t="str">
        <f t="shared" ca="1" si="84"/>
        <v/>
      </c>
      <c r="B274" s="75" t="str">
        <f t="shared" ca="1" si="85"/>
        <v/>
      </c>
      <c r="C274" s="76" t="str">
        <f>IF(AND('Interimaire Juin  2017'!D280=$B$1,'Interimaire Juin  2017'!J280=$B$2),'Interimaire Juin  2017'!E280,"")</f>
        <v/>
      </c>
      <c r="D274" s="76" t="str">
        <f>IF(AND('Interimaire Juin  2017'!D280=$B$1,'Interimaire Juin  2017'!J280=$B$2),'Interimaire Juin  2017'!F280,"")</f>
        <v/>
      </c>
      <c r="E274" s="76" t="str">
        <f t="shared" si="94"/>
        <v/>
      </c>
      <c r="F274" s="76" t="str">
        <f t="array" aca="1" ref="F274" ca="1">IFERROR(INDEX(C:C,SMALL($E$2:$E$300,ROW(INDIRECT("266:"&amp;ROWS(C266:C564))))),"")</f>
        <v/>
      </c>
      <c r="G274" s="76" t="str">
        <f t="array" aca="1" ref="G274" ca="1">IFERROR(INDEX(D:D,SMALL($E$2:$E$300,ROW(INDIRECT("266:"&amp;ROWS(D266:D564))))),"")</f>
        <v/>
      </c>
      <c r="H274" s="82"/>
      <c r="I274" s="77">
        <v>7</v>
      </c>
      <c r="J274" s="78">
        <f t="shared" si="95"/>
        <v>1</v>
      </c>
      <c r="K274" s="82"/>
      <c r="L274" s="82"/>
      <c r="M274" s="80">
        <f t="shared" si="86"/>
        <v>1</v>
      </c>
      <c r="N274" s="77">
        <v>7</v>
      </c>
      <c r="O274" s="78">
        <f t="shared" si="96"/>
        <v>1</v>
      </c>
      <c r="P274" s="82"/>
      <c r="Q274" s="82"/>
      <c r="R274" s="80">
        <f t="shared" si="87"/>
        <v>1</v>
      </c>
      <c r="S274" s="77">
        <v>7</v>
      </c>
      <c r="T274" s="78">
        <f t="shared" si="97"/>
        <v>1</v>
      </c>
      <c r="U274" s="79"/>
      <c r="V274" s="79"/>
      <c r="W274" s="80">
        <f t="shared" si="88"/>
        <v>1</v>
      </c>
      <c r="X274" s="77">
        <v>7</v>
      </c>
      <c r="Y274" s="78">
        <f t="shared" si="98"/>
        <v>1</v>
      </c>
      <c r="Z274" s="79"/>
      <c r="AA274" s="79"/>
      <c r="AB274" s="80">
        <f t="shared" si="89"/>
        <v>1</v>
      </c>
      <c r="AC274" s="77">
        <v>7</v>
      </c>
      <c r="AD274" s="78">
        <f t="shared" si="99"/>
        <v>1</v>
      </c>
      <c r="AE274" s="79"/>
      <c r="AF274" s="79"/>
      <c r="AG274" s="80">
        <f t="shared" si="90"/>
        <v>1</v>
      </c>
      <c r="AH274" s="77">
        <f t="shared" si="91"/>
        <v>35</v>
      </c>
      <c r="AI274" s="79">
        <f t="shared" si="100"/>
        <v>0</v>
      </c>
      <c r="AJ274" s="79">
        <f t="shared" si="92"/>
        <v>0</v>
      </c>
      <c r="AK274" s="81">
        <f t="shared" si="93"/>
        <v>5</v>
      </c>
      <c r="AL274" s="81" t="str">
        <f t="shared" si="101"/>
        <v>CRIT</v>
      </c>
      <c r="AM274" s="81">
        <f t="shared" si="102"/>
        <v>22</v>
      </c>
      <c r="AN274" s="99">
        <f t="shared" si="103"/>
        <v>42884</v>
      </c>
      <c r="AO274" s="99">
        <f t="shared" si="104"/>
        <v>42888</v>
      </c>
      <c r="AP274" s="99"/>
      <c r="AQ274" s="73"/>
      <c r="AR274" s="67"/>
      <c r="AS274" s="132"/>
    </row>
    <row r="275" spans="1:45" ht="20.25" customHeight="1" thickTop="1" thickBot="1" x14ac:dyDescent="0.3">
      <c r="A275" s="74" t="str">
        <f t="shared" ca="1" si="84"/>
        <v/>
      </c>
      <c r="B275" s="75" t="str">
        <f t="shared" ca="1" si="85"/>
        <v/>
      </c>
      <c r="C275" s="76" t="str">
        <f>IF(AND('Interimaire Juin  2017'!D281=$B$1,'Interimaire Juin  2017'!J281=$B$2),'Interimaire Juin  2017'!E281,"")</f>
        <v/>
      </c>
      <c r="D275" s="76" t="str">
        <f>IF(AND('Interimaire Juin  2017'!D281=$B$1,'Interimaire Juin  2017'!J281=$B$2),'Interimaire Juin  2017'!F281,"")</f>
        <v/>
      </c>
      <c r="E275" s="76" t="str">
        <f t="shared" si="94"/>
        <v/>
      </c>
      <c r="F275" s="76" t="str">
        <f t="array" aca="1" ref="F275" ca="1">IFERROR(INDEX(C:C,SMALL($E$2:$E$300,ROW(INDIRECT("267:"&amp;ROWS(C267:C565))))),"")</f>
        <v/>
      </c>
      <c r="G275" s="76" t="str">
        <f t="array" aca="1" ref="G275" ca="1">IFERROR(INDEX(D:D,SMALL($E$2:$E$300,ROW(INDIRECT("267:"&amp;ROWS(D267:D565))))),"")</f>
        <v/>
      </c>
      <c r="H275" s="82"/>
      <c r="I275" s="77">
        <v>7</v>
      </c>
      <c r="J275" s="78">
        <f t="shared" si="95"/>
        <v>1</v>
      </c>
      <c r="K275" s="82"/>
      <c r="L275" s="82"/>
      <c r="M275" s="80">
        <f t="shared" si="86"/>
        <v>1</v>
      </c>
      <c r="N275" s="77">
        <v>7</v>
      </c>
      <c r="O275" s="78">
        <f t="shared" si="96"/>
        <v>1</v>
      </c>
      <c r="P275" s="82"/>
      <c r="Q275" s="82"/>
      <c r="R275" s="80">
        <f t="shared" si="87"/>
        <v>1</v>
      </c>
      <c r="S275" s="77">
        <v>7</v>
      </c>
      <c r="T275" s="78">
        <f t="shared" si="97"/>
        <v>1</v>
      </c>
      <c r="U275" s="79"/>
      <c r="V275" s="79"/>
      <c r="W275" s="80">
        <f t="shared" si="88"/>
        <v>1</v>
      </c>
      <c r="X275" s="77">
        <v>7</v>
      </c>
      <c r="Y275" s="78">
        <f t="shared" si="98"/>
        <v>1</v>
      </c>
      <c r="Z275" s="79"/>
      <c r="AA275" s="79"/>
      <c r="AB275" s="80">
        <f t="shared" si="89"/>
        <v>1</v>
      </c>
      <c r="AC275" s="77">
        <v>7</v>
      </c>
      <c r="AD275" s="78">
        <f t="shared" si="99"/>
        <v>1</v>
      </c>
      <c r="AE275" s="79"/>
      <c r="AF275" s="79"/>
      <c r="AG275" s="80">
        <f t="shared" si="90"/>
        <v>1</v>
      </c>
      <c r="AH275" s="77">
        <f t="shared" si="91"/>
        <v>35</v>
      </c>
      <c r="AI275" s="79">
        <f t="shared" si="100"/>
        <v>0</v>
      </c>
      <c r="AJ275" s="79">
        <f t="shared" si="92"/>
        <v>0</v>
      </c>
      <c r="AK275" s="81">
        <f t="shared" si="93"/>
        <v>5</v>
      </c>
      <c r="AL275" s="81" t="str">
        <f t="shared" si="101"/>
        <v>CRIT</v>
      </c>
      <c r="AM275" s="81">
        <f t="shared" si="102"/>
        <v>22</v>
      </c>
      <c r="AN275" s="99">
        <f t="shared" si="103"/>
        <v>42884</v>
      </c>
      <c r="AO275" s="99">
        <f t="shared" si="104"/>
        <v>42888</v>
      </c>
      <c r="AP275" s="99"/>
      <c r="AQ275" s="73"/>
      <c r="AR275" s="67"/>
      <c r="AS275" s="132"/>
    </row>
    <row r="276" spans="1:45" ht="20.25" customHeight="1" thickTop="1" thickBot="1" x14ac:dyDescent="0.3">
      <c r="A276" s="74" t="str">
        <f t="shared" ca="1" si="84"/>
        <v/>
      </c>
      <c r="B276" s="75" t="str">
        <f t="shared" ca="1" si="85"/>
        <v/>
      </c>
      <c r="C276" s="76" t="str">
        <f>IF(AND('Interimaire Juin  2017'!D282=$B$1,'Interimaire Juin  2017'!J282=$B$2),'Interimaire Juin  2017'!E282,"")</f>
        <v/>
      </c>
      <c r="D276" s="76" t="str">
        <f>IF(AND('Interimaire Juin  2017'!D282=$B$1,'Interimaire Juin  2017'!J282=$B$2),'Interimaire Juin  2017'!F282,"")</f>
        <v/>
      </c>
      <c r="E276" s="76" t="str">
        <f t="shared" si="94"/>
        <v/>
      </c>
      <c r="F276" s="76" t="str">
        <f t="array" aca="1" ref="F276" ca="1">IFERROR(INDEX(C:C,SMALL($E$2:$E$300,ROW(INDIRECT("268:"&amp;ROWS(C268:C566))))),"")</f>
        <v/>
      </c>
      <c r="G276" s="76" t="str">
        <f t="array" aca="1" ref="G276" ca="1">IFERROR(INDEX(D:D,SMALL($E$2:$E$300,ROW(INDIRECT("268:"&amp;ROWS(D268:D566))))),"")</f>
        <v/>
      </c>
      <c r="H276" s="82"/>
      <c r="I276" s="77">
        <v>7</v>
      </c>
      <c r="J276" s="78">
        <f t="shared" si="95"/>
        <v>1</v>
      </c>
      <c r="K276" s="82"/>
      <c r="L276" s="82"/>
      <c r="M276" s="80">
        <f t="shared" si="86"/>
        <v>1</v>
      </c>
      <c r="N276" s="77">
        <v>7</v>
      </c>
      <c r="O276" s="78">
        <f t="shared" si="96"/>
        <v>1</v>
      </c>
      <c r="P276" s="82"/>
      <c r="Q276" s="82"/>
      <c r="R276" s="80">
        <f t="shared" si="87"/>
        <v>1</v>
      </c>
      <c r="S276" s="77">
        <v>7</v>
      </c>
      <c r="T276" s="78">
        <f t="shared" si="97"/>
        <v>1</v>
      </c>
      <c r="U276" s="79"/>
      <c r="V276" s="79"/>
      <c r="W276" s="80">
        <f t="shared" si="88"/>
        <v>1</v>
      </c>
      <c r="X276" s="77">
        <v>7</v>
      </c>
      <c r="Y276" s="78">
        <f t="shared" si="98"/>
        <v>1</v>
      </c>
      <c r="Z276" s="79"/>
      <c r="AA276" s="79"/>
      <c r="AB276" s="80">
        <f t="shared" si="89"/>
        <v>1</v>
      </c>
      <c r="AC276" s="77">
        <v>7</v>
      </c>
      <c r="AD276" s="78">
        <f t="shared" si="99"/>
        <v>1</v>
      </c>
      <c r="AE276" s="79"/>
      <c r="AF276" s="79"/>
      <c r="AG276" s="80">
        <f t="shared" si="90"/>
        <v>1</v>
      </c>
      <c r="AH276" s="77">
        <f t="shared" si="91"/>
        <v>35</v>
      </c>
      <c r="AI276" s="79">
        <f t="shared" si="100"/>
        <v>0</v>
      </c>
      <c r="AJ276" s="79">
        <f t="shared" si="92"/>
        <v>0</v>
      </c>
      <c r="AK276" s="81">
        <f t="shared" si="93"/>
        <v>5</v>
      </c>
      <c r="AL276" s="81" t="str">
        <f t="shared" si="101"/>
        <v>CRIT</v>
      </c>
      <c r="AM276" s="81">
        <f t="shared" si="102"/>
        <v>22</v>
      </c>
      <c r="AN276" s="99">
        <f t="shared" si="103"/>
        <v>42884</v>
      </c>
      <c r="AO276" s="99">
        <f t="shared" si="104"/>
        <v>42888</v>
      </c>
      <c r="AP276" s="99"/>
      <c r="AQ276" s="73"/>
      <c r="AR276" s="67"/>
      <c r="AS276" s="132"/>
    </row>
    <row r="277" spans="1:45" ht="20.25" customHeight="1" thickTop="1" thickBot="1" x14ac:dyDescent="0.3">
      <c r="A277" s="74" t="str">
        <f t="shared" ca="1" si="84"/>
        <v/>
      </c>
      <c r="B277" s="75" t="str">
        <f t="shared" ca="1" si="85"/>
        <v/>
      </c>
      <c r="C277" s="76" t="str">
        <f>IF(AND('Interimaire Juin  2017'!D283=$B$1,'Interimaire Juin  2017'!J283=$B$2),'Interimaire Juin  2017'!E283,"")</f>
        <v/>
      </c>
      <c r="D277" s="76" t="str">
        <f>IF(AND('Interimaire Juin  2017'!D283=$B$1,'Interimaire Juin  2017'!J283=$B$2),'Interimaire Juin  2017'!F283,"")</f>
        <v/>
      </c>
      <c r="E277" s="76" t="str">
        <f t="shared" si="94"/>
        <v/>
      </c>
      <c r="F277" s="76" t="str">
        <f t="array" aca="1" ref="F277" ca="1">IFERROR(INDEX(C:C,SMALL($E$2:$E$300,ROW(INDIRECT("269:"&amp;ROWS(C269:C567))))),"")</f>
        <v/>
      </c>
      <c r="G277" s="76" t="str">
        <f t="array" aca="1" ref="G277" ca="1">IFERROR(INDEX(D:D,SMALL($E$2:$E$300,ROW(INDIRECT("269:"&amp;ROWS(D269:D567))))),"")</f>
        <v/>
      </c>
      <c r="H277" s="82"/>
      <c r="I277" s="77">
        <v>7</v>
      </c>
      <c r="J277" s="78">
        <f t="shared" si="95"/>
        <v>1</v>
      </c>
      <c r="K277" s="82"/>
      <c r="L277" s="82"/>
      <c r="M277" s="80">
        <f t="shared" si="86"/>
        <v>1</v>
      </c>
      <c r="N277" s="77">
        <v>7</v>
      </c>
      <c r="O277" s="78">
        <f t="shared" si="96"/>
        <v>1</v>
      </c>
      <c r="P277" s="82"/>
      <c r="Q277" s="82"/>
      <c r="R277" s="80">
        <f t="shared" si="87"/>
        <v>1</v>
      </c>
      <c r="S277" s="77">
        <v>7</v>
      </c>
      <c r="T277" s="78">
        <f t="shared" si="97"/>
        <v>1</v>
      </c>
      <c r="U277" s="79"/>
      <c r="V277" s="79"/>
      <c r="W277" s="80">
        <f t="shared" si="88"/>
        <v>1</v>
      </c>
      <c r="X277" s="77">
        <v>7</v>
      </c>
      <c r="Y277" s="78">
        <f t="shared" si="98"/>
        <v>1</v>
      </c>
      <c r="Z277" s="79"/>
      <c r="AA277" s="79"/>
      <c r="AB277" s="80">
        <f t="shared" si="89"/>
        <v>1</v>
      </c>
      <c r="AC277" s="77">
        <v>7</v>
      </c>
      <c r="AD277" s="78">
        <f t="shared" si="99"/>
        <v>1</v>
      </c>
      <c r="AE277" s="79"/>
      <c r="AF277" s="79"/>
      <c r="AG277" s="80">
        <f t="shared" si="90"/>
        <v>1</v>
      </c>
      <c r="AH277" s="77">
        <f t="shared" si="91"/>
        <v>35</v>
      </c>
      <c r="AI277" s="79">
        <f t="shared" si="100"/>
        <v>0</v>
      </c>
      <c r="AJ277" s="79">
        <f t="shared" si="92"/>
        <v>0</v>
      </c>
      <c r="AK277" s="81">
        <f t="shared" si="93"/>
        <v>5</v>
      </c>
      <c r="AL277" s="81" t="str">
        <f t="shared" si="101"/>
        <v>CRIT</v>
      </c>
      <c r="AM277" s="81">
        <f t="shared" si="102"/>
        <v>22</v>
      </c>
      <c r="AN277" s="99">
        <f t="shared" si="103"/>
        <v>42884</v>
      </c>
      <c r="AO277" s="99">
        <f t="shared" si="104"/>
        <v>42888</v>
      </c>
      <c r="AP277" s="99"/>
      <c r="AQ277" s="73"/>
      <c r="AR277" s="67"/>
      <c r="AS277" s="132"/>
    </row>
    <row r="278" spans="1:45" ht="20.25" customHeight="1" thickTop="1" thickBot="1" x14ac:dyDescent="0.3">
      <c r="A278" s="74" t="str">
        <f t="shared" ca="1" si="84"/>
        <v/>
      </c>
      <c r="B278" s="75" t="str">
        <f t="shared" ca="1" si="85"/>
        <v/>
      </c>
      <c r="C278" s="76" t="str">
        <f>IF(AND('Interimaire Juin  2017'!D284=$B$1,'Interimaire Juin  2017'!J284=$B$2),'Interimaire Juin  2017'!E284,"")</f>
        <v/>
      </c>
      <c r="D278" s="76" t="str">
        <f>IF(AND('Interimaire Juin  2017'!D284=$B$1,'Interimaire Juin  2017'!J284=$B$2),'Interimaire Juin  2017'!F284,"")</f>
        <v/>
      </c>
      <c r="E278" s="76" t="str">
        <f t="shared" si="94"/>
        <v/>
      </c>
      <c r="F278" s="76" t="str">
        <f t="array" aca="1" ref="F278" ca="1">IFERROR(INDEX(C:C,SMALL($E$2:$E$300,ROW(INDIRECT("270:"&amp;ROWS(C270:C568))))),"")</f>
        <v/>
      </c>
      <c r="G278" s="76" t="str">
        <f t="array" aca="1" ref="G278" ca="1">IFERROR(INDEX(D:D,SMALL($E$2:$E$300,ROW(INDIRECT("270:"&amp;ROWS(D270:D568))))),"")</f>
        <v/>
      </c>
      <c r="H278" s="82"/>
      <c r="I278" s="77">
        <v>7</v>
      </c>
      <c r="J278" s="78">
        <f t="shared" si="95"/>
        <v>1</v>
      </c>
      <c r="K278" s="82"/>
      <c r="L278" s="82"/>
      <c r="M278" s="80">
        <f t="shared" si="86"/>
        <v>1</v>
      </c>
      <c r="N278" s="77">
        <v>7</v>
      </c>
      <c r="O278" s="78">
        <f t="shared" si="96"/>
        <v>1</v>
      </c>
      <c r="P278" s="82"/>
      <c r="Q278" s="82"/>
      <c r="R278" s="80">
        <f t="shared" si="87"/>
        <v>1</v>
      </c>
      <c r="S278" s="77">
        <v>7</v>
      </c>
      <c r="T278" s="78">
        <f t="shared" si="97"/>
        <v>1</v>
      </c>
      <c r="U278" s="79"/>
      <c r="V278" s="79"/>
      <c r="W278" s="80">
        <f t="shared" si="88"/>
        <v>1</v>
      </c>
      <c r="X278" s="77">
        <v>7</v>
      </c>
      <c r="Y278" s="78">
        <f t="shared" si="98"/>
        <v>1</v>
      </c>
      <c r="Z278" s="79"/>
      <c r="AA278" s="79"/>
      <c r="AB278" s="80">
        <f t="shared" si="89"/>
        <v>1</v>
      </c>
      <c r="AC278" s="77">
        <v>7</v>
      </c>
      <c r="AD278" s="78">
        <f t="shared" si="99"/>
        <v>1</v>
      </c>
      <c r="AE278" s="79"/>
      <c r="AF278" s="79"/>
      <c r="AG278" s="80">
        <f t="shared" si="90"/>
        <v>1</v>
      </c>
      <c r="AH278" s="77">
        <f t="shared" si="91"/>
        <v>35</v>
      </c>
      <c r="AI278" s="79">
        <f t="shared" si="100"/>
        <v>0</v>
      </c>
      <c r="AJ278" s="79">
        <f t="shared" si="92"/>
        <v>0</v>
      </c>
      <c r="AK278" s="81">
        <f t="shared" si="93"/>
        <v>5</v>
      </c>
      <c r="AL278" s="81" t="str">
        <f t="shared" si="101"/>
        <v>CRIT</v>
      </c>
      <c r="AM278" s="81">
        <f t="shared" si="102"/>
        <v>22</v>
      </c>
      <c r="AN278" s="99">
        <f t="shared" si="103"/>
        <v>42884</v>
      </c>
      <c r="AO278" s="99">
        <f t="shared" si="104"/>
        <v>42888</v>
      </c>
      <c r="AP278" s="99"/>
      <c r="AQ278" s="73"/>
      <c r="AR278" s="67"/>
      <c r="AS278" s="132"/>
    </row>
    <row r="279" spans="1:45" ht="20.25" customHeight="1" thickTop="1" thickBot="1" x14ac:dyDescent="0.3">
      <c r="A279" s="74" t="str">
        <f t="shared" ca="1" si="84"/>
        <v/>
      </c>
      <c r="B279" s="75" t="str">
        <f t="shared" ca="1" si="85"/>
        <v/>
      </c>
      <c r="C279" s="76" t="str">
        <f>IF(AND('Interimaire Juin  2017'!D285=$B$1,'Interimaire Juin  2017'!J285=$B$2),'Interimaire Juin  2017'!E285,"")</f>
        <v/>
      </c>
      <c r="D279" s="76" t="str">
        <f>IF(AND('Interimaire Juin  2017'!D285=$B$1,'Interimaire Juin  2017'!J285=$B$2),'Interimaire Juin  2017'!F285,"")</f>
        <v/>
      </c>
      <c r="E279" s="76" t="str">
        <f t="shared" si="94"/>
        <v/>
      </c>
      <c r="F279" s="76" t="str">
        <f t="array" aca="1" ref="F279" ca="1">IFERROR(INDEX(C:C,SMALL($E$2:$E$300,ROW(INDIRECT("271:"&amp;ROWS(C271:C569))))),"")</f>
        <v/>
      </c>
      <c r="G279" s="76" t="str">
        <f t="array" aca="1" ref="G279" ca="1">IFERROR(INDEX(D:D,SMALL($E$2:$E$300,ROW(INDIRECT("271:"&amp;ROWS(D271:D569))))),"")</f>
        <v/>
      </c>
      <c r="H279" s="82"/>
      <c r="I279" s="77">
        <v>7</v>
      </c>
      <c r="J279" s="78">
        <f t="shared" si="95"/>
        <v>1</v>
      </c>
      <c r="K279" s="82"/>
      <c r="L279" s="82"/>
      <c r="M279" s="80">
        <f t="shared" si="86"/>
        <v>1</v>
      </c>
      <c r="N279" s="77">
        <v>7</v>
      </c>
      <c r="O279" s="78">
        <f t="shared" si="96"/>
        <v>1</v>
      </c>
      <c r="P279" s="82"/>
      <c r="Q279" s="82"/>
      <c r="R279" s="80">
        <f t="shared" si="87"/>
        <v>1</v>
      </c>
      <c r="S279" s="77">
        <v>7</v>
      </c>
      <c r="T279" s="78">
        <f t="shared" si="97"/>
        <v>1</v>
      </c>
      <c r="U279" s="79"/>
      <c r="V279" s="79"/>
      <c r="W279" s="80">
        <f t="shared" si="88"/>
        <v>1</v>
      </c>
      <c r="X279" s="77">
        <v>7</v>
      </c>
      <c r="Y279" s="78">
        <f t="shared" si="98"/>
        <v>1</v>
      </c>
      <c r="Z279" s="79"/>
      <c r="AA279" s="79"/>
      <c r="AB279" s="80">
        <f t="shared" si="89"/>
        <v>1</v>
      </c>
      <c r="AC279" s="77">
        <v>7</v>
      </c>
      <c r="AD279" s="78">
        <f t="shared" si="99"/>
        <v>1</v>
      </c>
      <c r="AE279" s="79"/>
      <c r="AF279" s="79"/>
      <c r="AG279" s="80">
        <f t="shared" si="90"/>
        <v>1</v>
      </c>
      <c r="AH279" s="77">
        <f t="shared" si="91"/>
        <v>35</v>
      </c>
      <c r="AI279" s="79">
        <f t="shared" si="100"/>
        <v>0</v>
      </c>
      <c r="AJ279" s="79">
        <f t="shared" si="92"/>
        <v>0</v>
      </c>
      <c r="AK279" s="81">
        <f t="shared" si="93"/>
        <v>5</v>
      </c>
      <c r="AL279" s="81" t="str">
        <f t="shared" si="101"/>
        <v>CRIT</v>
      </c>
      <c r="AM279" s="81">
        <f t="shared" si="102"/>
        <v>22</v>
      </c>
      <c r="AN279" s="99">
        <f t="shared" si="103"/>
        <v>42884</v>
      </c>
      <c r="AO279" s="99">
        <f t="shared" si="104"/>
        <v>42888</v>
      </c>
      <c r="AP279" s="99"/>
      <c r="AQ279" s="73"/>
      <c r="AR279" s="67"/>
      <c r="AS279" s="132"/>
    </row>
    <row r="280" spans="1:45" ht="20.25" customHeight="1" thickTop="1" thickBot="1" x14ac:dyDescent="0.3">
      <c r="A280" s="74" t="str">
        <f t="shared" ca="1" si="84"/>
        <v/>
      </c>
      <c r="B280" s="75" t="str">
        <f t="shared" ca="1" si="85"/>
        <v/>
      </c>
      <c r="C280" s="76" t="str">
        <f>IF(AND('Interimaire Juin  2017'!D286=$B$1,'Interimaire Juin  2017'!J286=$B$2),'Interimaire Juin  2017'!E286,"")</f>
        <v/>
      </c>
      <c r="D280" s="76" t="str">
        <f>IF(AND('Interimaire Juin  2017'!D286=$B$1,'Interimaire Juin  2017'!J286=$B$2),'Interimaire Juin  2017'!F286,"")</f>
        <v/>
      </c>
      <c r="E280" s="76" t="str">
        <f t="shared" si="94"/>
        <v/>
      </c>
      <c r="F280" s="76" t="str">
        <f t="array" aca="1" ref="F280" ca="1">IFERROR(INDEX(C:C,SMALL($E$2:$E$300,ROW(INDIRECT("272:"&amp;ROWS(C272:C570))))),"")</f>
        <v/>
      </c>
      <c r="G280" s="76" t="str">
        <f t="array" aca="1" ref="G280" ca="1">IFERROR(INDEX(D:D,SMALL($E$2:$E$300,ROW(INDIRECT("272:"&amp;ROWS(D272:D570))))),"")</f>
        <v/>
      </c>
      <c r="H280" s="82"/>
      <c r="I280" s="77">
        <v>7</v>
      </c>
      <c r="J280" s="78">
        <f t="shared" si="95"/>
        <v>1</v>
      </c>
      <c r="K280" s="82"/>
      <c r="L280" s="82"/>
      <c r="M280" s="80">
        <f t="shared" si="86"/>
        <v>1</v>
      </c>
      <c r="N280" s="77">
        <v>7</v>
      </c>
      <c r="O280" s="78">
        <f t="shared" si="96"/>
        <v>1</v>
      </c>
      <c r="P280" s="82"/>
      <c r="Q280" s="82"/>
      <c r="R280" s="80">
        <f t="shared" si="87"/>
        <v>1</v>
      </c>
      <c r="S280" s="77">
        <v>7</v>
      </c>
      <c r="T280" s="78">
        <f t="shared" si="97"/>
        <v>1</v>
      </c>
      <c r="U280" s="79"/>
      <c r="V280" s="79"/>
      <c r="W280" s="80">
        <f t="shared" si="88"/>
        <v>1</v>
      </c>
      <c r="X280" s="77">
        <v>7</v>
      </c>
      <c r="Y280" s="78">
        <f t="shared" si="98"/>
        <v>1</v>
      </c>
      <c r="Z280" s="79"/>
      <c r="AA280" s="79"/>
      <c r="AB280" s="80">
        <f t="shared" si="89"/>
        <v>1</v>
      </c>
      <c r="AC280" s="77">
        <v>7</v>
      </c>
      <c r="AD280" s="78">
        <f t="shared" si="99"/>
        <v>1</v>
      </c>
      <c r="AE280" s="79"/>
      <c r="AF280" s="79"/>
      <c r="AG280" s="80">
        <f t="shared" si="90"/>
        <v>1</v>
      </c>
      <c r="AH280" s="77">
        <f t="shared" si="91"/>
        <v>35</v>
      </c>
      <c r="AI280" s="79">
        <f t="shared" si="100"/>
        <v>0</v>
      </c>
      <c r="AJ280" s="79">
        <f t="shared" si="92"/>
        <v>0</v>
      </c>
      <c r="AK280" s="81">
        <f t="shared" si="93"/>
        <v>5</v>
      </c>
      <c r="AL280" s="81" t="str">
        <f t="shared" si="101"/>
        <v>CRIT</v>
      </c>
      <c r="AM280" s="81">
        <f t="shared" si="102"/>
        <v>22</v>
      </c>
      <c r="AN280" s="99">
        <f t="shared" si="103"/>
        <v>42884</v>
      </c>
      <c r="AO280" s="99">
        <f t="shared" si="104"/>
        <v>42888</v>
      </c>
      <c r="AP280" s="99"/>
      <c r="AQ280" s="73"/>
      <c r="AR280" s="67"/>
      <c r="AS280" s="132"/>
    </row>
    <row r="281" spans="1:45" ht="20.25" customHeight="1" thickTop="1" thickBot="1" x14ac:dyDescent="0.3">
      <c r="A281" s="74" t="str">
        <f t="shared" ca="1" si="84"/>
        <v/>
      </c>
      <c r="B281" s="75" t="str">
        <f t="shared" ca="1" si="85"/>
        <v/>
      </c>
      <c r="C281" s="76" t="str">
        <f>IF(AND('Interimaire Juin  2017'!D287=$B$1,'Interimaire Juin  2017'!J287=$B$2),'Interimaire Juin  2017'!E287,"")</f>
        <v/>
      </c>
      <c r="D281" s="76" t="str">
        <f>IF(AND('Interimaire Juin  2017'!D287=$B$1,'Interimaire Juin  2017'!J287=$B$2),'Interimaire Juin  2017'!F287,"")</f>
        <v/>
      </c>
      <c r="E281" s="76" t="str">
        <f t="shared" si="94"/>
        <v/>
      </c>
      <c r="F281" s="76" t="str">
        <f t="array" aca="1" ref="F281" ca="1">IFERROR(INDEX(C:C,SMALL($E$2:$E$300,ROW(INDIRECT("273:"&amp;ROWS(C273:C571))))),"")</f>
        <v/>
      </c>
      <c r="G281" s="76" t="str">
        <f t="array" aca="1" ref="G281" ca="1">IFERROR(INDEX(D:D,SMALL($E$2:$E$300,ROW(INDIRECT("273:"&amp;ROWS(D273:D571))))),"")</f>
        <v/>
      </c>
      <c r="H281" s="82"/>
      <c r="I281" s="77">
        <v>7</v>
      </c>
      <c r="J281" s="78">
        <f t="shared" si="95"/>
        <v>1</v>
      </c>
      <c r="K281" s="82"/>
      <c r="L281" s="82"/>
      <c r="M281" s="80">
        <f t="shared" si="86"/>
        <v>1</v>
      </c>
      <c r="N281" s="77">
        <v>7</v>
      </c>
      <c r="O281" s="78">
        <f t="shared" si="96"/>
        <v>1</v>
      </c>
      <c r="P281" s="82"/>
      <c r="Q281" s="82"/>
      <c r="R281" s="80">
        <f t="shared" si="87"/>
        <v>1</v>
      </c>
      <c r="S281" s="77">
        <v>7</v>
      </c>
      <c r="T281" s="78">
        <f t="shared" si="97"/>
        <v>1</v>
      </c>
      <c r="U281" s="79"/>
      <c r="V281" s="79"/>
      <c r="W281" s="80">
        <f t="shared" si="88"/>
        <v>1</v>
      </c>
      <c r="X281" s="77">
        <v>7</v>
      </c>
      <c r="Y281" s="78">
        <f t="shared" si="98"/>
        <v>1</v>
      </c>
      <c r="Z281" s="79"/>
      <c r="AA281" s="79"/>
      <c r="AB281" s="80">
        <f t="shared" si="89"/>
        <v>1</v>
      </c>
      <c r="AC281" s="77">
        <v>7</v>
      </c>
      <c r="AD281" s="78">
        <f t="shared" si="99"/>
        <v>1</v>
      </c>
      <c r="AE281" s="79"/>
      <c r="AF281" s="79"/>
      <c r="AG281" s="80">
        <f t="shared" si="90"/>
        <v>1</v>
      </c>
      <c r="AH281" s="77">
        <f t="shared" si="91"/>
        <v>35</v>
      </c>
      <c r="AI281" s="79">
        <f t="shared" si="100"/>
        <v>0</v>
      </c>
      <c r="AJ281" s="79">
        <f t="shared" si="92"/>
        <v>0</v>
      </c>
      <c r="AK281" s="81">
        <f t="shared" si="93"/>
        <v>5</v>
      </c>
      <c r="AL281" s="81" t="str">
        <f t="shared" si="101"/>
        <v>CRIT</v>
      </c>
      <c r="AM281" s="81">
        <f t="shared" si="102"/>
        <v>22</v>
      </c>
      <c r="AN281" s="99">
        <f t="shared" si="103"/>
        <v>42884</v>
      </c>
      <c r="AO281" s="99">
        <f t="shared" si="104"/>
        <v>42888</v>
      </c>
      <c r="AP281" s="99"/>
      <c r="AQ281" s="73"/>
      <c r="AR281" s="67"/>
      <c r="AS281" s="132"/>
    </row>
    <row r="282" spans="1:45" ht="20.25" customHeight="1" thickTop="1" thickBot="1" x14ac:dyDescent="0.3">
      <c r="A282" s="74" t="str">
        <f t="shared" ca="1" si="84"/>
        <v/>
      </c>
      <c r="B282" s="75" t="str">
        <f t="shared" ca="1" si="85"/>
        <v/>
      </c>
      <c r="C282" s="76" t="str">
        <f>IF(AND('Interimaire Juin  2017'!D288=$B$1,'Interimaire Juin  2017'!J288=$B$2),'Interimaire Juin  2017'!E288,"")</f>
        <v/>
      </c>
      <c r="D282" s="76" t="str">
        <f>IF(AND('Interimaire Juin  2017'!D288=$B$1,'Interimaire Juin  2017'!J288=$B$2),'Interimaire Juin  2017'!F288,"")</f>
        <v/>
      </c>
      <c r="E282" s="76" t="str">
        <f t="shared" si="94"/>
        <v/>
      </c>
      <c r="F282" s="76" t="str">
        <f t="array" aca="1" ref="F282" ca="1">IFERROR(INDEX(C:C,SMALL($E$2:$E$300,ROW(INDIRECT("274:"&amp;ROWS(C274:C572))))),"")</f>
        <v/>
      </c>
      <c r="G282" s="76" t="str">
        <f t="array" aca="1" ref="G282" ca="1">IFERROR(INDEX(D:D,SMALL($E$2:$E$300,ROW(INDIRECT("274:"&amp;ROWS(D274:D572))))),"")</f>
        <v/>
      </c>
      <c r="H282" s="82"/>
      <c r="I282" s="77">
        <v>7</v>
      </c>
      <c r="J282" s="78">
        <f t="shared" si="95"/>
        <v>1</v>
      </c>
      <c r="K282" s="82"/>
      <c r="L282" s="82"/>
      <c r="M282" s="80">
        <f t="shared" si="86"/>
        <v>1</v>
      </c>
      <c r="N282" s="77">
        <v>7</v>
      </c>
      <c r="O282" s="78">
        <f t="shared" si="96"/>
        <v>1</v>
      </c>
      <c r="P282" s="82"/>
      <c r="Q282" s="82"/>
      <c r="R282" s="80">
        <f t="shared" si="87"/>
        <v>1</v>
      </c>
      <c r="S282" s="77">
        <v>7</v>
      </c>
      <c r="T282" s="78">
        <f t="shared" si="97"/>
        <v>1</v>
      </c>
      <c r="U282" s="79"/>
      <c r="V282" s="79"/>
      <c r="W282" s="80">
        <f t="shared" si="88"/>
        <v>1</v>
      </c>
      <c r="X282" s="77">
        <v>7</v>
      </c>
      <c r="Y282" s="78">
        <f t="shared" si="98"/>
        <v>1</v>
      </c>
      <c r="Z282" s="79"/>
      <c r="AA282" s="79"/>
      <c r="AB282" s="80">
        <f t="shared" si="89"/>
        <v>1</v>
      </c>
      <c r="AC282" s="77">
        <v>7</v>
      </c>
      <c r="AD282" s="78">
        <f t="shared" si="99"/>
        <v>1</v>
      </c>
      <c r="AE282" s="79"/>
      <c r="AF282" s="79"/>
      <c r="AG282" s="80">
        <f t="shared" si="90"/>
        <v>1</v>
      </c>
      <c r="AH282" s="77">
        <f t="shared" si="91"/>
        <v>35</v>
      </c>
      <c r="AI282" s="79">
        <f t="shared" si="100"/>
        <v>0</v>
      </c>
      <c r="AJ282" s="79">
        <f t="shared" si="92"/>
        <v>0</v>
      </c>
      <c r="AK282" s="81">
        <f t="shared" si="93"/>
        <v>5</v>
      </c>
      <c r="AL282" s="81" t="str">
        <f t="shared" si="101"/>
        <v>CRIT</v>
      </c>
      <c r="AM282" s="81">
        <f t="shared" si="102"/>
        <v>22</v>
      </c>
      <c r="AN282" s="99">
        <f t="shared" si="103"/>
        <v>42884</v>
      </c>
      <c r="AO282" s="99">
        <f t="shared" si="104"/>
        <v>42888</v>
      </c>
      <c r="AP282" s="99"/>
      <c r="AQ282" s="73"/>
      <c r="AR282" s="67"/>
      <c r="AS282" s="132"/>
    </row>
    <row r="283" spans="1:45" ht="20.25" customHeight="1" thickTop="1" thickBot="1" x14ac:dyDescent="0.3">
      <c r="A283" s="74" t="str">
        <f t="shared" ca="1" si="84"/>
        <v/>
      </c>
      <c r="B283" s="75" t="str">
        <f t="shared" ca="1" si="85"/>
        <v/>
      </c>
      <c r="C283" s="76" t="str">
        <f>IF(AND('Interimaire Juin  2017'!D289=$B$1,'Interimaire Juin  2017'!J289=$B$2),'Interimaire Juin  2017'!E289,"")</f>
        <v/>
      </c>
      <c r="D283" s="76" t="str">
        <f>IF(AND('Interimaire Juin  2017'!D289=$B$1,'Interimaire Juin  2017'!J289=$B$2),'Interimaire Juin  2017'!F289,"")</f>
        <v/>
      </c>
      <c r="E283" s="76" t="str">
        <f t="shared" si="94"/>
        <v/>
      </c>
      <c r="F283" s="76" t="str">
        <f t="array" aca="1" ref="F283" ca="1">IFERROR(INDEX(C:C,SMALL($E$2:$E$300,ROW(INDIRECT("275:"&amp;ROWS(C275:C573))))),"")</f>
        <v/>
      </c>
      <c r="G283" s="76" t="str">
        <f t="array" aca="1" ref="G283" ca="1">IFERROR(INDEX(D:D,SMALL($E$2:$E$300,ROW(INDIRECT("275:"&amp;ROWS(D275:D573))))),"")</f>
        <v/>
      </c>
      <c r="H283" s="82"/>
      <c r="I283" s="77">
        <v>7</v>
      </c>
      <c r="J283" s="78">
        <f t="shared" si="95"/>
        <v>1</v>
      </c>
      <c r="K283" s="82"/>
      <c r="L283" s="82"/>
      <c r="M283" s="80">
        <f t="shared" si="86"/>
        <v>1</v>
      </c>
      <c r="N283" s="77">
        <v>7</v>
      </c>
      <c r="O283" s="78">
        <f t="shared" si="96"/>
        <v>1</v>
      </c>
      <c r="P283" s="82"/>
      <c r="Q283" s="82"/>
      <c r="R283" s="80">
        <f t="shared" si="87"/>
        <v>1</v>
      </c>
      <c r="S283" s="77">
        <v>7</v>
      </c>
      <c r="T283" s="78">
        <f t="shared" si="97"/>
        <v>1</v>
      </c>
      <c r="U283" s="79"/>
      <c r="V283" s="79"/>
      <c r="W283" s="80">
        <f t="shared" si="88"/>
        <v>1</v>
      </c>
      <c r="X283" s="77">
        <v>7</v>
      </c>
      <c r="Y283" s="78">
        <f t="shared" si="98"/>
        <v>1</v>
      </c>
      <c r="Z283" s="79"/>
      <c r="AA283" s="79"/>
      <c r="AB283" s="80">
        <f t="shared" si="89"/>
        <v>1</v>
      </c>
      <c r="AC283" s="77">
        <v>7</v>
      </c>
      <c r="AD283" s="78">
        <f t="shared" si="99"/>
        <v>1</v>
      </c>
      <c r="AE283" s="79"/>
      <c r="AF283" s="79"/>
      <c r="AG283" s="80">
        <f t="shared" si="90"/>
        <v>1</v>
      </c>
      <c r="AH283" s="77">
        <f t="shared" si="91"/>
        <v>35</v>
      </c>
      <c r="AI283" s="79">
        <f t="shared" si="100"/>
        <v>0</v>
      </c>
      <c r="AJ283" s="79">
        <f t="shared" si="92"/>
        <v>0</v>
      </c>
      <c r="AK283" s="81">
        <f t="shared" si="93"/>
        <v>5</v>
      </c>
      <c r="AL283" s="81" t="str">
        <f t="shared" si="101"/>
        <v>CRIT</v>
      </c>
      <c r="AM283" s="81">
        <f t="shared" si="102"/>
        <v>22</v>
      </c>
      <c r="AN283" s="99">
        <f t="shared" si="103"/>
        <v>42884</v>
      </c>
      <c r="AO283" s="99">
        <f t="shared" si="104"/>
        <v>42888</v>
      </c>
      <c r="AP283" s="99"/>
      <c r="AQ283" s="73"/>
      <c r="AR283" s="67"/>
      <c r="AS283" s="132"/>
    </row>
    <row r="284" spans="1:45" ht="20.25" customHeight="1" thickTop="1" thickBot="1" x14ac:dyDescent="0.3">
      <c r="A284" s="74" t="str">
        <f t="shared" ca="1" si="84"/>
        <v/>
      </c>
      <c r="B284" s="75" t="str">
        <f t="shared" ca="1" si="85"/>
        <v/>
      </c>
      <c r="C284" s="76" t="str">
        <f>IF(AND('Interimaire Juin  2017'!D290=$B$1,'Interimaire Juin  2017'!J290=$B$2),'Interimaire Juin  2017'!E290,"")</f>
        <v/>
      </c>
      <c r="D284" s="76" t="str">
        <f>IF(AND('Interimaire Juin  2017'!D290=$B$1,'Interimaire Juin  2017'!J290=$B$2),'Interimaire Juin  2017'!F290,"")</f>
        <v/>
      </c>
      <c r="E284" s="76" t="str">
        <f t="shared" si="94"/>
        <v/>
      </c>
      <c r="F284" s="76" t="str">
        <f t="array" aca="1" ref="F284" ca="1">IFERROR(INDEX(C:C,SMALL($E$2:$E$300,ROW(INDIRECT("276:"&amp;ROWS(C276:C574))))),"")</f>
        <v/>
      </c>
      <c r="G284" s="76" t="str">
        <f t="array" aca="1" ref="G284" ca="1">IFERROR(INDEX(D:D,SMALL($E$2:$E$300,ROW(INDIRECT("276:"&amp;ROWS(D276:D574))))),"")</f>
        <v/>
      </c>
      <c r="H284" s="82"/>
      <c r="I284" s="77">
        <v>7</v>
      </c>
      <c r="J284" s="78">
        <f t="shared" si="95"/>
        <v>1</v>
      </c>
      <c r="K284" s="82"/>
      <c r="L284" s="82"/>
      <c r="M284" s="80">
        <f t="shared" si="86"/>
        <v>1</v>
      </c>
      <c r="N284" s="77">
        <v>7</v>
      </c>
      <c r="O284" s="78">
        <f t="shared" si="96"/>
        <v>1</v>
      </c>
      <c r="P284" s="82"/>
      <c r="Q284" s="82"/>
      <c r="R284" s="80">
        <f t="shared" si="87"/>
        <v>1</v>
      </c>
      <c r="S284" s="77">
        <v>7</v>
      </c>
      <c r="T284" s="78">
        <f t="shared" si="97"/>
        <v>1</v>
      </c>
      <c r="U284" s="79"/>
      <c r="V284" s="79"/>
      <c r="W284" s="80">
        <f t="shared" si="88"/>
        <v>1</v>
      </c>
      <c r="X284" s="77">
        <v>7</v>
      </c>
      <c r="Y284" s="78">
        <f t="shared" si="98"/>
        <v>1</v>
      </c>
      <c r="Z284" s="79"/>
      <c r="AA284" s="79"/>
      <c r="AB284" s="80">
        <f t="shared" si="89"/>
        <v>1</v>
      </c>
      <c r="AC284" s="77">
        <v>7</v>
      </c>
      <c r="AD284" s="78">
        <f t="shared" si="99"/>
        <v>1</v>
      </c>
      <c r="AE284" s="79"/>
      <c r="AF284" s="79"/>
      <c r="AG284" s="80">
        <f t="shared" si="90"/>
        <v>1</v>
      </c>
      <c r="AH284" s="77">
        <f t="shared" si="91"/>
        <v>35</v>
      </c>
      <c r="AI284" s="79">
        <f t="shared" si="100"/>
        <v>0</v>
      </c>
      <c r="AJ284" s="79">
        <f t="shared" si="92"/>
        <v>0</v>
      </c>
      <c r="AK284" s="81">
        <f t="shared" si="93"/>
        <v>5</v>
      </c>
      <c r="AL284" s="81" t="str">
        <f t="shared" si="101"/>
        <v>CRIT</v>
      </c>
      <c r="AM284" s="81">
        <f t="shared" si="102"/>
        <v>22</v>
      </c>
      <c r="AN284" s="99">
        <f t="shared" si="103"/>
        <v>42884</v>
      </c>
      <c r="AO284" s="99">
        <f t="shared" si="104"/>
        <v>42888</v>
      </c>
      <c r="AP284" s="99"/>
      <c r="AQ284" s="73"/>
      <c r="AR284" s="67"/>
      <c r="AS284" s="132"/>
    </row>
    <row r="285" spans="1:45" ht="20.25" customHeight="1" thickTop="1" thickBot="1" x14ac:dyDescent="0.3">
      <c r="A285" s="74" t="str">
        <f t="shared" ref="A285:A300" ca="1" si="105">+F285</f>
        <v/>
      </c>
      <c r="B285" s="75" t="str">
        <f t="shared" ref="B285:B300" ca="1" si="106">+G285</f>
        <v/>
      </c>
      <c r="C285" s="76" t="str">
        <f>IF(AND('Interimaire Juin  2017'!D291=$B$1,'Interimaire Juin  2017'!J291=$B$2),'Interimaire Juin  2017'!E291,"")</f>
        <v/>
      </c>
      <c r="D285" s="76" t="str">
        <f>IF(AND('Interimaire Juin  2017'!D291=$B$1,'Interimaire Juin  2017'!J291=$B$2),'Interimaire Juin  2017'!F291,"")</f>
        <v/>
      </c>
      <c r="E285" s="76" t="str">
        <f t="shared" si="94"/>
        <v/>
      </c>
      <c r="F285" s="76" t="str">
        <f t="array" aca="1" ref="F285" ca="1">IFERROR(INDEX(C:C,SMALL($E$2:$E$300,ROW(INDIRECT("277:"&amp;ROWS(C277:C575))))),"")</f>
        <v/>
      </c>
      <c r="G285" s="76" t="str">
        <f t="array" aca="1" ref="G285" ca="1">IFERROR(INDEX(D:D,SMALL($E$2:$E$300,ROW(INDIRECT("277:"&amp;ROWS(D277:D575))))),"")</f>
        <v/>
      </c>
      <c r="H285" s="82"/>
      <c r="I285" s="77">
        <v>7</v>
      </c>
      <c r="J285" s="78">
        <f t="shared" si="95"/>
        <v>1</v>
      </c>
      <c r="K285" s="82"/>
      <c r="L285" s="82"/>
      <c r="M285" s="80">
        <f t="shared" si="86"/>
        <v>1</v>
      </c>
      <c r="N285" s="77">
        <v>7</v>
      </c>
      <c r="O285" s="78">
        <f t="shared" si="96"/>
        <v>1</v>
      </c>
      <c r="P285" s="82"/>
      <c r="Q285" s="82"/>
      <c r="R285" s="80">
        <f t="shared" si="87"/>
        <v>1</v>
      </c>
      <c r="S285" s="77">
        <v>7</v>
      </c>
      <c r="T285" s="78">
        <f t="shared" si="97"/>
        <v>1</v>
      </c>
      <c r="U285" s="79"/>
      <c r="V285" s="79"/>
      <c r="W285" s="80">
        <f t="shared" si="88"/>
        <v>1</v>
      </c>
      <c r="X285" s="77">
        <v>7</v>
      </c>
      <c r="Y285" s="78">
        <f t="shared" si="98"/>
        <v>1</v>
      </c>
      <c r="Z285" s="79"/>
      <c r="AA285" s="79"/>
      <c r="AB285" s="80">
        <f t="shared" si="89"/>
        <v>1</v>
      </c>
      <c r="AC285" s="77">
        <v>7</v>
      </c>
      <c r="AD285" s="78">
        <f t="shared" si="99"/>
        <v>1</v>
      </c>
      <c r="AE285" s="79"/>
      <c r="AF285" s="79"/>
      <c r="AG285" s="80">
        <f t="shared" si="90"/>
        <v>1</v>
      </c>
      <c r="AH285" s="77">
        <f t="shared" si="91"/>
        <v>35</v>
      </c>
      <c r="AI285" s="79">
        <f t="shared" si="100"/>
        <v>0</v>
      </c>
      <c r="AJ285" s="79">
        <f t="shared" si="92"/>
        <v>0</v>
      </c>
      <c r="AK285" s="81">
        <f t="shared" si="93"/>
        <v>5</v>
      </c>
      <c r="AL285" s="81" t="str">
        <f t="shared" si="101"/>
        <v>CRIT</v>
      </c>
      <c r="AM285" s="81">
        <f t="shared" si="102"/>
        <v>22</v>
      </c>
      <c r="AN285" s="99">
        <f t="shared" si="103"/>
        <v>42884</v>
      </c>
      <c r="AO285" s="99">
        <f t="shared" si="104"/>
        <v>42888</v>
      </c>
      <c r="AP285" s="99"/>
      <c r="AQ285" s="73"/>
      <c r="AR285" s="67"/>
      <c r="AS285" s="132"/>
    </row>
    <row r="286" spans="1:45" ht="20.25" customHeight="1" thickTop="1" thickBot="1" x14ac:dyDescent="0.3">
      <c r="A286" s="74" t="str">
        <f t="shared" ca="1" si="105"/>
        <v/>
      </c>
      <c r="B286" s="75" t="str">
        <f t="shared" ca="1" si="106"/>
        <v/>
      </c>
      <c r="C286" s="76" t="str">
        <f>IF(AND('Interimaire Juin  2017'!D292=$B$1,'Interimaire Juin  2017'!J292=$B$2),'Interimaire Juin  2017'!E292,"")</f>
        <v/>
      </c>
      <c r="D286" s="76" t="str">
        <f>IF(AND('Interimaire Juin  2017'!D292=$B$1,'Interimaire Juin  2017'!J292=$B$2),'Interimaire Juin  2017'!F292,"")</f>
        <v/>
      </c>
      <c r="E286" s="76" t="str">
        <f t="shared" si="94"/>
        <v/>
      </c>
      <c r="F286" s="76" t="str">
        <f t="array" aca="1" ref="F286" ca="1">IFERROR(INDEX(C:C,SMALL($E$2:$E$300,ROW(INDIRECT("278:"&amp;ROWS(C278:C576))))),"")</f>
        <v/>
      </c>
      <c r="G286" s="76" t="str">
        <f t="array" aca="1" ref="G286" ca="1">IFERROR(INDEX(D:D,SMALL($E$2:$E$300,ROW(INDIRECT("278:"&amp;ROWS(D278:D576))))),"")</f>
        <v/>
      </c>
      <c r="H286" s="82"/>
      <c r="I286" s="77">
        <v>7</v>
      </c>
      <c r="J286" s="78">
        <f t="shared" si="95"/>
        <v>1</v>
      </c>
      <c r="K286" s="82"/>
      <c r="L286" s="82"/>
      <c r="M286" s="80">
        <f t="shared" si="86"/>
        <v>1</v>
      </c>
      <c r="N286" s="77">
        <v>7</v>
      </c>
      <c r="O286" s="78">
        <f t="shared" si="96"/>
        <v>1</v>
      </c>
      <c r="P286" s="82"/>
      <c r="Q286" s="82"/>
      <c r="R286" s="80">
        <f t="shared" si="87"/>
        <v>1</v>
      </c>
      <c r="S286" s="77">
        <v>7</v>
      </c>
      <c r="T286" s="78">
        <f t="shared" si="97"/>
        <v>1</v>
      </c>
      <c r="U286" s="79"/>
      <c r="V286" s="79"/>
      <c r="W286" s="80">
        <f t="shared" si="88"/>
        <v>1</v>
      </c>
      <c r="X286" s="77">
        <v>7</v>
      </c>
      <c r="Y286" s="78">
        <f t="shared" si="98"/>
        <v>1</v>
      </c>
      <c r="Z286" s="79"/>
      <c r="AA286" s="79"/>
      <c r="AB286" s="80">
        <f t="shared" si="89"/>
        <v>1</v>
      </c>
      <c r="AC286" s="77">
        <v>7</v>
      </c>
      <c r="AD286" s="78">
        <f t="shared" si="99"/>
        <v>1</v>
      </c>
      <c r="AE286" s="79"/>
      <c r="AF286" s="79"/>
      <c r="AG286" s="80">
        <f t="shared" si="90"/>
        <v>1</v>
      </c>
      <c r="AH286" s="77">
        <f t="shared" si="91"/>
        <v>35</v>
      </c>
      <c r="AI286" s="79">
        <f t="shared" si="100"/>
        <v>0</v>
      </c>
      <c r="AJ286" s="79">
        <f t="shared" si="92"/>
        <v>0</v>
      </c>
      <c r="AK286" s="81">
        <f t="shared" si="93"/>
        <v>5</v>
      </c>
      <c r="AL286" s="81" t="str">
        <f t="shared" si="101"/>
        <v>CRIT</v>
      </c>
      <c r="AM286" s="81">
        <f t="shared" si="102"/>
        <v>22</v>
      </c>
      <c r="AN286" s="99">
        <f t="shared" si="103"/>
        <v>42884</v>
      </c>
      <c r="AO286" s="99">
        <f t="shared" si="104"/>
        <v>42888</v>
      </c>
      <c r="AP286" s="99"/>
      <c r="AQ286" s="73"/>
      <c r="AR286" s="67"/>
      <c r="AS286" s="132"/>
    </row>
    <row r="287" spans="1:45" ht="20.25" customHeight="1" thickTop="1" thickBot="1" x14ac:dyDescent="0.3">
      <c r="A287" s="74" t="str">
        <f t="shared" ca="1" si="105"/>
        <v/>
      </c>
      <c r="B287" s="75" t="str">
        <f t="shared" ca="1" si="106"/>
        <v/>
      </c>
      <c r="C287" s="76" t="str">
        <f>IF(AND('Interimaire Juin  2017'!D293=$B$1,'Interimaire Juin  2017'!J293=$B$2),'Interimaire Juin  2017'!E293,"")</f>
        <v/>
      </c>
      <c r="D287" s="76" t="str">
        <f>IF(AND('Interimaire Juin  2017'!D293=$B$1,'Interimaire Juin  2017'!J293=$B$2),'Interimaire Juin  2017'!F293,"")</f>
        <v/>
      </c>
      <c r="E287" s="76" t="str">
        <f t="shared" si="94"/>
        <v/>
      </c>
      <c r="F287" s="76" t="str">
        <f t="array" aca="1" ref="F287" ca="1">IFERROR(INDEX(C:C,SMALL($E$2:$E$300,ROW(INDIRECT("279:"&amp;ROWS(C279:C577))))),"")</f>
        <v/>
      </c>
      <c r="G287" s="76" t="str">
        <f t="array" aca="1" ref="G287" ca="1">IFERROR(INDEX(D:D,SMALL($E$2:$E$300,ROW(INDIRECT("279:"&amp;ROWS(D279:D577))))),"")</f>
        <v/>
      </c>
      <c r="H287" s="82"/>
      <c r="I287" s="77">
        <v>7</v>
      </c>
      <c r="J287" s="78">
        <f t="shared" si="95"/>
        <v>1</v>
      </c>
      <c r="K287" s="82"/>
      <c r="L287" s="82"/>
      <c r="M287" s="80">
        <f t="shared" si="86"/>
        <v>1</v>
      </c>
      <c r="N287" s="77">
        <v>7</v>
      </c>
      <c r="O287" s="78">
        <f t="shared" si="96"/>
        <v>1</v>
      </c>
      <c r="P287" s="82"/>
      <c r="Q287" s="82"/>
      <c r="R287" s="80">
        <f t="shared" si="87"/>
        <v>1</v>
      </c>
      <c r="S287" s="77">
        <v>7</v>
      </c>
      <c r="T287" s="78">
        <f t="shared" si="97"/>
        <v>1</v>
      </c>
      <c r="U287" s="79"/>
      <c r="V287" s="79"/>
      <c r="W287" s="80">
        <f t="shared" si="88"/>
        <v>1</v>
      </c>
      <c r="X287" s="77">
        <v>7</v>
      </c>
      <c r="Y287" s="78">
        <f t="shared" si="98"/>
        <v>1</v>
      </c>
      <c r="Z287" s="79"/>
      <c r="AA287" s="79"/>
      <c r="AB287" s="80">
        <f t="shared" si="89"/>
        <v>1</v>
      </c>
      <c r="AC287" s="77">
        <v>7</v>
      </c>
      <c r="AD287" s="78">
        <f t="shared" si="99"/>
        <v>1</v>
      </c>
      <c r="AE287" s="79"/>
      <c r="AF287" s="79"/>
      <c r="AG287" s="80">
        <f t="shared" si="90"/>
        <v>1</v>
      </c>
      <c r="AH287" s="77">
        <f t="shared" si="91"/>
        <v>35</v>
      </c>
      <c r="AI287" s="79">
        <f t="shared" si="100"/>
        <v>0</v>
      </c>
      <c r="AJ287" s="79">
        <f t="shared" si="92"/>
        <v>0</v>
      </c>
      <c r="AK287" s="81">
        <f t="shared" si="93"/>
        <v>5</v>
      </c>
      <c r="AL287" s="81" t="str">
        <f t="shared" si="101"/>
        <v>CRIT</v>
      </c>
      <c r="AM287" s="81">
        <f t="shared" si="102"/>
        <v>22</v>
      </c>
      <c r="AN287" s="99">
        <f t="shared" si="103"/>
        <v>42884</v>
      </c>
      <c r="AO287" s="99">
        <f t="shared" si="104"/>
        <v>42888</v>
      </c>
      <c r="AP287" s="99"/>
      <c r="AQ287" s="73"/>
      <c r="AR287" s="67"/>
      <c r="AS287" s="132"/>
    </row>
    <row r="288" spans="1:45" ht="20.25" customHeight="1" thickTop="1" thickBot="1" x14ac:dyDescent="0.3">
      <c r="A288" s="74" t="str">
        <f t="shared" ca="1" si="105"/>
        <v/>
      </c>
      <c r="B288" s="75" t="str">
        <f t="shared" ca="1" si="106"/>
        <v/>
      </c>
      <c r="C288" s="76" t="str">
        <f>IF(AND('Interimaire Juin  2017'!D294=$B$1,'Interimaire Juin  2017'!J294=$B$2),'Interimaire Juin  2017'!E294,"")</f>
        <v/>
      </c>
      <c r="D288" s="76" t="str">
        <f>IF(AND('Interimaire Juin  2017'!D294=$B$1,'Interimaire Juin  2017'!J294=$B$2),'Interimaire Juin  2017'!F294,"")</f>
        <v/>
      </c>
      <c r="E288" s="76" t="str">
        <f t="shared" si="94"/>
        <v/>
      </c>
      <c r="F288" s="76" t="str">
        <f t="array" aca="1" ref="F288" ca="1">IFERROR(INDEX(C:C,SMALL($E$2:$E$300,ROW(INDIRECT("280:"&amp;ROWS(C280:C578))))),"")</f>
        <v/>
      </c>
      <c r="G288" s="76" t="str">
        <f t="array" aca="1" ref="G288" ca="1">IFERROR(INDEX(D:D,SMALL($E$2:$E$300,ROW(INDIRECT("280:"&amp;ROWS(D280:D578))))),"")</f>
        <v/>
      </c>
      <c r="H288" s="82"/>
      <c r="I288" s="77">
        <v>7</v>
      </c>
      <c r="J288" s="78">
        <f t="shared" si="95"/>
        <v>1</v>
      </c>
      <c r="K288" s="82"/>
      <c r="L288" s="82"/>
      <c r="M288" s="80">
        <f t="shared" si="86"/>
        <v>1</v>
      </c>
      <c r="N288" s="77">
        <v>7</v>
      </c>
      <c r="O288" s="78">
        <f t="shared" si="96"/>
        <v>1</v>
      </c>
      <c r="P288" s="82"/>
      <c r="Q288" s="82"/>
      <c r="R288" s="80">
        <f t="shared" si="87"/>
        <v>1</v>
      </c>
      <c r="S288" s="77">
        <v>7</v>
      </c>
      <c r="T288" s="78">
        <f t="shared" si="97"/>
        <v>1</v>
      </c>
      <c r="U288" s="79"/>
      <c r="V288" s="79"/>
      <c r="W288" s="80">
        <f t="shared" si="88"/>
        <v>1</v>
      </c>
      <c r="X288" s="77">
        <v>7</v>
      </c>
      <c r="Y288" s="78">
        <f t="shared" si="98"/>
        <v>1</v>
      </c>
      <c r="Z288" s="79"/>
      <c r="AA288" s="79"/>
      <c r="AB288" s="80">
        <f t="shared" si="89"/>
        <v>1</v>
      </c>
      <c r="AC288" s="77">
        <v>7</v>
      </c>
      <c r="AD288" s="78">
        <f t="shared" si="99"/>
        <v>1</v>
      </c>
      <c r="AE288" s="79"/>
      <c r="AF288" s="79"/>
      <c r="AG288" s="80">
        <f t="shared" si="90"/>
        <v>1</v>
      </c>
      <c r="AH288" s="77">
        <f t="shared" si="91"/>
        <v>35</v>
      </c>
      <c r="AI288" s="79">
        <f t="shared" si="100"/>
        <v>0</v>
      </c>
      <c r="AJ288" s="79">
        <f t="shared" si="92"/>
        <v>0</v>
      </c>
      <c r="AK288" s="81">
        <f t="shared" si="93"/>
        <v>5</v>
      </c>
      <c r="AL288" s="81" t="str">
        <f t="shared" si="101"/>
        <v>CRIT</v>
      </c>
      <c r="AM288" s="81">
        <f t="shared" si="102"/>
        <v>22</v>
      </c>
      <c r="AN288" s="99">
        <f t="shared" si="103"/>
        <v>42884</v>
      </c>
      <c r="AO288" s="99">
        <f t="shared" si="104"/>
        <v>42888</v>
      </c>
      <c r="AP288" s="99"/>
      <c r="AQ288" s="73"/>
      <c r="AR288" s="67"/>
      <c r="AS288" s="132"/>
    </row>
    <row r="289" spans="1:45" ht="20.25" customHeight="1" thickTop="1" thickBot="1" x14ac:dyDescent="0.3">
      <c r="A289" s="74" t="str">
        <f t="shared" ca="1" si="105"/>
        <v/>
      </c>
      <c r="B289" s="75" t="str">
        <f t="shared" ca="1" si="106"/>
        <v/>
      </c>
      <c r="C289" s="76" t="str">
        <f>IF(AND('Interimaire Juin  2017'!D295=$B$1,'Interimaire Juin  2017'!J295=$B$2),'Interimaire Juin  2017'!E295,"")</f>
        <v/>
      </c>
      <c r="D289" s="76" t="str">
        <f>IF(AND('Interimaire Juin  2017'!D295=$B$1,'Interimaire Juin  2017'!J295=$B$2),'Interimaire Juin  2017'!F295,"")</f>
        <v/>
      </c>
      <c r="E289" s="76" t="str">
        <f t="shared" si="94"/>
        <v/>
      </c>
      <c r="F289" s="76" t="str">
        <f t="array" aca="1" ref="F289" ca="1">IFERROR(INDEX(C:C,SMALL($E$2:$E$300,ROW(INDIRECT("281:"&amp;ROWS(C281:C579))))),"")</f>
        <v/>
      </c>
      <c r="G289" s="76" t="str">
        <f t="array" aca="1" ref="G289" ca="1">IFERROR(INDEX(D:D,SMALL($E$2:$E$300,ROW(INDIRECT("281:"&amp;ROWS(D281:D579))))),"")</f>
        <v/>
      </c>
      <c r="H289" s="82"/>
      <c r="I289" s="77">
        <v>7</v>
      </c>
      <c r="J289" s="78">
        <f t="shared" si="95"/>
        <v>1</v>
      </c>
      <c r="K289" s="82"/>
      <c r="L289" s="82"/>
      <c r="M289" s="80">
        <f t="shared" si="86"/>
        <v>1</v>
      </c>
      <c r="N289" s="77">
        <v>7</v>
      </c>
      <c r="O289" s="78">
        <f t="shared" si="96"/>
        <v>1</v>
      </c>
      <c r="P289" s="82"/>
      <c r="Q289" s="82"/>
      <c r="R289" s="80">
        <f t="shared" si="87"/>
        <v>1</v>
      </c>
      <c r="S289" s="77">
        <v>7</v>
      </c>
      <c r="T289" s="78">
        <f t="shared" si="97"/>
        <v>1</v>
      </c>
      <c r="U289" s="79"/>
      <c r="V289" s="79"/>
      <c r="W289" s="80">
        <f t="shared" si="88"/>
        <v>1</v>
      </c>
      <c r="X289" s="77">
        <v>7</v>
      </c>
      <c r="Y289" s="78">
        <f t="shared" si="98"/>
        <v>1</v>
      </c>
      <c r="Z289" s="79"/>
      <c r="AA289" s="79"/>
      <c r="AB289" s="80">
        <f t="shared" si="89"/>
        <v>1</v>
      </c>
      <c r="AC289" s="77">
        <v>7</v>
      </c>
      <c r="AD289" s="78">
        <f t="shared" si="99"/>
        <v>1</v>
      </c>
      <c r="AE289" s="79"/>
      <c r="AF289" s="79"/>
      <c r="AG289" s="80">
        <f t="shared" si="90"/>
        <v>1</v>
      </c>
      <c r="AH289" s="77">
        <f t="shared" si="91"/>
        <v>35</v>
      </c>
      <c r="AI289" s="79">
        <f t="shared" si="100"/>
        <v>0</v>
      </c>
      <c r="AJ289" s="79">
        <f t="shared" si="92"/>
        <v>0</v>
      </c>
      <c r="AK289" s="81">
        <f t="shared" si="93"/>
        <v>5</v>
      </c>
      <c r="AL289" s="81" t="str">
        <f t="shared" si="101"/>
        <v>CRIT</v>
      </c>
      <c r="AM289" s="81">
        <f t="shared" si="102"/>
        <v>22</v>
      </c>
      <c r="AN289" s="99">
        <f t="shared" si="103"/>
        <v>42884</v>
      </c>
      <c r="AO289" s="99">
        <f t="shared" si="104"/>
        <v>42888</v>
      </c>
      <c r="AP289" s="99"/>
      <c r="AQ289" s="73"/>
      <c r="AR289" s="67"/>
      <c r="AS289" s="132"/>
    </row>
    <row r="290" spans="1:45" ht="20.25" customHeight="1" thickTop="1" thickBot="1" x14ac:dyDescent="0.3">
      <c r="A290" s="74" t="str">
        <f t="shared" ca="1" si="105"/>
        <v/>
      </c>
      <c r="B290" s="75" t="str">
        <f t="shared" ca="1" si="106"/>
        <v/>
      </c>
      <c r="C290" s="76" t="str">
        <f>IF(AND('Interimaire Juin  2017'!D296=$B$1,'Interimaire Juin  2017'!J296=$B$2),'Interimaire Juin  2017'!E296,"")</f>
        <v/>
      </c>
      <c r="D290" s="76" t="str">
        <f>IF(AND('Interimaire Juin  2017'!D296=$B$1,'Interimaire Juin  2017'!J296=$B$2),'Interimaire Juin  2017'!F296,"")</f>
        <v/>
      </c>
      <c r="E290" s="76" t="str">
        <f t="shared" si="94"/>
        <v/>
      </c>
      <c r="F290" s="76" t="str">
        <f t="array" aca="1" ref="F290" ca="1">IFERROR(INDEX(C:C,SMALL($E$2:$E$300,ROW(INDIRECT("282:"&amp;ROWS(C282:C580))))),"")</f>
        <v/>
      </c>
      <c r="G290" s="76" t="str">
        <f t="array" aca="1" ref="G290" ca="1">IFERROR(INDEX(D:D,SMALL($E$2:$E$300,ROW(INDIRECT("282:"&amp;ROWS(D282:D580))))),"")</f>
        <v/>
      </c>
      <c r="H290" s="82"/>
      <c r="I290" s="77">
        <v>7</v>
      </c>
      <c r="J290" s="78">
        <f t="shared" si="95"/>
        <v>1</v>
      </c>
      <c r="K290" s="82"/>
      <c r="L290" s="82"/>
      <c r="M290" s="80">
        <f t="shared" si="86"/>
        <v>1</v>
      </c>
      <c r="N290" s="77">
        <v>7</v>
      </c>
      <c r="O290" s="78">
        <f t="shared" si="96"/>
        <v>1</v>
      </c>
      <c r="P290" s="82"/>
      <c r="Q290" s="82"/>
      <c r="R290" s="80">
        <f t="shared" si="87"/>
        <v>1</v>
      </c>
      <c r="S290" s="77">
        <v>7</v>
      </c>
      <c r="T290" s="78">
        <f t="shared" si="97"/>
        <v>1</v>
      </c>
      <c r="U290" s="79"/>
      <c r="V290" s="79"/>
      <c r="W290" s="80">
        <f t="shared" si="88"/>
        <v>1</v>
      </c>
      <c r="X290" s="77">
        <v>7</v>
      </c>
      <c r="Y290" s="78">
        <f t="shared" si="98"/>
        <v>1</v>
      </c>
      <c r="Z290" s="79"/>
      <c r="AA290" s="79"/>
      <c r="AB290" s="80">
        <f t="shared" si="89"/>
        <v>1</v>
      </c>
      <c r="AC290" s="77">
        <v>7</v>
      </c>
      <c r="AD290" s="78">
        <f t="shared" si="99"/>
        <v>1</v>
      </c>
      <c r="AE290" s="79"/>
      <c r="AF290" s="79"/>
      <c r="AG290" s="80">
        <f t="shared" si="90"/>
        <v>1</v>
      </c>
      <c r="AH290" s="77">
        <f t="shared" si="91"/>
        <v>35</v>
      </c>
      <c r="AI290" s="79">
        <f t="shared" si="100"/>
        <v>0</v>
      </c>
      <c r="AJ290" s="79">
        <f t="shared" si="92"/>
        <v>0</v>
      </c>
      <c r="AK290" s="81">
        <f t="shared" si="93"/>
        <v>5</v>
      </c>
      <c r="AL290" s="81" t="str">
        <f t="shared" si="101"/>
        <v>CRIT</v>
      </c>
      <c r="AM290" s="81">
        <f t="shared" si="102"/>
        <v>22</v>
      </c>
      <c r="AN290" s="99">
        <f t="shared" si="103"/>
        <v>42884</v>
      </c>
      <c r="AO290" s="99">
        <f t="shared" si="104"/>
        <v>42888</v>
      </c>
      <c r="AP290" s="99"/>
      <c r="AQ290" s="73"/>
      <c r="AR290" s="67"/>
      <c r="AS290" s="132"/>
    </row>
    <row r="291" spans="1:45" ht="20.25" customHeight="1" thickTop="1" thickBot="1" x14ac:dyDescent="0.3">
      <c r="A291" s="74" t="str">
        <f t="shared" ca="1" si="105"/>
        <v/>
      </c>
      <c r="B291" s="75" t="str">
        <f t="shared" ca="1" si="106"/>
        <v/>
      </c>
      <c r="C291" s="76" t="str">
        <f>IF(AND('Interimaire Juin  2017'!D297=$B$1,'Interimaire Juin  2017'!J297=$B$2),'Interimaire Juin  2017'!E297,"")</f>
        <v/>
      </c>
      <c r="D291" s="76" t="str">
        <f>IF(AND('Interimaire Juin  2017'!D297=$B$1,'Interimaire Juin  2017'!J297=$B$2),'Interimaire Juin  2017'!F297,"")</f>
        <v/>
      </c>
      <c r="E291" s="76" t="str">
        <f t="shared" si="94"/>
        <v/>
      </c>
      <c r="F291" s="76" t="str">
        <f t="array" aca="1" ref="F291" ca="1">IFERROR(INDEX(C:C,SMALL($E$2:$E$300,ROW(INDIRECT("283:"&amp;ROWS(C283:C581))))),"")</f>
        <v/>
      </c>
      <c r="G291" s="76" t="str">
        <f t="array" aca="1" ref="G291" ca="1">IFERROR(INDEX(D:D,SMALL($E$2:$E$300,ROW(INDIRECT("283:"&amp;ROWS(D283:D581))))),"")</f>
        <v/>
      </c>
      <c r="H291" s="82"/>
      <c r="I291" s="77">
        <v>7</v>
      </c>
      <c r="J291" s="78">
        <f t="shared" si="95"/>
        <v>1</v>
      </c>
      <c r="K291" s="82"/>
      <c r="L291" s="82"/>
      <c r="M291" s="80">
        <f t="shared" si="86"/>
        <v>1</v>
      </c>
      <c r="N291" s="77">
        <v>7</v>
      </c>
      <c r="O291" s="78">
        <f t="shared" si="96"/>
        <v>1</v>
      </c>
      <c r="P291" s="82"/>
      <c r="Q291" s="82"/>
      <c r="R291" s="80">
        <f t="shared" si="87"/>
        <v>1</v>
      </c>
      <c r="S291" s="77">
        <v>7</v>
      </c>
      <c r="T291" s="78">
        <f t="shared" si="97"/>
        <v>1</v>
      </c>
      <c r="U291" s="79"/>
      <c r="V291" s="79"/>
      <c r="W291" s="80">
        <f t="shared" si="88"/>
        <v>1</v>
      </c>
      <c r="X291" s="77">
        <v>7</v>
      </c>
      <c r="Y291" s="78">
        <f t="shared" si="98"/>
        <v>1</v>
      </c>
      <c r="Z291" s="79"/>
      <c r="AA291" s="79"/>
      <c r="AB291" s="80">
        <f t="shared" si="89"/>
        <v>1</v>
      </c>
      <c r="AC291" s="77">
        <v>7</v>
      </c>
      <c r="AD291" s="78">
        <f t="shared" si="99"/>
        <v>1</v>
      </c>
      <c r="AE291" s="79"/>
      <c r="AF291" s="79"/>
      <c r="AG291" s="80">
        <f t="shared" si="90"/>
        <v>1</v>
      </c>
      <c r="AH291" s="77">
        <f t="shared" si="91"/>
        <v>35</v>
      </c>
      <c r="AI291" s="79">
        <f t="shared" si="100"/>
        <v>0</v>
      </c>
      <c r="AJ291" s="79">
        <f t="shared" si="92"/>
        <v>0</v>
      </c>
      <c r="AK291" s="81">
        <f t="shared" si="93"/>
        <v>5</v>
      </c>
      <c r="AL291" s="81" t="str">
        <f t="shared" si="101"/>
        <v>CRIT</v>
      </c>
      <c r="AM291" s="81">
        <f t="shared" si="102"/>
        <v>22</v>
      </c>
      <c r="AN291" s="99">
        <f t="shared" si="103"/>
        <v>42884</v>
      </c>
      <c r="AO291" s="99">
        <f t="shared" si="104"/>
        <v>42888</v>
      </c>
      <c r="AP291" s="99"/>
      <c r="AQ291" s="73"/>
      <c r="AR291" s="67"/>
      <c r="AS291" s="132"/>
    </row>
    <row r="292" spans="1:45" ht="20.25" customHeight="1" thickTop="1" thickBot="1" x14ac:dyDescent="0.3">
      <c r="A292" s="74" t="str">
        <f t="shared" ca="1" si="105"/>
        <v/>
      </c>
      <c r="B292" s="75" t="str">
        <f t="shared" ca="1" si="106"/>
        <v/>
      </c>
      <c r="C292" s="76" t="str">
        <f>IF(AND('Interimaire Juin  2017'!D298=$B$1,'Interimaire Juin  2017'!J298=$B$2),'Interimaire Juin  2017'!E298,"")</f>
        <v/>
      </c>
      <c r="D292" s="76" t="str">
        <f>IF(AND('Interimaire Juin  2017'!D298=$B$1,'Interimaire Juin  2017'!J298=$B$2),'Interimaire Juin  2017'!F298,"")</f>
        <v/>
      </c>
      <c r="E292" s="76" t="str">
        <f t="shared" si="94"/>
        <v/>
      </c>
      <c r="F292" s="76" t="str">
        <f t="array" aca="1" ref="F292" ca="1">IFERROR(INDEX(C:C,SMALL($E$2:$E$300,ROW(INDIRECT("284:"&amp;ROWS(C284:C582))))),"")</f>
        <v/>
      </c>
      <c r="G292" s="76" t="str">
        <f t="array" aca="1" ref="G292" ca="1">IFERROR(INDEX(D:D,SMALL($E$2:$E$300,ROW(INDIRECT("284:"&amp;ROWS(D284:D582))))),"")</f>
        <v/>
      </c>
      <c r="H292" s="82"/>
      <c r="I292" s="77">
        <v>7</v>
      </c>
      <c r="J292" s="78">
        <f t="shared" si="95"/>
        <v>1</v>
      </c>
      <c r="K292" s="82"/>
      <c r="L292" s="82"/>
      <c r="M292" s="80">
        <f t="shared" si="86"/>
        <v>1</v>
      </c>
      <c r="N292" s="77">
        <v>7</v>
      </c>
      <c r="O292" s="78">
        <f t="shared" si="96"/>
        <v>1</v>
      </c>
      <c r="P292" s="82"/>
      <c r="Q292" s="82"/>
      <c r="R292" s="80">
        <f t="shared" si="87"/>
        <v>1</v>
      </c>
      <c r="S292" s="77">
        <v>7</v>
      </c>
      <c r="T292" s="78">
        <f t="shared" si="97"/>
        <v>1</v>
      </c>
      <c r="U292" s="79"/>
      <c r="V292" s="79"/>
      <c r="W292" s="80">
        <f t="shared" si="88"/>
        <v>1</v>
      </c>
      <c r="X292" s="77">
        <v>7</v>
      </c>
      <c r="Y292" s="78">
        <f t="shared" si="98"/>
        <v>1</v>
      </c>
      <c r="Z292" s="79"/>
      <c r="AA292" s="79"/>
      <c r="AB292" s="80">
        <f t="shared" si="89"/>
        <v>1</v>
      </c>
      <c r="AC292" s="77">
        <v>7</v>
      </c>
      <c r="AD292" s="78">
        <f t="shared" si="99"/>
        <v>1</v>
      </c>
      <c r="AE292" s="79"/>
      <c r="AF292" s="79"/>
      <c r="AG292" s="80">
        <f t="shared" si="90"/>
        <v>1</v>
      </c>
      <c r="AH292" s="77">
        <f t="shared" si="91"/>
        <v>35</v>
      </c>
      <c r="AI292" s="79">
        <f t="shared" si="100"/>
        <v>0</v>
      </c>
      <c r="AJ292" s="79">
        <f t="shared" si="92"/>
        <v>0</v>
      </c>
      <c r="AK292" s="81">
        <f t="shared" si="93"/>
        <v>5</v>
      </c>
      <c r="AL292" s="81" t="str">
        <f t="shared" si="101"/>
        <v>CRIT</v>
      </c>
      <c r="AM292" s="81">
        <f t="shared" si="102"/>
        <v>22</v>
      </c>
      <c r="AN292" s="99">
        <f t="shared" si="103"/>
        <v>42884</v>
      </c>
      <c r="AO292" s="99">
        <f t="shared" si="104"/>
        <v>42888</v>
      </c>
      <c r="AP292" s="99"/>
      <c r="AQ292" s="73"/>
      <c r="AR292" s="67"/>
      <c r="AS292" s="132"/>
    </row>
    <row r="293" spans="1:45" ht="20.25" customHeight="1" thickTop="1" thickBot="1" x14ac:dyDescent="0.3">
      <c r="A293" s="74" t="str">
        <f t="shared" ca="1" si="105"/>
        <v/>
      </c>
      <c r="B293" s="75" t="str">
        <f t="shared" ca="1" si="106"/>
        <v/>
      </c>
      <c r="C293" s="76" t="str">
        <f>IF(AND('Interimaire Juin  2017'!D299=$B$1,'Interimaire Juin  2017'!J299=$B$2),'Interimaire Juin  2017'!E299,"")</f>
        <v/>
      </c>
      <c r="D293" s="76" t="str">
        <f>IF(AND('Interimaire Juin  2017'!D299=$B$1,'Interimaire Juin  2017'!J299=$B$2),'Interimaire Juin  2017'!F299,"")</f>
        <v/>
      </c>
      <c r="E293" s="76" t="str">
        <f t="shared" si="94"/>
        <v/>
      </c>
      <c r="F293" s="76" t="str">
        <f t="array" aca="1" ref="F293" ca="1">IFERROR(INDEX(C:C,SMALL($E$2:$E$300,ROW(INDIRECT("285:"&amp;ROWS(C285:C583))))),"")</f>
        <v/>
      </c>
      <c r="G293" s="76" t="str">
        <f t="array" aca="1" ref="G293" ca="1">IFERROR(INDEX(D:D,SMALL($E$2:$E$300,ROW(INDIRECT("285:"&amp;ROWS(D285:D583))))),"")</f>
        <v/>
      </c>
      <c r="H293" s="82"/>
      <c r="I293" s="77">
        <v>7</v>
      </c>
      <c r="J293" s="78">
        <f t="shared" si="95"/>
        <v>1</v>
      </c>
      <c r="K293" s="82"/>
      <c r="L293" s="82"/>
      <c r="M293" s="80">
        <f t="shared" ref="M293:M300" si="107">+J293</f>
        <v>1</v>
      </c>
      <c r="N293" s="77">
        <v>7</v>
      </c>
      <c r="O293" s="78">
        <f t="shared" si="96"/>
        <v>1</v>
      </c>
      <c r="P293" s="82"/>
      <c r="Q293" s="82"/>
      <c r="R293" s="80">
        <f t="shared" ref="R293:R300" si="108">+O293</f>
        <v>1</v>
      </c>
      <c r="S293" s="77">
        <v>7</v>
      </c>
      <c r="T293" s="78">
        <f t="shared" si="97"/>
        <v>1</v>
      </c>
      <c r="U293" s="79"/>
      <c r="V293" s="79"/>
      <c r="W293" s="80">
        <f t="shared" ref="W293:W300" si="109">+T293</f>
        <v>1</v>
      </c>
      <c r="X293" s="77">
        <v>7</v>
      </c>
      <c r="Y293" s="78">
        <f t="shared" si="98"/>
        <v>1</v>
      </c>
      <c r="Z293" s="79"/>
      <c r="AA293" s="79"/>
      <c r="AB293" s="80">
        <f t="shared" ref="AB293:AB300" si="110">+Y293</f>
        <v>1</v>
      </c>
      <c r="AC293" s="77">
        <v>7</v>
      </c>
      <c r="AD293" s="78">
        <f t="shared" si="99"/>
        <v>1</v>
      </c>
      <c r="AE293" s="79"/>
      <c r="AF293" s="79"/>
      <c r="AG293" s="80">
        <f t="shared" ref="AG293:AG300" si="111">+AD293</f>
        <v>1</v>
      </c>
      <c r="AH293" s="77">
        <f t="shared" ref="AH293:AH300" si="112">I293+N293+S293+X293+AC293</f>
        <v>35</v>
      </c>
      <c r="AI293" s="79">
        <f t="shared" si="100"/>
        <v>0</v>
      </c>
      <c r="AJ293" s="79">
        <f t="shared" ref="AJ293:AJ300" si="113">+AF293+AA293+V293+Q293+L293</f>
        <v>0</v>
      </c>
      <c r="AK293" s="81">
        <f t="shared" ref="AK293:AK300" si="114">+AG293+AB293+W293+O293+J293</f>
        <v>5</v>
      </c>
      <c r="AL293" s="81" t="str">
        <f t="shared" si="101"/>
        <v>CRIT</v>
      </c>
      <c r="AM293" s="81">
        <f t="shared" si="102"/>
        <v>22</v>
      </c>
      <c r="AN293" s="99">
        <f t="shared" si="103"/>
        <v>42884</v>
      </c>
      <c r="AO293" s="99">
        <f t="shared" si="104"/>
        <v>42888</v>
      </c>
      <c r="AP293" s="99"/>
      <c r="AQ293" s="73"/>
      <c r="AR293" s="67"/>
      <c r="AS293" s="132"/>
    </row>
    <row r="294" spans="1:45" ht="20.25" customHeight="1" thickTop="1" thickBot="1" x14ac:dyDescent="0.3">
      <c r="A294" s="74" t="str">
        <f t="shared" ca="1" si="105"/>
        <v/>
      </c>
      <c r="B294" s="75" t="str">
        <f t="shared" ca="1" si="106"/>
        <v/>
      </c>
      <c r="C294" s="76" t="str">
        <f>IF(AND('Interimaire Juin  2017'!D300=$B$1,'Interimaire Juin  2017'!J300=$B$2),'Interimaire Juin  2017'!E300,"")</f>
        <v/>
      </c>
      <c r="D294" s="76" t="str">
        <f>IF(AND('Interimaire Juin  2017'!D300=$B$1,'Interimaire Juin  2017'!J300=$B$2),'Interimaire Juin  2017'!F300,"")</f>
        <v/>
      </c>
      <c r="E294" s="76" t="str">
        <f t="shared" si="94"/>
        <v/>
      </c>
      <c r="F294" s="76" t="str">
        <f t="array" aca="1" ref="F294" ca="1">IFERROR(INDEX(C:C,SMALL($E$2:$E$300,ROW(INDIRECT("286:"&amp;ROWS(C286:C584))))),"")</f>
        <v/>
      </c>
      <c r="G294" s="76" t="str">
        <f t="array" aca="1" ref="G294" ca="1">IFERROR(INDEX(D:D,SMALL($E$2:$E$300,ROW(INDIRECT("286:"&amp;ROWS(D286:D584))))),"")</f>
        <v/>
      </c>
      <c r="H294" s="82"/>
      <c r="I294" s="77">
        <v>7</v>
      </c>
      <c r="J294" s="78">
        <f t="shared" si="95"/>
        <v>1</v>
      </c>
      <c r="K294" s="82"/>
      <c r="L294" s="82"/>
      <c r="M294" s="80">
        <f t="shared" si="107"/>
        <v>1</v>
      </c>
      <c r="N294" s="77">
        <v>7</v>
      </c>
      <c r="O294" s="78">
        <f t="shared" si="96"/>
        <v>1</v>
      </c>
      <c r="P294" s="82"/>
      <c r="Q294" s="82"/>
      <c r="R294" s="80">
        <f t="shared" si="108"/>
        <v>1</v>
      </c>
      <c r="S294" s="77">
        <v>7</v>
      </c>
      <c r="T294" s="78">
        <f t="shared" si="97"/>
        <v>1</v>
      </c>
      <c r="U294" s="79"/>
      <c r="V294" s="79"/>
      <c r="W294" s="80">
        <f t="shared" si="109"/>
        <v>1</v>
      </c>
      <c r="X294" s="77">
        <v>7</v>
      </c>
      <c r="Y294" s="78">
        <f t="shared" si="98"/>
        <v>1</v>
      </c>
      <c r="Z294" s="79"/>
      <c r="AA294" s="79"/>
      <c r="AB294" s="80">
        <f t="shared" si="110"/>
        <v>1</v>
      </c>
      <c r="AC294" s="77">
        <v>7</v>
      </c>
      <c r="AD294" s="78">
        <f t="shared" si="99"/>
        <v>1</v>
      </c>
      <c r="AE294" s="79"/>
      <c r="AF294" s="79"/>
      <c r="AG294" s="80">
        <f t="shared" si="111"/>
        <v>1</v>
      </c>
      <c r="AH294" s="77">
        <f t="shared" si="112"/>
        <v>35</v>
      </c>
      <c r="AI294" s="79">
        <f t="shared" si="100"/>
        <v>0</v>
      </c>
      <c r="AJ294" s="79">
        <f t="shared" si="113"/>
        <v>0</v>
      </c>
      <c r="AK294" s="81">
        <f t="shared" si="114"/>
        <v>5</v>
      </c>
      <c r="AL294" s="81" t="str">
        <f t="shared" si="101"/>
        <v>CRIT</v>
      </c>
      <c r="AM294" s="81">
        <f t="shared" si="102"/>
        <v>22</v>
      </c>
      <c r="AN294" s="99">
        <f t="shared" si="103"/>
        <v>42884</v>
      </c>
      <c r="AO294" s="99">
        <f t="shared" si="104"/>
        <v>42888</v>
      </c>
      <c r="AP294" s="99"/>
      <c r="AQ294" s="73"/>
      <c r="AR294" s="67"/>
      <c r="AS294" s="132"/>
    </row>
    <row r="295" spans="1:45" ht="20.25" customHeight="1" thickTop="1" thickBot="1" x14ac:dyDescent="0.3">
      <c r="A295" s="74" t="str">
        <f t="shared" ca="1" si="105"/>
        <v/>
      </c>
      <c r="B295" s="75" t="str">
        <f t="shared" ca="1" si="106"/>
        <v/>
      </c>
      <c r="C295" s="76" t="str">
        <f>IF(AND('Interimaire Juin  2017'!D301=$B$1,'Interimaire Juin  2017'!J301=$B$2),'Interimaire Juin  2017'!E301,"")</f>
        <v/>
      </c>
      <c r="D295" s="76" t="str">
        <f>IF(AND('Interimaire Juin  2017'!D301=$B$1,'Interimaire Juin  2017'!J301=$B$2),'Interimaire Juin  2017'!F301,"")</f>
        <v/>
      </c>
      <c r="E295" s="76" t="str">
        <f t="shared" si="94"/>
        <v/>
      </c>
      <c r="F295" s="76" t="str">
        <f t="array" aca="1" ref="F295" ca="1">IFERROR(INDEX(C:C,SMALL($E$2:$E$300,ROW(INDIRECT("287:"&amp;ROWS(C287:C585))))),"")</f>
        <v/>
      </c>
      <c r="G295" s="76" t="str">
        <f t="array" aca="1" ref="G295" ca="1">IFERROR(INDEX(D:D,SMALL($E$2:$E$300,ROW(INDIRECT("287:"&amp;ROWS(D287:D585))))),"")</f>
        <v/>
      </c>
      <c r="H295" s="82"/>
      <c r="I295" s="77">
        <v>7</v>
      </c>
      <c r="J295" s="78">
        <f t="shared" si="95"/>
        <v>1</v>
      </c>
      <c r="K295" s="82"/>
      <c r="L295" s="82"/>
      <c r="M295" s="80">
        <f t="shared" si="107"/>
        <v>1</v>
      </c>
      <c r="N295" s="77">
        <v>7</v>
      </c>
      <c r="O295" s="78">
        <f t="shared" si="96"/>
        <v>1</v>
      </c>
      <c r="P295" s="82"/>
      <c r="Q295" s="82"/>
      <c r="R295" s="80">
        <f t="shared" si="108"/>
        <v>1</v>
      </c>
      <c r="S295" s="77">
        <v>7</v>
      </c>
      <c r="T295" s="78">
        <f t="shared" si="97"/>
        <v>1</v>
      </c>
      <c r="U295" s="79"/>
      <c r="V295" s="79"/>
      <c r="W295" s="80">
        <f t="shared" si="109"/>
        <v>1</v>
      </c>
      <c r="X295" s="77">
        <v>7</v>
      </c>
      <c r="Y295" s="78">
        <f t="shared" si="98"/>
        <v>1</v>
      </c>
      <c r="Z295" s="79"/>
      <c r="AA295" s="79"/>
      <c r="AB295" s="80">
        <f t="shared" si="110"/>
        <v>1</v>
      </c>
      <c r="AC295" s="77">
        <v>7</v>
      </c>
      <c r="AD295" s="78">
        <f t="shared" si="99"/>
        <v>1</v>
      </c>
      <c r="AE295" s="79"/>
      <c r="AF295" s="79"/>
      <c r="AG295" s="80">
        <f t="shared" si="111"/>
        <v>1</v>
      </c>
      <c r="AH295" s="77">
        <f t="shared" si="112"/>
        <v>35</v>
      </c>
      <c r="AI295" s="79">
        <f t="shared" si="100"/>
        <v>0</v>
      </c>
      <c r="AJ295" s="79">
        <f t="shared" si="113"/>
        <v>0</v>
      </c>
      <c r="AK295" s="81">
        <f t="shared" si="114"/>
        <v>5</v>
      </c>
      <c r="AL295" s="81" t="str">
        <f t="shared" si="101"/>
        <v>CRIT</v>
      </c>
      <c r="AM295" s="81">
        <f t="shared" si="102"/>
        <v>22</v>
      </c>
      <c r="AN295" s="99">
        <f t="shared" si="103"/>
        <v>42884</v>
      </c>
      <c r="AO295" s="99">
        <f t="shared" si="104"/>
        <v>42888</v>
      </c>
      <c r="AP295" s="99"/>
      <c r="AQ295" s="73"/>
      <c r="AR295" s="67"/>
      <c r="AS295" s="132"/>
    </row>
    <row r="296" spans="1:45" ht="20.25" customHeight="1" thickTop="1" thickBot="1" x14ac:dyDescent="0.3">
      <c r="A296" s="74" t="str">
        <f t="shared" ca="1" si="105"/>
        <v/>
      </c>
      <c r="B296" s="75" t="str">
        <f t="shared" ca="1" si="106"/>
        <v/>
      </c>
      <c r="C296" s="76" t="str">
        <f>IF(AND('Interimaire Juin  2017'!D302=$B$1,'Interimaire Juin  2017'!J302=$B$2),'Interimaire Juin  2017'!E302,"")</f>
        <v/>
      </c>
      <c r="D296" s="76" t="str">
        <f>IF(AND('Interimaire Juin  2017'!D302=$B$1,'Interimaire Juin  2017'!J302=$B$2),'Interimaire Juin  2017'!F302,"")</f>
        <v/>
      </c>
      <c r="E296" s="76" t="str">
        <f t="shared" si="94"/>
        <v/>
      </c>
      <c r="F296" s="76" t="str">
        <f t="array" aca="1" ref="F296" ca="1">IFERROR(INDEX(C:C,SMALL($E$2:$E$300,ROW(INDIRECT("288:"&amp;ROWS(C288:C586))))),"")</f>
        <v/>
      </c>
      <c r="G296" s="76" t="str">
        <f t="array" aca="1" ref="G296" ca="1">IFERROR(INDEX(D:D,SMALL($E$2:$E$300,ROW(INDIRECT("288:"&amp;ROWS(D288:D586))))),"")</f>
        <v/>
      </c>
      <c r="H296" s="82"/>
      <c r="I296" s="77">
        <v>7</v>
      </c>
      <c r="J296" s="78">
        <f t="shared" si="95"/>
        <v>1</v>
      </c>
      <c r="K296" s="82"/>
      <c r="L296" s="82"/>
      <c r="M296" s="80">
        <f t="shared" si="107"/>
        <v>1</v>
      </c>
      <c r="N296" s="77">
        <v>7</v>
      </c>
      <c r="O296" s="78">
        <f t="shared" si="96"/>
        <v>1</v>
      </c>
      <c r="P296" s="82"/>
      <c r="Q296" s="82"/>
      <c r="R296" s="80">
        <f t="shared" si="108"/>
        <v>1</v>
      </c>
      <c r="S296" s="77">
        <v>7</v>
      </c>
      <c r="T296" s="78">
        <f t="shared" si="97"/>
        <v>1</v>
      </c>
      <c r="U296" s="79"/>
      <c r="V296" s="79"/>
      <c r="W296" s="80">
        <f t="shared" si="109"/>
        <v>1</v>
      </c>
      <c r="X296" s="77">
        <v>7</v>
      </c>
      <c r="Y296" s="78">
        <f t="shared" si="98"/>
        <v>1</v>
      </c>
      <c r="Z296" s="79"/>
      <c r="AA296" s="79"/>
      <c r="AB296" s="80">
        <f t="shared" si="110"/>
        <v>1</v>
      </c>
      <c r="AC296" s="77">
        <v>7</v>
      </c>
      <c r="AD296" s="78">
        <f t="shared" si="99"/>
        <v>1</v>
      </c>
      <c r="AE296" s="79"/>
      <c r="AF296" s="79"/>
      <c r="AG296" s="80">
        <f t="shared" si="111"/>
        <v>1</v>
      </c>
      <c r="AH296" s="77">
        <f t="shared" si="112"/>
        <v>35</v>
      </c>
      <c r="AI296" s="79">
        <f t="shared" si="100"/>
        <v>0</v>
      </c>
      <c r="AJ296" s="79">
        <f t="shared" si="113"/>
        <v>0</v>
      </c>
      <c r="AK296" s="81">
        <f t="shared" si="114"/>
        <v>5</v>
      </c>
      <c r="AL296" s="81" t="str">
        <f t="shared" si="101"/>
        <v>CRIT</v>
      </c>
      <c r="AM296" s="81">
        <f t="shared" si="102"/>
        <v>22</v>
      </c>
      <c r="AN296" s="99">
        <f t="shared" si="103"/>
        <v>42884</v>
      </c>
      <c r="AO296" s="99">
        <f t="shared" si="104"/>
        <v>42888</v>
      </c>
      <c r="AP296" s="99"/>
      <c r="AQ296" s="73"/>
      <c r="AR296" s="67"/>
      <c r="AS296" s="132"/>
    </row>
    <row r="297" spans="1:45" ht="20.25" customHeight="1" thickTop="1" thickBot="1" x14ac:dyDescent="0.3">
      <c r="A297" s="74" t="str">
        <f t="shared" ca="1" si="105"/>
        <v/>
      </c>
      <c r="B297" s="75" t="str">
        <f t="shared" ca="1" si="106"/>
        <v/>
      </c>
      <c r="C297" s="76" t="str">
        <f>IF(AND('Interimaire Juin  2017'!D303=$B$1,'Interimaire Juin  2017'!J303=$B$2),'Interimaire Juin  2017'!E303,"")</f>
        <v/>
      </c>
      <c r="D297" s="76" t="str">
        <f>IF(AND('Interimaire Juin  2017'!D303=$B$1,'Interimaire Juin  2017'!J303=$B$2),'Interimaire Juin  2017'!F303,"")</f>
        <v/>
      </c>
      <c r="E297" s="76" t="str">
        <f t="shared" si="94"/>
        <v/>
      </c>
      <c r="F297" s="76" t="str">
        <f t="array" aca="1" ref="F297" ca="1">IFERROR(INDEX(C:C,SMALL($E$2:$E$300,ROW(INDIRECT("289:"&amp;ROWS(C289:C587))))),"")</f>
        <v/>
      </c>
      <c r="G297" s="76" t="str">
        <f t="array" aca="1" ref="G297" ca="1">IFERROR(INDEX(D:D,SMALL($E$2:$E$300,ROW(INDIRECT("289:"&amp;ROWS(D289:D587))))),"")</f>
        <v/>
      </c>
      <c r="H297" s="82"/>
      <c r="I297" s="77">
        <v>7</v>
      </c>
      <c r="J297" s="78">
        <f t="shared" si="95"/>
        <v>1</v>
      </c>
      <c r="K297" s="82"/>
      <c r="L297" s="82"/>
      <c r="M297" s="80">
        <f t="shared" si="107"/>
        <v>1</v>
      </c>
      <c r="N297" s="77">
        <v>7</v>
      </c>
      <c r="O297" s="78">
        <f t="shared" si="96"/>
        <v>1</v>
      </c>
      <c r="P297" s="82"/>
      <c r="Q297" s="82"/>
      <c r="R297" s="80">
        <f t="shared" si="108"/>
        <v>1</v>
      </c>
      <c r="S297" s="77">
        <v>7</v>
      </c>
      <c r="T297" s="78">
        <f t="shared" si="97"/>
        <v>1</v>
      </c>
      <c r="U297" s="79"/>
      <c r="V297" s="79"/>
      <c r="W297" s="80">
        <f t="shared" si="109"/>
        <v>1</v>
      </c>
      <c r="X297" s="77">
        <v>7</v>
      </c>
      <c r="Y297" s="78">
        <f t="shared" si="98"/>
        <v>1</v>
      </c>
      <c r="Z297" s="79"/>
      <c r="AA297" s="79"/>
      <c r="AB297" s="80">
        <f t="shared" si="110"/>
        <v>1</v>
      </c>
      <c r="AC297" s="77">
        <v>7</v>
      </c>
      <c r="AD297" s="78">
        <f t="shared" si="99"/>
        <v>1</v>
      </c>
      <c r="AE297" s="79"/>
      <c r="AF297" s="79"/>
      <c r="AG297" s="80">
        <f t="shared" si="111"/>
        <v>1</v>
      </c>
      <c r="AH297" s="77">
        <f t="shared" si="112"/>
        <v>35</v>
      </c>
      <c r="AI297" s="79">
        <f t="shared" si="100"/>
        <v>0</v>
      </c>
      <c r="AJ297" s="79">
        <f t="shared" si="113"/>
        <v>0</v>
      </c>
      <c r="AK297" s="81">
        <f t="shared" si="114"/>
        <v>5</v>
      </c>
      <c r="AL297" s="81" t="str">
        <f t="shared" si="101"/>
        <v>CRIT</v>
      </c>
      <c r="AM297" s="81">
        <f t="shared" si="102"/>
        <v>22</v>
      </c>
      <c r="AN297" s="99">
        <f t="shared" si="103"/>
        <v>42884</v>
      </c>
      <c r="AO297" s="99">
        <f t="shared" si="104"/>
        <v>42888</v>
      </c>
      <c r="AP297" s="99"/>
      <c r="AQ297" s="73"/>
      <c r="AR297" s="67"/>
      <c r="AS297" s="132"/>
    </row>
    <row r="298" spans="1:45" ht="20.25" customHeight="1" thickTop="1" thickBot="1" x14ac:dyDescent="0.3">
      <c r="A298" s="74" t="str">
        <f t="shared" ca="1" si="105"/>
        <v/>
      </c>
      <c r="B298" s="75" t="str">
        <f t="shared" ca="1" si="106"/>
        <v/>
      </c>
      <c r="C298" s="76" t="str">
        <f>IF(AND('Interimaire Juin  2017'!D304=$B$1,'Interimaire Juin  2017'!J304=$B$2),'Interimaire Juin  2017'!E304,"")</f>
        <v/>
      </c>
      <c r="D298" s="76" t="str">
        <f>IF(AND('Interimaire Juin  2017'!D304=$B$1,'Interimaire Juin  2017'!J304=$B$2),'Interimaire Juin  2017'!F304,"")</f>
        <v/>
      </c>
      <c r="E298" s="76" t="str">
        <f t="shared" si="94"/>
        <v/>
      </c>
      <c r="F298" s="76" t="str">
        <f t="array" aca="1" ref="F298" ca="1">IFERROR(INDEX(C:C,SMALL($E$2:$E$300,ROW(INDIRECT("290:"&amp;ROWS(C290:C588))))),"")</f>
        <v/>
      </c>
      <c r="G298" s="76" t="str">
        <f t="array" aca="1" ref="G298" ca="1">IFERROR(INDEX(D:D,SMALL($E$2:$E$300,ROW(INDIRECT("290:"&amp;ROWS(D290:D588))))),"")</f>
        <v/>
      </c>
      <c r="H298" s="82"/>
      <c r="I298" s="77">
        <v>7</v>
      </c>
      <c r="J298" s="78">
        <f t="shared" si="95"/>
        <v>1</v>
      </c>
      <c r="K298" s="82"/>
      <c r="L298" s="82"/>
      <c r="M298" s="80">
        <f t="shared" si="107"/>
        <v>1</v>
      </c>
      <c r="N298" s="77">
        <v>7</v>
      </c>
      <c r="O298" s="78">
        <f t="shared" si="96"/>
        <v>1</v>
      </c>
      <c r="P298" s="82"/>
      <c r="Q298" s="82"/>
      <c r="R298" s="80">
        <f t="shared" si="108"/>
        <v>1</v>
      </c>
      <c r="S298" s="77">
        <v>7</v>
      </c>
      <c r="T298" s="78">
        <f t="shared" si="97"/>
        <v>1</v>
      </c>
      <c r="U298" s="79"/>
      <c r="V298" s="79"/>
      <c r="W298" s="80">
        <f t="shared" si="109"/>
        <v>1</v>
      </c>
      <c r="X298" s="77">
        <v>7</v>
      </c>
      <c r="Y298" s="78">
        <f t="shared" si="98"/>
        <v>1</v>
      </c>
      <c r="Z298" s="79"/>
      <c r="AA298" s="79"/>
      <c r="AB298" s="80">
        <f t="shared" si="110"/>
        <v>1</v>
      </c>
      <c r="AC298" s="77">
        <v>7</v>
      </c>
      <c r="AD298" s="78">
        <f t="shared" si="99"/>
        <v>1</v>
      </c>
      <c r="AE298" s="79"/>
      <c r="AF298" s="79"/>
      <c r="AG298" s="80">
        <f t="shared" si="111"/>
        <v>1</v>
      </c>
      <c r="AH298" s="77">
        <f t="shared" si="112"/>
        <v>35</v>
      </c>
      <c r="AI298" s="79">
        <f t="shared" si="100"/>
        <v>0</v>
      </c>
      <c r="AJ298" s="79">
        <f t="shared" si="113"/>
        <v>0</v>
      </c>
      <c r="AK298" s="81">
        <f t="shared" si="114"/>
        <v>5</v>
      </c>
      <c r="AL298" s="81" t="str">
        <f t="shared" si="101"/>
        <v>CRIT</v>
      </c>
      <c r="AM298" s="81">
        <f t="shared" si="102"/>
        <v>22</v>
      </c>
      <c r="AN298" s="99">
        <f t="shared" si="103"/>
        <v>42884</v>
      </c>
      <c r="AO298" s="99">
        <f t="shared" si="104"/>
        <v>42888</v>
      </c>
      <c r="AP298" s="99"/>
      <c r="AQ298" s="73"/>
      <c r="AR298" s="67"/>
      <c r="AS298" s="132"/>
    </row>
    <row r="299" spans="1:45" ht="20.25" customHeight="1" thickTop="1" thickBot="1" x14ac:dyDescent="0.3">
      <c r="A299" s="74" t="str">
        <f t="shared" ca="1" si="105"/>
        <v/>
      </c>
      <c r="B299" s="75" t="str">
        <f t="shared" ca="1" si="106"/>
        <v/>
      </c>
      <c r="C299" s="76" t="str">
        <f>IF(AND('Interimaire Juin  2017'!D305=$B$1,'Interimaire Juin  2017'!J305=$B$2),'Interimaire Juin  2017'!E305,"")</f>
        <v/>
      </c>
      <c r="D299" s="76" t="str">
        <f>IF(AND('Interimaire Juin  2017'!D305=$B$1,'Interimaire Juin  2017'!J305=$B$2),'Interimaire Juin  2017'!F305,"")</f>
        <v/>
      </c>
      <c r="E299" s="76" t="str">
        <f t="shared" si="94"/>
        <v/>
      </c>
      <c r="F299" s="76" t="str">
        <f t="array" aca="1" ref="F299" ca="1">IFERROR(INDEX(C:C,SMALL($E$2:$E$300,ROW(INDIRECT("291:"&amp;ROWS(C291:C589))))),"")</f>
        <v/>
      </c>
      <c r="G299" s="76" t="str">
        <f t="array" aca="1" ref="G299" ca="1">IFERROR(INDEX(D:D,SMALL($E$2:$E$300,ROW(INDIRECT("291:"&amp;ROWS(D291:D589))))),"")</f>
        <v/>
      </c>
      <c r="H299" s="82"/>
      <c r="I299" s="77">
        <v>7</v>
      </c>
      <c r="J299" s="78">
        <f t="shared" si="95"/>
        <v>1</v>
      </c>
      <c r="K299" s="82"/>
      <c r="L299" s="82"/>
      <c r="M299" s="80">
        <f t="shared" si="107"/>
        <v>1</v>
      </c>
      <c r="N299" s="77">
        <v>7</v>
      </c>
      <c r="O299" s="78">
        <f t="shared" si="96"/>
        <v>1</v>
      </c>
      <c r="P299" s="82"/>
      <c r="Q299" s="82"/>
      <c r="R299" s="80">
        <f t="shared" si="108"/>
        <v>1</v>
      </c>
      <c r="S299" s="77">
        <v>7</v>
      </c>
      <c r="T299" s="78">
        <f t="shared" si="97"/>
        <v>1</v>
      </c>
      <c r="U299" s="79"/>
      <c r="V299" s="79"/>
      <c r="W299" s="80">
        <f t="shared" si="109"/>
        <v>1</v>
      </c>
      <c r="X299" s="77">
        <v>7</v>
      </c>
      <c r="Y299" s="78">
        <f t="shared" si="98"/>
        <v>1</v>
      </c>
      <c r="Z299" s="79"/>
      <c r="AA299" s="79"/>
      <c r="AB299" s="80">
        <f t="shared" si="110"/>
        <v>1</v>
      </c>
      <c r="AC299" s="77">
        <v>7</v>
      </c>
      <c r="AD299" s="78">
        <f t="shared" si="99"/>
        <v>1</v>
      </c>
      <c r="AE299" s="79"/>
      <c r="AF299" s="79"/>
      <c r="AG299" s="80">
        <f t="shared" si="111"/>
        <v>1</v>
      </c>
      <c r="AH299" s="77">
        <f t="shared" si="112"/>
        <v>35</v>
      </c>
      <c r="AI299" s="79">
        <f t="shared" si="100"/>
        <v>0</v>
      </c>
      <c r="AJ299" s="79">
        <f t="shared" si="113"/>
        <v>0</v>
      </c>
      <c r="AK299" s="81">
        <f t="shared" si="114"/>
        <v>5</v>
      </c>
      <c r="AL299" s="81" t="str">
        <f t="shared" si="101"/>
        <v>CRIT</v>
      </c>
      <c r="AM299" s="81">
        <f t="shared" si="102"/>
        <v>22</v>
      </c>
      <c r="AN299" s="99">
        <f t="shared" si="103"/>
        <v>42884</v>
      </c>
      <c r="AO299" s="99">
        <f t="shared" si="104"/>
        <v>42888</v>
      </c>
      <c r="AP299" s="99"/>
      <c r="AQ299" s="73"/>
      <c r="AR299" s="67"/>
      <c r="AS299" s="132"/>
    </row>
    <row r="300" spans="1:45" ht="20.25" customHeight="1" thickTop="1" thickBot="1" x14ac:dyDescent="0.3">
      <c r="A300" s="74" t="str">
        <f t="shared" ca="1" si="105"/>
        <v/>
      </c>
      <c r="B300" s="75" t="str">
        <f t="shared" ca="1" si="106"/>
        <v/>
      </c>
      <c r="C300" s="76" t="str">
        <f>IF(AND('Interimaire Juin  2017'!D306=$B$1,'Interimaire Juin  2017'!J306=$B$2),'Interimaire Juin  2017'!E306,"")</f>
        <v/>
      </c>
      <c r="D300" s="76" t="str">
        <f>IF(AND('Interimaire Juin  2017'!D306=$B$1,'Interimaire Juin  2017'!J306=$B$2),'Interimaire Juin  2017'!F306,"")</f>
        <v/>
      </c>
      <c r="E300" s="76" t="str">
        <f t="shared" si="94"/>
        <v/>
      </c>
      <c r="F300" s="76" t="str">
        <f t="array" aca="1" ref="F300" ca="1">IFERROR(INDEX(C:C,SMALL($E$2:$E$300,ROW(INDIRECT("292:"&amp;ROWS(C292:C590))))),"")</f>
        <v/>
      </c>
      <c r="G300" s="76" t="str">
        <f t="array" aca="1" ref="G300" ca="1">IFERROR(INDEX(D:D,SMALL($E$2:$E$300,ROW(INDIRECT("292:"&amp;ROWS(D292:D590))))),"")</f>
        <v/>
      </c>
      <c r="H300" s="82"/>
      <c r="I300" s="77">
        <v>7</v>
      </c>
      <c r="J300" s="78">
        <f t="shared" si="95"/>
        <v>1</v>
      </c>
      <c r="K300" s="82"/>
      <c r="L300" s="82"/>
      <c r="M300" s="80">
        <f t="shared" si="107"/>
        <v>1</v>
      </c>
      <c r="N300" s="77">
        <v>7</v>
      </c>
      <c r="O300" s="78">
        <f t="shared" si="96"/>
        <v>1</v>
      </c>
      <c r="P300" s="82"/>
      <c r="Q300" s="82"/>
      <c r="R300" s="80">
        <f t="shared" si="108"/>
        <v>1</v>
      </c>
      <c r="S300" s="77">
        <v>7</v>
      </c>
      <c r="T300" s="78">
        <f t="shared" si="97"/>
        <v>1</v>
      </c>
      <c r="U300" s="79"/>
      <c r="V300" s="79"/>
      <c r="W300" s="80">
        <f t="shared" si="109"/>
        <v>1</v>
      </c>
      <c r="X300" s="77">
        <v>7</v>
      </c>
      <c r="Y300" s="78">
        <f t="shared" si="98"/>
        <v>1</v>
      </c>
      <c r="Z300" s="79"/>
      <c r="AA300" s="79"/>
      <c r="AB300" s="80">
        <f t="shared" si="110"/>
        <v>1</v>
      </c>
      <c r="AC300" s="77">
        <v>7</v>
      </c>
      <c r="AD300" s="78">
        <f t="shared" si="99"/>
        <v>1</v>
      </c>
      <c r="AE300" s="79"/>
      <c r="AF300" s="79"/>
      <c r="AG300" s="80">
        <f t="shared" si="111"/>
        <v>1</v>
      </c>
      <c r="AH300" s="77">
        <f t="shared" si="112"/>
        <v>35</v>
      </c>
      <c r="AI300" s="79">
        <f t="shared" si="100"/>
        <v>0</v>
      </c>
      <c r="AJ300" s="79">
        <f t="shared" si="113"/>
        <v>0</v>
      </c>
      <c r="AK300" s="81">
        <f t="shared" si="114"/>
        <v>5</v>
      </c>
      <c r="AL300" s="81" t="str">
        <f t="shared" si="101"/>
        <v>CRIT</v>
      </c>
      <c r="AM300" s="81">
        <f t="shared" si="102"/>
        <v>22</v>
      </c>
      <c r="AN300" s="99">
        <f t="shared" si="103"/>
        <v>42884</v>
      </c>
      <c r="AO300" s="99">
        <f t="shared" si="104"/>
        <v>42888</v>
      </c>
      <c r="AP300" s="99"/>
      <c r="AQ300" s="73"/>
      <c r="AR300" s="67"/>
      <c r="AS300" s="132"/>
    </row>
    <row r="301" spans="1:45" ht="15.75" thickTop="1" x14ac:dyDescent="0.25"/>
  </sheetData>
  <autoFilter ref="A8:G300"/>
  <mergeCells count="8">
    <mergeCell ref="AT1:AT4"/>
    <mergeCell ref="V1:AQ4"/>
    <mergeCell ref="AH7:AK7"/>
    <mergeCell ref="I7:M7"/>
    <mergeCell ref="N7:R7"/>
    <mergeCell ref="S7:W7"/>
    <mergeCell ref="X7:AB7"/>
    <mergeCell ref="AC7:AG7"/>
  </mergeCells>
  <pageMargins left="0.70866141732283472" right="0.70866141732283472" top="0.74803149606299213" bottom="0.74803149606299213" header="0.31496062992125984" footer="0.31496062992125984"/>
  <pageSetup paperSize="9" scale="71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Feuil4!$D$1:$D$4</xm:f>
          </x14:formula1>
          <xm:sqref>B1</xm:sqref>
        </x14:dataValidation>
        <x14:dataValidation type="list" allowBlank="1" showInputMessage="1" showErrorMessage="1">
          <x14:formula1>
            <xm:f>Feuil4!$B$1:$B$31</xm:f>
          </x14:formula1>
          <xm:sqref>B2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>
      <selection activeCell="E16" sqref="E16"/>
    </sheetView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31"/>
  <sheetViews>
    <sheetView workbookViewId="0">
      <selection activeCell="C1" sqref="C1"/>
    </sheetView>
  </sheetViews>
  <sheetFormatPr baseColWidth="10" defaultRowHeight="15" x14ac:dyDescent="0.25"/>
  <sheetData>
    <row r="1" spans="1:6" x14ac:dyDescent="0.25">
      <c r="A1" s="70" t="s">
        <v>91</v>
      </c>
      <c r="B1" s="70">
        <v>22</v>
      </c>
      <c r="C1" s="70">
        <v>2017</v>
      </c>
      <c r="D1" s="71" t="s">
        <v>92</v>
      </c>
      <c r="E1" s="72">
        <v>42884</v>
      </c>
      <c r="F1" s="72">
        <v>42888</v>
      </c>
    </row>
    <row r="2" spans="1:6" x14ac:dyDescent="0.25">
      <c r="A2" s="70" t="s">
        <v>93</v>
      </c>
      <c r="B2" s="70">
        <v>23</v>
      </c>
      <c r="C2" s="70"/>
      <c r="D2" s="71" t="s">
        <v>62</v>
      </c>
      <c r="E2" s="72">
        <v>42891</v>
      </c>
      <c r="F2" s="72">
        <v>42895</v>
      </c>
    </row>
    <row r="3" spans="1:6" x14ac:dyDescent="0.25">
      <c r="A3" s="70" t="s">
        <v>94</v>
      </c>
      <c r="B3" s="70">
        <v>24</v>
      </c>
      <c r="C3" s="70"/>
      <c r="D3" s="71" t="s">
        <v>95</v>
      </c>
      <c r="E3" s="72">
        <v>42898</v>
      </c>
      <c r="F3" s="72">
        <v>42902</v>
      </c>
    </row>
    <row r="4" spans="1:6" x14ac:dyDescent="0.25">
      <c r="A4" s="70" t="s">
        <v>96</v>
      </c>
      <c r="B4" s="70">
        <v>25</v>
      </c>
      <c r="C4" s="70"/>
      <c r="D4" s="71" t="s">
        <v>85</v>
      </c>
      <c r="E4" s="72">
        <v>42905</v>
      </c>
      <c r="F4" s="72">
        <v>42909</v>
      </c>
    </row>
    <row r="5" spans="1:6" x14ac:dyDescent="0.25">
      <c r="A5" s="70" t="s">
        <v>97</v>
      </c>
      <c r="B5" s="70">
        <v>26</v>
      </c>
      <c r="C5" s="70"/>
      <c r="D5" s="70"/>
      <c r="E5" s="72">
        <v>42912</v>
      </c>
      <c r="F5" s="72">
        <v>42916</v>
      </c>
    </row>
    <row r="6" spans="1:6" x14ac:dyDescent="0.25">
      <c r="A6" s="70" t="s">
        <v>98</v>
      </c>
      <c r="B6" s="70">
        <v>27</v>
      </c>
      <c r="C6" s="70"/>
      <c r="D6" s="70"/>
      <c r="E6" s="72">
        <v>42919</v>
      </c>
      <c r="F6" s="72">
        <v>42923</v>
      </c>
    </row>
    <row r="7" spans="1:6" x14ac:dyDescent="0.25">
      <c r="A7" s="70" t="s">
        <v>99</v>
      </c>
      <c r="B7" s="70">
        <v>28</v>
      </c>
      <c r="C7" s="70"/>
      <c r="D7" s="70"/>
      <c r="E7" s="72">
        <v>42926</v>
      </c>
      <c r="F7" s="72">
        <v>42930</v>
      </c>
    </row>
    <row r="8" spans="1:6" x14ac:dyDescent="0.25">
      <c r="A8" s="70"/>
      <c r="B8" s="70">
        <v>29</v>
      </c>
      <c r="C8" s="70"/>
      <c r="D8" s="70"/>
      <c r="E8" s="72">
        <v>42933</v>
      </c>
      <c r="F8" s="72">
        <v>42937</v>
      </c>
    </row>
    <row r="9" spans="1:6" x14ac:dyDescent="0.25">
      <c r="A9" s="70"/>
      <c r="B9" s="70">
        <v>30</v>
      </c>
      <c r="C9" s="70"/>
      <c r="D9" s="70"/>
      <c r="E9" s="72">
        <v>42940</v>
      </c>
      <c r="F9" s="72">
        <v>42944</v>
      </c>
    </row>
    <row r="10" spans="1:6" x14ac:dyDescent="0.25">
      <c r="A10" s="70"/>
      <c r="B10" s="70">
        <v>31</v>
      </c>
      <c r="C10" s="70"/>
      <c r="D10" s="70"/>
      <c r="E10" s="72">
        <v>42947</v>
      </c>
      <c r="F10" s="72">
        <v>42951</v>
      </c>
    </row>
    <row r="11" spans="1:6" x14ac:dyDescent="0.25">
      <c r="A11" s="70"/>
      <c r="B11" s="70">
        <v>32</v>
      </c>
      <c r="C11" s="70"/>
      <c r="D11" s="70"/>
      <c r="E11" s="72">
        <v>42954</v>
      </c>
      <c r="F11" s="72">
        <v>42958</v>
      </c>
    </row>
    <row r="12" spans="1:6" x14ac:dyDescent="0.25">
      <c r="A12" s="70"/>
      <c r="B12" s="70">
        <v>33</v>
      </c>
      <c r="C12" s="70"/>
      <c r="D12" s="70"/>
      <c r="E12" s="72">
        <v>42961</v>
      </c>
      <c r="F12" s="72">
        <v>42965</v>
      </c>
    </row>
    <row r="13" spans="1:6" x14ac:dyDescent="0.25">
      <c r="A13" s="70"/>
      <c r="B13" s="70">
        <v>34</v>
      </c>
      <c r="C13" s="70"/>
      <c r="D13" s="70"/>
      <c r="E13" s="72">
        <v>42968</v>
      </c>
      <c r="F13" s="72">
        <v>42972</v>
      </c>
    </row>
    <row r="14" spans="1:6" x14ac:dyDescent="0.25">
      <c r="A14" s="70"/>
      <c r="B14" s="70">
        <v>35</v>
      </c>
      <c r="C14" s="70"/>
      <c r="D14" s="70"/>
      <c r="E14" s="72">
        <v>42975</v>
      </c>
      <c r="F14" s="72">
        <v>42979</v>
      </c>
    </row>
    <row r="15" spans="1:6" x14ac:dyDescent="0.25">
      <c r="A15" s="70"/>
      <c r="B15" s="70">
        <v>36</v>
      </c>
      <c r="C15" s="70"/>
      <c r="D15" s="70"/>
      <c r="E15" s="72">
        <v>42982</v>
      </c>
      <c r="F15" s="72">
        <v>42986</v>
      </c>
    </row>
    <row r="16" spans="1:6" x14ac:dyDescent="0.25">
      <c r="A16" s="70"/>
      <c r="B16" s="70">
        <v>37</v>
      </c>
      <c r="C16" s="70"/>
      <c r="D16" s="70"/>
      <c r="E16" s="72">
        <v>42989</v>
      </c>
      <c r="F16" s="72">
        <v>42993</v>
      </c>
    </row>
    <row r="17" spans="2:6" x14ac:dyDescent="0.25">
      <c r="B17" s="70">
        <v>38</v>
      </c>
      <c r="C17" s="70"/>
      <c r="D17" s="70"/>
      <c r="E17" s="72">
        <v>42996</v>
      </c>
      <c r="F17" s="72">
        <v>43000</v>
      </c>
    </row>
    <row r="18" spans="2:6" x14ac:dyDescent="0.25">
      <c r="B18" s="70">
        <v>39</v>
      </c>
      <c r="C18" s="70"/>
      <c r="D18" s="70"/>
      <c r="E18" s="72">
        <v>43003</v>
      </c>
      <c r="F18" s="72">
        <v>43007</v>
      </c>
    </row>
    <row r="19" spans="2:6" x14ac:dyDescent="0.25">
      <c r="B19" s="70">
        <v>40</v>
      </c>
      <c r="C19" s="70"/>
      <c r="D19" s="70"/>
      <c r="E19" s="72">
        <v>43010</v>
      </c>
      <c r="F19" s="72">
        <v>43014</v>
      </c>
    </row>
    <row r="20" spans="2:6" x14ac:dyDescent="0.25">
      <c r="B20" s="70">
        <v>41</v>
      </c>
      <c r="C20" s="70"/>
      <c r="D20" s="70"/>
      <c r="E20" s="72">
        <v>43017</v>
      </c>
      <c r="F20" s="72">
        <v>43021</v>
      </c>
    </row>
    <row r="21" spans="2:6" x14ac:dyDescent="0.25">
      <c r="B21" s="70">
        <v>42</v>
      </c>
      <c r="C21" s="70"/>
      <c r="D21" s="70"/>
      <c r="E21" s="72">
        <v>43024</v>
      </c>
      <c r="F21" s="72">
        <v>43028</v>
      </c>
    </row>
    <row r="22" spans="2:6" x14ac:dyDescent="0.25">
      <c r="B22" s="70">
        <v>43</v>
      </c>
      <c r="C22" s="70"/>
      <c r="D22" s="70"/>
      <c r="E22" s="72">
        <v>43031</v>
      </c>
      <c r="F22" s="72">
        <v>43035</v>
      </c>
    </row>
    <row r="23" spans="2:6" x14ac:dyDescent="0.25">
      <c r="B23" s="70">
        <v>44</v>
      </c>
      <c r="C23" s="70"/>
      <c r="D23" s="70"/>
      <c r="E23" s="72">
        <v>43038</v>
      </c>
      <c r="F23" s="72">
        <v>43042</v>
      </c>
    </row>
    <row r="24" spans="2:6" x14ac:dyDescent="0.25">
      <c r="B24" s="70">
        <v>45</v>
      </c>
      <c r="C24" s="70"/>
      <c r="D24" s="70"/>
      <c r="E24" s="72">
        <v>43045</v>
      </c>
      <c r="F24" s="72">
        <v>43049</v>
      </c>
    </row>
    <row r="25" spans="2:6" x14ac:dyDescent="0.25">
      <c r="B25" s="70">
        <v>46</v>
      </c>
      <c r="C25" s="70"/>
      <c r="D25" s="70"/>
      <c r="E25" s="72">
        <v>43052</v>
      </c>
      <c r="F25" s="72">
        <v>43056</v>
      </c>
    </row>
    <row r="26" spans="2:6" x14ac:dyDescent="0.25">
      <c r="B26" s="70">
        <v>47</v>
      </c>
      <c r="C26" s="70"/>
      <c r="D26" s="70"/>
      <c r="E26" s="72">
        <v>43059</v>
      </c>
      <c r="F26" s="72">
        <v>43063</v>
      </c>
    </row>
    <row r="27" spans="2:6" x14ac:dyDescent="0.25">
      <c r="B27" s="70">
        <v>48</v>
      </c>
      <c r="C27" s="70"/>
      <c r="D27" s="70"/>
      <c r="E27" s="72">
        <v>43066</v>
      </c>
      <c r="F27" s="72">
        <v>43070</v>
      </c>
    </row>
    <row r="28" spans="2:6" x14ac:dyDescent="0.25">
      <c r="B28" s="70">
        <v>49</v>
      </c>
      <c r="C28" s="70"/>
      <c r="D28" s="70"/>
      <c r="E28" s="72">
        <v>43073</v>
      </c>
      <c r="F28" s="72">
        <v>43077</v>
      </c>
    </row>
    <row r="29" spans="2:6" x14ac:dyDescent="0.25">
      <c r="B29" s="70">
        <v>50</v>
      </c>
      <c r="C29" s="70"/>
      <c r="D29" s="70"/>
      <c r="E29" s="72">
        <v>43080</v>
      </c>
      <c r="F29" s="72">
        <v>43084</v>
      </c>
    </row>
    <row r="30" spans="2:6" x14ac:dyDescent="0.25">
      <c r="B30" s="70">
        <v>51</v>
      </c>
      <c r="C30" s="70"/>
      <c r="D30" s="70"/>
      <c r="E30" s="72">
        <v>43087</v>
      </c>
      <c r="F30" s="72">
        <v>43091</v>
      </c>
    </row>
    <row r="31" spans="2:6" x14ac:dyDescent="0.25">
      <c r="B31" s="70">
        <v>52</v>
      </c>
      <c r="C31" s="70"/>
      <c r="D31" s="70"/>
      <c r="E31" s="72">
        <v>43094</v>
      </c>
      <c r="F31" s="72">
        <v>43098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K13"/>
  <sheetViews>
    <sheetView workbookViewId="0">
      <selection activeCell="A4" sqref="A4:AK13"/>
    </sheetView>
  </sheetViews>
  <sheetFormatPr baseColWidth="10" defaultRowHeight="15" x14ac:dyDescent="0.25"/>
  <cols>
    <col min="3" max="8" width="0" hidden="1" customWidth="1"/>
    <col min="10" max="10" width="0" hidden="1" customWidth="1"/>
    <col min="15" max="15" width="0" hidden="1" customWidth="1"/>
    <col min="20" max="20" width="0" hidden="1" customWidth="1"/>
    <col min="25" max="25" width="0" hidden="1" customWidth="1"/>
    <col min="30" max="30" width="0" hidden="1" customWidth="1"/>
  </cols>
  <sheetData>
    <row r="1" spans="1:37" ht="15.75" thickBot="1" x14ac:dyDescent="0.3">
      <c r="A1" s="70"/>
      <c r="B1" s="70"/>
      <c r="C1" s="70"/>
      <c r="D1" s="70"/>
      <c r="E1" s="70"/>
      <c r="F1" s="70"/>
      <c r="G1" s="70"/>
      <c r="H1" s="70"/>
      <c r="I1" s="70"/>
      <c r="J1" s="70"/>
      <c r="K1" s="70"/>
      <c r="L1" s="70"/>
      <c r="M1" s="70"/>
      <c r="N1" s="70"/>
      <c r="O1" s="70"/>
      <c r="P1" s="70"/>
      <c r="Q1" s="70"/>
      <c r="R1" s="70"/>
      <c r="S1" s="70"/>
      <c r="T1" s="70"/>
      <c r="U1" s="70"/>
      <c r="V1" s="70"/>
      <c r="W1" s="70"/>
      <c r="X1" s="70"/>
      <c r="Y1" s="70"/>
      <c r="Z1" s="70"/>
      <c r="AA1" s="70"/>
      <c r="AB1" s="70"/>
      <c r="AC1" s="70"/>
      <c r="AD1" s="70"/>
      <c r="AE1" s="70"/>
      <c r="AF1" s="70"/>
      <c r="AG1" s="70"/>
      <c r="AH1" s="70"/>
      <c r="AI1" s="70"/>
      <c r="AJ1" s="70"/>
      <c r="AK1" s="70"/>
    </row>
    <row r="2" spans="1:37" ht="16.5" thickTop="1" thickBot="1" x14ac:dyDescent="0.3">
      <c r="A2" s="93"/>
      <c r="B2" s="93"/>
      <c r="C2" s="70"/>
      <c r="D2" s="70"/>
      <c r="E2" s="70"/>
      <c r="F2" s="70"/>
      <c r="G2" s="70"/>
      <c r="H2" s="70"/>
      <c r="I2" s="126" t="s">
        <v>64</v>
      </c>
      <c r="J2" s="127"/>
      <c r="K2" s="127"/>
      <c r="L2" s="127"/>
      <c r="M2" s="128"/>
      <c r="N2" s="126" t="s">
        <v>65</v>
      </c>
      <c r="O2" s="127"/>
      <c r="P2" s="127"/>
      <c r="Q2" s="127"/>
      <c r="R2" s="128"/>
      <c r="S2" s="126" t="s">
        <v>66</v>
      </c>
      <c r="T2" s="127"/>
      <c r="U2" s="127"/>
      <c r="V2" s="127"/>
      <c r="W2" s="128"/>
      <c r="X2" s="126" t="s">
        <v>67</v>
      </c>
      <c r="Y2" s="127"/>
      <c r="Z2" s="127"/>
      <c r="AA2" s="127"/>
      <c r="AB2" s="128"/>
      <c r="AC2" s="126" t="s">
        <v>68</v>
      </c>
      <c r="AD2" s="127"/>
      <c r="AE2" s="127"/>
      <c r="AF2" s="127"/>
      <c r="AG2" s="128"/>
      <c r="AH2" s="120" t="s">
        <v>24</v>
      </c>
      <c r="AI2" s="121"/>
      <c r="AJ2" s="121"/>
      <c r="AK2" s="122"/>
    </row>
    <row r="3" spans="1:37" ht="16.5" thickTop="1" thickBot="1" x14ac:dyDescent="0.3">
      <c r="A3" s="94" t="s">
        <v>34</v>
      </c>
      <c r="B3" s="95" t="s">
        <v>36</v>
      </c>
      <c r="C3" s="69"/>
      <c r="D3" s="69"/>
      <c r="E3" s="69"/>
      <c r="F3" s="69"/>
      <c r="G3" s="69"/>
      <c r="H3" s="69"/>
      <c r="I3" s="89" t="s">
        <v>69</v>
      </c>
      <c r="J3" s="90"/>
      <c r="K3" s="90" t="s">
        <v>70</v>
      </c>
      <c r="L3" s="90" t="s">
        <v>71</v>
      </c>
      <c r="M3" s="91" t="s">
        <v>72</v>
      </c>
      <c r="N3" s="89" t="s">
        <v>69</v>
      </c>
      <c r="O3" s="90"/>
      <c r="P3" s="90" t="s">
        <v>70</v>
      </c>
      <c r="Q3" s="90" t="s">
        <v>71</v>
      </c>
      <c r="R3" s="91" t="s">
        <v>72</v>
      </c>
      <c r="S3" s="89" t="s">
        <v>69</v>
      </c>
      <c r="T3" s="90"/>
      <c r="U3" s="90" t="s">
        <v>70</v>
      </c>
      <c r="V3" s="90" t="s">
        <v>71</v>
      </c>
      <c r="W3" s="91" t="s">
        <v>72</v>
      </c>
      <c r="X3" s="89" t="s">
        <v>69</v>
      </c>
      <c r="Y3" s="90"/>
      <c r="Z3" s="90" t="s">
        <v>70</v>
      </c>
      <c r="AA3" s="90" t="s">
        <v>71</v>
      </c>
      <c r="AB3" s="91" t="s">
        <v>72</v>
      </c>
      <c r="AC3" s="89" t="s">
        <v>69</v>
      </c>
      <c r="AD3" s="90"/>
      <c r="AE3" s="90" t="s">
        <v>70</v>
      </c>
      <c r="AF3" s="90" t="s">
        <v>71</v>
      </c>
      <c r="AG3" s="91" t="s">
        <v>72</v>
      </c>
      <c r="AH3" s="89" t="s">
        <v>69</v>
      </c>
      <c r="AI3" s="90" t="s">
        <v>70</v>
      </c>
      <c r="AJ3" s="90" t="s">
        <v>71</v>
      </c>
      <c r="AK3" s="91" t="s">
        <v>72</v>
      </c>
    </row>
    <row r="4" spans="1:37" ht="15.75" thickTop="1" x14ac:dyDescent="0.25">
      <c r="A4" t="s">
        <v>58</v>
      </c>
      <c r="B4" t="s">
        <v>106</v>
      </c>
      <c r="C4" t="s">
        <v>107</v>
      </c>
      <c r="D4" t="s">
        <v>107</v>
      </c>
      <c r="E4" t="s">
        <v>107</v>
      </c>
      <c r="F4" t="s">
        <v>58</v>
      </c>
      <c r="G4" t="s">
        <v>106</v>
      </c>
      <c r="I4">
        <v>7</v>
      </c>
      <c r="J4">
        <v>1</v>
      </c>
      <c r="M4">
        <v>1</v>
      </c>
      <c r="N4">
        <v>7</v>
      </c>
      <c r="O4">
        <v>1</v>
      </c>
      <c r="R4">
        <v>1</v>
      </c>
      <c r="S4">
        <v>7</v>
      </c>
      <c r="T4">
        <v>1</v>
      </c>
      <c r="W4">
        <v>1</v>
      </c>
      <c r="X4">
        <v>7</v>
      </c>
      <c r="Y4">
        <v>1</v>
      </c>
      <c r="AB4">
        <v>1</v>
      </c>
      <c r="AC4">
        <v>7</v>
      </c>
      <c r="AD4">
        <v>1</v>
      </c>
      <c r="AG4">
        <v>1</v>
      </c>
      <c r="AH4">
        <v>35</v>
      </c>
      <c r="AI4">
        <v>0</v>
      </c>
      <c r="AJ4">
        <v>0</v>
      </c>
      <c r="AK4">
        <v>5</v>
      </c>
    </row>
    <row r="5" spans="1:37" x14ac:dyDescent="0.25">
      <c r="A5" t="s">
        <v>60</v>
      </c>
      <c r="B5" t="s">
        <v>108</v>
      </c>
      <c r="C5" t="s">
        <v>107</v>
      </c>
      <c r="D5" t="s">
        <v>107</v>
      </c>
      <c r="E5" t="s">
        <v>107</v>
      </c>
      <c r="F5" t="s">
        <v>60</v>
      </c>
      <c r="G5" t="s">
        <v>108</v>
      </c>
      <c r="I5">
        <v>7</v>
      </c>
      <c r="J5">
        <v>1</v>
      </c>
      <c r="M5">
        <v>1</v>
      </c>
      <c r="N5">
        <v>7</v>
      </c>
      <c r="O5">
        <v>1</v>
      </c>
      <c r="R5">
        <v>1</v>
      </c>
      <c r="S5">
        <v>7</v>
      </c>
      <c r="T5">
        <v>1</v>
      </c>
      <c r="W5">
        <v>1</v>
      </c>
      <c r="X5">
        <v>7</v>
      </c>
      <c r="Y5">
        <v>1</v>
      </c>
      <c r="AB5">
        <v>1</v>
      </c>
      <c r="AC5">
        <v>7</v>
      </c>
      <c r="AD5">
        <v>1</v>
      </c>
      <c r="AG5">
        <v>1</v>
      </c>
      <c r="AH5">
        <v>35</v>
      </c>
      <c r="AI5">
        <v>0</v>
      </c>
      <c r="AJ5">
        <v>0</v>
      </c>
      <c r="AK5">
        <v>5</v>
      </c>
    </row>
    <row r="6" spans="1:37" x14ac:dyDescent="0.25">
      <c r="A6" t="s">
        <v>59</v>
      </c>
      <c r="B6" t="s">
        <v>109</v>
      </c>
      <c r="C6" t="s">
        <v>107</v>
      </c>
      <c r="D6" t="s">
        <v>107</v>
      </c>
      <c r="E6" t="s">
        <v>107</v>
      </c>
      <c r="F6" t="s">
        <v>59</v>
      </c>
      <c r="G6" t="s">
        <v>109</v>
      </c>
      <c r="I6">
        <v>7</v>
      </c>
      <c r="J6">
        <v>1</v>
      </c>
      <c r="M6">
        <v>1</v>
      </c>
      <c r="N6">
        <v>7</v>
      </c>
      <c r="O6">
        <v>1</v>
      </c>
      <c r="R6">
        <v>1</v>
      </c>
      <c r="S6">
        <v>7</v>
      </c>
      <c r="T6">
        <v>1</v>
      </c>
      <c r="W6">
        <v>1</v>
      </c>
      <c r="X6">
        <v>7</v>
      </c>
      <c r="Y6">
        <v>1</v>
      </c>
      <c r="AB6">
        <v>1</v>
      </c>
      <c r="AC6">
        <v>7</v>
      </c>
      <c r="AD6">
        <v>1</v>
      </c>
      <c r="AG6">
        <v>1</v>
      </c>
      <c r="AH6">
        <v>35</v>
      </c>
      <c r="AI6">
        <v>0</v>
      </c>
      <c r="AJ6">
        <v>0</v>
      </c>
      <c r="AK6">
        <v>5</v>
      </c>
    </row>
    <row r="7" spans="1:37" x14ac:dyDescent="0.25">
      <c r="A7" t="s">
        <v>78</v>
      </c>
      <c r="B7" t="s">
        <v>79</v>
      </c>
      <c r="C7" t="s">
        <v>107</v>
      </c>
      <c r="D7" t="s">
        <v>107</v>
      </c>
      <c r="E7" t="s">
        <v>107</v>
      </c>
      <c r="F7" t="s">
        <v>78</v>
      </c>
      <c r="G7" t="s">
        <v>79</v>
      </c>
      <c r="I7">
        <v>7</v>
      </c>
      <c r="J7">
        <v>1</v>
      </c>
      <c r="M7">
        <v>1</v>
      </c>
      <c r="N7">
        <v>7</v>
      </c>
      <c r="O7">
        <v>1</v>
      </c>
      <c r="R7">
        <v>1</v>
      </c>
      <c r="S7">
        <v>7</v>
      </c>
      <c r="T7">
        <v>1</v>
      </c>
      <c r="W7">
        <v>1</v>
      </c>
      <c r="X7">
        <v>7</v>
      </c>
      <c r="Y7">
        <v>1</v>
      </c>
      <c r="AB7">
        <v>1</v>
      </c>
      <c r="AC7">
        <v>7</v>
      </c>
      <c r="AD7">
        <v>1</v>
      </c>
      <c r="AG7">
        <v>1</v>
      </c>
      <c r="AH7">
        <v>35</v>
      </c>
      <c r="AI7">
        <v>0</v>
      </c>
      <c r="AJ7">
        <v>0</v>
      </c>
      <c r="AK7">
        <v>5</v>
      </c>
    </row>
    <row r="8" spans="1:37" x14ac:dyDescent="0.25">
      <c r="A8" t="s">
        <v>73</v>
      </c>
      <c r="B8" t="s">
        <v>84</v>
      </c>
      <c r="C8" t="s">
        <v>107</v>
      </c>
      <c r="D8" t="s">
        <v>107</v>
      </c>
      <c r="E8" t="s">
        <v>107</v>
      </c>
      <c r="F8" t="s">
        <v>73</v>
      </c>
      <c r="G8" t="s">
        <v>84</v>
      </c>
      <c r="I8">
        <v>7</v>
      </c>
      <c r="J8">
        <v>1</v>
      </c>
      <c r="M8">
        <v>1</v>
      </c>
      <c r="N8">
        <v>7</v>
      </c>
      <c r="O8">
        <v>1</v>
      </c>
      <c r="R8">
        <v>1</v>
      </c>
      <c r="S8">
        <v>7</v>
      </c>
      <c r="T8">
        <v>1</v>
      </c>
      <c r="W8">
        <v>1</v>
      </c>
      <c r="X8">
        <v>7</v>
      </c>
      <c r="Y8">
        <v>1</v>
      </c>
      <c r="AB8">
        <v>1</v>
      </c>
      <c r="AC8">
        <v>7</v>
      </c>
      <c r="AD8">
        <v>1</v>
      </c>
      <c r="AG8">
        <v>1</v>
      </c>
      <c r="AH8">
        <v>35</v>
      </c>
      <c r="AI8">
        <v>0</v>
      </c>
      <c r="AJ8">
        <v>0</v>
      </c>
      <c r="AK8">
        <v>5</v>
      </c>
    </row>
    <row r="9" spans="1:37" x14ac:dyDescent="0.25">
      <c r="A9" t="s">
        <v>82</v>
      </c>
      <c r="B9" t="s">
        <v>83</v>
      </c>
      <c r="C9" t="s">
        <v>107</v>
      </c>
      <c r="D9" t="s">
        <v>107</v>
      </c>
      <c r="E9" t="s">
        <v>107</v>
      </c>
      <c r="F9" t="s">
        <v>82</v>
      </c>
      <c r="G9" t="s">
        <v>83</v>
      </c>
      <c r="I9">
        <v>7</v>
      </c>
      <c r="J9">
        <v>1</v>
      </c>
      <c r="M9">
        <v>1</v>
      </c>
      <c r="N9">
        <v>7</v>
      </c>
      <c r="O9">
        <v>1</v>
      </c>
      <c r="R9">
        <v>1</v>
      </c>
      <c r="S9">
        <v>7</v>
      </c>
      <c r="T9">
        <v>1</v>
      </c>
      <c r="W9">
        <v>1</v>
      </c>
      <c r="X9">
        <v>7</v>
      </c>
      <c r="Y9">
        <v>1</v>
      </c>
      <c r="AB9">
        <v>1</v>
      </c>
      <c r="AC9">
        <v>7</v>
      </c>
      <c r="AD9">
        <v>1</v>
      </c>
      <c r="AG9">
        <v>1</v>
      </c>
      <c r="AH9">
        <v>35</v>
      </c>
      <c r="AI9">
        <v>0</v>
      </c>
      <c r="AJ9">
        <v>0</v>
      </c>
      <c r="AK9">
        <v>5</v>
      </c>
    </row>
    <row r="10" spans="1:37" x14ac:dyDescent="0.25">
      <c r="A10" t="s">
        <v>74</v>
      </c>
      <c r="B10" t="s">
        <v>86</v>
      </c>
      <c r="C10" t="s">
        <v>107</v>
      </c>
      <c r="D10" t="s">
        <v>107</v>
      </c>
      <c r="E10" t="s">
        <v>107</v>
      </c>
      <c r="F10" t="s">
        <v>74</v>
      </c>
      <c r="G10" t="s">
        <v>86</v>
      </c>
      <c r="I10">
        <v>7</v>
      </c>
      <c r="J10">
        <v>1</v>
      </c>
      <c r="M10">
        <v>1</v>
      </c>
      <c r="N10">
        <v>7</v>
      </c>
      <c r="O10">
        <v>1</v>
      </c>
      <c r="R10">
        <v>1</v>
      </c>
      <c r="S10">
        <v>7</v>
      </c>
      <c r="T10">
        <v>1</v>
      </c>
      <c r="W10">
        <v>1</v>
      </c>
      <c r="X10">
        <v>7</v>
      </c>
      <c r="Y10">
        <v>1</v>
      </c>
      <c r="AB10">
        <v>1</v>
      </c>
      <c r="AC10">
        <v>7</v>
      </c>
      <c r="AD10">
        <v>1</v>
      </c>
      <c r="AG10">
        <v>1</v>
      </c>
      <c r="AH10">
        <v>35</v>
      </c>
      <c r="AI10">
        <v>0</v>
      </c>
      <c r="AJ10">
        <v>0</v>
      </c>
      <c r="AK10">
        <v>5</v>
      </c>
    </row>
    <row r="11" spans="1:37" x14ac:dyDescent="0.25">
      <c r="A11" t="s">
        <v>80</v>
      </c>
      <c r="B11" t="s">
        <v>81</v>
      </c>
      <c r="C11" t="s">
        <v>107</v>
      </c>
      <c r="D11" t="s">
        <v>107</v>
      </c>
      <c r="E11" t="s">
        <v>107</v>
      </c>
      <c r="F11" t="s">
        <v>80</v>
      </c>
      <c r="G11" t="s">
        <v>81</v>
      </c>
      <c r="I11">
        <v>7</v>
      </c>
      <c r="J11">
        <v>1</v>
      </c>
      <c r="M11">
        <v>1</v>
      </c>
      <c r="N11">
        <v>7</v>
      </c>
      <c r="O11">
        <v>1</v>
      </c>
      <c r="R11">
        <v>1</v>
      </c>
      <c r="S11">
        <v>7</v>
      </c>
      <c r="T11">
        <v>1</v>
      </c>
      <c r="W11">
        <v>1</v>
      </c>
      <c r="X11">
        <v>7</v>
      </c>
      <c r="Y11">
        <v>1</v>
      </c>
      <c r="AB11">
        <v>1</v>
      </c>
      <c r="AC11">
        <v>7</v>
      </c>
      <c r="AD11">
        <v>1</v>
      </c>
      <c r="AG11">
        <v>1</v>
      </c>
      <c r="AH11">
        <v>35</v>
      </c>
      <c r="AI11">
        <v>0</v>
      </c>
      <c r="AJ11">
        <v>0</v>
      </c>
      <c r="AK11">
        <v>5</v>
      </c>
    </row>
    <row r="12" spans="1:37" x14ac:dyDescent="0.25">
      <c r="A12" t="s">
        <v>75</v>
      </c>
      <c r="B12" t="s">
        <v>87</v>
      </c>
      <c r="C12" t="s">
        <v>107</v>
      </c>
      <c r="D12" t="s">
        <v>107</v>
      </c>
      <c r="E12" t="s">
        <v>107</v>
      </c>
      <c r="F12" t="s">
        <v>75</v>
      </c>
      <c r="G12" t="s">
        <v>87</v>
      </c>
      <c r="I12">
        <v>7</v>
      </c>
      <c r="J12">
        <v>1</v>
      </c>
      <c r="M12">
        <v>1</v>
      </c>
      <c r="N12">
        <v>7</v>
      </c>
      <c r="O12">
        <v>1</v>
      </c>
      <c r="R12">
        <v>1</v>
      </c>
      <c r="S12">
        <v>7</v>
      </c>
      <c r="T12">
        <v>1</v>
      </c>
      <c r="W12">
        <v>1</v>
      </c>
      <c r="X12">
        <v>7</v>
      </c>
      <c r="Y12">
        <v>1</v>
      </c>
      <c r="AB12">
        <v>1</v>
      </c>
      <c r="AC12">
        <v>7</v>
      </c>
      <c r="AD12">
        <v>1</v>
      </c>
      <c r="AG12">
        <v>1</v>
      </c>
      <c r="AH12">
        <v>35</v>
      </c>
      <c r="AI12">
        <v>0</v>
      </c>
      <c r="AJ12">
        <v>0</v>
      </c>
      <c r="AK12">
        <v>5</v>
      </c>
    </row>
    <row r="13" spans="1:37" x14ac:dyDescent="0.25">
      <c r="A13" t="s">
        <v>76</v>
      </c>
      <c r="B13" t="s">
        <v>88</v>
      </c>
      <c r="C13" t="s">
        <v>107</v>
      </c>
      <c r="D13" t="s">
        <v>107</v>
      </c>
      <c r="E13" t="s">
        <v>107</v>
      </c>
      <c r="F13" t="s">
        <v>76</v>
      </c>
      <c r="G13" t="s">
        <v>88</v>
      </c>
      <c r="I13">
        <v>7</v>
      </c>
      <c r="J13">
        <v>1</v>
      </c>
      <c r="M13">
        <v>1</v>
      </c>
      <c r="N13">
        <v>7</v>
      </c>
      <c r="O13">
        <v>1</v>
      </c>
      <c r="R13">
        <v>1</v>
      </c>
      <c r="S13">
        <v>7</v>
      </c>
      <c r="T13">
        <v>1</v>
      </c>
      <c r="W13">
        <v>1</v>
      </c>
      <c r="X13">
        <v>7</v>
      </c>
      <c r="Y13">
        <v>1</v>
      </c>
      <c r="AB13">
        <v>1</v>
      </c>
      <c r="AC13">
        <v>7</v>
      </c>
      <c r="AD13">
        <v>1</v>
      </c>
      <c r="AG13">
        <v>1</v>
      </c>
      <c r="AH13">
        <v>35</v>
      </c>
      <c r="AI13">
        <v>0</v>
      </c>
      <c r="AJ13">
        <v>0</v>
      </c>
      <c r="AK13">
        <v>5</v>
      </c>
    </row>
  </sheetData>
  <mergeCells count="6">
    <mergeCell ref="AH2:AK2"/>
    <mergeCell ref="I2:M2"/>
    <mergeCell ref="N2:R2"/>
    <mergeCell ref="S2:W2"/>
    <mergeCell ref="X2:AB2"/>
    <mergeCell ref="AC2:AG2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P2"/>
  <sheetViews>
    <sheetView topLeftCell="I1" workbookViewId="0">
      <selection activeCell="AL3" sqref="AL3:AO3"/>
    </sheetView>
  </sheetViews>
  <sheetFormatPr baseColWidth="10" defaultRowHeight="15" x14ac:dyDescent="0.25"/>
  <cols>
    <col min="1" max="1" width="14.42578125" customWidth="1"/>
    <col min="2" max="2" width="14.28515625" customWidth="1"/>
    <col min="3" max="8" width="0" hidden="1" customWidth="1"/>
    <col min="9" max="9" width="7.28515625" customWidth="1"/>
    <col min="10" max="10" width="0" hidden="1" customWidth="1"/>
    <col min="11" max="11" width="6.7109375" customWidth="1"/>
    <col min="12" max="12" width="7.5703125" customWidth="1"/>
    <col min="13" max="13" width="7.28515625" customWidth="1"/>
    <col min="14" max="14" width="7.5703125" customWidth="1"/>
    <col min="15" max="15" width="0" hidden="1" customWidth="1"/>
    <col min="16" max="16" width="6.7109375" customWidth="1"/>
    <col min="17" max="17" width="7.5703125" customWidth="1"/>
    <col min="18" max="18" width="7.28515625" customWidth="1"/>
    <col min="19" max="19" width="9" customWidth="1"/>
    <col min="20" max="20" width="0" hidden="1" customWidth="1"/>
    <col min="21" max="21" width="6.7109375" customWidth="1"/>
    <col min="22" max="22" width="7.5703125" customWidth="1"/>
    <col min="23" max="24" width="7.28515625" customWidth="1"/>
    <col min="25" max="25" width="0" hidden="1" customWidth="1"/>
    <col min="26" max="26" width="6.7109375" customWidth="1"/>
    <col min="27" max="27" width="7.5703125" customWidth="1"/>
    <col min="28" max="28" width="7.28515625" customWidth="1"/>
    <col min="29" max="29" width="9" customWidth="1"/>
    <col min="30" max="30" width="0" hidden="1" customWidth="1"/>
    <col min="31" max="31" width="6.7109375" customWidth="1"/>
    <col min="32" max="32" width="7.5703125" customWidth="1"/>
    <col min="33" max="33" width="7.28515625" customWidth="1"/>
    <col min="34" max="36" width="8.42578125" customWidth="1"/>
    <col min="37" max="37" width="6.85546875" customWidth="1"/>
    <col min="39" max="39" width="11.42578125" style="129"/>
    <col min="40" max="41" width="11.42578125" style="134"/>
    <col min="42" max="42" width="5.85546875" style="129" hidden="1" customWidth="1"/>
  </cols>
  <sheetData>
    <row r="1" spans="1:42" ht="33.75" customHeight="1" thickBot="1" x14ac:dyDescent="0.3">
      <c r="A1" s="101" t="s">
        <v>34</v>
      </c>
      <c r="B1" s="101" t="s">
        <v>36</v>
      </c>
      <c r="C1" s="100"/>
      <c r="D1" s="100"/>
      <c r="E1" s="100"/>
      <c r="F1" s="100"/>
      <c r="G1" s="100"/>
      <c r="H1" s="100"/>
      <c r="I1" s="102" t="s">
        <v>113</v>
      </c>
      <c r="J1" s="103"/>
      <c r="K1" s="103" t="s">
        <v>70</v>
      </c>
      <c r="L1" s="103" t="s">
        <v>71</v>
      </c>
      <c r="M1" s="104" t="s">
        <v>72</v>
      </c>
      <c r="N1" s="102" t="s">
        <v>114</v>
      </c>
      <c r="O1" s="103"/>
      <c r="P1" s="103" t="s">
        <v>70</v>
      </c>
      <c r="Q1" s="103" t="s">
        <v>71</v>
      </c>
      <c r="R1" s="104" t="s">
        <v>72</v>
      </c>
      <c r="S1" s="102" t="s">
        <v>115</v>
      </c>
      <c r="T1" s="103"/>
      <c r="U1" s="103" t="s">
        <v>70</v>
      </c>
      <c r="V1" s="103" t="s">
        <v>71</v>
      </c>
      <c r="W1" s="104" t="s">
        <v>72</v>
      </c>
      <c r="X1" s="102" t="s">
        <v>116</v>
      </c>
      <c r="Y1" s="103"/>
      <c r="Z1" s="103" t="s">
        <v>70</v>
      </c>
      <c r="AA1" s="103" t="s">
        <v>71</v>
      </c>
      <c r="AB1" s="104" t="s">
        <v>72</v>
      </c>
      <c r="AC1" s="102" t="s">
        <v>117</v>
      </c>
      <c r="AD1" s="103"/>
      <c r="AE1" s="103" t="s">
        <v>70</v>
      </c>
      <c r="AF1" s="103" t="s">
        <v>71</v>
      </c>
      <c r="AG1" s="104" t="s">
        <v>72</v>
      </c>
      <c r="AH1" s="102" t="s">
        <v>118</v>
      </c>
      <c r="AI1" s="103" t="s">
        <v>119</v>
      </c>
      <c r="AJ1" s="103" t="s">
        <v>120</v>
      </c>
      <c r="AK1" s="104" t="s">
        <v>121</v>
      </c>
      <c r="AL1" s="105" t="s">
        <v>110</v>
      </c>
      <c r="AM1" s="106" t="s">
        <v>40</v>
      </c>
      <c r="AN1" s="106" t="s">
        <v>111</v>
      </c>
      <c r="AO1" s="106" t="s">
        <v>112</v>
      </c>
      <c r="AP1" s="133" t="s">
        <v>135</v>
      </c>
    </row>
    <row r="2" spans="1:42" ht="15.75" thickTop="1" x14ac:dyDescent="0.25"/>
  </sheetData>
  <pageMargins left="0.7" right="0.7" top="0.75" bottom="0.75" header="0.3" footer="0.3"/>
  <pageSetup paperSize="9"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</vt:i4>
      </vt:variant>
    </vt:vector>
  </HeadingPairs>
  <TitlesOfParts>
    <vt:vector size="8" baseType="lpstr">
      <vt:lpstr>Interimaire Juin  2017</vt:lpstr>
      <vt:lpstr>Feuille Horaires</vt:lpstr>
      <vt:lpstr>Feuil2</vt:lpstr>
      <vt:lpstr>Feuil4</vt:lpstr>
      <vt:lpstr>Feuil1</vt:lpstr>
      <vt:lpstr>Archives</vt:lpstr>
      <vt:lpstr>AAA</vt:lpstr>
      <vt:lpstr>'Feuille Horaires'!Zone_d_impression</vt:lpstr>
    </vt:vector>
  </TitlesOfParts>
  <Company>Bollore-Logistics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BOLLORE</dc:creator>
  <cp:lastModifiedBy>gmb</cp:lastModifiedBy>
  <cp:lastPrinted>2017-07-07T05:19:30Z</cp:lastPrinted>
  <dcterms:created xsi:type="dcterms:W3CDTF">2017-07-05T12:58:58Z</dcterms:created>
  <dcterms:modified xsi:type="dcterms:W3CDTF">2017-07-07T13:35:10Z</dcterms:modified>
</cp:coreProperties>
</file>