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10" windowHeight="8640" tabRatio="712"/>
  </bookViews>
  <sheets>
    <sheet name="Janvier 2016" sheetId="1" r:id="rId1"/>
    <sheet name="DONNÉES" sheetId="3" r:id="rId2"/>
    <sheet name="Feuil2" sheetId="8" r:id="rId3"/>
  </sheets>
  <definedNames>
    <definedName name="_xlnm._FilterDatabase" localSheetId="0" hidden="1">'Janvier 2016'!$A$1:$H$200</definedName>
  </definedNames>
  <calcPr calcId="152511"/>
</workbook>
</file>

<file path=xl/calcChain.xml><?xml version="1.0" encoding="utf-8"?>
<calcChain xmlns="http://schemas.openxmlformats.org/spreadsheetml/2006/main">
  <c r="A2" i="1" l="1"/>
  <c r="A3" i="1"/>
  <c r="A4" i="1"/>
  <c r="A5" i="1"/>
  <c r="A7" i="1"/>
  <c r="A8" i="1"/>
  <c r="A9" i="1"/>
  <c r="A10" i="1"/>
  <c r="A11" i="1"/>
  <c r="A12" i="1"/>
  <c r="A14" i="1"/>
  <c r="A15" i="1"/>
  <c r="A17" i="1"/>
  <c r="A18" i="1"/>
  <c r="A20" i="1"/>
  <c r="A21" i="1"/>
  <c r="A22" i="1"/>
  <c r="A23" i="1"/>
  <c r="A24" i="1"/>
  <c r="A26" i="1"/>
  <c r="A27" i="1"/>
  <c r="A28" i="1"/>
  <c r="A29" i="1"/>
  <c r="A31" i="1"/>
  <c r="A32" i="1"/>
  <c r="A34" i="1"/>
  <c r="A35" i="1"/>
  <c r="A36" i="1"/>
  <c r="A37" i="1"/>
  <c r="A39" i="1"/>
  <c r="A40" i="1"/>
  <c r="A41" i="1"/>
  <c r="A43" i="1"/>
  <c r="A44" i="1"/>
  <c r="A45" i="1"/>
  <c r="A46" i="1"/>
  <c r="A48" i="1"/>
  <c r="A49" i="1"/>
  <c r="A50" i="1"/>
  <c r="A52" i="1"/>
  <c r="A53" i="1"/>
  <c r="A54" i="1"/>
  <c r="A55" i="1"/>
  <c r="A56" i="1"/>
  <c r="A57" i="1"/>
  <c r="A58" i="1"/>
  <c r="A59" i="1"/>
  <c r="A60" i="1"/>
  <c r="A62" i="1"/>
  <c r="A63" i="1"/>
  <c r="A64" i="1"/>
  <c r="A65" i="1"/>
  <c r="A67" i="1"/>
  <c r="A68" i="1"/>
  <c r="A69" i="1"/>
  <c r="A71" i="1"/>
  <c r="A72" i="1"/>
  <c r="A74" i="1"/>
  <c r="A75" i="1"/>
  <c r="A76" i="1"/>
  <c r="A78" i="1"/>
  <c r="A79" i="1"/>
  <c r="A81" i="1"/>
  <c r="A82" i="1"/>
  <c r="A84" i="1"/>
  <c r="A85" i="1"/>
  <c r="A86" i="1"/>
  <c r="A87" i="1"/>
  <c r="A88" i="1"/>
  <c r="A90" i="1"/>
  <c r="A91" i="1"/>
  <c r="A93" i="1"/>
  <c r="A94" i="1"/>
  <c r="A96" i="1"/>
  <c r="A97" i="1"/>
  <c r="A99" i="1"/>
  <c r="A100" i="1"/>
  <c r="A102" i="1"/>
  <c r="A103" i="1"/>
  <c r="A104" i="1"/>
  <c r="A105" i="1"/>
  <c r="A106" i="1"/>
  <c r="A107" i="1"/>
  <c r="A109" i="1"/>
  <c r="A110" i="1"/>
  <c r="A112" i="1"/>
  <c r="A113" i="1"/>
  <c r="A115" i="1"/>
  <c r="A116" i="1"/>
  <c r="A118" i="1"/>
  <c r="A119" i="1"/>
  <c r="A120" i="1"/>
  <c r="A121" i="1"/>
  <c r="A122" i="1"/>
  <c r="A123" i="1"/>
  <c r="A125" i="1"/>
  <c r="A126" i="1"/>
  <c r="A128" i="1"/>
  <c r="A129" i="1"/>
  <c r="A131" i="1"/>
  <c r="A132" i="1"/>
  <c r="A134" i="1"/>
  <c r="A135" i="1"/>
  <c r="A137" i="1"/>
  <c r="A138" i="1"/>
  <c r="A139" i="1"/>
  <c r="A141" i="1"/>
  <c r="A142" i="1"/>
  <c r="A144" i="1"/>
  <c r="A145" i="1"/>
  <c r="A147" i="1"/>
  <c r="A148" i="1"/>
  <c r="A150" i="1"/>
  <c r="A151" i="1"/>
  <c r="A152" i="1"/>
  <c r="A153" i="1"/>
  <c r="A155" i="1"/>
  <c r="A156" i="1"/>
  <c r="A157" i="1"/>
  <c r="A158" i="1"/>
  <c r="A159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H151" i="1" l="1"/>
  <c r="H152" i="1"/>
  <c r="H153" i="1"/>
  <c r="G149" i="1"/>
  <c r="F149" i="1"/>
  <c r="E149" i="1"/>
  <c r="H148" i="1"/>
  <c r="H149" i="1" s="1"/>
  <c r="G146" i="1"/>
  <c r="F146" i="1"/>
  <c r="E146" i="1"/>
  <c r="H145" i="1"/>
  <c r="H146" i="1" s="1"/>
  <c r="G143" i="1"/>
  <c r="F143" i="1"/>
  <c r="E143" i="1"/>
  <c r="H142" i="1"/>
  <c r="H143" i="1" s="1"/>
  <c r="F138" i="1"/>
  <c r="H138" i="1" s="1"/>
  <c r="H139" i="1"/>
  <c r="G136" i="1"/>
  <c r="F136" i="1"/>
  <c r="E136" i="1"/>
  <c r="H135" i="1"/>
  <c r="H136" i="1" s="1"/>
  <c r="G133" i="1"/>
  <c r="F133" i="1"/>
  <c r="E133" i="1"/>
  <c r="H132" i="1"/>
  <c r="H133" i="1" s="1"/>
  <c r="G130" i="1"/>
  <c r="F130" i="1"/>
  <c r="E130" i="1"/>
  <c r="H129" i="1"/>
  <c r="H130" i="1" s="1"/>
  <c r="G127" i="1"/>
  <c r="F127" i="1"/>
  <c r="E127" i="1"/>
  <c r="H126" i="1"/>
  <c r="H127" i="1" s="1"/>
  <c r="E119" i="1"/>
  <c r="E120" i="1"/>
  <c r="H120" i="1" s="1"/>
  <c r="E121" i="1"/>
  <c r="H121" i="1" s="1"/>
  <c r="E122" i="1"/>
  <c r="H122" i="1" s="1"/>
  <c r="E123" i="1"/>
  <c r="H123" i="1" s="1"/>
  <c r="G114" i="1"/>
  <c r="F114" i="1"/>
  <c r="E114" i="1"/>
  <c r="H113" i="1"/>
  <c r="H114" i="1" s="1"/>
  <c r="G111" i="1"/>
  <c r="F111" i="1"/>
  <c r="E111" i="1"/>
  <c r="H110" i="1"/>
  <c r="H111" i="1" s="1"/>
  <c r="G108" i="1"/>
  <c r="E108" i="1"/>
  <c r="G101" i="1"/>
  <c r="E101" i="1"/>
  <c r="G98" i="1"/>
  <c r="E98" i="1"/>
  <c r="G95" i="1"/>
  <c r="E95" i="1"/>
  <c r="G92" i="1"/>
  <c r="E92" i="1"/>
  <c r="G89" i="1"/>
  <c r="E89" i="1"/>
  <c r="G83" i="1"/>
  <c r="F83" i="1"/>
  <c r="E83" i="1"/>
  <c r="G80" i="1"/>
  <c r="F80" i="1"/>
  <c r="E80" i="1"/>
  <c r="G77" i="1"/>
  <c r="F77" i="1"/>
  <c r="E77" i="1"/>
  <c r="G70" i="1"/>
  <c r="F70" i="1"/>
  <c r="E70" i="1"/>
  <c r="G66" i="1"/>
  <c r="F66" i="1"/>
  <c r="E66" i="1"/>
  <c r="F61" i="1"/>
  <c r="E61" i="1"/>
  <c r="F51" i="1"/>
  <c r="E51" i="1"/>
  <c r="F47" i="1"/>
  <c r="E47" i="1"/>
  <c r="F42" i="1"/>
  <c r="F38" i="1"/>
  <c r="F33" i="1"/>
  <c r="E33" i="1"/>
  <c r="G30" i="1"/>
  <c r="F30" i="1"/>
  <c r="E30" i="1"/>
  <c r="G25" i="1"/>
  <c r="F25" i="1"/>
  <c r="E25" i="1"/>
  <c r="G19" i="1"/>
  <c r="F19" i="1"/>
  <c r="E19" i="1"/>
  <c r="G16" i="1"/>
  <c r="F16" i="1"/>
  <c r="E16" i="1"/>
  <c r="E13" i="1"/>
  <c r="F13" i="1"/>
  <c r="G13" i="1"/>
  <c r="G6" i="1"/>
  <c r="F6" i="1"/>
  <c r="E6" i="1"/>
  <c r="G61" i="1"/>
  <c r="G51" i="1"/>
  <c r="G47" i="1"/>
  <c r="G42" i="1"/>
  <c r="G38" i="1"/>
  <c r="G33" i="1"/>
  <c r="F108" i="1"/>
  <c r="H104" i="1"/>
  <c r="H105" i="1"/>
  <c r="H106" i="1"/>
  <c r="H107" i="1"/>
  <c r="H103" i="1"/>
  <c r="F101" i="1"/>
  <c r="H100" i="1"/>
  <c r="H101" i="1" s="1"/>
  <c r="F98" i="1"/>
  <c r="H97" i="1"/>
  <c r="H98" i="1" s="1"/>
  <c r="F95" i="1"/>
  <c r="H94" i="1"/>
  <c r="H95" i="1" s="1"/>
  <c r="F92" i="1"/>
  <c r="H91" i="1"/>
  <c r="H92" i="1" s="1"/>
  <c r="F89" i="1"/>
  <c r="H85" i="1"/>
  <c r="H86" i="1"/>
  <c r="H87" i="1"/>
  <c r="H88" i="1"/>
  <c r="H82" i="1"/>
  <c r="H83" i="1" s="1"/>
  <c r="H79" i="1"/>
  <c r="H80" i="1" s="1"/>
  <c r="H75" i="1"/>
  <c r="H77" i="1" s="1"/>
  <c r="H68" i="1"/>
  <c r="H69" i="1"/>
  <c r="H63" i="1"/>
  <c r="H64" i="1"/>
  <c r="H65" i="1"/>
  <c r="H53" i="1"/>
  <c r="H54" i="1"/>
  <c r="H55" i="1"/>
  <c r="H56" i="1"/>
  <c r="H57" i="1"/>
  <c r="H58" i="1"/>
  <c r="H59" i="1"/>
  <c r="H60" i="1"/>
  <c r="H49" i="1"/>
  <c r="H50" i="1"/>
  <c r="H44" i="1"/>
  <c r="H45" i="1"/>
  <c r="H46" i="1"/>
  <c r="E40" i="1"/>
  <c r="E42" i="1" s="1"/>
  <c r="H35" i="1"/>
  <c r="E36" i="1"/>
  <c r="E38" i="1" s="1"/>
  <c r="H37" i="1"/>
  <c r="H32" i="1"/>
  <c r="H33" i="1" s="1"/>
  <c r="H27" i="1"/>
  <c r="H28" i="1"/>
  <c r="H29" i="1"/>
  <c r="H21" i="1"/>
  <c r="H22" i="1"/>
  <c r="H23" i="1"/>
  <c r="H24" i="1"/>
  <c r="H18" i="1"/>
  <c r="H19" i="1" s="1"/>
  <c r="H15" i="1"/>
  <c r="H16" i="1" s="1"/>
  <c r="H12" i="1"/>
  <c r="H11" i="1"/>
  <c r="H10" i="1"/>
  <c r="H9" i="1"/>
  <c r="H8" i="1"/>
  <c r="H51" i="1" l="1"/>
  <c r="H13" i="1"/>
  <c r="H108" i="1"/>
  <c r="H47" i="1"/>
  <c r="H61" i="1"/>
  <c r="H89" i="1"/>
  <c r="H25" i="1"/>
  <c r="H30" i="1"/>
  <c r="H66" i="1"/>
  <c r="H70" i="1"/>
  <c r="H119" i="1"/>
  <c r="H36" i="1"/>
  <c r="H38" i="1" s="1"/>
  <c r="H40" i="1"/>
  <c r="H42" i="1" s="1"/>
  <c r="H2" i="1" l="1"/>
  <c r="H3" i="1"/>
  <c r="H5" i="1"/>
  <c r="H4" i="1"/>
  <c r="H6" i="1" l="1"/>
  <c r="F154" i="1"/>
  <c r="F124" i="1"/>
  <c r="E154" i="1"/>
  <c r="G124" i="1"/>
  <c r="H154" i="1"/>
  <c r="H140" i="1"/>
  <c r="E140" i="1"/>
  <c r="G154" i="1"/>
  <c r="G140" i="1"/>
  <c r="E124" i="1"/>
  <c r="F140" i="1"/>
  <c r="H124" i="1"/>
  <c r="H158" i="1" l="1"/>
  <c r="G158" i="1"/>
  <c r="F158" i="1"/>
  <c r="E158" i="1"/>
</calcChain>
</file>

<file path=xl/sharedStrings.xml><?xml version="1.0" encoding="utf-8"?>
<sst xmlns="http://schemas.openxmlformats.org/spreadsheetml/2006/main" count="287" uniqueCount="91">
  <si>
    <t>TPS</t>
  </si>
  <si>
    <t>TVQ</t>
  </si>
  <si>
    <t>DATE</t>
  </si>
  <si>
    <t>Alexandre Gaudet</t>
  </si>
  <si>
    <t>FOURNISSEURS</t>
  </si>
  <si>
    <t>TOTAL</t>
  </si>
  <si>
    <t>COSTCO</t>
  </si>
  <si>
    <t>Maxie &amp; Cie</t>
  </si>
  <si>
    <t>Wall Mart</t>
  </si>
  <si>
    <t>Frito Lay Canada</t>
  </si>
  <si>
    <t>Fromagerie St-Guillaume</t>
  </si>
  <si>
    <t>Les Surprises de Gigi Inc.</t>
  </si>
  <si>
    <t>Messageries Dynamiques</t>
  </si>
  <si>
    <t>Journal Le Dépanneur Québécois</t>
  </si>
  <si>
    <t>Postes Canada</t>
  </si>
  <si>
    <t>Joy</t>
  </si>
  <si>
    <t>La Source d'Eau</t>
  </si>
  <si>
    <t>Boulangerie Pelletier &amp; Fils</t>
  </si>
  <si>
    <t>05-01-2016</t>
  </si>
  <si>
    <t>Les Bonbons Mondoux</t>
  </si>
  <si>
    <t>La Corporation Tantrum</t>
  </si>
  <si>
    <t>Distribution Le Perco</t>
  </si>
  <si>
    <t>Essence Canadian Tire</t>
  </si>
  <si>
    <t>Réno Dépôt</t>
  </si>
  <si>
    <t>Atelier de Moteur Croteau</t>
  </si>
  <si>
    <t>Molson Coors Canada</t>
  </si>
  <si>
    <t>Croustilles Yum Yum</t>
  </si>
  <si>
    <t>Aliments Krispy Kernels</t>
  </si>
  <si>
    <t>Repas McDonald's</t>
  </si>
  <si>
    <t>Repas Halte Chez Lemaire</t>
  </si>
  <si>
    <t>Repas Subway</t>
  </si>
  <si>
    <t>Repas St-Hubert</t>
  </si>
  <si>
    <t>Laiterie Coaticook</t>
  </si>
  <si>
    <t>Vidéo Choix</t>
  </si>
  <si>
    <t>Eau de Source l'Eau Da Cieux</t>
  </si>
  <si>
    <t>Services Thermosun 2010</t>
  </si>
  <si>
    <t>Gestion Labritech</t>
  </si>
  <si>
    <t>RBH</t>
  </si>
  <si>
    <t>Imperial Tobacco Canada</t>
  </si>
  <si>
    <t>Super C</t>
  </si>
  <si>
    <t>Agropur</t>
  </si>
  <si>
    <t># FACTURE</t>
  </si>
  <si>
    <t>SOUS-TOTAL</t>
  </si>
  <si>
    <t>Provigo</t>
  </si>
  <si>
    <t>Intérêts Banque Royal</t>
  </si>
  <si>
    <t>GRAND TOTAL</t>
  </si>
  <si>
    <t>Alexandre_Gaudet</t>
  </si>
  <si>
    <t>Aliments_Krispy_Kernels</t>
  </si>
  <si>
    <t>Journal_Dep_Quebecois</t>
  </si>
  <si>
    <t>Imperial_Tobacco</t>
  </si>
  <si>
    <t>Gestion_Labritech</t>
  </si>
  <si>
    <t>Fromagerie_St_Guillaume</t>
  </si>
  <si>
    <t>Friot_Lay</t>
  </si>
  <si>
    <t>Essence_Canadian_Tire</t>
  </si>
  <si>
    <t>Eau_de_Source_Eaudacieux</t>
  </si>
  <si>
    <t>Didtribution_le_Perco</t>
  </si>
  <si>
    <t>Croustille_YUM_YUM</t>
  </si>
  <si>
    <t>Boulangerie_Pelletier</t>
  </si>
  <si>
    <t>Atelier_de_Moteur_Croteau</t>
  </si>
  <si>
    <t>JOY</t>
  </si>
  <si>
    <t>LA_CORPORATION_TANTRUM</t>
  </si>
  <si>
    <t>La_Source_Deau</t>
  </si>
  <si>
    <t>Laiterie_Coaticook</t>
  </si>
  <si>
    <t>LES_BONBONS_MONDOUX</t>
  </si>
  <si>
    <t>Les_Surprises_de_Gigi</t>
  </si>
  <si>
    <t>Maxie_et_Cie</t>
  </si>
  <si>
    <t>Messageries_Dynamiques</t>
  </si>
  <si>
    <t>Molson_Coors_Canada</t>
  </si>
  <si>
    <t>Postes_Canada</t>
  </si>
  <si>
    <t>Reno_Depot</t>
  </si>
  <si>
    <t>Repas_Halte_Chez_Lemaire</t>
  </si>
  <si>
    <t>Repas_McDo</t>
  </si>
  <si>
    <t>Repas_St_Hubert</t>
  </si>
  <si>
    <t>Repas_Subway</t>
  </si>
  <si>
    <t>Service_Thermosun</t>
  </si>
  <si>
    <t>Super_C</t>
  </si>
  <si>
    <t>Video_Choix</t>
  </si>
  <si>
    <t>Wall_Mart</t>
  </si>
  <si>
    <t>PROVIGO</t>
  </si>
  <si>
    <t>Interet_Banque_Royale</t>
  </si>
  <si>
    <t>=</t>
  </si>
  <si>
    <t>FAIRE LE TOTAL TAXES</t>
  </si>
  <si>
    <t>GRAND_TOTAL</t>
  </si>
  <si>
    <t>Lorsque j'écris le mot Agropur en colonne B</t>
  </si>
  <si>
    <t>Je veux qu'il s'inscrive en Colonne A sur la même ligne</t>
  </si>
  <si>
    <t>Lorsque j'écris le mot TOTAL en colonne B</t>
  </si>
  <si>
    <t xml:space="preserve">Je veux que le mot de la case AU DESSUS s'inscrive </t>
  </si>
  <si>
    <t>en colonne A sur la même ligne</t>
  </si>
  <si>
    <t>et ainsi de suite pour chaque mot</t>
  </si>
  <si>
    <t xml:space="preserve">Quelle formule utilisée ?? </t>
  </si>
  <si>
    <t>Car je vais créer une macro afin de l'éxécutée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</si>
</sst>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yyyy/mm/dd;@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 applyFont="1"/>
    <xf numFmtId="1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1" fillId="6" borderId="0" xfId="0" applyFont="1" applyFill="1" applyAlignment="1">
      <alignment horizontal="left"/>
    </xf>
    <xf numFmtId="0" fontId="1" fillId="7" borderId="0" xfId="0" applyFont="1" applyFill="1"/>
    <xf numFmtId="0" fontId="1" fillId="8" borderId="0" xfId="0" applyFont="1" applyFill="1" applyAlignment="1">
      <alignment horizontal="left"/>
    </xf>
    <xf numFmtId="0" fontId="0" fillId="0" borderId="0" xfId="0" applyFont="1" applyAlignment="1">
      <alignment horizontal="left" vertic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9" borderId="2" xfId="0" applyNumberFormat="1" applyFont="1" applyFill="1" applyBorder="1" applyAlignment="1">
      <alignment horizontal="center"/>
    </xf>
    <xf numFmtId="0" fontId="2" fillId="0" borderId="3" xfId="0" applyFont="1" applyBorder="1"/>
    <xf numFmtId="0" fontId="2" fillId="9" borderId="3" xfId="0" applyFont="1" applyFill="1" applyBorder="1"/>
    <xf numFmtId="164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0"/>
  <sheetViews>
    <sheetView showZeros="0" tabSelected="1" zoomScaleNormal="100" workbookViewId="0">
      <pane ySplit="1" topLeftCell="A2" activePane="bottomLeft" state="frozen"/>
      <selection activeCell="B1" sqref="B1"/>
      <selection pane="bottomLeft" activeCell="J151" sqref="J151"/>
    </sheetView>
  </sheetViews>
  <sheetFormatPr baseColWidth="10" defaultRowHeight="15.75" x14ac:dyDescent="0.25"/>
  <cols>
    <col min="1" max="1" width="32.85546875" style="19" customWidth="1"/>
    <col min="2" max="2" width="29.7109375" style="19" customWidth="1"/>
    <col min="3" max="3" width="12.140625" hidden="1" customWidth="1"/>
    <col min="4" max="4" width="15.5703125" hidden="1" customWidth="1"/>
    <col min="5" max="5" width="13.42578125" style="23" hidden="1" customWidth="1"/>
    <col min="6" max="6" width="8.7109375" style="23" hidden="1" customWidth="1"/>
    <col min="7" max="7" width="9.7109375" style="23" hidden="1" customWidth="1"/>
    <col min="8" max="8" width="11.85546875" style="23" hidden="1" customWidth="1"/>
    <col min="9" max="9" width="19.85546875" style="23" hidden="1" customWidth="1"/>
    <col min="10" max="10" width="56.42578125" style="23" customWidth="1"/>
    <col min="11" max="16384" width="11.42578125" style="19"/>
  </cols>
  <sheetData>
    <row r="1" spans="1:10" ht="32.25" customHeight="1" x14ac:dyDescent="0.25">
      <c r="B1" s="20" t="s">
        <v>4</v>
      </c>
      <c r="C1" s="5" t="s">
        <v>2</v>
      </c>
      <c r="D1" s="5" t="s">
        <v>41</v>
      </c>
      <c r="E1" s="21" t="s">
        <v>42</v>
      </c>
      <c r="F1" s="21" t="s">
        <v>0</v>
      </c>
      <c r="G1" s="21" t="s">
        <v>1</v>
      </c>
      <c r="H1" s="21" t="s">
        <v>5</v>
      </c>
      <c r="I1" s="21" t="s">
        <v>81</v>
      </c>
      <c r="J1" s="21"/>
    </row>
    <row r="2" spans="1:10" customFormat="1" ht="15.75" customHeight="1" x14ac:dyDescent="0.25">
      <c r="A2" t="str">
        <f>B2</f>
        <v>Agropur</v>
      </c>
      <c r="B2" s="7" t="s">
        <v>40</v>
      </c>
      <c r="C2" s="1">
        <v>42376</v>
      </c>
      <c r="D2" s="1"/>
      <c r="E2" s="4">
        <v>249.71</v>
      </c>
      <c r="F2" s="4">
        <v>-0.2</v>
      </c>
      <c r="G2" s="4">
        <v>-0.4</v>
      </c>
      <c r="H2" s="4">
        <f>E2+F2+G2</f>
        <v>249.11</v>
      </c>
      <c r="I2" s="4"/>
      <c r="J2" s="4"/>
    </row>
    <row r="3" spans="1:10" customFormat="1" ht="16.5" customHeight="1" x14ac:dyDescent="0.25">
      <c r="A3" t="str">
        <f t="shared" ref="A3:A65" si="0">B3</f>
        <v>Agropur</v>
      </c>
      <c r="B3" s="7" t="s">
        <v>40</v>
      </c>
      <c r="C3" s="1">
        <v>42383</v>
      </c>
      <c r="D3" s="1"/>
      <c r="E3" s="4">
        <v>233.52</v>
      </c>
      <c r="F3" s="4">
        <v>-0.43</v>
      </c>
      <c r="G3" s="4">
        <v>-0.86</v>
      </c>
      <c r="H3" s="4">
        <f>E3+F3+G3</f>
        <v>232.23</v>
      </c>
      <c r="I3" s="4"/>
      <c r="J3" s="4" t="s">
        <v>83</v>
      </c>
    </row>
    <row r="4" spans="1:10" customFormat="1" ht="15" x14ac:dyDescent="0.25">
      <c r="A4" t="str">
        <f t="shared" si="0"/>
        <v>Agropur</v>
      </c>
      <c r="B4" s="7" t="s">
        <v>40</v>
      </c>
      <c r="C4" s="1">
        <v>42385</v>
      </c>
      <c r="D4" s="1"/>
      <c r="E4" s="4">
        <v>274.43</v>
      </c>
      <c r="F4" s="4">
        <v>0.98</v>
      </c>
      <c r="G4" s="4">
        <v>1.97</v>
      </c>
      <c r="H4" s="4">
        <f>E4+F4+G4</f>
        <v>277.38000000000005</v>
      </c>
      <c r="I4" s="4"/>
      <c r="J4" s="4" t="s">
        <v>84</v>
      </c>
    </row>
    <row r="5" spans="1:10" customFormat="1" ht="15" x14ac:dyDescent="0.25">
      <c r="A5" t="str">
        <f t="shared" si="0"/>
        <v>Agropur</v>
      </c>
      <c r="B5" s="7" t="s">
        <v>40</v>
      </c>
      <c r="C5" s="1">
        <v>42390</v>
      </c>
      <c r="D5" s="1"/>
      <c r="E5" s="4">
        <v>295.79000000000002</v>
      </c>
      <c r="F5" s="4">
        <v>0.11</v>
      </c>
      <c r="G5" s="4">
        <v>0.23</v>
      </c>
      <c r="H5" s="4">
        <f>E5+F5+G5</f>
        <v>296.13000000000005</v>
      </c>
      <c r="I5" s="8"/>
      <c r="J5" s="4"/>
    </row>
    <row r="6" spans="1:10" ht="16.5" thickBot="1" x14ac:dyDescent="0.3">
      <c r="A6" s="25" t="s">
        <v>40</v>
      </c>
      <c r="B6" s="25" t="s">
        <v>5</v>
      </c>
      <c r="D6" s="1"/>
      <c r="E6" s="22">
        <f>SUMIF($B$2:$B$208,"Agropur",$E$2:$E$208)</f>
        <v>1053.45</v>
      </c>
      <c r="F6" s="22">
        <f>SUMIF($B$2:$B$208,"Agropur",$F$2:$F$208)</f>
        <v>0.45999999999999996</v>
      </c>
      <c r="G6" s="22">
        <f>SUMIF($B$2:$B$208,"Agropur",$G$2:$G$208)</f>
        <v>0.94</v>
      </c>
      <c r="H6" s="22">
        <f>SUMIF($B$2:$B$208,"Agropur",$H$2:$H$208)</f>
        <v>1054.8500000000001</v>
      </c>
      <c r="J6" s="23" t="s">
        <v>85</v>
      </c>
    </row>
    <row r="7" spans="1:10" customFormat="1" thickTop="1" x14ac:dyDescent="0.25">
      <c r="A7">
        <f t="shared" si="0"/>
        <v>0</v>
      </c>
      <c r="D7" s="1"/>
      <c r="E7" s="4"/>
      <c r="F7" s="4"/>
      <c r="G7" s="4"/>
      <c r="H7" s="4"/>
      <c r="I7" s="4"/>
      <c r="J7" s="4" t="s">
        <v>86</v>
      </c>
    </row>
    <row r="8" spans="1:10" customFormat="1" ht="15" x14ac:dyDescent="0.25">
      <c r="A8" t="str">
        <f t="shared" si="0"/>
        <v>Alexandre Gaudet</v>
      </c>
      <c r="B8" s="7" t="s">
        <v>3</v>
      </c>
      <c r="C8" s="1">
        <v>42373</v>
      </c>
      <c r="D8" s="1"/>
      <c r="E8" s="4">
        <v>447.78</v>
      </c>
      <c r="F8" s="4">
        <v>18.55</v>
      </c>
      <c r="G8" s="4">
        <v>37.03</v>
      </c>
      <c r="H8" s="4">
        <f>E8+F8+G8</f>
        <v>503.36</v>
      </c>
      <c r="I8" s="4"/>
      <c r="J8" s="4" t="s">
        <v>87</v>
      </c>
    </row>
    <row r="9" spans="1:10" customFormat="1" ht="15" x14ac:dyDescent="0.25">
      <c r="A9" t="str">
        <f t="shared" si="0"/>
        <v>Alexandre Gaudet</v>
      </c>
      <c r="B9" s="7" t="s">
        <v>3</v>
      </c>
      <c r="C9" s="6">
        <v>42373</v>
      </c>
      <c r="D9" s="1"/>
      <c r="E9" s="4">
        <v>138.78</v>
      </c>
      <c r="F9" s="4">
        <v>6.94</v>
      </c>
      <c r="G9" s="4">
        <v>0</v>
      </c>
      <c r="H9" s="4">
        <f>E9+F9+G9</f>
        <v>145.72</v>
      </c>
      <c r="I9" s="4"/>
      <c r="J9" s="4"/>
    </row>
    <row r="10" spans="1:10" customFormat="1" ht="15" x14ac:dyDescent="0.25">
      <c r="A10" t="str">
        <f t="shared" si="0"/>
        <v>Alexandre Gaudet</v>
      </c>
      <c r="B10" s="7" t="s">
        <v>3</v>
      </c>
      <c r="C10" s="6">
        <v>42380</v>
      </c>
      <c r="D10" s="1"/>
      <c r="E10" s="4">
        <v>339.15</v>
      </c>
      <c r="F10" s="4">
        <v>15.24</v>
      </c>
      <c r="G10" s="4">
        <v>30.41</v>
      </c>
      <c r="H10" s="4">
        <f>E10+F10+G10</f>
        <v>384.8</v>
      </c>
      <c r="I10" s="4"/>
      <c r="J10" s="4" t="s">
        <v>88</v>
      </c>
    </row>
    <row r="11" spans="1:10" customFormat="1" ht="15" x14ac:dyDescent="0.25">
      <c r="A11" t="str">
        <f t="shared" si="0"/>
        <v>Alexandre Gaudet</v>
      </c>
      <c r="B11" s="7" t="s">
        <v>3</v>
      </c>
      <c r="C11" s="6">
        <v>42394</v>
      </c>
      <c r="D11" s="1"/>
      <c r="E11" s="4">
        <v>355.55</v>
      </c>
      <c r="F11" s="4">
        <v>12.18</v>
      </c>
      <c r="G11" s="4">
        <v>24.25</v>
      </c>
      <c r="H11" s="4">
        <f>E11+F11+G11</f>
        <v>391.98</v>
      </c>
      <c r="I11" s="4"/>
      <c r="J11" s="4"/>
    </row>
    <row r="12" spans="1:10" customFormat="1" ht="15" x14ac:dyDescent="0.25">
      <c r="A12" t="str">
        <f t="shared" si="0"/>
        <v>Alexandre Gaudet</v>
      </c>
      <c r="B12" s="7" t="s">
        <v>3</v>
      </c>
      <c r="C12" s="6">
        <v>42394</v>
      </c>
      <c r="D12" s="1"/>
      <c r="E12" s="4">
        <v>70.39</v>
      </c>
      <c r="F12" s="4">
        <v>3.52</v>
      </c>
      <c r="G12" s="4">
        <v>0</v>
      </c>
      <c r="H12" s="4">
        <f>E12+F12+G12</f>
        <v>73.91</v>
      </c>
      <c r="I12" s="4"/>
      <c r="J12" s="4" t="s">
        <v>89</v>
      </c>
    </row>
    <row r="13" spans="1:10" ht="16.5" thickBot="1" x14ac:dyDescent="0.3">
      <c r="A13" s="25" t="s">
        <v>3</v>
      </c>
      <c r="B13" s="25" t="s">
        <v>5</v>
      </c>
      <c r="D13" s="1"/>
      <c r="E13" s="22">
        <f>SUMIF($B$2:$B$208,"Alexandre Gaudet",$E$2:$E$208)</f>
        <v>1351.65</v>
      </c>
      <c r="F13" s="22">
        <f>SUMIF($B$2:$B$208,"Alexandre Gaudet",$F$2:$F$208)</f>
        <v>56.430000000000007</v>
      </c>
      <c r="G13" s="22">
        <f>SUMIF($B$2:$B$208,"Alexandre Gaudet",$G$2:$G$208)</f>
        <v>91.69</v>
      </c>
      <c r="H13" s="22">
        <f>SUMIF($B$2:$B$208,"Alexandre Gaudet",$H$2:$H$208)</f>
        <v>1499.7700000000002</v>
      </c>
      <c r="J13" s="23" t="s">
        <v>90</v>
      </c>
    </row>
    <row r="14" spans="1:10" customFormat="1" thickTop="1" x14ac:dyDescent="0.25">
      <c r="A14">
        <f t="shared" si="0"/>
        <v>0</v>
      </c>
      <c r="D14" s="1"/>
      <c r="E14" s="4"/>
      <c r="F14" s="4"/>
      <c r="G14" s="4"/>
      <c r="H14" s="4"/>
      <c r="I14" s="4"/>
      <c r="J14" s="4"/>
    </row>
    <row r="15" spans="1:10" customFormat="1" ht="15" x14ac:dyDescent="0.25">
      <c r="A15" t="str">
        <f t="shared" si="0"/>
        <v>Aliments Krispy Kernels</v>
      </c>
      <c r="B15" s="7" t="s">
        <v>27</v>
      </c>
      <c r="C15" s="1">
        <v>42391</v>
      </c>
      <c r="D15" s="1"/>
      <c r="E15" s="4">
        <v>22.2</v>
      </c>
      <c r="F15" s="4">
        <v>0.72</v>
      </c>
      <c r="G15" s="4">
        <v>1.43</v>
      </c>
      <c r="H15" s="4">
        <f>E15+F15+G15</f>
        <v>24.349999999999998</v>
      </c>
      <c r="I15" s="4"/>
      <c r="J15" s="4"/>
    </row>
    <row r="16" spans="1:10" ht="16.5" thickBot="1" x14ac:dyDescent="0.3">
      <c r="A16" s="25" t="s">
        <v>27</v>
      </c>
      <c r="B16" s="25" t="s">
        <v>5</v>
      </c>
      <c r="D16" s="1"/>
      <c r="E16" s="22">
        <f>SUMIF($B$2:$B$208,"Aliments Krispy Kernels",$E$2:$E$208)</f>
        <v>22.2</v>
      </c>
      <c r="F16" s="22">
        <f>SUMIF($B$2:$B$208,"Aliments Krispy Kernels",$F$2:$F$208)</f>
        <v>0.72</v>
      </c>
      <c r="G16" s="22">
        <f>SUMIF($B$2:$B$208,"Aliments Krispy Kernels",$G$2:$G$208)</f>
        <v>1.43</v>
      </c>
      <c r="H16" s="22">
        <f>SUMIF($B$2:$B$208,"Aliments Krispy Kernels",$H$2:$H$208)</f>
        <v>24.349999999999998</v>
      </c>
    </row>
    <row r="17" spans="1:10" customFormat="1" thickTop="1" x14ac:dyDescent="0.25">
      <c r="A17">
        <f t="shared" si="0"/>
        <v>0</v>
      </c>
      <c r="D17" s="1"/>
      <c r="E17" s="4"/>
      <c r="F17" s="4"/>
      <c r="G17" s="4"/>
      <c r="H17" s="4"/>
      <c r="I17" s="4"/>
      <c r="J17" s="4"/>
    </row>
    <row r="18" spans="1:10" customFormat="1" ht="15" x14ac:dyDescent="0.25">
      <c r="A18" t="str">
        <f t="shared" si="0"/>
        <v>Atelier de Moteur Croteau</v>
      </c>
      <c r="B18" s="7" t="s">
        <v>24</v>
      </c>
      <c r="C18" s="1">
        <v>42373</v>
      </c>
      <c r="D18" s="1"/>
      <c r="E18" s="4">
        <v>34.950000000000003</v>
      </c>
      <c r="F18" s="4">
        <v>1.75</v>
      </c>
      <c r="G18" s="4">
        <v>3.48</v>
      </c>
      <c r="H18" s="4">
        <f>E18+F18+G18</f>
        <v>40.18</v>
      </c>
      <c r="I18" s="4"/>
      <c r="J18" s="4"/>
    </row>
    <row r="19" spans="1:10" ht="16.5" thickBot="1" x14ac:dyDescent="0.3">
      <c r="A19" s="25" t="s">
        <v>24</v>
      </c>
      <c r="B19" s="25" t="s">
        <v>5</v>
      </c>
      <c r="D19" s="1"/>
      <c r="E19" s="22">
        <f>SUMIF($B$2:$B$208,"Atelier de Moteur Croteau",$E$2:$E$208)</f>
        <v>34.950000000000003</v>
      </c>
      <c r="F19" s="22">
        <f>SUMIF($B$2:$B$208,"Atelier de Moteur Croteau",$F$2:$F$208)</f>
        <v>1.75</v>
      </c>
      <c r="G19" s="22">
        <f>SUMIF($B$2:$B$208,"Atelier de Moteur Croteau",$G$2:$G$208)</f>
        <v>3.48</v>
      </c>
      <c r="H19" s="22">
        <f>SUMIF($B$2:$B$208,"Atelier de Moteur Croteau",$H$2:$H$208)</f>
        <v>40.18</v>
      </c>
    </row>
    <row r="20" spans="1:10" customFormat="1" thickTop="1" x14ac:dyDescent="0.25">
      <c r="A20">
        <f t="shared" si="0"/>
        <v>0</v>
      </c>
      <c r="D20" s="1"/>
      <c r="E20" s="4"/>
      <c r="F20" s="4"/>
      <c r="G20" s="4"/>
      <c r="H20" s="4"/>
      <c r="I20" s="4"/>
      <c r="J20" s="4"/>
    </row>
    <row r="21" spans="1:10" customFormat="1" ht="15" x14ac:dyDescent="0.25">
      <c r="A21" t="str">
        <f t="shared" si="0"/>
        <v>Boulangerie Pelletier &amp; Fils</v>
      </c>
      <c r="B21" s="7" t="s">
        <v>17</v>
      </c>
      <c r="C21" s="1">
        <v>42381</v>
      </c>
      <c r="D21" s="1"/>
      <c r="E21" s="4">
        <v>69</v>
      </c>
      <c r="F21" s="4"/>
      <c r="G21" s="4"/>
      <c r="H21" s="4">
        <f>E21+F21+G21</f>
        <v>69</v>
      </c>
      <c r="I21" s="4"/>
      <c r="J21" s="4"/>
    </row>
    <row r="22" spans="1:10" customFormat="1" ht="15" x14ac:dyDescent="0.25">
      <c r="A22" t="str">
        <f t="shared" si="0"/>
        <v>Boulangerie Pelletier &amp; Fils</v>
      </c>
      <c r="B22" s="7" t="s">
        <v>17</v>
      </c>
      <c r="C22" s="1">
        <v>42388</v>
      </c>
      <c r="D22" s="1"/>
      <c r="E22" s="4">
        <v>45.05</v>
      </c>
      <c r="F22" s="4"/>
      <c r="G22" s="4"/>
      <c r="H22" s="4">
        <f>E22+F22+G22</f>
        <v>45.05</v>
      </c>
      <c r="I22" s="4"/>
      <c r="J22" s="4"/>
    </row>
    <row r="23" spans="1:10" customFormat="1" ht="15" x14ac:dyDescent="0.25">
      <c r="A23" t="str">
        <f t="shared" si="0"/>
        <v>Boulangerie Pelletier &amp; Fils</v>
      </c>
      <c r="B23" s="7" t="s">
        <v>17</v>
      </c>
      <c r="C23" s="1">
        <v>42395</v>
      </c>
      <c r="D23" s="1"/>
      <c r="E23" s="4">
        <v>38.1</v>
      </c>
      <c r="F23" s="4"/>
      <c r="G23" s="4"/>
      <c r="H23" s="4">
        <f>E23+F23+G23</f>
        <v>38.1</v>
      </c>
      <c r="I23" s="4"/>
      <c r="J23" s="4"/>
    </row>
    <row r="24" spans="1:10" customFormat="1" ht="15" x14ac:dyDescent="0.25">
      <c r="A24" t="str">
        <f t="shared" si="0"/>
        <v>Boulangerie Pelletier &amp; Fils</v>
      </c>
      <c r="B24" s="7" t="s">
        <v>17</v>
      </c>
      <c r="C24" s="1" t="s">
        <v>18</v>
      </c>
      <c r="D24" s="1"/>
      <c r="E24" s="4">
        <v>58.2</v>
      </c>
      <c r="F24" s="4"/>
      <c r="G24" s="4"/>
      <c r="H24" s="4">
        <f>E24+F24+G24</f>
        <v>58.2</v>
      </c>
      <c r="I24" s="4"/>
      <c r="J24" s="4"/>
    </row>
    <row r="25" spans="1:10" ht="16.5" thickBot="1" x14ac:dyDescent="0.3">
      <c r="A25" s="25" t="s">
        <v>17</v>
      </c>
      <c r="B25" s="25" t="s">
        <v>5</v>
      </c>
      <c r="D25" s="1"/>
      <c r="E25" s="22">
        <f>SUMIF($B$2:$B$208,"Boulangerie Pelletier &amp; Fils",$E$2:$E$208)</f>
        <v>210.35000000000002</v>
      </c>
      <c r="F25" s="22">
        <f>SUMIF($B$2:$B$208,"Boulangerie Pelletier &amp; Fils",$F$2:$F$208)</f>
        <v>0</v>
      </c>
      <c r="G25" s="22">
        <f>SUMIF($B$2:$B$208,"Boulangerie Pelletier &amp; Fils",$G$2:$G$208)</f>
        <v>0</v>
      </c>
      <c r="H25" s="22">
        <f>SUMIF($B$2:$B$208,"Boulangerie Pelletier &amp; Fils",$H$2:$H$208)</f>
        <v>210.35000000000002</v>
      </c>
    </row>
    <row r="26" spans="1:10" customFormat="1" thickTop="1" x14ac:dyDescent="0.25">
      <c r="A26">
        <f t="shared" si="0"/>
        <v>0</v>
      </c>
      <c r="D26" s="1"/>
      <c r="E26" s="4"/>
      <c r="F26" s="4"/>
      <c r="G26" s="4"/>
      <c r="H26" s="4"/>
      <c r="I26" s="4"/>
      <c r="J26" s="4"/>
    </row>
    <row r="27" spans="1:10" customFormat="1" ht="15" x14ac:dyDescent="0.25">
      <c r="A27" t="str">
        <f t="shared" si="0"/>
        <v>COSTCO</v>
      </c>
      <c r="B27" s="7" t="s">
        <v>6</v>
      </c>
      <c r="C27" s="1">
        <v>42394</v>
      </c>
      <c r="D27" s="1"/>
      <c r="E27" s="4">
        <v>110</v>
      </c>
      <c r="F27" s="4">
        <v>5.5</v>
      </c>
      <c r="G27" s="4">
        <v>10.97</v>
      </c>
      <c r="H27" s="4">
        <f>E27+F27+G27</f>
        <v>126.47</v>
      </c>
      <c r="I27" s="4"/>
      <c r="J27" s="4"/>
    </row>
    <row r="28" spans="1:10" customFormat="1" ht="15" x14ac:dyDescent="0.25">
      <c r="A28" t="str">
        <f t="shared" si="0"/>
        <v>COSTCO</v>
      </c>
      <c r="B28" s="7" t="s">
        <v>6</v>
      </c>
      <c r="C28" s="1">
        <v>42394</v>
      </c>
      <c r="D28" s="1"/>
      <c r="E28" s="4">
        <v>87.94</v>
      </c>
      <c r="F28" s="4">
        <v>1.44</v>
      </c>
      <c r="G28" s="4">
        <v>2.87</v>
      </c>
      <c r="H28" s="4">
        <f>E28+F28+G28</f>
        <v>92.25</v>
      </c>
      <c r="I28" s="4"/>
      <c r="J28" s="4"/>
    </row>
    <row r="29" spans="1:10" customFormat="1" ht="15" x14ac:dyDescent="0.25">
      <c r="A29" t="str">
        <f t="shared" si="0"/>
        <v>COSTCO</v>
      </c>
      <c r="B29" s="7" t="s">
        <v>6</v>
      </c>
      <c r="C29" s="1">
        <v>42398</v>
      </c>
      <c r="D29" s="1"/>
      <c r="E29" s="4">
        <v>122.84</v>
      </c>
      <c r="F29" s="4">
        <v>0.77</v>
      </c>
      <c r="G29" s="4">
        <v>1.54</v>
      </c>
      <c r="H29" s="4">
        <f>E29+F29+G29</f>
        <v>125.15</v>
      </c>
      <c r="I29" s="4"/>
      <c r="J29" s="4"/>
    </row>
    <row r="30" spans="1:10" ht="16.5" thickBot="1" x14ac:dyDescent="0.3">
      <c r="A30" s="25" t="s">
        <v>6</v>
      </c>
      <c r="B30" s="25" t="s">
        <v>5</v>
      </c>
      <c r="D30" s="1"/>
      <c r="E30" s="22">
        <f>SUMIF($B$2:$B$208,"COSTCO",$E$2:$E$208)</f>
        <v>320.77999999999997</v>
      </c>
      <c r="F30" s="22">
        <f>SUMIF($B$2:$B$208,"COSTCO",$F$2:$F$208)</f>
        <v>7.7099999999999991</v>
      </c>
      <c r="G30" s="22">
        <f>SUMIF($B$2:$B$208,"COSTCO",$G$2:$G$208)</f>
        <v>15.379999999999999</v>
      </c>
      <c r="H30" s="22">
        <f>SUMIF($B$2:$B$208,"COSTCO",$H$2:$H$208)</f>
        <v>343.87</v>
      </c>
    </row>
    <row r="31" spans="1:10" customFormat="1" thickTop="1" x14ac:dyDescent="0.25">
      <c r="A31">
        <f t="shared" si="0"/>
        <v>0</v>
      </c>
      <c r="D31" s="1"/>
      <c r="E31" s="4"/>
      <c r="F31" s="4"/>
      <c r="G31" s="4"/>
      <c r="H31" s="4"/>
      <c r="I31" s="4"/>
      <c r="J31" s="4"/>
    </row>
    <row r="32" spans="1:10" customFormat="1" ht="15" x14ac:dyDescent="0.25">
      <c r="A32" t="str">
        <f t="shared" si="0"/>
        <v>Croustilles Yum Yum</v>
      </c>
      <c r="B32" s="7" t="s">
        <v>26</v>
      </c>
      <c r="C32" s="1">
        <v>42391</v>
      </c>
      <c r="D32" s="1"/>
      <c r="E32" s="4">
        <v>102.96</v>
      </c>
      <c r="F32" s="4">
        <v>5.15</v>
      </c>
      <c r="G32" s="4">
        <v>10.27</v>
      </c>
      <c r="H32" s="4">
        <f>E32+F32+G32</f>
        <v>118.38</v>
      </c>
      <c r="I32" s="4"/>
      <c r="J32" s="4"/>
    </row>
    <row r="33" spans="1:10" ht="16.5" thickBot="1" x14ac:dyDescent="0.3">
      <c r="A33" s="25" t="s">
        <v>26</v>
      </c>
      <c r="B33" s="25" t="s">
        <v>5</v>
      </c>
      <c r="D33" s="1"/>
      <c r="E33" s="22">
        <f>SUMIF($B$2:$B$208,"CROUSTILLES YUM YUM",$E$2:$E$208)</f>
        <v>102.96</v>
      </c>
      <c r="F33" s="22">
        <f>SUMIF($B$2:$B$208,"CROUSTILLES YUM YUM",$F$2:$F$208)</f>
        <v>5.15</v>
      </c>
      <c r="G33" s="22">
        <f>SUMIF($B$2:$B$208,"CROUSTILLES YUM YUM",$G$2:$G$208)</f>
        <v>10.27</v>
      </c>
      <c r="H33" s="22">
        <f>SUMIF($B$2:$B$208,"CROUSTILLES YUM YUM",$H$2:$H$208)</f>
        <v>118.38</v>
      </c>
      <c r="I33" s="27"/>
    </row>
    <row r="34" spans="1:10" customFormat="1" thickTop="1" x14ac:dyDescent="0.25">
      <c r="A34">
        <f t="shared" si="0"/>
        <v>0</v>
      </c>
      <c r="D34" s="1"/>
      <c r="E34" s="4"/>
      <c r="F34" s="4"/>
      <c r="G34" s="4"/>
      <c r="H34" s="4"/>
      <c r="I34" s="4"/>
      <c r="J34" s="4"/>
    </row>
    <row r="35" spans="1:10" customFormat="1" ht="15" x14ac:dyDescent="0.25">
      <c r="A35" t="str">
        <f t="shared" si="0"/>
        <v>Distribution Le Perco</v>
      </c>
      <c r="B35" s="7" t="s">
        <v>21</v>
      </c>
      <c r="C35" s="1">
        <v>42374</v>
      </c>
      <c r="D35" s="1"/>
      <c r="E35" s="4">
        <v>35.25</v>
      </c>
      <c r="F35" s="4">
        <v>1.76</v>
      </c>
      <c r="G35" s="4">
        <v>3.52</v>
      </c>
      <c r="H35" s="4">
        <f>E35+F35+G35</f>
        <v>40.53</v>
      </c>
      <c r="I35" s="4"/>
      <c r="J35" s="4"/>
    </row>
    <row r="36" spans="1:10" customFormat="1" ht="15" x14ac:dyDescent="0.25">
      <c r="A36" t="str">
        <f t="shared" si="0"/>
        <v>Distribution Le Perco</v>
      </c>
      <c r="B36" s="7" t="s">
        <v>21</v>
      </c>
      <c r="C36" s="1">
        <v>42381</v>
      </c>
      <c r="D36" s="1"/>
      <c r="E36" s="4">
        <f>64.75+28.7</f>
        <v>93.45</v>
      </c>
      <c r="F36" s="4">
        <v>3.24</v>
      </c>
      <c r="G36" s="4">
        <v>6.46</v>
      </c>
      <c r="H36" s="4">
        <f>E36+F36+G36</f>
        <v>103.14999999999999</v>
      </c>
      <c r="I36" s="4"/>
      <c r="J36" s="4"/>
    </row>
    <row r="37" spans="1:10" customFormat="1" ht="15" x14ac:dyDescent="0.25">
      <c r="A37" t="str">
        <f t="shared" si="0"/>
        <v>Distribution Le Perco</v>
      </c>
      <c r="B37" s="7" t="s">
        <v>21</v>
      </c>
      <c r="C37" s="1">
        <v>42395</v>
      </c>
      <c r="D37" s="1"/>
      <c r="E37" s="4">
        <v>88.3</v>
      </c>
      <c r="F37" s="4">
        <v>4.42</v>
      </c>
      <c r="G37" s="4">
        <v>8.81</v>
      </c>
      <c r="H37" s="4">
        <f>E37+F37+G37</f>
        <v>101.53</v>
      </c>
      <c r="I37" s="4"/>
      <c r="J37" s="4"/>
    </row>
    <row r="38" spans="1:10" ht="16.5" thickBot="1" x14ac:dyDescent="0.3">
      <c r="A38" s="25" t="s">
        <v>21</v>
      </c>
      <c r="B38" s="25" t="s">
        <v>5</v>
      </c>
      <c r="D38" s="1"/>
      <c r="E38" s="22">
        <f>SUMIF($B$2:$B$208,"DISTRIBUTION LE PERCO",$E$2:$E$208)</f>
        <v>217</v>
      </c>
      <c r="F38" s="22">
        <f>SUMIF($B$2:$B$208,"DISTRIBUTION LE PERCO",$F$2:$F$208)</f>
        <v>9.42</v>
      </c>
      <c r="G38" s="22">
        <f>SUMIF($B$2:$B$208,"DISTRIBUTION LE PERCO",$G$2:$G$208)</f>
        <v>18.79</v>
      </c>
      <c r="H38" s="22">
        <f>SUMIF($B$2:$B$208,"DISTRIBUTION LE PERCO",$H$2:$H$208)</f>
        <v>245.21</v>
      </c>
    </row>
    <row r="39" spans="1:10" customFormat="1" thickTop="1" x14ac:dyDescent="0.25">
      <c r="A39">
        <f t="shared" si="0"/>
        <v>0</v>
      </c>
      <c r="D39" s="1"/>
      <c r="E39" s="4"/>
      <c r="F39" s="4"/>
      <c r="G39" s="4"/>
      <c r="H39" s="4"/>
      <c r="I39" s="4"/>
      <c r="J39" s="4"/>
    </row>
    <row r="40" spans="1:10" customFormat="1" ht="15" x14ac:dyDescent="0.25">
      <c r="A40" t="str">
        <f t="shared" si="0"/>
        <v>Eau de Source l'Eau Da Cieux</v>
      </c>
      <c r="B40" s="7" t="s">
        <v>34</v>
      </c>
      <c r="C40" s="1">
        <v>42384</v>
      </c>
      <c r="D40" s="1"/>
      <c r="E40" s="4">
        <f>78+5.5+9.9</f>
        <v>93.4</v>
      </c>
      <c r="F40" s="4"/>
      <c r="G40" s="4"/>
      <c r="H40" s="4">
        <f>E40+F40+G40</f>
        <v>93.4</v>
      </c>
      <c r="I40" s="4"/>
      <c r="J40" s="4"/>
    </row>
    <row r="41" spans="1:10" customFormat="1" ht="15" x14ac:dyDescent="0.25">
      <c r="A41" t="str">
        <f t="shared" si="0"/>
        <v>Eau de Source l'Eau Da Cieux</v>
      </c>
      <c r="B41" s="7" t="s">
        <v>34</v>
      </c>
      <c r="C41" s="1">
        <v>42033</v>
      </c>
      <c r="D41" s="1"/>
      <c r="E41" s="4">
        <v>71.150000000000006</v>
      </c>
      <c r="F41" s="4"/>
      <c r="G41" s="4"/>
      <c r="H41" s="4">
        <v>71.150000000000006</v>
      </c>
      <c r="I41" s="4"/>
      <c r="J41" s="4"/>
    </row>
    <row r="42" spans="1:10" ht="16.5" thickBot="1" x14ac:dyDescent="0.3">
      <c r="A42" s="25" t="s">
        <v>34</v>
      </c>
      <c r="B42" s="25" t="s">
        <v>5</v>
      </c>
      <c r="D42" s="1"/>
      <c r="E42" s="22">
        <f>SUMIF($B$2:$B$208,"EAU DE SOURCE L'EAU DA CIEUX",$E$2:$E$208)</f>
        <v>164.55</v>
      </c>
      <c r="F42" s="22">
        <f>SUMIF($B$2:$B$208,"EAU DE SOURCE L'EAU DA CIEUX",$F$2:$F$208)</f>
        <v>0</v>
      </c>
      <c r="G42" s="22">
        <f>SUMIF($B$2:$B$208,"EAU DE SOURCE L'EAU DA CIEUX",$G$2:$G$208)</f>
        <v>0</v>
      </c>
      <c r="H42" s="22">
        <f>SUMIF($B$2:$B$208,"EAU DE SOURCE L'EAU DA CIEUX",$H$2:$H$208)</f>
        <v>164.55</v>
      </c>
    </row>
    <row r="43" spans="1:10" customFormat="1" thickTop="1" x14ac:dyDescent="0.25">
      <c r="A43">
        <f t="shared" si="0"/>
        <v>0</v>
      </c>
      <c r="D43" s="1"/>
      <c r="E43" s="4"/>
      <c r="F43" s="4"/>
      <c r="G43" s="4"/>
      <c r="H43" s="4"/>
      <c r="I43" s="4"/>
      <c r="J43" s="4"/>
    </row>
    <row r="44" spans="1:10" customFormat="1" ht="15" x14ac:dyDescent="0.25">
      <c r="A44" t="str">
        <f t="shared" si="0"/>
        <v>Essence Canadian Tire</v>
      </c>
      <c r="B44" s="7" t="s">
        <v>22</v>
      </c>
      <c r="C44" s="1">
        <v>42373</v>
      </c>
      <c r="D44" s="1"/>
      <c r="E44" s="4">
        <v>39.14</v>
      </c>
      <c r="F44" s="4">
        <v>1.96</v>
      </c>
      <c r="G44" s="4">
        <v>3.9</v>
      </c>
      <c r="H44" s="4">
        <f>E44+F44+G44</f>
        <v>45</v>
      </c>
      <c r="I44" s="4"/>
      <c r="J44" s="4"/>
    </row>
    <row r="45" spans="1:10" customFormat="1" ht="15" x14ac:dyDescent="0.25">
      <c r="A45" t="str">
        <f t="shared" si="0"/>
        <v>Essence Canadian Tire</v>
      </c>
      <c r="B45" s="7" t="s">
        <v>22</v>
      </c>
      <c r="C45" s="1">
        <v>42380</v>
      </c>
      <c r="D45" s="1"/>
      <c r="E45" s="4">
        <v>34.840000000000003</v>
      </c>
      <c r="F45" s="4">
        <v>1.74</v>
      </c>
      <c r="G45" s="4">
        <v>3.47</v>
      </c>
      <c r="H45" s="4">
        <f>E45+F45+G45</f>
        <v>40.050000000000004</v>
      </c>
      <c r="I45" s="4"/>
      <c r="J45" s="4"/>
    </row>
    <row r="46" spans="1:10" customFormat="1" ht="15" x14ac:dyDescent="0.25">
      <c r="A46" t="str">
        <f t="shared" si="0"/>
        <v>Essence Canadian Tire</v>
      </c>
      <c r="B46" s="7" t="s">
        <v>22</v>
      </c>
      <c r="C46" s="1">
        <v>42394</v>
      </c>
      <c r="D46" s="1"/>
      <c r="E46" s="4">
        <v>46.97</v>
      </c>
      <c r="F46" s="4">
        <v>2.35</v>
      </c>
      <c r="G46" s="4">
        <v>4.68</v>
      </c>
      <c r="H46" s="4">
        <f>E46+F46+G46</f>
        <v>54</v>
      </c>
      <c r="I46" s="4"/>
      <c r="J46" s="4"/>
    </row>
    <row r="47" spans="1:10" ht="16.5" thickBot="1" x14ac:dyDescent="0.3">
      <c r="A47" s="25" t="s">
        <v>22</v>
      </c>
      <c r="B47" s="25" t="s">
        <v>5</v>
      </c>
      <c r="D47" s="1"/>
      <c r="E47" s="22">
        <f>SUMIF($B$2:$B$208,"ESSENCE CANADIAN TIRE",$E$2:$E$208)</f>
        <v>120.95</v>
      </c>
      <c r="F47" s="22">
        <f>SUMIF($B$2:$B$208,"ESSENCE CANADIAN TIRE",$F$2:$F$208)</f>
        <v>6.0500000000000007</v>
      </c>
      <c r="G47" s="22">
        <f>SUMIF($B$2:$B$208,"ESSENCE CANADIAN TIRE",$G$2:$G$208)</f>
        <v>12.05</v>
      </c>
      <c r="H47" s="22">
        <f>SUMIF($B$2:$B$208,"ESSENCE CANADIAN TIRE",$H$2:$H$208)</f>
        <v>139.05000000000001</v>
      </c>
    </row>
    <row r="48" spans="1:10" customFormat="1" thickTop="1" x14ac:dyDescent="0.25">
      <c r="A48">
        <f t="shared" si="0"/>
        <v>0</v>
      </c>
      <c r="D48" s="1"/>
      <c r="E48" s="4"/>
      <c r="F48" s="4"/>
      <c r="G48" s="4"/>
      <c r="H48" s="4"/>
      <c r="I48" s="4"/>
      <c r="J48" s="4"/>
    </row>
    <row r="49" spans="1:10" customFormat="1" ht="15" x14ac:dyDescent="0.25">
      <c r="A49" t="str">
        <f t="shared" si="0"/>
        <v>Frito Lay Canada</v>
      </c>
      <c r="B49" s="7" t="s">
        <v>9</v>
      </c>
      <c r="C49" s="1">
        <v>42376</v>
      </c>
      <c r="D49" s="1"/>
      <c r="E49" s="4">
        <v>125.06</v>
      </c>
      <c r="F49" s="4">
        <v>5.78</v>
      </c>
      <c r="G49" s="4">
        <v>11.54</v>
      </c>
      <c r="H49" s="4">
        <f>E49+F49+G49</f>
        <v>142.38</v>
      </c>
      <c r="I49" s="4"/>
      <c r="J49" s="4"/>
    </row>
    <row r="50" spans="1:10" customFormat="1" ht="15" x14ac:dyDescent="0.25">
      <c r="A50" t="str">
        <f t="shared" si="0"/>
        <v>Frito Lay Canada</v>
      </c>
      <c r="B50" s="7" t="s">
        <v>9</v>
      </c>
      <c r="C50" s="1">
        <v>42389</v>
      </c>
      <c r="D50" s="1"/>
      <c r="E50" s="4">
        <v>130.55000000000001</v>
      </c>
      <c r="F50" s="4">
        <v>5.74</v>
      </c>
      <c r="G50" s="4">
        <v>11.45</v>
      </c>
      <c r="H50" s="4">
        <f>E50+F50+G50</f>
        <v>147.74</v>
      </c>
      <c r="I50" s="4"/>
      <c r="J50" s="4"/>
    </row>
    <row r="51" spans="1:10" ht="16.5" thickBot="1" x14ac:dyDescent="0.3">
      <c r="A51" s="25" t="s">
        <v>9</v>
      </c>
      <c r="B51" s="25" t="s">
        <v>5</v>
      </c>
      <c r="D51" s="1"/>
      <c r="E51" s="22">
        <f>SUMIF($B$2:$B$208,"FRITO LAY CANADA",$E$2:$E$208)</f>
        <v>255.61</v>
      </c>
      <c r="F51" s="22">
        <f>SUMIF($B$2:$B$208,"FRITO LAY CANADA",$F$2:$F$208)</f>
        <v>11.52</v>
      </c>
      <c r="G51" s="22">
        <f>SUMIF($B$2:$B$208,"FRITO LAY CANADA",$G$2:$G$208)</f>
        <v>22.99</v>
      </c>
      <c r="H51" s="22">
        <f>SUMIF($B$2:$B$208,"FRITO LAY CANADA",$H$2:$H$208)</f>
        <v>290.12</v>
      </c>
    </row>
    <row r="52" spans="1:10" customFormat="1" thickTop="1" x14ac:dyDescent="0.25">
      <c r="A52">
        <f t="shared" si="0"/>
        <v>0</v>
      </c>
      <c r="D52" s="1"/>
      <c r="E52" s="4"/>
      <c r="F52" s="4"/>
      <c r="G52" s="4"/>
      <c r="H52" s="4"/>
      <c r="I52" s="4"/>
      <c r="J52" s="4"/>
    </row>
    <row r="53" spans="1:10" customFormat="1" ht="15" x14ac:dyDescent="0.25">
      <c r="A53" t="str">
        <f t="shared" si="0"/>
        <v>Fromagerie St-Guillaume</v>
      </c>
      <c r="B53" s="7" t="s">
        <v>10</v>
      </c>
      <c r="C53" s="1">
        <v>42373</v>
      </c>
      <c r="D53" s="1"/>
      <c r="E53" s="4">
        <v>38.450000000000003</v>
      </c>
      <c r="F53" s="4"/>
      <c r="G53" s="4"/>
      <c r="H53" s="4">
        <f t="shared" ref="H53:H60" si="1">E53+F53+G53</f>
        <v>38.450000000000003</v>
      </c>
      <c r="I53" s="4"/>
      <c r="J53" s="4"/>
    </row>
    <row r="54" spans="1:10" customFormat="1" ht="15" x14ac:dyDescent="0.25">
      <c r="A54" t="str">
        <f t="shared" si="0"/>
        <v>Fromagerie St-Guillaume</v>
      </c>
      <c r="B54" s="7" t="s">
        <v>10</v>
      </c>
      <c r="C54" s="1">
        <v>42376</v>
      </c>
      <c r="D54" s="1"/>
      <c r="E54" s="4">
        <v>39.86</v>
      </c>
      <c r="F54" s="4"/>
      <c r="G54" s="4"/>
      <c r="H54" s="4">
        <f t="shared" si="1"/>
        <v>39.86</v>
      </c>
      <c r="I54" s="4"/>
      <c r="J54" s="4"/>
    </row>
    <row r="55" spans="1:10" customFormat="1" ht="15" x14ac:dyDescent="0.25">
      <c r="A55" t="str">
        <f t="shared" si="0"/>
        <v>Fromagerie St-Guillaume</v>
      </c>
      <c r="B55" s="7" t="s">
        <v>10</v>
      </c>
      <c r="C55" s="1">
        <v>42380</v>
      </c>
      <c r="D55" s="1"/>
      <c r="E55" s="4">
        <v>6.38</v>
      </c>
      <c r="F55" s="4"/>
      <c r="G55" s="4"/>
      <c r="H55" s="4">
        <f t="shared" si="1"/>
        <v>6.38</v>
      </c>
      <c r="I55" s="4"/>
      <c r="J55" s="4"/>
    </row>
    <row r="56" spans="1:10" customFormat="1" ht="15" x14ac:dyDescent="0.25">
      <c r="A56" t="str">
        <f t="shared" si="0"/>
        <v>Fromagerie St-Guillaume</v>
      </c>
      <c r="B56" s="7" t="s">
        <v>10</v>
      </c>
      <c r="C56" s="1">
        <v>42383</v>
      </c>
      <c r="D56" s="1"/>
      <c r="E56" s="4">
        <v>12.76</v>
      </c>
      <c r="F56" s="4"/>
      <c r="G56" s="4"/>
      <c r="H56" s="4">
        <f t="shared" si="1"/>
        <v>12.76</v>
      </c>
      <c r="I56" s="4"/>
      <c r="J56" s="4"/>
    </row>
    <row r="57" spans="1:10" customFormat="1" ht="15" x14ac:dyDescent="0.25">
      <c r="A57" t="str">
        <f t="shared" si="0"/>
        <v>Fromagerie St-Guillaume</v>
      </c>
      <c r="B57" s="7" t="s">
        <v>10</v>
      </c>
      <c r="C57" s="1">
        <v>42387</v>
      </c>
      <c r="D57" s="1"/>
      <c r="E57" s="4">
        <v>26.14</v>
      </c>
      <c r="F57" s="4"/>
      <c r="G57" s="4"/>
      <c r="H57" s="4">
        <f t="shared" si="1"/>
        <v>26.14</v>
      </c>
      <c r="I57" s="4"/>
      <c r="J57" s="4"/>
    </row>
    <row r="58" spans="1:10" customFormat="1" ht="15" x14ac:dyDescent="0.25">
      <c r="A58" t="str">
        <f t="shared" si="0"/>
        <v>Fromagerie St-Guillaume</v>
      </c>
      <c r="B58" s="7" t="s">
        <v>10</v>
      </c>
      <c r="C58" s="1">
        <v>42390</v>
      </c>
      <c r="D58" s="1"/>
      <c r="E58" s="4">
        <v>19.45</v>
      </c>
      <c r="F58" s="4"/>
      <c r="G58" s="4"/>
      <c r="H58" s="4">
        <f t="shared" si="1"/>
        <v>19.45</v>
      </c>
      <c r="I58" s="4"/>
      <c r="J58" s="4"/>
    </row>
    <row r="59" spans="1:10" customFormat="1" ht="15" x14ac:dyDescent="0.25">
      <c r="A59" t="str">
        <f t="shared" si="0"/>
        <v>Fromagerie St-Guillaume</v>
      </c>
      <c r="B59" s="7" t="s">
        <v>10</v>
      </c>
      <c r="C59" s="1">
        <v>42394</v>
      </c>
      <c r="D59" s="1"/>
      <c r="E59" s="4">
        <v>20.72</v>
      </c>
      <c r="F59" s="4"/>
      <c r="G59" s="4"/>
      <c r="H59" s="4">
        <f t="shared" si="1"/>
        <v>20.72</v>
      </c>
      <c r="I59" s="4"/>
      <c r="J59" s="4"/>
    </row>
    <row r="60" spans="1:10" customFormat="1" ht="15" x14ac:dyDescent="0.25">
      <c r="A60" t="str">
        <f t="shared" si="0"/>
        <v>Fromagerie St-Guillaume</v>
      </c>
      <c r="B60" s="7" t="s">
        <v>10</v>
      </c>
      <c r="C60" s="1">
        <v>42397</v>
      </c>
      <c r="D60" s="1"/>
      <c r="E60" s="4">
        <v>24.26</v>
      </c>
      <c r="F60" s="4"/>
      <c r="G60" s="4"/>
      <c r="H60" s="4">
        <f t="shared" si="1"/>
        <v>24.26</v>
      </c>
      <c r="I60" s="4"/>
      <c r="J60" s="4"/>
    </row>
    <row r="61" spans="1:10" ht="16.5" thickBot="1" x14ac:dyDescent="0.3">
      <c r="A61" s="25" t="s">
        <v>10</v>
      </c>
      <c r="B61" s="25" t="s">
        <v>5</v>
      </c>
      <c r="D61" s="1"/>
      <c r="E61" s="22">
        <f>SUMIF($B$2:$B$208,"FROMAGERIE ST-GUILLAUME",$E$2:$E$208)</f>
        <v>188.01999999999998</v>
      </c>
      <c r="F61" s="22">
        <f>SUMIF($B$2:$B$208,"FROMAGERIE ST-GUILLAUME",$F$2:$F$208)</f>
        <v>0</v>
      </c>
      <c r="G61" s="22">
        <f>SUMIF($B$2:$B$208,"FROMAGERIE ST-GUILLAUME",$G$2:$G$208)</f>
        <v>0</v>
      </c>
      <c r="H61" s="22">
        <f>SUMIF($B$2:$B$208,"FROMAGERIE ST-GUILLAUME",$H$2:$H$208)</f>
        <v>188.01999999999998</v>
      </c>
    </row>
    <row r="62" spans="1:10" customFormat="1" thickTop="1" x14ac:dyDescent="0.25">
      <c r="A62">
        <f t="shared" si="0"/>
        <v>0</v>
      </c>
      <c r="D62" s="1"/>
      <c r="E62" s="4"/>
      <c r="F62" s="4"/>
      <c r="G62" s="4"/>
      <c r="H62" s="4"/>
      <c r="I62" s="4"/>
      <c r="J62" s="4"/>
    </row>
    <row r="63" spans="1:10" customFormat="1" ht="15" x14ac:dyDescent="0.25">
      <c r="A63" t="str">
        <f t="shared" si="0"/>
        <v>Gestion Labritech</v>
      </c>
      <c r="B63" s="7" t="s">
        <v>36</v>
      </c>
      <c r="C63" s="1">
        <v>42383</v>
      </c>
      <c r="D63" s="1"/>
      <c r="E63" s="4">
        <v>47.5</v>
      </c>
      <c r="F63" s="4">
        <v>2.38</v>
      </c>
      <c r="G63" s="4">
        <v>4.74</v>
      </c>
      <c r="H63" s="4">
        <f>E63+F63+G63</f>
        <v>54.620000000000005</v>
      </c>
      <c r="I63" s="4"/>
      <c r="J63" s="4"/>
    </row>
    <row r="64" spans="1:10" customFormat="1" ht="15" x14ac:dyDescent="0.25">
      <c r="A64" t="str">
        <f t="shared" si="0"/>
        <v>Gestion Labritech</v>
      </c>
      <c r="B64" s="7" t="s">
        <v>36</v>
      </c>
      <c r="C64" s="1">
        <v>42391</v>
      </c>
      <c r="D64" s="1"/>
      <c r="E64" s="4">
        <v>42.3</v>
      </c>
      <c r="F64" s="4">
        <v>2.12</v>
      </c>
      <c r="G64" s="4">
        <v>4.22</v>
      </c>
      <c r="H64" s="4">
        <f>E64+F64+G64</f>
        <v>48.639999999999993</v>
      </c>
      <c r="I64" s="4"/>
      <c r="J64" s="4"/>
    </row>
    <row r="65" spans="1:10" customFormat="1" ht="15" x14ac:dyDescent="0.25">
      <c r="A65" t="str">
        <f t="shared" si="0"/>
        <v>Gestion Labritech</v>
      </c>
      <c r="B65" s="7" t="s">
        <v>36</v>
      </c>
      <c r="C65" s="1">
        <v>42398</v>
      </c>
      <c r="D65" s="1"/>
      <c r="E65" s="4">
        <v>66.05</v>
      </c>
      <c r="F65" s="4">
        <v>3.31</v>
      </c>
      <c r="G65" s="4">
        <v>6.59</v>
      </c>
      <c r="H65" s="4">
        <f>E65+F65+G65</f>
        <v>75.95</v>
      </c>
      <c r="I65" s="4"/>
      <c r="J65" s="4"/>
    </row>
    <row r="66" spans="1:10" ht="16.5" thickBot="1" x14ac:dyDescent="0.3">
      <c r="A66" s="25" t="s">
        <v>36</v>
      </c>
      <c r="B66" s="25" t="s">
        <v>5</v>
      </c>
      <c r="D66" s="1"/>
      <c r="E66" s="22">
        <f>SUMIF($B$2:$B$208,"GESTION LABRITECH",$E$2:$E$208)</f>
        <v>155.85</v>
      </c>
      <c r="F66" s="22">
        <f>SUMIF($B$2:$B$208,"GESTION LABRITECH",$F$2:$F$208)</f>
        <v>7.8100000000000005</v>
      </c>
      <c r="G66" s="22">
        <f>SUMIF($B$2:$B$208,"GESTION LABRITECH",$G$2:$G$208)</f>
        <v>15.55</v>
      </c>
      <c r="H66" s="22">
        <f>SUMIF($B$2:$B$208,"GESTION LABRITECH",$H$2:$H$208)</f>
        <v>179.20999999999998</v>
      </c>
    </row>
    <row r="67" spans="1:10" customFormat="1" thickTop="1" x14ac:dyDescent="0.25">
      <c r="A67">
        <f t="shared" ref="A67:A129" si="2">B67</f>
        <v>0</v>
      </c>
      <c r="D67" s="1"/>
      <c r="E67" s="4"/>
      <c r="F67" s="4"/>
      <c r="G67" s="4"/>
      <c r="H67" s="4"/>
      <c r="I67" s="4"/>
      <c r="J67" s="4"/>
    </row>
    <row r="68" spans="1:10" customFormat="1" ht="15" x14ac:dyDescent="0.25">
      <c r="A68" t="str">
        <f t="shared" si="2"/>
        <v>Imperial Tobacco Canada</v>
      </c>
      <c r="B68" s="7" t="s">
        <v>38</v>
      </c>
      <c r="C68" s="1">
        <v>42373</v>
      </c>
      <c r="D68" s="1"/>
      <c r="E68" s="4">
        <v>1009.67</v>
      </c>
      <c r="F68" s="4">
        <v>50.48</v>
      </c>
      <c r="G68" s="4"/>
      <c r="H68" s="4">
        <f>E68+F68+G68</f>
        <v>1060.1499999999999</v>
      </c>
      <c r="I68" s="4"/>
      <c r="J68" s="4"/>
    </row>
    <row r="69" spans="1:10" customFormat="1" ht="15" x14ac:dyDescent="0.25">
      <c r="A69" t="str">
        <f t="shared" si="2"/>
        <v>Imperial Tobacco Canada</v>
      </c>
      <c r="B69" s="7" t="s">
        <v>38</v>
      </c>
      <c r="C69" s="1">
        <v>42383</v>
      </c>
      <c r="D69" s="1"/>
      <c r="E69" s="4">
        <v>798.45</v>
      </c>
      <c r="F69" s="4">
        <v>39.92</v>
      </c>
      <c r="G69" s="4"/>
      <c r="H69" s="4">
        <f>E69+F69+G69</f>
        <v>838.37</v>
      </c>
      <c r="I69" s="4"/>
      <c r="J69" s="4"/>
    </row>
    <row r="70" spans="1:10" ht="16.5" thickBot="1" x14ac:dyDescent="0.3">
      <c r="A70" s="25" t="s">
        <v>38</v>
      </c>
      <c r="B70" s="25" t="s">
        <v>5</v>
      </c>
      <c r="D70" s="1"/>
      <c r="E70" s="22">
        <f>SUMIF($B$2:$B$208,"IMPERIAL TOBACCO CANADA",$E$2:$E$208)</f>
        <v>1808.12</v>
      </c>
      <c r="F70" s="22">
        <f>SUMIF($B$2:$B$208,"IMPERIAL TOBACCO CANADA",$F$2:$F$208)</f>
        <v>90.4</v>
      </c>
      <c r="G70" s="22">
        <f>SUMIF($B$2:$B$208,"IMPERIAL TOBACCO CANADA",$G$2:$G$208)</f>
        <v>0</v>
      </c>
      <c r="H70" s="22">
        <f>SUMIF($B$2:$B$208,"IMPERIAL TOBACCO CANADA",$H$2:$H$208)</f>
        <v>1898.52</v>
      </c>
    </row>
    <row r="71" spans="1:10" customFormat="1" thickTop="1" x14ac:dyDescent="0.25">
      <c r="A71">
        <f t="shared" si="2"/>
        <v>0</v>
      </c>
      <c r="D71" s="1"/>
      <c r="E71" s="17"/>
      <c r="F71" s="17"/>
      <c r="G71" s="17"/>
      <c r="H71" s="17"/>
      <c r="I71" s="4"/>
      <c r="J71" s="4"/>
    </row>
    <row r="72" spans="1:10" customFormat="1" ht="15" x14ac:dyDescent="0.25">
      <c r="A72" t="str">
        <f t="shared" si="2"/>
        <v>Intérêts Banque Royal</v>
      </c>
      <c r="B72" t="s">
        <v>44</v>
      </c>
      <c r="C72" s="18">
        <v>42369</v>
      </c>
      <c r="D72" s="1"/>
      <c r="E72" s="17">
        <v>234.21</v>
      </c>
      <c r="F72" s="17"/>
      <c r="G72" s="17"/>
      <c r="H72" s="17">
        <v>234.21</v>
      </c>
      <c r="I72" s="4"/>
      <c r="J72" s="4"/>
    </row>
    <row r="73" spans="1:10" ht="16.5" thickBot="1" x14ac:dyDescent="0.3">
      <c r="A73" s="25" t="s">
        <v>44</v>
      </c>
      <c r="B73" s="25" t="s">
        <v>5</v>
      </c>
      <c r="C73" s="18"/>
      <c r="D73" s="1"/>
      <c r="E73" s="22">
        <v>234.21</v>
      </c>
      <c r="F73" s="22"/>
      <c r="G73" s="22"/>
      <c r="H73" s="22">
        <v>234.21</v>
      </c>
    </row>
    <row r="74" spans="1:10" customFormat="1" thickTop="1" x14ac:dyDescent="0.25">
      <c r="A74">
        <f t="shared" si="2"/>
        <v>0</v>
      </c>
      <c r="D74" s="1"/>
      <c r="E74" s="4"/>
      <c r="F74" s="4"/>
      <c r="G74" s="4"/>
      <c r="H74" s="4"/>
      <c r="I74" s="4"/>
      <c r="J74" s="4"/>
    </row>
    <row r="75" spans="1:10" customFormat="1" ht="15" x14ac:dyDescent="0.25">
      <c r="A75" t="str">
        <f t="shared" si="2"/>
        <v>Journal Le Dépanneur Québécois</v>
      </c>
      <c r="B75" s="7" t="s">
        <v>13</v>
      </c>
      <c r="C75" s="1">
        <v>42339</v>
      </c>
      <c r="D75" s="1"/>
      <c r="E75" s="4">
        <v>4.22</v>
      </c>
      <c r="F75" s="4">
        <v>0.21</v>
      </c>
      <c r="G75" s="4">
        <v>0.42</v>
      </c>
      <c r="H75" s="4">
        <f>E75+F75+G75</f>
        <v>4.8499999999999996</v>
      </c>
      <c r="I75" s="4"/>
      <c r="J75" s="4"/>
    </row>
    <row r="76" spans="1:10" customFormat="1" ht="15" x14ac:dyDescent="0.25">
      <c r="A76" t="str">
        <f t="shared" si="2"/>
        <v>Journal Le Dépanneur Québécois</v>
      </c>
      <c r="B76" s="7" t="s">
        <v>13</v>
      </c>
      <c r="C76" s="1">
        <v>42373</v>
      </c>
      <c r="D76" s="1"/>
      <c r="E76" s="4">
        <v>6.33</v>
      </c>
      <c r="F76" s="4">
        <v>0.32</v>
      </c>
      <c r="G76" s="4">
        <v>0.63</v>
      </c>
      <c r="H76" s="4">
        <v>7.28</v>
      </c>
      <c r="I76" s="4"/>
      <c r="J76" s="4"/>
    </row>
    <row r="77" spans="1:10" ht="16.5" thickBot="1" x14ac:dyDescent="0.3">
      <c r="A77" s="25" t="s">
        <v>13</v>
      </c>
      <c r="B77" s="25" t="s">
        <v>5</v>
      </c>
      <c r="D77" s="1"/>
      <c r="E77" s="22">
        <f>SUMIF($B$2:$B$208,"JOURNAL LE DÉPANNEUR QUÉBÉCOIS",$E$2:$E$208)</f>
        <v>10.55</v>
      </c>
      <c r="F77" s="22">
        <f>SUMIF($B$2:$B$208,"JOURNAL LE DÉPANNEUR QUÉBÉCOIS",$F$2:$F$208)</f>
        <v>0.53</v>
      </c>
      <c r="G77" s="22">
        <f>SUMIF($B$2:$B$208,"JOURNAL LE DÉPANNEUR QUÉBÉCOIS",$G$2:$G$208)</f>
        <v>1.05</v>
      </c>
      <c r="H77" s="22">
        <f>SUMIF($B$2:$B$208,"JOURNAL LE DÉPANNEUR QUÉBÉCOIS",$H$2:$H$208)</f>
        <v>12.129999999999999</v>
      </c>
    </row>
    <row r="78" spans="1:10" customFormat="1" thickTop="1" x14ac:dyDescent="0.25">
      <c r="A78">
        <f t="shared" si="2"/>
        <v>0</v>
      </c>
      <c r="D78" s="1"/>
      <c r="E78" s="4"/>
      <c r="F78" s="4"/>
      <c r="G78" s="4"/>
      <c r="H78" s="4"/>
      <c r="I78" s="4"/>
      <c r="J78" s="4"/>
    </row>
    <row r="79" spans="1:10" customFormat="1" ht="15" x14ac:dyDescent="0.25">
      <c r="A79" t="str">
        <f t="shared" si="2"/>
        <v>Joy</v>
      </c>
      <c r="B79" s="7" t="s">
        <v>15</v>
      </c>
      <c r="C79" s="1">
        <v>42378</v>
      </c>
      <c r="D79" s="1"/>
      <c r="E79" s="4">
        <v>45.6</v>
      </c>
      <c r="F79" s="4">
        <v>2.2799999999999998</v>
      </c>
      <c r="G79" s="4">
        <v>4.54</v>
      </c>
      <c r="H79" s="4">
        <f>E79+F79+G79</f>
        <v>52.42</v>
      </c>
      <c r="I79" s="4"/>
      <c r="J79" s="4"/>
    </row>
    <row r="80" spans="1:10" ht="16.5" thickBot="1" x14ac:dyDescent="0.3">
      <c r="A80" s="25" t="s">
        <v>15</v>
      </c>
      <c r="B80" s="25" t="s">
        <v>5</v>
      </c>
      <c r="D80" s="1"/>
      <c r="E80" s="22">
        <f>SUMIF($B$2:$B$208,"JOY",$E$2:$E$208)</f>
        <v>45.6</v>
      </c>
      <c r="F80" s="22">
        <f>SUMIF($B$2:$B$208,"JOY",$F$2:$F$208)</f>
        <v>2.2799999999999998</v>
      </c>
      <c r="G80" s="22">
        <f>SUMIF($B$2:$B$208,"JOY",$G$2:$G$208)</f>
        <v>4.54</v>
      </c>
      <c r="H80" s="22">
        <f>SUMIF($B$2:$B$208,"JOY",$H$2:$H$208)</f>
        <v>52.42</v>
      </c>
    </row>
    <row r="81" spans="1:10" customFormat="1" thickTop="1" x14ac:dyDescent="0.25">
      <c r="A81">
        <f t="shared" si="2"/>
        <v>0</v>
      </c>
      <c r="D81" s="1"/>
      <c r="E81" s="4"/>
      <c r="F81" s="4"/>
      <c r="G81" s="4"/>
      <c r="H81" s="4"/>
      <c r="I81" s="4"/>
      <c r="J81" s="4"/>
    </row>
    <row r="82" spans="1:10" customFormat="1" ht="15" x14ac:dyDescent="0.25">
      <c r="A82" t="str">
        <f t="shared" si="2"/>
        <v>La Corporation Tantrum</v>
      </c>
      <c r="B82" s="7" t="s">
        <v>20</v>
      </c>
      <c r="C82" s="1">
        <v>42382</v>
      </c>
      <c r="D82" s="1"/>
      <c r="E82" s="4">
        <v>104.9</v>
      </c>
      <c r="F82" s="4">
        <v>5.13</v>
      </c>
      <c r="G82" s="4">
        <v>10.220000000000001</v>
      </c>
      <c r="H82" s="4">
        <f>E82+F82+G82</f>
        <v>120.25</v>
      </c>
      <c r="I82" s="4"/>
      <c r="J82" s="4"/>
    </row>
    <row r="83" spans="1:10" ht="16.5" thickBot="1" x14ac:dyDescent="0.3">
      <c r="A83" s="25" t="s">
        <v>20</v>
      </c>
      <c r="B83" s="25" t="s">
        <v>5</v>
      </c>
      <c r="D83" s="1"/>
      <c r="E83" s="22">
        <f>SUMIF($B$2:$B$208,"LA CORPORATION TANTRUM",$E$2:$E$208)</f>
        <v>104.9</v>
      </c>
      <c r="F83" s="22">
        <f>SUMIF($B$2:$B$208,"LA CORPORATION TANTRUM",$F$2:$F$208)</f>
        <v>5.13</v>
      </c>
      <c r="G83" s="22">
        <f>SUMIF($B$2:$B$208,"LA CORPORATION TANTRUM",$G$2:$G$208)</f>
        <v>10.220000000000001</v>
      </c>
      <c r="H83" s="22">
        <f>SUMIF($B$2:$B$208,"LA CORPORATION TANTRUM",$H$2:$H$208)</f>
        <v>120.25</v>
      </c>
    </row>
    <row r="84" spans="1:10" customFormat="1" thickTop="1" x14ac:dyDescent="0.25">
      <c r="A84">
        <f t="shared" si="2"/>
        <v>0</v>
      </c>
      <c r="D84" s="1"/>
      <c r="E84" s="4"/>
      <c r="F84" s="4"/>
      <c r="G84" s="4"/>
      <c r="H84" s="4"/>
      <c r="I84" s="4"/>
      <c r="J84" s="4"/>
    </row>
    <row r="85" spans="1:10" customFormat="1" ht="15" x14ac:dyDescent="0.25">
      <c r="A85" t="str">
        <f t="shared" si="2"/>
        <v>La Source d'Eau</v>
      </c>
      <c r="B85" s="7" t="s">
        <v>16</v>
      </c>
      <c r="C85" s="1">
        <v>42375</v>
      </c>
      <c r="D85" s="1"/>
      <c r="E85" s="4">
        <v>54.25</v>
      </c>
      <c r="F85" s="4"/>
      <c r="G85" s="4"/>
      <c r="H85" s="4">
        <f>E85+F85+G85</f>
        <v>54.25</v>
      </c>
      <c r="I85" s="4"/>
      <c r="J85" s="4"/>
    </row>
    <row r="86" spans="1:10" customFormat="1" ht="15" x14ac:dyDescent="0.25">
      <c r="A86" t="str">
        <f t="shared" si="2"/>
        <v>La Source d'Eau</v>
      </c>
      <c r="B86" s="7" t="s">
        <v>16</v>
      </c>
      <c r="C86" s="1">
        <v>42382</v>
      </c>
      <c r="D86" s="1"/>
      <c r="E86" s="4">
        <v>29.5</v>
      </c>
      <c r="F86" s="4"/>
      <c r="G86" s="4"/>
      <c r="H86" s="4">
        <f>E86+F86+G86</f>
        <v>29.5</v>
      </c>
      <c r="I86" s="4"/>
      <c r="J86" s="4"/>
    </row>
    <row r="87" spans="1:10" customFormat="1" ht="15" x14ac:dyDescent="0.25">
      <c r="A87" t="str">
        <f t="shared" si="2"/>
        <v>La Source d'Eau</v>
      </c>
      <c r="B87" s="7" t="s">
        <v>16</v>
      </c>
      <c r="C87" s="1">
        <v>42389</v>
      </c>
      <c r="D87" s="1"/>
      <c r="E87" s="4">
        <v>20.76</v>
      </c>
      <c r="F87" s="4">
        <v>1.95</v>
      </c>
      <c r="G87" s="4">
        <v>3.89</v>
      </c>
      <c r="H87" s="4">
        <f>E87+F87+G87</f>
        <v>26.6</v>
      </c>
      <c r="I87" s="4"/>
      <c r="J87" s="4"/>
    </row>
    <row r="88" spans="1:10" customFormat="1" ht="15" x14ac:dyDescent="0.25">
      <c r="A88" t="str">
        <f t="shared" si="2"/>
        <v>La Source d'Eau</v>
      </c>
      <c r="B88" s="7" t="s">
        <v>16</v>
      </c>
      <c r="C88" s="1">
        <v>42396</v>
      </c>
      <c r="D88" s="1"/>
      <c r="E88" s="4">
        <v>52</v>
      </c>
      <c r="F88" s="4"/>
      <c r="G88" s="4"/>
      <c r="H88" s="4">
        <f>E88+F88+G88</f>
        <v>52</v>
      </c>
      <c r="I88" s="4"/>
      <c r="J88" s="4"/>
    </row>
    <row r="89" spans="1:10" ht="16.5" thickBot="1" x14ac:dyDescent="0.3">
      <c r="A89" s="25" t="s">
        <v>16</v>
      </c>
      <c r="B89" s="25" t="s">
        <v>5</v>
      </c>
      <c r="D89" s="1"/>
      <c r="E89" s="22">
        <f>SUMIF($B$2:$B$208,"LA SOURCE D'EAU",$E$2:$E$208)</f>
        <v>156.51</v>
      </c>
      <c r="F89" s="22">
        <f>SUMIF($B$2:$B$208,"LA SOURCE D'EAU",$F$2:$F$208)</f>
        <v>1.95</v>
      </c>
      <c r="G89" s="22">
        <f>SUMIF($B$2:$B$208,"LA SOURCE D'EAU",$G$2:$G$208)</f>
        <v>3.89</v>
      </c>
      <c r="H89" s="22">
        <f>SUMIF($B$2:$B$208,"LA SOURCE D'EAU",$H$2:$H$208)</f>
        <v>162.35</v>
      </c>
    </row>
    <row r="90" spans="1:10" customFormat="1" thickTop="1" x14ac:dyDescent="0.25">
      <c r="A90">
        <f t="shared" si="2"/>
        <v>0</v>
      </c>
      <c r="D90" s="1"/>
      <c r="E90" s="4"/>
      <c r="F90" s="4"/>
      <c r="G90" s="4"/>
      <c r="H90" s="4"/>
      <c r="I90" s="4"/>
      <c r="J90" s="4"/>
    </row>
    <row r="91" spans="1:10" customFormat="1" ht="15" x14ac:dyDescent="0.25">
      <c r="A91" t="str">
        <f t="shared" si="2"/>
        <v>Laiterie Coaticook</v>
      </c>
      <c r="B91" s="7" t="s">
        <v>32</v>
      </c>
      <c r="C91" s="1">
        <v>42373</v>
      </c>
      <c r="D91" s="1"/>
      <c r="E91" s="4">
        <v>104.7</v>
      </c>
      <c r="F91" s="4"/>
      <c r="G91" s="4"/>
      <c r="H91" s="4">
        <f>E91+F91+G91</f>
        <v>104.7</v>
      </c>
      <c r="I91" s="4"/>
      <c r="J91" s="4"/>
    </row>
    <row r="92" spans="1:10" ht="16.5" thickBot="1" x14ac:dyDescent="0.3">
      <c r="A92" s="25" t="s">
        <v>32</v>
      </c>
      <c r="B92" s="25" t="s">
        <v>5</v>
      </c>
      <c r="D92" s="1"/>
      <c r="E92" s="22">
        <f>SUMIF($B$2:$B$208,"LAITERIE COATICOOK",$E$2:$E$208)</f>
        <v>104.7</v>
      </c>
      <c r="F92" s="22">
        <f>SUMIF($B$2:$B$208,"LAITERIE COATICOOK",$F$2:$F$208)</f>
        <v>0</v>
      </c>
      <c r="G92" s="22">
        <f>SUMIF($B$2:$B$208,"LAITERIE COATICOOK",$G$2:$G$208)</f>
        <v>0</v>
      </c>
      <c r="H92" s="22">
        <f>SUMIF($B$2:$B$208,"LAITERIE COATICOOK",$H$2:$H$208)</f>
        <v>104.7</v>
      </c>
    </row>
    <row r="93" spans="1:10" customFormat="1" thickTop="1" x14ac:dyDescent="0.25">
      <c r="A93">
        <f t="shared" si="2"/>
        <v>0</v>
      </c>
      <c r="D93" s="1"/>
      <c r="E93" s="4"/>
      <c r="F93" s="4"/>
      <c r="G93" s="4"/>
      <c r="H93" s="4"/>
      <c r="I93" s="4"/>
      <c r="J93" s="4"/>
    </row>
    <row r="94" spans="1:10" customFormat="1" ht="15" x14ac:dyDescent="0.25">
      <c r="A94" t="str">
        <f t="shared" si="2"/>
        <v>Les Bonbons Mondoux</v>
      </c>
      <c r="B94" s="7" t="s">
        <v>19</v>
      </c>
      <c r="C94" s="1">
        <v>42380</v>
      </c>
      <c r="D94" s="1"/>
      <c r="E94" s="4">
        <v>70.11</v>
      </c>
      <c r="F94" s="4">
        <v>3.51</v>
      </c>
      <c r="G94" s="4">
        <v>6.99</v>
      </c>
      <c r="H94" s="4">
        <f>E94+F94+G94</f>
        <v>80.61</v>
      </c>
      <c r="I94" s="4"/>
      <c r="J94" s="4"/>
    </row>
    <row r="95" spans="1:10" ht="16.5" thickBot="1" x14ac:dyDescent="0.3">
      <c r="A95" s="25" t="s">
        <v>19</v>
      </c>
      <c r="B95" s="25" t="s">
        <v>5</v>
      </c>
      <c r="D95" s="1"/>
      <c r="E95" s="22">
        <f>SUMIF($B$2:$B$208,"LES BONBONS MONDOUX",$E$2:$E$208)</f>
        <v>70.11</v>
      </c>
      <c r="F95" s="22">
        <f>SUMIF($B$2:$B$208,"LES BONBONS MONDOUX",$F$2:$F$208)</f>
        <v>3.51</v>
      </c>
      <c r="G95" s="22">
        <f>SUMIF($B$2:$B$208,"LES BONBONS MONDOUX",$G$2:$G$208)</f>
        <v>6.99</v>
      </c>
      <c r="H95" s="22">
        <f>SUMIF($B$2:$B$208,"LES BONBONS MONDOUX",$H$2:$H$208)</f>
        <v>80.61</v>
      </c>
    </row>
    <row r="96" spans="1:10" customFormat="1" thickTop="1" x14ac:dyDescent="0.25">
      <c r="A96">
        <f t="shared" si="2"/>
        <v>0</v>
      </c>
      <c r="D96" s="1"/>
      <c r="E96" s="4"/>
      <c r="F96" s="4"/>
      <c r="G96" s="4"/>
      <c r="H96" s="4"/>
      <c r="I96" s="4"/>
      <c r="J96" s="4"/>
    </row>
    <row r="97" spans="1:10" customFormat="1" ht="15" x14ac:dyDescent="0.25">
      <c r="A97" t="str">
        <f t="shared" si="2"/>
        <v>Les Surprises de Gigi Inc.</v>
      </c>
      <c r="B97" s="7" t="s">
        <v>11</v>
      </c>
      <c r="C97" s="1">
        <v>42377</v>
      </c>
      <c r="D97" s="1"/>
      <c r="E97" s="4">
        <v>22.8</v>
      </c>
      <c r="F97" s="4">
        <v>1.1399999999999999</v>
      </c>
      <c r="G97" s="4">
        <v>2.27</v>
      </c>
      <c r="H97" s="4">
        <f>E97+F97+G97</f>
        <v>26.21</v>
      </c>
      <c r="I97" s="4"/>
      <c r="J97" s="4"/>
    </row>
    <row r="98" spans="1:10" ht="16.5" thickBot="1" x14ac:dyDescent="0.3">
      <c r="A98" s="25" t="s">
        <v>11</v>
      </c>
      <c r="B98" s="25" t="s">
        <v>5</v>
      </c>
      <c r="D98" s="1"/>
      <c r="E98" s="22">
        <f>SUMIF($B$2:$B$208,"LES SURPRISES DE GIGI INC.",$E$2:$E$208)</f>
        <v>22.8</v>
      </c>
      <c r="F98" s="22">
        <f>SUMIF($B$2:$B$208,"LES SURPRISES DE GIGI INC.",$F$2:$F$208)</f>
        <v>1.1399999999999999</v>
      </c>
      <c r="G98" s="22">
        <f>SUMIF($B$2:$B$208,"LES SURPRISES DE GIGI INC.",$G$2:$G$208)</f>
        <v>2.27</v>
      </c>
      <c r="H98" s="22">
        <f>SUMIF($B$2:$B$208,"LES SURPRISES DE GIGI INC.",$H$2:$H$208)</f>
        <v>26.21</v>
      </c>
    </row>
    <row r="99" spans="1:10" customFormat="1" thickTop="1" x14ac:dyDescent="0.25">
      <c r="A99">
        <f t="shared" si="2"/>
        <v>0</v>
      </c>
      <c r="D99" s="1"/>
      <c r="E99" s="4"/>
      <c r="F99" s="4"/>
      <c r="G99" s="4"/>
      <c r="H99" s="4"/>
      <c r="I99" s="4"/>
      <c r="J99" s="4"/>
    </row>
    <row r="100" spans="1:10" customFormat="1" ht="15" x14ac:dyDescent="0.25">
      <c r="A100" t="str">
        <f t="shared" si="2"/>
        <v>Maxie &amp; Cie</v>
      </c>
      <c r="B100" s="7" t="s">
        <v>7</v>
      </c>
      <c r="C100" s="1">
        <v>42380</v>
      </c>
      <c r="D100" s="1"/>
      <c r="E100" s="4">
        <v>108.38</v>
      </c>
      <c r="F100" s="4">
        <v>2.1</v>
      </c>
      <c r="G100" s="4">
        <v>4.1900000000000004</v>
      </c>
      <c r="H100" s="4">
        <f>E100+F100+G100</f>
        <v>114.66999999999999</v>
      </c>
      <c r="I100" s="4"/>
      <c r="J100" s="4"/>
    </row>
    <row r="101" spans="1:10" ht="16.5" thickBot="1" x14ac:dyDescent="0.3">
      <c r="A101" s="25" t="s">
        <v>7</v>
      </c>
      <c r="B101" s="25" t="s">
        <v>5</v>
      </c>
      <c r="D101" s="1"/>
      <c r="E101" s="22">
        <f>SUMIF($B$2:$B$208,"MAXIE &amp; CIE",$E$2:$E$208)</f>
        <v>108.38</v>
      </c>
      <c r="F101" s="22">
        <f>SUMIF($B$2:$B$208,"MAXIE &amp; CIE",$F$2:$F$208)</f>
        <v>2.1</v>
      </c>
      <c r="G101" s="22">
        <f>SUMIF($B$2:$B$208,"MAXIE &amp; CIE",$G$2:$G$208)</f>
        <v>4.1900000000000004</v>
      </c>
      <c r="H101" s="22">
        <f>SUMIF($B$2:$B$208,"MAXIE &amp; CIE",$H$2:$H$208)</f>
        <v>114.66999999999999</v>
      </c>
    </row>
    <row r="102" spans="1:10" customFormat="1" thickTop="1" x14ac:dyDescent="0.25">
      <c r="A102">
        <f t="shared" si="2"/>
        <v>0</v>
      </c>
      <c r="D102" s="1"/>
      <c r="E102" s="4"/>
      <c r="F102" s="4"/>
      <c r="G102" s="4"/>
      <c r="H102" s="4"/>
      <c r="I102" s="4"/>
      <c r="J102" s="4"/>
    </row>
    <row r="103" spans="1:10" customFormat="1" ht="15" x14ac:dyDescent="0.25">
      <c r="A103" t="str">
        <f t="shared" si="2"/>
        <v>Messageries Dynamiques</v>
      </c>
      <c r="B103" s="7" t="s">
        <v>12</v>
      </c>
      <c r="C103" s="1">
        <v>42369</v>
      </c>
      <c r="D103" s="1"/>
      <c r="E103" s="4">
        <v>2.19</v>
      </c>
      <c r="F103" s="4">
        <v>0.11</v>
      </c>
      <c r="G103" s="4">
        <v>0.22</v>
      </c>
      <c r="H103" s="4">
        <f>E103+F103+G103</f>
        <v>2.52</v>
      </c>
      <c r="I103" s="4"/>
      <c r="J103" s="4"/>
    </row>
    <row r="104" spans="1:10" customFormat="1" ht="15" x14ac:dyDescent="0.25">
      <c r="A104" t="str">
        <f t="shared" si="2"/>
        <v>Messageries Dynamiques</v>
      </c>
      <c r="B104" s="7" t="s">
        <v>12</v>
      </c>
      <c r="C104" s="1">
        <v>42377</v>
      </c>
      <c r="D104" s="1"/>
      <c r="E104" s="4">
        <v>112.96</v>
      </c>
      <c r="F104" s="4">
        <v>5.65</v>
      </c>
      <c r="G104" s="4">
        <v>11.27</v>
      </c>
      <c r="H104" s="4">
        <f>E104+F104+G104</f>
        <v>129.88</v>
      </c>
      <c r="I104" s="4"/>
      <c r="J104" s="4"/>
    </row>
    <row r="105" spans="1:10" customFormat="1" ht="15" x14ac:dyDescent="0.25">
      <c r="A105" t="str">
        <f t="shared" si="2"/>
        <v>Messageries Dynamiques</v>
      </c>
      <c r="B105" s="7" t="s">
        <v>12</v>
      </c>
      <c r="C105" s="1">
        <v>42384</v>
      </c>
      <c r="D105" s="1"/>
      <c r="E105" s="4">
        <v>12.41</v>
      </c>
      <c r="F105" s="4">
        <v>0.62</v>
      </c>
      <c r="G105" s="4">
        <v>6.68</v>
      </c>
      <c r="H105" s="4">
        <f>E105+F105+G105</f>
        <v>19.71</v>
      </c>
      <c r="I105" s="4"/>
      <c r="J105" s="4"/>
    </row>
    <row r="106" spans="1:10" customFormat="1" ht="15" x14ac:dyDescent="0.25">
      <c r="A106" t="str">
        <f t="shared" si="2"/>
        <v>Messageries Dynamiques</v>
      </c>
      <c r="B106" s="7" t="s">
        <v>12</v>
      </c>
      <c r="C106" s="1">
        <v>42391</v>
      </c>
      <c r="D106" s="1"/>
      <c r="E106" s="4">
        <v>96.84</v>
      </c>
      <c r="F106" s="4">
        <v>4.84</v>
      </c>
      <c r="G106" s="4">
        <v>9.66</v>
      </c>
      <c r="H106" s="4">
        <f>E106+F106+G106</f>
        <v>111.34</v>
      </c>
      <c r="I106" s="4"/>
      <c r="J106" s="4"/>
    </row>
    <row r="107" spans="1:10" customFormat="1" ht="15" x14ac:dyDescent="0.25">
      <c r="A107" t="str">
        <f t="shared" si="2"/>
        <v>Messageries Dynamiques</v>
      </c>
      <c r="B107" s="7" t="s">
        <v>12</v>
      </c>
      <c r="C107" s="1">
        <v>42398</v>
      </c>
      <c r="D107" s="1"/>
      <c r="E107" s="4">
        <v>44.61</v>
      </c>
      <c r="F107" s="4">
        <v>2.23</v>
      </c>
      <c r="G107" s="4">
        <v>4.45</v>
      </c>
      <c r="H107" s="4">
        <f>E107+F107+G107</f>
        <v>51.29</v>
      </c>
      <c r="I107" s="4"/>
      <c r="J107" s="4"/>
    </row>
    <row r="108" spans="1:10" ht="16.5" thickBot="1" x14ac:dyDescent="0.3">
      <c r="A108" s="25" t="s">
        <v>12</v>
      </c>
      <c r="B108" s="25" t="s">
        <v>5</v>
      </c>
      <c r="D108" s="1"/>
      <c r="E108" s="22">
        <f>SUMIF($B$2:$B$208,"MESSAGERIES DYNAMIQUES",$E$2:$E$208)</f>
        <v>269.01</v>
      </c>
      <c r="F108" s="22">
        <f>SUMIF($B$2:$B$208,"MESSAGERIES DYNAMIQUES",$F$2:$F$208)</f>
        <v>13.450000000000001</v>
      </c>
      <c r="G108" s="22">
        <f>SUMIF($B$2:$B$208,"MESSAGERIES DYNAMIQUES",$G$2:$G$208)</f>
        <v>32.28</v>
      </c>
      <c r="H108" s="22">
        <f>SUMIF($B$2:$B$208,"MESSAGERIES DYNAMIQUES",$H$2:$H$208)</f>
        <v>314.74000000000007</v>
      </c>
    </row>
    <row r="109" spans="1:10" customFormat="1" thickTop="1" x14ac:dyDescent="0.25">
      <c r="A109">
        <f t="shared" si="2"/>
        <v>0</v>
      </c>
      <c r="D109" s="1"/>
      <c r="E109" s="4"/>
      <c r="F109" s="4"/>
      <c r="G109" s="4"/>
      <c r="H109" s="4"/>
      <c r="I109" s="4"/>
      <c r="J109" s="4"/>
    </row>
    <row r="110" spans="1:10" customFormat="1" ht="15" x14ac:dyDescent="0.25">
      <c r="A110" t="str">
        <f t="shared" si="2"/>
        <v>Molson Coors Canada</v>
      </c>
      <c r="B110" s="7" t="s">
        <v>25</v>
      </c>
      <c r="C110" s="1">
        <v>42390</v>
      </c>
      <c r="D110" s="1"/>
      <c r="E110" s="4">
        <v>672.32</v>
      </c>
      <c r="F110" s="4">
        <v>35.06</v>
      </c>
      <c r="G110" s="4">
        <v>69.91</v>
      </c>
      <c r="H110" s="4">
        <f>E110+F110+G110</f>
        <v>777.29000000000008</v>
      </c>
      <c r="I110" s="4"/>
      <c r="J110" s="4"/>
    </row>
    <row r="111" spans="1:10" ht="16.5" thickBot="1" x14ac:dyDescent="0.3">
      <c r="A111" s="25" t="s">
        <v>25</v>
      </c>
      <c r="B111" s="25" t="s">
        <v>5</v>
      </c>
      <c r="D111" s="1"/>
      <c r="E111" s="22">
        <f>SUMIF($B$2:$B$208,"MOLSON COORS CANADA",$E$2:$E$208)</f>
        <v>672.32</v>
      </c>
      <c r="F111" s="22">
        <f>SUMIF($B$2:$B$208,"MOLSON COORS CANADA",$F$2:$F$208)</f>
        <v>35.06</v>
      </c>
      <c r="G111" s="22">
        <f>SUMIF($B$2:$B$208,"MOLSON COORS CANADA",$G$2:$G$208)</f>
        <v>69.91</v>
      </c>
      <c r="H111" s="22">
        <f>SUMIF($B$2:$B$208,"MOLSON COORS CANADA",$H$2:$H$208)</f>
        <v>777.29000000000008</v>
      </c>
    </row>
    <row r="112" spans="1:10" customFormat="1" thickTop="1" x14ac:dyDescent="0.25">
      <c r="A112">
        <f t="shared" si="2"/>
        <v>0</v>
      </c>
      <c r="D112" s="1"/>
      <c r="E112" s="4"/>
      <c r="F112" s="4"/>
      <c r="G112" s="4"/>
      <c r="H112" s="4"/>
      <c r="I112" s="4"/>
      <c r="J112" s="4"/>
    </row>
    <row r="113" spans="1:10" customFormat="1" ht="15" x14ac:dyDescent="0.25">
      <c r="A113" t="str">
        <f t="shared" si="2"/>
        <v>Postes Canada</v>
      </c>
      <c r="B113" s="7" t="s">
        <v>14</v>
      </c>
      <c r="C113" s="1">
        <v>42395</v>
      </c>
      <c r="D113" s="1"/>
      <c r="E113" s="4">
        <v>97.85</v>
      </c>
      <c r="F113" s="4">
        <v>4.8899999999999997</v>
      </c>
      <c r="G113" s="4">
        <v>9.76</v>
      </c>
      <c r="H113" s="4">
        <f>E113+F113+G113</f>
        <v>112.5</v>
      </c>
      <c r="I113" s="4"/>
      <c r="J113" s="4"/>
    </row>
    <row r="114" spans="1:10" ht="16.5" thickBot="1" x14ac:dyDescent="0.3">
      <c r="A114" s="25" t="s">
        <v>14</v>
      </c>
      <c r="B114" s="25" t="s">
        <v>5</v>
      </c>
      <c r="C114" s="1"/>
      <c r="D114" s="1"/>
      <c r="E114" s="22">
        <f>SUMIF($B$2:$B$208,"POSTES CANADA",$E$2:$E$208)</f>
        <v>97.85</v>
      </c>
      <c r="F114" s="22">
        <f>SUMIF($B$2:$B$208,"POSTES CANADA",$F$2:$F$208)</f>
        <v>4.8899999999999997</v>
      </c>
      <c r="G114" s="22">
        <f>SUMIF($B$2:$B$208,"POSTES CANADA",$G$2:$G$208)</f>
        <v>9.76</v>
      </c>
      <c r="H114" s="22">
        <f>SUMIF($B$2:$B$208,"POSTES CANADA",$H$2:$H$208)</f>
        <v>112.5</v>
      </c>
    </row>
    <row r="115" spans="1:10" customFormat="1" thickTop="1" x14ac:dyDescent="0.25">
      <c r="A115">
        <f t="shared" si="2"/>
        <v>0</v>
      </c>
      <c r="C115" s="1"/>
      <c r="D115" s="1"/>
      <c r="E115" s="17"/>
      <c r="F115" s="17"/>
      <c r="G115" s="17"/>
      <c r="H115" s="17"/>
      <c r="I115" s="4"/>
      <c r="J115" s="4"/>
    </row>
    <row r="116" spans="1:10" customFormat="1" ht="15" x14ac:dyDescent="0.25">
      <c r="A116" t="str">
        <f t="shared" si="2"/>
        <v>Provigo</v>
      </c>
      <c r="B116" s="7" t="s">
        <v>43</v>
      </c>
      <c r="C116" s="1">
        <v>42400</v>
      </c>
      <c r="D116" s="1"/>
      <c r="E116" s="17">
        <v>13.52</v>
      </c>
      <c r="F116" s="17">
        <v>0.64</v>
      </c>
      <c r="G116" s="17">
        <v>1.28</v>
      </c>
      <c r="H116" s="17">
        <v>15.44</v>
      </c>
      <c r="I116" s="4"/>
      <c r="J116" s="4"/>
    </row>
    <row r="117" spans="1:10" ht="16.5" thickBot="1" x14ac:dyDescent="0.3">
      <c r="A117" s="25" t="s">
        <v>43</v>
      </c>
      <c r="B117" s="25" t="s">
        <v>5</v>
      </c>
      <c r="C117" s="1"/>
      <c r="D117" s="1"/>
      <c r="E117" s="22">
        <v>13.52</v>
      </c>
      <c r="F117" s="22">
        <v>0.64</v>
      </c>
      <c r="G117" s="22">
        <v>1.28</v>
      </c>
      <c r="H117" s="22">
        <v>15.44</v>
      </c>
    </row>
    <row r="118" spans="1:10" customFormat="1" thickTop="1" x14ac:dyDescent="0.25">
      <c r="A118">
        <f t="shared" si="2"/>
        <v>0</v>
      </c>
      <c r="C118" s="4"/>
      <c r="D118" s="1"/>
      <c r="E118" s="4"/>
      <c r="F118" s="4"/>
      <c r="G118" s="4"/>
      <c r="H118" s="4"/>
      <c r="I118" s="4"/>
      <c r="J118" s="4"/>
    </row>
    <row r="119" spans="1:10" customFormat="1" ht="15" x14ac:dyDescent="0.25">
      <c r="A119" t="str">
        <f t="shared" si="2"/>
        <v>RBH</v>
      </c>
      <c r="B119" s="7" t="s">
        <v>37</v>
      </c>
      <c r="C119" s="1">
        <v>42373</v>
      </c>
      <c r="D119" s="1"/>
      <c r="E119" s="4">
        <f>475.26+387.4-55</f>
        <v>807.66</v>
      </c>
      <c r="F119" s="4">
        <v>40.380000000000003</v>
      </c>
      <c r="G119" s="4"/>
      <c r="H119" s="4">
        <f>E119+F119+G119</f>
        <v>848.04</v>
      </c>
      <c r="I119" s="4"/>
      <c r="J119" s="4"/>
    </row>
    <row r="120" spans="1:10" customFormat="1" ht="15" x14ac:dyDescent="0.25">
      <c r="A120" t="str">
        <f t="shared" si="2"/>
        <v>RBH</v>
      </c>
      <c r="B120" s="7" t="s">
        <v>37</v>
      </c>
      <c r="C120" s="1">
        <v>42376</v>
      </c>
      <c r="D120" s="1"/>
      <c r="E120" s="4">
        <f>382.14+298-52.5</f>
        <v>627.64</v>
      </c>
      <c r="F120" s="4">
        <v>31.38</v>
      </c>
      <c r="G120" s="4"/>
      <c r="H120" s="4">
        <f>E120+F120+G120</f>
        <v>659.02</v>
      </c>
      <c r="I120" s="4"/>
      <c r="J120" s="4"/>
    </row>
    <row r="121" spans="1:10" customFormat="1" ht="15" x14ac:dyDescent="0.25">
      <c r="A121" t="str">
        <f t="shared" si="2"/>
        <v>RBH</v>
      </c>
      <c r="B121" s="7" t="s">
        <v>37</v>
      </c>
      <c r="C121" s="1">
        <v>42383</v>
      </c>
      <c r="D121" s="1"/>
      <c r="E121" s="4">
        <f>336.34+268.2-43.5</f>
        <v>561.04</v>
      </c>
      <c r="F121" s="4">
        <v>28.05</v>
      </c>
      <c r="G121" s="4"/>
      <c r="H121" s="4">
        <f>E121+F121+G121</f>
        <v>589.08999999999992</v>
      </c>
      <c r="I121" s="4"/>
      <c r="J121" s="4"/>
    </row>
    <row r="122" spans="1:10" customFormat="1" ht="15" x14ac:dyDescent="0.25">
      <c r="A122" t="str">
        <f t="shared" si="2"/>
        <v>RBH</v>
      </c>
      <c r="B122" s="7" t="s">
        <v>37</v>
      </c>
      <c r="C122" s="1">
        <v>42390</v>
      </c>
      <c r="D122" s="1"/>
      <c r="E122" s="4">
        <f>390.06+298-42</f>
        <v>646.05999999999995</v>
      </c>
      <c r="F122" s="4">
        <v>32.299999999999997</v>
      </c>
      <c r="G122" s="4"/>
      <c r="H122" s="4">
        <f>E122+F122+G122</f>
        <v>678.3599999999999</v>
      </c>
      <c r="I122" s="4"/>
      <c r="J122" s="4"/>
    </row>
    <row r="123" spans="1:10" customFormat="1" ht="15" x14ac:dyDescent="0.25">
      <c r="A123" t="str">
        <f t="shared" si="2"/>
        <v>RBH</v>
      </c>
      <c r="B123" s="7" t="s">
        <v>37</v>
      </c>
      <c r="C123" s="1">
        <v>42397</v>
      </c>
      <c r="D123" s="1"/>
      <c r="E123" s="4">
        <f>391.18+327.8-43.5</f>
        <v>675.48</v>
      </c>
      <c r="F123" s="4">
        <v>33.770000000000003</v>
      </c>
      <c r="G123" s="4"/>
      <c r="H123" s="4">
        <f>E123+F123+G123</f>
        <v>709.25</v>
      </c>
      <c r="I123" s="4"/>
      <c r="J123" s="4"/>
    </row>
    <row r="124" spans="1:10" ht="16.5" thickBot="1" x14ac:dyDescent="0.3">
      <c r="A124" s="25" t="s">
        <v>37</v>
      </c>
      <c r="B124" s="25" t="s">
        <v>5</v>
      </c>
      <c r="C124" s="1"/>
      <c r="D124" s="1"/>
      <c r="E124" s="22">
        <f>SUMIF($B$2:$B$208,"RBH",$E$2:$E$208)</f>
        <v>3317.8799999999997</v>
      </c>
      <c r="F124" s="22">
        <f>SUMIF($B$2:$B$208,"RBH",$F$2:$F$208)</f>
        <v>165.88000000000002</v>
      </c>
      <c r="G124" s="22">
        <f>SUMIF($B$2:$B$208,"RBH",$G$2:$G$208)</f>
        <v>0</v>
      </c>
      <c r="H124" s="22">
        <f>SUMIF($B$2:$B$208,"RBH",$H$2:$H$208)</f>
        <v>3483.7599999999993</v>
      </c>
    </row>
    <row r="125" spans="1:10" customFormat="1" thickTop="1" x14ac:dyDescent="0.25">
      <c r="A125">
        <f t="shared" si="2"/>
        <v>0</v>
      </c>
      <c r="C125" s="1"/>
      <c r="D125" s="1"/>
      <c r="E125" s="4"/>
      <c r="F125" s="4"/>
      <c r="G125" s="4"/>
      <c r="H125" s="4"/>
      <c r="I125" s="4"/>
      <c r="J125" s="4"/>
    </row>
    <row r="126" spans="1:10" customFormat="1" ht="15" x14ac:dyDescent="0.25">
      <c r="A126" t="str">
        <f t="shared" si="2"/>
        <v>Réno Dépôt</v>
      </c>
      <c r="B126" s="7" t="s">
        <v>23</v>
      </c>
      <c r="C126" s="1">
        <v>42380</v>
      </c>
      <c r="D126" s="1"/>
      <c r="E126" s="4">
        <v>0.27</v>
      </c>
      <c r="F126" s="4">
        <v>0.01</v>
      </c>
      <c r="G126" s="4">
        <v>0.03</v>
      </c>
      <c r="H126" s="4">
        <f>E126+F126+G126</f>
        <v>0.31000000000000005</v>
      </c>
      <c r="I126" s="4"/>
      <c r="J126" s="4"/>
    </row>
    <row r="127" spans="1:10" ht="16.5" thickBot="1" x14ac:dyDescent="0.3">
      <c r="A127" s="25" t="s">
        <v>23</v>
      </c>
      <c r="B127" s="25" t="s">
        <v>5</v>
      </c>
      <c r="C127" s="1"/>
      <c r="D127" s="1"/>
      <c r="E127" s="22">
        <f>SUMIF($B$2:$B$208,"RÉNO DÉPÔT",$E$2:$E$208)</f>
        <v>0.27</v>
      </c>
      <c r="F127" s="22">
        <f>SUMIF($B$2:$B$208,"RÉNO DÉPÔT",$F$2:$F$208)</f>
        <v>0.01</v>
      </c>
      <c r="G127" s="22">
        <f>SUMIF($B$2:$B$208,"RÉNO DÉPÔT",$G$2:$G$208)</f>
        <v>0.03</v>
      </c>
      <c r="H127" s="22">
        <f>SUMIF($B$2:$B$208,"RÉNO DÉPÔT",$H$2:$H$208)</f>
        <v>0.31000000000000005</v>
      </c>
    </row>
    <row r="128" spans="1:10" customFormat="1" thickTop="1" x14ac:dyDescent="0.25">
      <c r="A128">
        <f t="shared" si="2"/>
        <v>0</v>
      </c>
      <c r="C128" s="1"/>
      <c r="D128" s="1"/>
      <c r="E128" s="4"/>
      <c r="F128" s="4"/>
      <c r="G128" s="4"/>
      <c r="H128" s="4"/>
      <c r="I128" s="4"/>
      <c r="J128" s="4"/>
    </row>
    <row r="129" spans="1:10" customFormat="1" ht="15" x14ac:dyDescent="0.25">
      <c r="A129" t="str">
        <f t="shared" si="2"/>
        <v>Repas Halte Chez Lemaire</v>
      </c>
      <c r="B129" s="7" t="s">
        <v>29</v>
      </c>
      <c r="C129" s="1">
        <v>42380</v>
      </c>
      <c r="D129" s="1"/>
      <c r="E129" s="4">
        <v>8.89</v>
      </c>
      <c r="F129" s="4">
        <v>0.44</v>
      </c>
      <c r="G129" s="4">
        <v>0.89</v>
      </c>
      <c r="H129" s="4">
        <f>E129+F129+G129</f>
        <v>10.220000000000001</v>
      </c>
      <c r="I129" s="4"/>
      <c r="J129" s="4"/>
    </row>
    <row r="130" spans="1:10" ht="16.5" thickBot="1" x14ac:dyDescent="0.3">
      <c r="A130" s="25" t="s">
        <v>29</v>
      </c>
      <c r="B130" s="25" t="s">
        <v>5</v>
      </c>
      <c r="C130" s="1"/>
      <c r="D130" s="1"/>
      <c r="E130" s="22">
        <f>SUMIF($B$2:$B$208,"REPAS HALTE CHEZ LEMAIRE",$E$2:$E$208)</f>
        <v>8.89</v>
      </c>
      <c r="F130" s="22">
        <f>SUMIF($B$2:$B$208,"REPAS HALTE CHEZ LEMAIRE",$F$2:$F$208)</f>
        <v>0.44</v>
      </c>
      <c r="G130" s="22">
        <f>SUMIF($B$2:$B$208,"REPAS HALTE CHEZ LEMAIRE",$G$2:$G$208)</f>
        <v>0.89</v>
      </c>
      <c r="H130" s="22">
        <f>SUMIF($B$2:$B$208,"REPAS HALTE CHEZ LEMAIRE",$H$2:$H$208)</f>
        <v>10.220000000000001</v>
      </c>
    </row>
    <row r="131" spans="1:10" customFormat="1" thickTop="1" x14ac:dyDescent="0.25">
      <c r="A131">
        <f t="shared" ref="A131:A194" si="3">B131</f>
        <v>0</v>
      </c>
      <c r="C131" s="1"/>
      <c r="D131" s="1"/>
      <c r="E131" s="4"/>
      <c r="F131" s="4"/>
      <c r="G131" s="4"/>
      <c r="H131" s="4"/>
      <c r="I131" s="4"/>
      <c r="J131" s="4"/>
    </row>
    <row r="132" spans="1:10" customFormat="1" ht="15" x14ac:dyDescent="0.25">
      <c r="A132" t="str">
        <f t="shared" si="3"/>
        <v>Repas McDonald's</v>
      </c>
      <c r="B132" s="7" t="s">
        <v>28</v>
      </c>
      <c r="C132" s="1">
        <v>42373</v>
      </c>
      <c r="D132" s="1"/>
      <c r="E132" s="4">
        <v>9.98</v>
      </c>
      <c r="F132" s="4">
        <v>0.5</v>
      </c>
      <c r="G132" s="4">
        <v>1</v>
      </c>
      <c r="H132" s="4">
        <f>E132+F132+G132</f>
        <v>11.48</v>
      </c>
      <c r="I132" s="4"/>
      <c r="J132" s="4"/>
    </row>
    <row r="133" spans="1:10" ht="16.5" thickBot="1" x14ac:dyDescent="0.3">
      <c r="A133" s="25" t="s">
        <v>28</v>
      </c>
      <c r="B133" s="25" t="s">
        <v>5</v>
      </c>
      <c r="C133" s="1"/>
      <c r="D133" s="1"/>
      <c r="E133" s="22">
        <f>SUMIF($B$2:$B$208,"REPAS MCDONALD'S",$E$2:$E$208)</f>
        <v>9.98</v>
      </c>
      <c r="F133" s="22">
        <f>SUMIF($B$2:$B$208,"REPAS MCDONALD'S",$F$2:$F$208)</f>
        <v>0.5</v>
      </c>
      <c r="G133" s="22">
        <f>SUMIF($B$2:$B$208,"REPAS MCDONALD'S",$G$2:$G$208)</f>
        <v>1</v>
      </c>
      <c r="H133" s="22">
        <f>SUMIF($B$2:$B$208,"REPAS MCDONALD'S",$H$2:$H$208)</f>
        <v>11.48</v>
      </c>
    </row>
    <row r="134" spans="1:10" customFormat="1" thickTop="1" x14ac:dyDescent="0.25">
      <c r="A134">
        <f t="shared" si="3"/>
        <v>0</v>
      </c>
      <c r="C134" s="1"/>
      <c r="D134" s="1"/>
      <c r="E134" s="4"/>
      <c r="F134" s="4"/>
      <c r="G134" s="4"/>
      <c r="H134" s="4"/>
      <c r="I134" s="4"/>
      <c r="J134" s="4"/>
    </row>
    <row r="135" spans="1:10" customFormat="1" ht="15" x14ac:dyDescent="0.25">
      <c r="A135" t="str">
        <f t="shared" si="3"/>
        <v>Repas St-Hubert</v>
      </c>
      <c r="B135" s="7" t="s">
        <v>31</v>
      </c>
      <c r="C135" s="1">
        <v>42394</v>
      </c>
      <c r="D135" s="1"/>
      <c r="E135" s="4">
        <v>6.95</v>
      </c>
      <c r="F135" s="4">
        <v>0.69</v>
      </c>
      <c r="G135" s="4">
        <v>0.35</v>
      </c>
      <c r="H135" s="4">
        <f>E135+F135+G135</f>
        <v>7.99</v>
      </c>
      <c r="I135" s="4"/>
      <c r="J135" s="4"/>
    </row>
    <row r="136" spans="1:10" ht="16.5" thickBot="1" x14ac:dyDescent="0.3">
      <c r="A136" s="25" t="s">
        <v>31</v>
      </c>
      <c r="B136" s="25" t="s">
        <v>5</v>
      </c>
      <c r="C136" s="1"/>
      <c r="D136" s="1"/>
      <c r="E136" s="22">
        <f>SUMIF($B$2:$B$208,"REPAS ST-HUBERT",$E$2:$E$208)</f>
        <v>6.95</v>
      </c>
      <c r="F136" s="22">
        <f>SUMIF($B$2:$B$208,"REPAS ST-HUBERT",$F$2:$F$208)</f>
        <v>0.69</v>
      </c>
      <c r="G136" s="22">
        <f>SUMIF($B$2:$B$208,"REPAS ST-HUBERT",$G$2:$G$208)</f>
        <v>0.35</v>
      </c>
      <c r="H136" s="22">
        <f>SUMIF($B$2:$B$208,"REPAS ST-HUBERT",$H$2:$H$208)</f>
        <v>7.99</v>
      </c>
    </row>
    <row r="137" spans="1:10" customFormat="1" thickTop="1" x14ac:dyDescent="0.25">
      <c r="A137">
        <f t="shared" si="3"/>
        <v>0</v>
      </c>
      <c r="C137" s="1"/>
      <c r="D137" s="1"/>
      <c r="E137" s="4"/>
      <c r="F137" s="4"/>
      <c r="G137" s="4"/>
      <c r="H137" s="4"/>
      <c r="I137" s="4"/>
      <c r="J137" s="4"/>
    </row>
    <row r="138" spans="1:10" customFormat="1" ht="15" x14ac:dyDescent="0.25">
      <c r="A138" t="str">
        <f t="shared" si="3"/>
        <v>Repas Subway</v>
      </c>
      <c r="B138" s="7" t="s">
        <v>30</v>
      </c>
      <c r="C138" s="1">
        <v>42380</v>
      </c>
      <c r="D138" s="1"/>
      <c r="E138" s="4">
        <v>8.2899999999999991</v>
      </c>
      <c r="F138" s="4">
        <f>E138*0.05</f>
        <v>0.41449999999999998</v>
      </c>
      <c r="G138" s="4">
        <v>0.83</v>
      </c>
      <c r="H138" s="4">
        <f>E138+F138+G138</f>
        <v>9.5344999999999995</v>
      </c>
      <c r="I138" s="4"/>
      <c r="J138" s="4"/>
    </row>
    <row r="139" spans="1:10" customFormat="1" ht="15" x14ac:dyDescent="0.25">
      <c r="A139" t="str">
        <f t="shared" si="3"/>
        <v>Repas Subway</v>
      </c>
      <c r="B139" s="7" t="s">
        <v>30</v>
      </c>
      <c r="C139" s="1">
        <v>42394</v>
      </c>
      <c r="D139" s="1"/>
      <c r="E139" s="4">
        <v>7</v>
      </c>
      <c r="F139" s="4">
        <v>0.35</v>
      </c>
      <c r="G139" s="4">
        <v>0.7</v>
      </c>
      <c r="H139" s="4">
        <f>E139+F139+G139</f>
        <v>8.0499999999999989</v>
      </c>
      <c r="I139" s="4"/>
      <c r="J139" s="4"/>
    </row>
    <row r="140" spans="1:10" ht="16.5" thickBot="1" x14ac:dyDescent="0.3">
      <c r="A140" s="25" t="s">
        <v>30</v>
      </c>
      <c r="B140" s="25" t="s">
        <v>5</v>
      </c>
      <c r="C140" s="1"/>
      <c r="D140" s="1"/>
      <c r="E140" s="22">
        <f>SUMIF($B$2:$B$208,"REPAS SUBWAY",$E$2:$E$208)</f>
        <v>15.29</v>
      </c>
      <c r="F140" s="22">
        <f>SUMIF($B$2:$B$208,"REPAS SUBWAY",$F$2:$F$208)</f>
        <v>0.76449999999999996</v>
      </c>
      <c r="G140" s="22">
        <f>SUMIF($B$2:$B$208,"REPAS SUBWAY",$G$2:$G$208)</f>
        <v>1.5299999999999998</v>
      </c>
      <c r="H140" s="22">
        <f>SUMIF($B$2:$B$208,"REPAS SUBWAY",$H$2:$H$208)</f>
        <v>17.584499999999998</v>
      </c>
    </row>
    <row r="141" spans="1:10" customFormat="1" thickTop="1" x14ac:dyDescent="0.25">
      <c r="A141">
        <f t="shared" si="3"/>
        <v>0</v>
      </c>
      <c r="C141" s="1"/>
      <c r="D141" s="1"/>
      <c r="E141" s="4"/>
      <c r="F141" s="4"/>
      <c r="G141" s="4"/>
      <c r="H141" s="4"/>
      <c r="I141" s="4"/>
      <c r="J141" s="4"/>
    </row>
    <row r="142" spans="1:10" customFormat="1" ht="15" x14ac:dyDescent="0.25">
      <c r="A142" t="str">
        <f t="shared" si="3"/>
        <v>Services Thermosun 2010</v>
      </c>
      <c r="B142" s="7" t="s">
        <v>35</v>
      </c>
      <c r="C142" s="1">
        <v>42390</v>
      </c>
      <c r="D142" s="1"/>
      <c r="E142" s="4">
        <v>190</v>
      </c>
      <c r="F142" s="4">
        <v>9.5</v>
      </c>
      <c r="G142" s="4">
        <v>18.95</v>
      </c>
      <c r="H142" s="4">
        <f>E142+F142+G142</f>
        <v>218.45</v>
      </c>
      <c r="I142" s="4"/>
      <c r="J142" s="4"/>
    </row>
    <row r="143" spans="1:10" ht="16.5" thickBot="1" x14ac:dyDescent="0.3">
      <c r="A143" s="25" t="s">
        <v>35</v>
      </c>
      <c r="B143" s="25" t="s">
        <v>5</v>
      </c>
      <c r="C143" s="1"/>
      <c r="D143" s="1"/>
      <c r="E143" s="22">
        <f>SUMIF($B$2:$B$208,"SERVICES THERMOSUN 2010",$E$2:$E$208)</f>
        <v>190</v>
      </c>
      <c r="F143" s="22">
        <f>SUMIF($B$2:$B$208,"SERVICES THERMOSUN 2010",$F$2:$F$208)</f>
        <v>9.5</v>
      </c>
      <c r="G143" s="22">
        <f>SUMIF($B$2:$B$208,"SERVICES THERMOSUN 2010",$G$2:$G$208)</f>
        <v>18.95</v>
      </c>
      <c r="H143" s="22">
        <f>SUMIF($B$2:$B$208,"SERVICES THERMOSUN 2010",$H$2:$H$208)</f>
        <v>218.45</v>
      </c>
    </row>
    <row r="144" spans="1:10" customFormat="1" thickTop="1" x14ac:dyDescent="0.25">
      <c r="A144">
        <f t="shared" si="3"/>
        <v>0</v>
      </c>
      <c r="C144" s="1"/>
      <c r="D144" s="1"/>
      <c r="E144" s="4"/>
      <c r="F144" s="4"/>
      <c r="G144" s="4"/>
      <c r="H144" s="4"/>
      <c r="I144" s="4"/>
      <c r="J144" s="4"/>
    </row>
    <row r="145" spans="1:10" customFormat="1" ht="15" x14ac:dyDescent="0.25">
      <c r="A145" t="str">
        <f t="shared" si="3"/>
        <v>Super C</v>
      </c>
      <c r="B145" s="7" t="s">
        <v>39</v>
      </c>
      <c r="C145" s="1">
        <v>42392</v>
      </c>
      <c r="D145" s="1"/>
      <c r="E145" s="4">
        <v>38.049999999999997</v>
      </c>
      <c r="F145" s="4">
        <v>1.3</v>
      </c>
      <c r="G145" s="4">
        <v>2.59</v>
      </c>
      <c r="H145" s="4">
        <f>E145+F145+G145</f>
        <v>41.94</v>
      </c>
    </row>
    <row r="146" spans="1:10" ht="16.5" thickBot="1" x14ac:dyDescent="0.3">
      <c r="A146" s="25" t="s">
        <v>39</v>
      </c>
      <c r="B146" s="25" t="s">
        <v>5</v>
      </c>
      <c r="D146" s="1"/>
      <c r="E146" s="22">
        <f>SUMIF($B$2:$B$208,"SUPER C",$E$2:$E$208)</f>
        <v>38.049999999999997</v>
      </c>
      <c r="F146" s="22">
        <f>SUMIF($B$2:$B$208,"SUPER C",$F$2:$F$208)</f>
        <v>1.3</v>
      </c>
      <c r="G146" s="22">
        <f>SUMIF($B$2:$B$208,"SUPER C",$G$2:$G$208)</f>
        <v>2.59</v>
      </c>
      <c r="H146" s="22">
        <f>SUMIF($B$2:$B$208,"SUPER C",$H$2:$H$208)</f>
        <v>41.94</v>
      </c>
    </row>
    <row r="147" spans="1:10" customFormat="1" thickTop="1" x14ac:dyDescent="0.25">
      <c r="A147">
        <f t="shared" si="3"/>
        <v>0</v>
      </c>
      <c r="D147" s="1"/>
      <c r="E147" s="4"/>
      <c r="F147" s="4"/>
      <c r="G147" s="4"/>
      <c r="H147" s="4"/>
      <c r="I147" s="4"/>
      <c r="J147" s="4"/>
    </row>
    <row r="148" spans="1:10" customFormat="1" ht="15" x14ac:dyDescent="0.25">
      <c r="A148" t="str">
        <f t="shared" si="3"/>
        <v>Vidéo Choix</v>
      </c>
      <c r="B148" s="7" t="s">
        <v>33</v>
      </c>
      <c r="C148" s="1">
        <v>42394</v>
      </c>
      <c r="D148" s="1"/>
      <c r="E148" s="4">
        <v>132.79</v>
      </c>
      <c r="F148" s="4">
        <v>6.64</v>
      </c>
      <c r="G148" s="4">
        <v>13.25</v>
      </c>
      <c r="H148" s="4">
        <f>E148+F148+G148</f>
        <v>152.67999999999998</v>
      </c>
      <c r="I148" s="4"/>
      <c r="J148" s="4"/>
    </row>
    <row r="149" spans="1:10" ht="16.5" thickBot="1" x14ac:dyDescent="0.3">
      <c r="A149" s="25" t="s">
        <v>33</v>
      </c>
      <c r="B149" s="25" t="s">
        <v>5</v>
      </c>
      <c r="D149" s="1"/>
      <c r="E149" s="22">
        <f>SUMIF($B$2:$B$208,"VIDÉO CHOIX",$E$2:$E$208)</f>
        <v>132.79</v>
      </c>
      <c r="F149" s="22">
        <f>SUMIF($B$2:$B$208,"VIDÉO CHOIX",$F$2:$F$208)</f>
        <v>6.64</v>
      </c>
      <c r="G149" s="22">
        <f>SUMIF($B$2:$B$208,"VIDÉO CHOIX",$G$2:$G$208)</f>
        <v>13.25</v>
      </c>
      <c r="H149" s="22">
        <f>SUMIF($B$2:$B$208,"VIDÉO CHOIX",$H$2:$H$208)</f>
        <v>152.67999999999998</v>
      </c>
    </row>
    <row r="150" spans="1:10" customFormat="1" thickTop="1" x14ac:dyDescent="0.25">
      <c r="A150">
        <f t="shared" si="3"/>
        <v>0</v>
      </c>
      <c r="D150" s="1"/>
      <c r="E150" s="4"/>
      <c r="F150" s="4"/>
      <c r="G150" s="4"/>
      <c r="H150" s="4"/>
      <c r="I150" s="4"/>
      <c r="J150" s="4"/>
    </row>
    <row r="151" spans="1:10" customFormat="1" ht="15" x14ac:dyDescent="0.25">
      <c r="A151" t="str">
        <f t="shared" si="3"/>
        <v>Wall Mart</v>
      </c>
      <c r="B151" s="7" t="s">
        <v>8</v>
      </c>
      <c r="C151" s="1">
        <v>42373</v>
      </c>
      <c r="D151" s="1"/>
      <c r="E151" s="4">
        <v>152.08000000000001</v>
      </c>
      <c r="F151" s="4">
        <v>2.91</v>
      </c>
      <c r="G151" s="4">
        <v>5.8</v>
      </c>
      <c r="H151" s="4">
        <f>E151+F151+G151</f>
        <v>160.79000000000002</v>
      </c>
      <c r="I151" s="4"/>
      <c r="J151" s="4"/>
    </row>
    <row r="152" spans="1:10" customFormat="1" ht="15" x14ac:dyDescent="0.25">
      <c r="A152" t="str">
        <f t="shared" si="3"/>
        <v>Wall Mart</v>
      </c>
      <c r="B152" s="7" t="s">
        <v>8</v>
      </c>
      <c r="C152" s="1">
        <v>42380</v>
      </c>
      <c r="D152" s="1"/>
      <c r="E152" s="4">
        <v>4.47</v>
      </c>
      <c r="F152" s="4">
        <v>0.22</v>
      </c>
      <c r="G152" s="4">
        <v>0.45</v>
      </c>
      <c r="H152" s="4">
        <f>E152+F152+G152</f>
        <v>5.14</v>
      </c>
      <c r="I152" s="4"/>
      <c r="J152" s="4"/>
    </row>
    <row r="153" spans="1:10" customFormat="1" ht="15" x14ac:dyDescent="0.25">
      <c r="A153" t="str">
        <f t="shared" si="3"/>
        <v>Wall Mart</v>
      </c>
      <c r="B153" s="7" t="s">
        <v>8</v>
      </c>
      <c r="C153" s="1">
        <v>42394</v>
      </c>
      <c r="D153" s="1"/>
      <c r="E153" s="4">
        <v>120.51</v>
      </c>
      <c r="F153" s="4">
        <v>3.74</v>
      </c>
      <c r="G153" s="4">
        <v>7.45</v>
      </c>
      <c r="H153" s="4">
        <f>E153+F153+G153</f>
        <v>131.69999999999999</v>
      </c>
      <c r="I153" s="4"/>
      <c r="J153" s="4"/>
    </row>
    <row r="154" spans="1:10" ht="16.5" thickBot="1" x14ac:dyDescent="0.3">
      <c r="A154" s="25" t="s">
        <v>8</v>
      </c>
      <c r="B154" s="25" t="s">
        <v>5</v>
      </c>
      <c r="D154" s="1"/>
      <c r="E154" s="22">
        <f>SUMIF($B$2:$B$208,"WALL MART",$E$2:$E$208)</f>
        <v>277.06</v>
      </c>
      <c r="F154" s="22">
        <f>SUMIF($B$2:$B$208,"WALL MART",$F$2:$F$208)</f>
        <v>6.870000000000001</v>
      </c>
      <c r="G154" s="22">
        <f>SUMIF($B$2:$B$208,"WALL MART",$G$2:$G$208)</f>
        <v>13.7</v>
      </c>
      <c r="H154" s="22">
        <f>SUMIF($B$2:$B$208,"WALL MART",$H$2:$H$208)</f>
        <v>297.63</v>
      </c>
    </row>
    <row r="155" spans="1:10" customFormat="1" thickTop="1" x14ac:dyDescent="0.25">
      <c r="A155">
        <f t="shared" si="3"/>
        <v>0</v>
      </c>
      <c r="D155" s="1"/>
      <c r="E155" s="4"/>
      <c r="F155" s="4"/>
      <c r="G155" s="4"/>
      <c r="H155" s="4"/>
      <c r="I155" s="4"/>
      <c r="J155" s="4"/>
    </row>
    <row r="156" spans="1:10" customFormat="1" ht="15" x14ac:dyDescent="0.25">
      <c r="A156">
        <f t="shared" si="3"/>
        <v>0</v>
      </c>
      <c r="D156" s="1"/>
      <c r="E156" s="4"/>
      <c r="F156" s="4"/>
      <c r="G156" s="4"/>
      <c r="H156" s="4"/>
      <c r="I156" s="4"/>
      <c r="J156" s="4"/>
    </row>
    <row r="157" spans="1:10" customFormat="1" ht="15" x14ac:dyDescent="0.25">
      <c r="A157">
        <f t="shared" si="3"/>
        <v>0</v>
      </c>
      <c r="D157" s="1"/>
      <c r="E157" s="4"/>
      <c r="F157" s="4"/>
      <c r="G157" s="4"/>
      <c r="H157" s="4"/>
      <c r="I157" s="4"/>
      <c r="J157" s="4"/>
    </row>
    <row r="158" spans="1:10" ht="16.5" thickBot="1" x14ac:dyDescent="0.3">
      <c r="A158" s="26" t="str">
        <f t="shared" si="3"/>
        <v>GRAND TOTAL</v>
      </c>
      <c r="B158" s="26" t="s">
        <v>45</v>
      </c>
      <c r="D158" s="1"/>
      <c r="E158" s="24">
        <f>E6+E13+E16+E19+E25+E30+E33+E38+E42+E47+E51+E61+E66+E70+E73+E77+E80+E83+E89+E92+E95+E98+E101+E108+E111+E114+E117+E124+E127+E130+E133+E136+E140+E143+E146+E149+E154</f>
        <v>11914.060000000001</v>
      </c>
      <c r="F158" s="24">
        <f>F6+F13+F16+F19+F25+F30+F33+F38+F42+F47+F51+F61+F66+F70+F73+F77+F80+F83+F89+F92+F95+F98+F101+F108+F111+F114+F117+F124+F127+F130+F133+F136+F140+F143+F146+F149+F154</f>
        <v>460.69449999999989</v>
      </c>
      <c r="G158" s="24">
        <f>G6+G13+G16+G19+G25+G30+G33+G38+G42+G47+G51+G61+G66+G70+G73+G77+G80+G83+G89+G92+G95+G98+G101+G108+G111+G114+G117+G124+G127+G130+G133+G136+G140+G143+G146+G149+G154</f>
        <v>391.23999999999984</v>
      </c>
      <c r="H158" s="24">
        <f>H6+H13+H16+H19+H25+H30+H33+H38+H42+H47+H51+H61+H66+H70+H73+H77+H80+H83+H89+H92+H95+H98+H101+H108+H111+H114+H117+H124+H127+H130+H133+H136+H140+H143+H146+H149+H154</f>
        <v>12765.994499999999</v>
      </c>
    </row>
    <row r="159" spans="1:10" customFormat="1" thickTop="1" x14ac:dyDescent="0.25">
      <c r="A159">
        <f t="shared" si="3"/>
        <v>0</v>
      </c>
      <c r="D159" s="1"/>
      <c r="E159" s="4"/>
      <c r="F159" s="4"/>
      <c r="G159" s="4"/>
      <c r="H159" s="4"/>
      <c r="I159" s="4"/>
      <c r="J159" s="4"/>
    </row>
    <row r="160" spans="1:10" customFormat="1" ht="15" x14ac:dyDescent="0.25">
      <c r="D160" s="1"/>
      <c r="E160" s="4"/>
      <c r="F160" s="4"/>
      <c r="G160" s="4"/>
      <c r="H160" s="4"/>
      <c r="I160" s="4"/>
      <c r="J160" s="4"/>
    </row>
    <row r="161" spans="1:10" customFormat="1" ht="15" x14ac:dyDescent="0.25">
      <c r="E161" s="4"/>
      <c r="F161" s="4"/>
      <c r="G161" s="4"/>
      <c r="H161" s="4"/>
      <c r="I161" s="4"/>
      <c r="J161" s="4"/>
    </row>
    <row r="162" spans="1:10" customFormat="1" ht="15" x14ac:dyDescent="0.25">
      <c r="A162">
        <f t="shared" si="3"/>
        <v>0</v>
      </c>
      <c r="E162" s="4"/>
      <c r="F162" s="4"/>
      <c r="G162" s="4"/>
      <c r="H162" s="4"/>
      <c r="I162" s="4"/>
      <c r="J162" s="4"/>
    </row>
    <row r="163" spans="1:10" customFormat="1" ht="15" x14ac:dyDescent="0.25">
      <c r="A163">
        <f t="shared" si="3"/>
        <v>0</v>
      </c>
      <c r="E163" s="4"/>
      <c r="F163" s="4"/>
      <c r="G163" s="4"/>
      <c r="H163" s="4"/>
      <c r="I163" s="4"/>
      <c r="J163" s="4"/>
    </row>
    <row r="164" spans="1:10" customFormat="1" ht="15" x14ac:dyDescent="0.25">
      <c r="A164">
        <f t="shared" si="3"/>
        <v>0</v>
      </c>
      <c r="E164" s="4"/>
      <c r="F164" s="4"/>
      <c r="G164" s="4"/>
      <c r="H164" s="4"/>
      <c r="I164" s="4"/>
      <c r="J164" s="4"/>
    </row>
    <row r="165" spans="1:10" customFormat="1" ht="15" x14ac:dyDescent="0.25">
      <c r="A165">
        <f t="shared" si="3"/>
        <v>0</v>
      </c>
      <c r="E165" s="4"/>
      <c r="F165" s="4"/>
      <c r="G165" s="4"/>
      <c r="H165" s="4"/>
      <c r="I165" s="4"/>
      <c r="J165" s="4"/>
    </row>
    <row r="166" spans="1:10" customFormat="1" ht="15" x14ac:dyDescent="0.25">
      <c r="A166">
        <f t="shared" si="3"/>
        <v>0</v>
      </c>
      <c r="E166" s="4"/>
      <c r="F166" s="4"/>
      <c r="G166" s="4"/>
      <c r="H166" s="4"/>
      <c r="I166" s="4"/>
      <c r="J166" s="4"/>
    </row>
    <row r="167" spans="1:10" customFormat="1" ht="15" x14ac:dyDescent="0.25">
      <c r="A167">
        <f t="shared" si="3"/>
        <v>0</v>
      </c>
      <c r="E167" s="4"/>
      <c r="F167" s="4"/>
      <c r="G167" s="4"/>
      <c r="H167" s="4"/>
      <c r="I167" s="4"/>
      <c r="J167" s="4"/>
    </row>
    <row r="168" spans="1:10" customFormat="1" ht="15" x14ac:dyDescent="0.25">
      <c r="A168">
        <f t="shared" si="3"/>
        <v>0</v>
      </c>
      <c r="E168" s="4"/>
      <c r="F168" s="4"/>
      <c r="G168" s="4"/>
      <c r="H168" s="4"/>
      <c r="I168" s="4"/>
      <c r="J168" s="4"/>
    </row>
    <row r="169" spans="1:10" customFormat="1" ht="15" x14ac:dyDescent="0.25">
      <c r="A169">
        <f t="shared" si="3"/>
        <v>0</v>
      </c>
      <c r="E169" s="4"/>
      <c r="F169" s="4"/>
      <c r="G169" s="4"/>
      <c r="H169" s="4"/>
      <c r="I169" s="4"/>
      <c r="J169" s="4"/>
    </row>
    <row r="170" spans="1:10" customFormat="1" ht="15" x14ac:dyDescent="0.25">
      <c r="A170">
        <f t="shared" si="3"/>
        <v>0</v>
      </c>
      <c r="E170" s="4"/>
      <c r="F170" s="4"/>
      <c r="G170" s="4"/>
      <c r="H170" s="4"/>
      <c r="I170" s="4"/>
      <c r="J170" s="4"/>
    </row>
    <row r="171" spans="1:10" customFormat="1" ht="15" x14ac:dyDescent="0.25">
      <c r="A171">
        <f t="shared" si="3"/>
        <v>0</v>
      </c>
      <c r="E171" s="4"/>
      <c r="F171" s="4"/>
      <c r="G171" s="4"/>
      <c r="H171" s="4"/>
      <c r="I171" s="4"/>
      <c r="J171" s="4"/>
    </row>
    <row r="172" spans="1:10" customFormat="1" ht="15" x14ac:dyDescent="0.25">
      <c r="A172">
        <f t="shared" si="3"/>
        <v>0</v>
      </c>
      <c r="E172" s="4"/>
      <c r="F172" s="4"/>
      <c r="G172" s="4"/>
      <c r="H172" s="4"/>
      <c r="I172" s="4"/>
      <c r="J172" s="4"/>
    </row>
    <row r="173" spans="1:10" customFormat="1" ht="15" x14ac:dyDescent="0.25">
      <c r="A173">
        <f t="shared" si="3"/>
        <v>0</v>
      </c>
      <c r="E173" s="4"/>
      <c r="F173" s="4"/>
      <c r="G173" s="4"/>
      <c r="H173" s="4"/>
      <c r="I173" s="4"/>
      <c r="J173" s="4"/>
    </row>
    <row r="174" spans="1:10" customFormat="1" ht="15" x14ac:dyDescent="0.25">
      <c r="A174">
        <f t="shared" si="3"/>
        <v>0</v>
      </c>
      <c r="E174" s="4"/>
      <c r="F174" s="4"/>
      <c r="G174" s="4"/>
      <c r="H174" s="4"/>
      <c r="I174" s="4"/>
      <c r="J174" s="4"/>
    </row>
    <row r="175" spans="1:10" customFormat="1" ht="15" x14ac:dyDescent="0.25">
      <c r="A175">
        <f t="shared" si="3"/>
        <v>0</v>
      </c>
      <c r="E175" s="4"/>
      <c r="F175" s="4"/>
      <c r="G175" s="4"/>
      <c r="H175" s="4"/>
      <c r="I175" s="4"/>
      <c r="J175" s="4"/>
    </row>
    <row r="176" spans="1:10" customFormat="1" ht="15" x14ac:dyDescent="0.25">
      <c r="A176">
        <f t="shared" si="3"/>
        <v>0</v>
      </c>
      <c r="E176" s="4"/>
      <c r="F176" s="4"/>
      <c r="G176" s="4"/>
      <c r="H176" s="4"/>
      <c r="I176" s="4"/>
      <c r="J176" s="4"/>
    </row>
    <row r="177" spans="1:10" customFormat="1" ht="15" x14ac:dyDescent="0.25">
      <c r="A177">
        <f t="shared" si="3"/>
        <v>0</v>
      </c>
      <c r="E177" s="4"/>
      <c r="F177" s="4"/>
      <c r="G177" s="4"/>
      <c r="H177" s="4"/>
      <c r="I177" s="4"/>
      <c r="J177" s="4"/>
    </row>
    <row r="178" spans="1:10" customFormat="1" ht="15" x14ac:dyDescent="0.25">
      <c r="A178">
        <f t="shared" si="3"/>
        <v>0</v>
      </c>
      <c r="E178" s="4"/>
      <c r="F178" s="4"/>
      <c r="G178" s="4"/>
      <c r="H178" s="4"/>
      <c r="I178" s="4"/>
      <c r="J178" s="4"/>
    </row>
    <row r="179" spans="1:10" customFormat="1" ht="15" x14ac:dyDescent="0.25">
      <c r="A179">
        <f t="shared" si="3"/>
        <v>0</v>
      </c>
      <c r="E179" s="4"/>
      <c r="F179" s="4"/>
      <c r="G179" s="4"/>
      <c r="H179" s="4"/>
      <c r="I179" s="4"/>
      <c r="J179" s="4"/>
    </row>
    <row r="180" spans="1:10" customFormat="1" ht="15" x14ac:dyDescent="0.25">
      <c r="A180">
        <f t="shared" si="3"/>
        <v>0</v>
      </c>
      <c r="E180" s="4"/>
      <c r="F180" s="4"/>
      <c r="G180" s="4"/>
      <c r="H180" s="4"/>
      <c r="I180" s="4"/>
      <c r="J180" s="4"/>
    </row>
    <row r="181" spans="1:10" customFormat="1" ht="15" x14ac:dyDescent="0.25">
      <c r="A181">
        <f t="shared" si="3"/>
        <v>0</v>
      </c>
      <c r="E181" s="4"/>
      <c r="F181" s="4"/>
      <c r="G181" s="4"/>
      <c r="H181" s="4"/>
      <c r="I181" s="4"/>
      <c r="J181" s="4"/>
    </row>
    <row r="182" spans="1:10" customFormat="1" ht="15" x14ac:dyDescent="0.25">
      <c r="A182">
        <f t="shared" si="3"/>
        <v>0</v>
      </c>
      <c r="E182" s="4"/>
      <c r="F182" s="4"/>
      <c r="G182" s="4"/>
      <c r="H182" s="4"/>
      <c r="I182" s="4"/>
      <c r="J182" s="4"/>
    </row>
    <row r="183" spans="1:10" customFormat="1" ht="15" x14ac:dyDescent="0.25">
      <c r="A183">
        <f t="shared" si="3"/>
        <v>0</v>
      </c>
      <c r="E183" s="4"/>
      <c r="F183" s="4"/>
      <c r="G183" s="4"/>
      <c r="H183" s="4"/>
      <c r="I183" s="4"/>
      <c r="J183" s="4"/>
    </row>
    <row r="184" spans="1:10" customFormat="1" ht="15" x14ac:dyDescent="0.25">
      <c r="A184">
        <f t="shared" si="3"/>
        <v>0</v>
      </c>
      <c r="E184" s="4"/>
      <c r="F184" s="4"/>
      <c r="G184" s="4"/>
      <c r="H184" s="4"/>
      <c r="I184" s="4"/>
      <c r="J184" s="4"/>
    </row>
    <row r="185" spans="1:10" customFormat="1" ht="15" x14ac:dyDescent="0.25">
      <c r="A185">
        <f t="shared" si="3"/>
        <v>0</v>
      </c>
      <c r="E185" s="4"/>
      <c r="F185" s="4"/>
      <c r="G185" s="4"/>
      <c r="H185" s="4"/>
      <c r="I185" s="4"/>
      <c r="J185" s="4"/>
    </row>
    <row r="186" spans="1:10" customFormat="1" ht="15" x14ac:dyDescent="0.25">
      <c r="A186">
        <f t="shared" si="3"/>
        <v>0</v>
      </c>
      <c r="E186" s="4"/>
      <c r="F186" s="4"/>
      <c r="G186" s="4"/>
      <c r="H186" s="4"/>
      <c r="I186" s="4"/>
      <c r="J186" s="4"/>
    </row>
    <row r="187" spans="1:10" customFormat="1" ht="15" x14ac:dyDescent="0.25">
      <c r="A187">
        <f t="shared" si="3"/>
        <v>0</v>
      </c>
      <c r="E187" s="4"/>
      <c r="F187" s="4"/>
      <c r="G187" s="4"/>
      <c r="H187" s="4"/>
      <c r="I187" s="4"/>
      <c r="J187" s="4"/>
    </row>
    <row r="188" spans="1:10" customFormat="1" ht="15" x14ac:dyDescent="0.25">
      <c r="A188">
        <f t="shared" si="3"/>
        <v>0</v>
      </c>
      <c r="E188" s="4"/>
      <c r="F188" s="4"/>
      <c r="G188" s="4"/>
      <c r="H188" s="4"/>
      <c r="I188" s="4"/>
      <c r="J188" s="4"/>
    </row>
    <row r="189" spans="1:10" customFormat="1" ht="15" x14ac:dyDescent="0.25">
      <c r="A189">
        <f t="shared" si="3"/>
        <v>0</v>
      </c>
      <c r="E189" s="4"/>
      <c r="F189" s="4"/>
      <c r="G189" s="4"/>
      <c r="H189" s="4"/>
      <c r="I189" s="4"/>
      <c r="J189" s="4"/>
    </row>
    <row r="190" spans="1:10" customFormat="1" ht="15" x14ac:dyDescent="0.25">
      <c r="A190">
        <f t="shared" si="3"/>
        <v>0</v>
      </c>
      <c r="E190" s="4"/>
      <c r="F190" s="4"/>
      <c r="G190" s="4"/>
      <c r="H190" s="4"/>
      <c r="I190" s="4"/>
      <c r="J190" s="4"/>
    </row>
    <row r="191" spans="1:10" customFormat="1" ht="15" x14ac:dyDescent="0.25">
      <c r="A191">
        <f t="shared" si="3"/>
        <v>0</v>
      </c>
      <c r="E191" s="4"/>
      <c r="F191" s="4"/>
      <c r="G191" s="4"/>
      <c r="H191" s="4"/>
      <c r="I191" s="4"/>
      <c r="J191" s="4"/>
    </row>
    <row r="192" spans="1:10" customFormat="1" ht="15" x14ac:dyDescent="0.25">
      <c r="A192">
        <f t="shared" si="3"/>
        <v>0</v>
      </c>
      <c r="E192" s="4"/>
      <c r="F192" s="4"/>
      <c r="G192" s="4"/>
      <c r="H192" s="4"/>
      <c r="I192" s="4"/>
      <c r="J192" s="4"/>
    </row>
    <row r="193" spans="1:10" customFormat="1" ht="15" x14ac:dyDescent="0.25">
      <c r="A193">
        <f t="shared" si="3"/>
        <v>0</v>
      </c>
      <c r="E193" s="4"/>
      <c r="F193" s="4"/>
      <c r="G193" s="4"/>
      <c r="H193" s="4"/>
      <c r="I193" s="4"/>
      <c r="J193" s="4"/>
    </row>
    <row r="194" spans="1:10" customFormat="1" ht="15" x14ac:dyDescent="0.25">
      <c r="A194">
        <f t="shared" si="3"/>
        <v>0</v>
      </c>
      <c r="E194" s="4"/>
      <c r="F194" s="4"/>
      <c r="G194" s="4"/>
      <c r="H194" s="4"/>
      <c r="I194" s="4"/>
      <c r="J194" s="4"/>
    </row>
    <row r="195" spans="1:10" customFormat="1" ht="15" x14ac:dyDescent="0.25">
      <c r="A195">
        <f t="shared" ref="A195:A200" si="4">B195</f>
        <v>0</v>
      </c>
      <c r="E195" s="4"/>
      <c r="F195" s="4"/>
      <c r="G195" s="4"/>
      <c r="H195" s="4"/>
      <c r="I195" s="4"/>
      <c r="J195" s="4"/>
    </row>
    <row r="196" spans="1:10" customFormat="1" ht="15" x14ac:dyDescent="0.25">
      <c r="A196">
        <f t="shared" si="4"/>
        <v>0</v>
      </c>
      <c r="E196" s="4"/>
      <c r="F196" s="4"/>
      <c r="G196" s="4"/>
      <c r="H196" s="4"/>
      <c r="I196" s="4"/>
      <c r="J196" s="4"/>
    </row>
    <row r="197" spans="1:10" customFormat="1" ht="15" x14ac:dyDescent="0.25">
      <c r="A197">
        <f t="shared" si="4"/>
        <v>0</v>
      </c>
      <c r="E197" s="4"/>
      <c r="F197" s="4"/>
      <c r="G197" s="4"/>
      <c r="H197" s="4"/>
      <c r="I197" s="4"/>
      <c r="J197" s="4"/>
    </row>
    <row r="198" spans="1:10" customFormat="1" ht="15" x14ac:dyDescent="0.25">
      <c r="A198">
        <f t="shared" si="4"/>
        <v>0</v>
      </c>
      <c r="E198" s="4"/>
      <c r="F198" s="4"/>
      <c r="G198" s="4"/>
      <c r="H198" s="4"/>
      <c r="I198" s="4"/>
      <c r="J198" s="4"/>
    </row>
    <row r="199" spans="1:10" customFormat="1" ht="15" x14ac:dyDescent="0.25">
      <c r="A199">
        <f t="shared" si="4"/>
        <v>0</v>
      </c>
      <c r="E199" s="4"/>
      <c r="F199" s="4"/>
      <c r="G199" s="4"/>
      <c r="H199" s="4"/>
      <c r="I199" s="4"/>
      <c r="J199" s="4"/>
    </row>
    <row r="200" spans="1:10" customFormat="1" ht="15" x14ac:dyDescent="0.25">
      <c r="A200">
        <f t="shared" si="4"/>
        <v>0</v>
      </c>
      <c r="E200" s="4"/>
      <c r="F200" s="4"/>
      <c r="G200" s="4"/>
      <c r="H200" s="4"/>
      <c r="I200" s="4"/>
      <c r="J200" s="4"/>
    </row>
  </sheetData>
  <autoFilter ref="A1:H200"/>
  <sortState ref="A3:H113">
    <sortCondition ref="A3:A113"/>
    <sortCondition ref="B3:B113"/>
    <sortCondition ref="C3:C113"/>
  </sortState>
  <dataValidations count="37">
    <dataValidation type="list" allowBlank="1" showInputMessage="1" showErrorMessage="1" sqref="B31 B156 B84">
      <formula1>$A$1:$A$37</formula1>
    </dataValidation>
    <dataValidation type="list" allowBlank="1" showInputMessage="1" showErrorMessage="1" sqref="B20">
      <formula1>$A$1:$A$38</formula1>
    </dataValidation>
    <dataValidation type="list" allowBlank="1" showInputMessage="1" showErrorMessage="1" sqref="B8:B12">
      <formula1>$A$1:$A$251</formula1>
    </dataValidation>
    <dataValidation type="list" allowBlank="1" showInputMessage="1" showErrorMessage="1" sqref="B15">
      <formula1>$A$1:$A$251</formula1>
    </dataValidation>
    <dataValidation type="list" allowBlank="1" showInputMessage="1" showErrorMessage="1" sqref="B18">
      <formula1>$A$1:$A$251</formula1>
    </dataValidation>
    <dataValidation type="list" allowBlank="1" showInputMessage="1" showErrorMessage="1" sqref="B21:B24">
      <formula1>$A$1:$A$251</formula1>
    </dataValidation>
    <dataValidation type="list" allowBlank="1" showInputMessage="1" showErrorMessage="1" sqref="B27:B29">
      <formula1>$A$1:$A$251</formula1>
    </dataValidation>
    <dataValidation type="list" allowBlank="1" showInputMessage="1" showErrorMessage="1" sqref="B32">
      <formula1>$A$1:$A$251</formula1>
    </dataValidation>
    <dataValidation type="list" allowBlank="1" showInputMessage="1" showErrorMessage="1" sqref="B35:B37">
      <formula1>$A$1:$A$251</formula1>
    </dataValidation>
    <dataValidation type="list" allowBlank="1" showInputMessage="1" showErrorMessage="1" sqref="B40:B41">
      <formula1>$A$1:$A$251</formula1>
    </dataValidation>
    <dataValidation type="list" allowBlank="1" showInputMessage="1" showErrorMessage="1" sqref="B44:B46">
      <formula1>$A$1:$A$251</formula1>
    </dataValidation>
    <dataValidation type="list" allowBlank="1" showInputMessage="1" showErrorMessage="1" sqref="B49:B50">
      <formula1>$A$1:$A$251</formula1>
    </dataValidation>
    <dataValidation type="list" allowBlank="1" showInputMessage="1" showErrorMessage="1" sqref="B53:B60">
      <formula1>$A$1:$A$251</formula1>
    </dataValidation>
    <dataValidation type="list" allowBlank="1" showInputMessage="1" showErrorMessage="1" sqref="B63:B65">
      <formula1>$A$1:$A$251</formula1>
    </dataValidation>
    <dataValidation type="list" allowBlank="1" showInputMessage="1" showErrorMessage="1" sqref="B68:B69">
      <formula1>$A$1:$A$251</formula1>
    </dataValidation>
    <dataValidation type="list" allowBlank="1" showInputMessage="1" showErrorMessage="1" sqref="B75:B76">
      <formula1>$A$1:$A$251</formula1>
    </dataValidation>
    <dataValidation type="list" allowBlank="1" showInputMessage="1" showErrorMessage="1" sqref="B79">
      <formula1>$A$1:$A$251</formula1>
    </dataValidation>
    <dataValidation type="list" allowBlank="1" showInputMessage="1" showErrorMessage="1" sqref="B82">
      <formula1>$A$1:$A$251</formula1>
    </dataValidation>
    <dataValidation type="list" allowBlank="1" showInputMessage="1" showErrorMessage="1" sqref="B85:B88">
      <formula1>$A$1:$A$251</formula1>
    </dataValidation>
    <dataValidation type="list" allowBlank="1" showInputMessage="1" showErrorMessage="1" sqref="B91">
      <formula1>$A$1:$A$251</formula1>
    </dataValidation>
    <dataValidation type="list" allowBlank="1" showInputMessage="1" showErrorMessage="1" sqref="B94">
      <formula1>$A$1:$A$251</formula1>
    </dataValidation>
    <dataValidation type="list" allowBlank="1" showInputMessage="1" showErrorMessage="1" sqref="B97">
      <formula1>$A$1:$A$251</formula1>
    </dataValidation>
    <dataValidation type="list" allowBlank="1" showInputMessage="1" showErrorMessage="1" sqref="B100">
      <formula1>$A$1:$A$251</formula1>
    </dataValidation>
    <dataValidation type="list" allowBlank="1" showInputMessage="1" showErrorMessage="1" sqref="B103:B107">
      <formula1>$A$1:$A$251</formula1>
    </dataValidation>
    <dataValidation type="list" allowBlank="1" showInputMessage="1" showErrorMessage="1" sqref="B110">
      <formula1>$A$1:$A$251</formula1>
    </dataValidation>
    <dataValidation type="list" allowBlank="1" showInputMessage="1" showErrorMessage="1" sqref="B113">
      <formula1>$A$1:$A$251</formula1>
    </dataValidation>
    <dataValidation type="list" allowBlank="1" showInputMessage="1" showErrorMessage="1" sqref="B116">
      <formula1>$A$1:$A$251</formula1>
    </dataValidation>
    <dataValidation type="list" allowBlank="1" showInputMessage="1" showErrorMessage="1" sqref="B119:B123">
      <formula1>$A$1:$A$251</formula1>
    </dataValidation>
    <dataValidation type="list" allowBlank="1" showInputMessage="1" showErrorMessage="1" sqref="B126">
      <formula1>$A$1:$A$251</formula1>
    </dataValidation>
    <dataValidation type="list" allowBlank="1" showInputMessage="1" showErrorMessage="1" sqref="B129">
      <formula1>$A$1:$A$251</formula1>
    </dataValidation>
    <dataValidation type="list" allowBlank="1" showInputMessage="1" showErrorMessage="1" sqref="B132">
      <formula1>$A$1:$A$251</formula1>
    </dataValidation>
    <dataValidation type="list" allowBlank="1" showInputMessage="1" showErrorMessage="1" sqref="B135">
      <formula1>$A$1:$A$251</formula1>
    </dataValidation>
    <dataValidation type="list" allowBlank="1" showInputMessage="1" showErrorMessage="1" sqref="B138:B139">
      <formula1>$A$1:$A$251</formula1>
    </dataValidation>
    <dataValidation type="list" allowBlank="1" showInputMessage="1" showErrorMessage="1" sqref="B142">
      <formula1>$A$1:$A$251</formula1>
    </dataValidation>
    <dataValidation type="list" allowBlank="1" showInputMessage="1" showErrorMessage="1" sqref="B145">
      <formula1>$A$1:$A$251</formula1>
    </dataValidation>
    <dataValidation type="list" allowBlank="1" showInputMessage="1" showErrorMessage="1" sqref="B148">
      <formula1>$A$1:$A$251</formula1>
    </dataValidation>
    <dataValidation type="list" allowBlank="1" showInputMessage="1" showErrorMessage="1" sqref="B151:B153">
      <formula1>$A$1:$A$251</formula1>
    </dataValidation>
  </dataValidations>
  <printOptions horizontalCentered="1" verticalCentered="1"/>
  <pageMargins left="0.39370078740157483" right="0.19685039370078741" top="0.19685039370078741" bottom="0.19685039370078741" header="0.31496062992125984" footer="0.31496062992125984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DONNÉES!$A$1:$A$21</xm:f>
          </x14:formula1>
          <xm:sqref>B1</xm:sqref>
        </x14:dataValidation>
        <x14:dataValidation type="list" allowBlank="1" showInputMessage="1" showErrorMessage="1">
          <x14:formula1>
            <xm:f>DONNÉES!$A$1:$A$39</xm:f>
          </x14:formula1>
          <xm:sqref>B72</xm:sqref>
        </x14:dataValidation>
        <x14:dataValidation type="list" allowBlank="1" showInputMessage="1" showErrorMessage="1">
          <x14:formula1>
            <xm:f>DONNÉES!$A$1:$A$251</xm:f>
          </x14:formula1>
          <xm:sqref>B2:B5</xm:sqref>
        </x14:dataValidation>
        <x14:dataValidation type="list" allowBlank="1" showInputMessage="1" showErrorMessage="1">
          <x14:formula1>
            <xm:f>DONNÉES!$B$1:$B$251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D39"/>
  <sheetViews>
    <sheetView topLeftCell="A19" workbookViewId="0">
      <selection activeCell="A46" sqref="A46"/>
    </sheetView>
  </sheetViews>
  <sheetFormatPr baseColWidth="10" defaultRowHeight="15" x14ac:dyDescent="0.25"/>
  <cols>
    <col min="1" max="1" width="54.42578125" customWidth="1"/>
    <col min="2" max="2" width="30.85546875" customWidth="1"/>
    <col min="4" max="4" width="45.7109375" customWidth="1"/>
  </cols>
  <sheetData>
    <row r="1" spans="1:4" ht="29.25" customHeight="1" x14ac:dyDescent="0.25">
      <c r="A1" s="3"/>
      <c r="B1" t="s">
        <v>81</v>
      </c>
      <c r="D1" s="16"/>
    </row>
    <row r="2" spans="1:4" x14ac:dyDescent="0.25">
      <c r="A2" s="2" t="s">
        <v>40</v>
      </c>
      <c r="B2" t="s">
        <v>40</v>
      </c>
      <c r="D2" s="9" t="s">
        <v>40</v>
      </c>
    </row>
    <row r="3" spans="1:4" x14ac:dyDescent="0.25">
      <c r="A3" s="2" t="s">
        <v>3</v>
      </c>
      <c r="B3" t="s">
        <v>46</v>
      </c>
      <c r="D3" s="10" t="s">
        <v>3</v>
      </c>
    </row>
    <row r="4" spans="1:4" x14ac:dyDescent="0.25">
      <c r="A4" s="2" t="s">
        <v>27</v>
      </c>
      <c r="B4" t="s">
        <v>47</v>
      </c>
      <c r="D4" s="11" t="s">
        <v>27</v>
      </c>
    </row>
    <row r="5" spans="1:4" x14ac:dyDescent="0.25">
      <c r="A5" s="2" t="s">
        <v>24</v>
      </c>
      <c r="B5" t="s">
        <v>58</v>
      </c>
      <c r="D5" s="12" t="s">
        <v>24</v>
      </c>
    </row>
    <row r="6" spans="1:4" x14ac:dyDescent="0.25">
      <c r="A6" s="2" t="s">
        <v>17</v>
      </c>
      <c r="B6" t="s">
        <v>57</v>
      </c>
      <c r="D6" s="13" t="s">
        <v>17</v>
      </c>
    </row>
    <row r="7" spans="1:4" x14ac:dyDescent="0.25">
      <c r="A7" t="s">
        <v>6</v>
      </c>
      <c r="B7" t="s">
        <v>6</v>
      </c>
      <c r="D7" s="14" t="s">
        <v>6</v>
      </c>
    </row>
    <row r="8" spans="1:4" x14ac:dyDescent="0.25">
      <c r="A8" s="2" t="s">
        <v>26</v>
      </c>
      <c r="B8" t="s">
        <v>56</v>
      </c>
      <c r="D8" s="15" t="s">
        <v>26</v>
      </c>
    </row>
    <row r="9" spans="1:4" x14ac:dyDescent="0.25">
      <c r="A9" s="2" t="s">
        <v>21</v>
      </c>
      <c r="B9" t="s">
        <v>55</v>
      </c>
      <c r="D9" s="9" t="s">
        <v>21</v>
      </c>
    </row>
    <row r="10" spans="1:4" x14ac:dyDescent="0.25">
      <c r="A10" s="2" t="s">
        <v>34</v>
      </c>
      <c r="B10" t="s">
        <v>54</v>
      </c>
      <c r="D10" s="10" t="s">
        <v>34</v>
      </c>
    </row>
    <row r="11" spans="1:4" x14ac:dyDescent="0.25">
      <c r="A11" s="2" t="s">
        <v>22</v>
      </c>
      <c r="B11" t="s">
        <v>53</v>
      </c>
      <c r="D11" s="11" t="s">
        <v>22</v>
      </c>
    </row>
    <row r="12" spans="1:4" x14ac:dyDescent="0.25">
      <c r="A12" s="2" t="s">
        <v>9</v>
      </c>
      <c r="B12" t="s">
        <v>52</v>
      </c>
      <c r="D12" s="12" t="s">
        <v>9</v>
      </c>
    </row>
    <row r="13" spans="1:4" x14ac:dyDescent="0.25">
      <c r="A13" s="2" t="s">
        <v>10</v>
      </c>
      <c r="B13" t="s">
        <v>51</v>
      </c>
      <c r="D13" s="13" t="s">
        <v>10</v>
      </c>
    </row>
    <row r="14" spans="1:4" x14ac:dyDescent="0.25">
      <c r="A14" s="2" t="s">
        <v>36</v>
      </c>
      <c r="B14" t="s">
        <v>50</v>
      </c>
      <c r="D14" s="14" t="s">
        <v>36</v>
      </c>
    </row>
    <row r="15" spans="1:4" x14ac:dyDescent="0.25">
      <c r="A15" s="2" t="s">
        <v>45</v>
      </c>
      <c r="B15" t="s">
        <v>82</v>
      </c>
      <c r="D15" s="14"/>
    </row>
    <row r="16" spans="1:4" x14ac:dyDescent="0.25">
      <c r="A16" s="2" t="s">
        <v>38</v>
      </c>
      <c r="B16" t="s">
        <v>49</v>
      </c>
      <c r="D16" s="15" t="s">
        <v>38</v>
      </c>
    </row>
    <row r="17" spans="1:4" x14ac:dyDescent="0.25">
      <c r="A17" s="2" t="s">
        <v>44</v>
      </c>
      <c r="B17" t="s">
        <v>79</v>
      </c>
      <c r="D17" s="15" t="s">
        <v>44</v>
      </c>
    </row>
    <row r="18" spans="1:4" x14ac:dyDescent="0.25">
      <c r="A18" s="2" t="s">
        <v>13</v>
      </c>
      <c r="B18" t="s">
        <v>48</v>
      </c>
      <c r="D18" s="9" t="s">
        <v>13</v>
      </c>
    </row>
    <row r="19" spans="1:4" x14ac:dyDescent="0.25">
      <c r="A19" s="2" t="s">
        <v>15</v>
      </c>
      <c r="B19" t="s">
        <v>59</v>
      </c>
      <c r="D19" s="10" t="s">
        <v>15</v>
      </c>
    </row>
    <row r="20" spans="1:4" x14ac:dyDescent="0.25">
      <c r="A20" s="2" t="s">
        <v>20</v>
      </c>
      <c r="B20" t="s">
        <v>60</v>
      </c>
      <c r="D20" s="11" t="s">
        <v>20</v>
      </c>
    </row>
    <row r="21" spans="1:4" x14ac:dyDescent="0.25">
      <c r="A21" s="2" t="s">
        <v>16</v>
      </c>
      <c r="B21" t="s">
        <v>61</v>
      </c>
      <c r="D21" s="12" t="s">
        <v>16</v>
      </c>
    </row>
    <row r="22" spans="1:4" x14ac:dyDescent="0.25">
      <c r="A22" s="2" t="s">
        <v>32</v>
      </c>
      <c r="B22" t="s">
        <v>62</v>
      </c>
      <c r="D22" s="13" t="s">
        <v>32</v>
      </c>
    </row>
    <row r="23" spans="1:4" x14ac:dyDescent="0.25">
      <c r="A23" t="s">
        <v>19</v>
      </c>
      <c r="B23" t="s">
        <v>63</v>
      </c>
      <c r="D23" s="14" t="s">
        <v>19</v>
      </c>
    </row>
    <row r="24" spans="1:4" x14ac:dyDescent="0.25">
      <c r="A24" s="2" t="s">
        <v>11</v>
      </c>
      <c r="B24" t="s">
        <v>64</v>
      </c>
      <c r="D24" s="15" t="s">
        <v>11</v>
      </c>
    </row>
    <row r="25" spans="1:4" x14ac:dyDescent="0.25">
      <c r="A25" s="2" t="s">
        <v>7</v>
      </c>
      <c r="B25" t="s">
        <v>65</v>
      </c>
      <c r="D25" s="9" t="s">
        <v>7</v>
      </c>
    </row>
    <row r="26" spans="1:4" x14ac:dyDescent="0.25">
      <c r="A26" s="2" t="s">
        <v>12</v>
      </c>
      <c r="B26" t="s">
        <v>66</v>
      </c>
      <c r="D26" s="10" t="s">
        <v>12</v>
      </c>
    </row>
    <row r="27" spans="1:4" x14ac:dyDescent="0.25">
      <c r="A27" s="2" t="s">
        <v>25</v>
      </c>
      <c r="B27" t="s">
        <v>67</v>
      </c>
      <c r="D27" s="11" t="s">
        <v>25</v>
      </c>
    </row>
    <row r="28" spans="1:4" x14ac:dyDescent="0.25">
      <c r="A28" s="2" t="s">
        <v>14</v>
      </c>
      <c r="B28" t="s">
        <v>68</v>
      </c>
      <c r="D28" s="12" t="s">
        <v>14</v>
      </c>
    </row>
    <row r="29" spans="1:4" x14ac:dyDescent="0.25">
      <c r="A29" s="2" t="s">
        <v>43</v>
      </c>
      <c r="B29" t="s">
        <v>78</v>
      </c>
      <c r="D29" s="12" t="s">
        <v>43</v>
      </c>
    </row>
    <row r="30" spans="1:4" x14ac:dyDescent="0.25">
      <c r="A30" s="2" t="s">
        <v>37</v>
      </c>
      <c r="B30" t="s">
        <v>37</v>
      </c>
      <c r="D30" s="13" t="s">
        <v>37</v>
      </c>
    </row>
    <row r="31" spans="1:4" x14ac:dyDescent="0.25">
      <c r="A31" s="2" t="s">
        <v>23</v>
      </c>
      <c r="B31" t="s">
        <v>69</v>
      </c>
      <c r="D31" s="14" t="s">
        <v>23</v>
      </c>
    </row>
    <row r="32" spans="1:4" x14ac:dyDescent="0.25">
      <c r="A32" s="2" t="s">
        <v>29</v>
      </c>
      <c r="B32" t="s">
        <v>70</v>
      </c>
      <c r="D32" s="15" t="s">
        <v>29</v>
      </c>
    </row>
    <row r="33" spans="1:4" x14ac:dyDescent="0.25">
      <c r="A33" s="2" t="s">
        <v>28</v>
      </c>
      <c r="B33" t="s">
        <v>71</v>
      </c>
      <c r="D33" s="9" t="s">
        <v>28</v>
      </c>
    </row>
    <row r="34" spans="1:4" x14ac:dyDescent="0.25">
      <c r="A34" s="2" t="s">
        <v>31</v>
      </c>
      <c r="B34" t="s">
        <v>72</v>
      </c>
      <c r="D34" s="10" t="s">
        <v>31</v>
      </c>
    </row>
    <row r="35" spans="1:4" x14ac:dyDescent="0.25">
      <c r="A35" s="2" t="s">
        <v>30</v>
      </c>
      <c r="B35" t="s">
        <v>73</v>
      </c>
      <c r="D35" s="11" t="s">
        <v>30</v>
      </c>
    </row>
    <row r="36" spans="1:4" x14ac:dyDescent="0.25">
      <c r="A36" s="2" t="s">
        <v>35</v>
      </c>
      <c r="B36" t="s">
        <v>74</v>
      </c>
      <c r="D36" s="12" t="s">
        <v>35</v>
      </c>
    </row>
    <row r="37" spans="1:4" x14ac:dyDescent="0.25">
      <c r="A37" s="2" t="s">
        <v>39</v>
      </c>
      <c r="B37" t="s">
        <v>75</v>
      </c>
      <c r="D37" s="13" t="s">
        <v>39</v>
      </c>
    </row>
    <row r="38" spans="1:4" x14ac:dyDescent="0.25">
      <c r="A38" s="2" t="s">
        <v>33</v>
      </c>
      <c r="B38" t="s">
        <v>76</v>
      </c>
      <c r="D38" s="14" t="s">
        <v>33</v>
      </c>
    </row>
    <row r="39" spans="1:4" x14ac:dyDescent="0.25">
      <c r="A39" s="2" t="s">
        <v>8</v>
      </c>
      <c r="B39" t="s">
        <v>77</v>
      </c>
      <c r="D39" s="15" t="s">
        <v>8</v>
      </c>
    </row>
  </sheetData>
  <sortState ref="A3:B71">
    <sortCondition ref="B3:B7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2:D12"/>
  <sheetViews>
    <sheetView workbookViewId="0">
      <selection activeCell="E12" sqref="E12"/>
    </sheetView>
  </sheetViews>
  <sheetFormatPr baseColWidth="10" defaultRowHeight="15" x14ac:dyDescent="0.25"/>
  <sheetData>
    <row r="12" spans="3:4" x14ac:dyDescent="0.25">
      <c r="C12">
        <v>2.5</v>
      </c>
      <c r="D1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2016</vt:lpstr>
      <vt:lpstr>DONNÉES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Maryse</dc:creator>
  <cp:lastModifiedBy>gmb</cp:lastModifiedBy>
  <cp:lastPrinted>2016-02-09T21:40:17Z</cp:lastPrinted>
  <dcterms:created xsi:type="dcterms:W3CDTF">2016-02-02T17:41:20Z</dcterms:created>
  <dcterms:modified xsi:type="dcterms:W3CDTF">2016-02-10T05:37:52Z</dcterms:modified>
</cp:coreProperties>
</file>