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30" windowHeight="9435" activeTab="1"/>
  </bookViews>
  <sheets>
    <sheet name="Wheel loads" sheetId="1" r:id="rId1"/>
    <sheet name="Straight line acce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5" i="2" l="1"/>
  <c r="L13" i="2"/>
  <c r="L6" i="2"/>
  <c r="L9" i="2"/>
  <c r="N12" i="2"/>
  <c r="N13" i="2"/>
  <c r="P12" i="2"/>
  <c r="O12" i="2"/>
  <c r="M12" i="2"/>
  <c r="N16" i="2"/>
  <c r="P11" i="2"/>
  <c r="M8" i="2"/>
  <c r="K9" i="2"/>
  <c r="J7" i="2"/>
  <c r="L10" i="2"/>
  <c r="M9" i="2"/>
  <c r="N9" i="2"/>
  <c r="N10" i="2"/>
  <c r="N11" i="2"/>
  <c r="O10" i="2"/>
  <c r="P10" i="2"/>
  <c r="L8" i="2"/>
  <c r="M14" i="2"/>
  <c r="M7" i="2"/>
  <c r="R10" i="2" l="1"/>
  <c r="E32" i="2" l="1"/>
  <c r="F32" i="2" s="1"/>
  <c r="D32" i="2"/>
  <c r="E33" i="2"/>
  <c r="F33" i="2" s="1"/>
  <c r="E34" i="2"/>
  <c r="F34" i="2" s="1"/>
  <c r="E35" i="2"/>
  <c r="E36" i="2"/>
  <c r="F36" i="2" s="1"/>
  <c r="E37" i="2"/>
  <c r="E38" i="2"/>
  <c r="F38" i="2" s="1"/>
  <c r="E39" i="2"/>
  <c r="E40" i="2"/>
  <c r="F40" i="2" s="1"/>
  <c r="E41" i="2"/>
  <c r="E42" i="2"/>
  <c r="F42" i="2" s="1"/>
  <c r="E43" i="2"/>
  <c r="E44" i="2"/>
  <c r="F44" i="2" s="1"/>
  <c r="E45" i="2"/>
  <c r="E46" i="2"/>
  <c r="F46" i="2" s="1"/>
  <c r="E47" i="2"/>
  <c r="E48" i="2"/>
  <c r="F48" i="2" s="1"/>
  <c r="E49" i="2"/>
  <c r="E50" i="2"/>
  <c r="F50" i="2" s="1"/>
  <c r="E51" i="2"/>
  <c r="E52" i="2"/>
  <c r="F52" i="2" s="1"/>
  <c r="F35" i="2"/>
  <c r="F37" i="2"/>
  <c r="F39" i="2"/>
  <c r="F41" i="2"/>
  <c r="F43" i="2"/>
  <c r="F45" i="2"/>
  <c r="F47" i="2"/>
  <c r="F49" i="2"/>
  <c r="F51" i="2"/>
  <c r="D34" i="2"/>
  <c r="D38" i="2"/>
  <c r="D42" i="2"/>
  <c r="D46" i="2"/>
  <c r="D50" i="2"/>
  <c r="D33" i="2"/>
  <c r="D35" i="2"/>
  <c r="D36" i="2"/>
  <c r="D37" i="2"/>
  <c r="D39" i="2"/>
  <c r="D40" i="2"/>
  <c r="D41" i="2"/>
  <c r="D43" i="2"/>
  <c r="D44" i="2"/>
  <c r="D45" i="2"/>
  <c r="D47" i="2"/>
  <c r="D48" i="2"/>
  <c r="D49" i="2"/>
  <c r="D51" i="2"/>
  <c r="D52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5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S10" i="2"/>
  <c r="B52" i="2"/>
  <c r="F13" i="2" l="1"/>
  <c r="V13" i="2"/>
  <c r="U13" i="2"/>
  <c r="U11" i="2"/>
  <c r="V11" i="2" s="1"/>
  <c r="U9" i="2"/>
  <c r="V9" i="2" s="1"/>
  <c r="U7" i="2"/>
  <c r="V7" i="2" s="1"/>
  <c r="U5" i="2"/>
  <c r="V5" i="2" s="1"/>
  <c r="F21" i="2"/>
  <c r="U12" i="2" s="1"/>
  <c r="V12" i="2" s="1"/>
  <c r="I6" i="2"/>
  <c r="B33" i="2" s="1"/>
  <c r="I7" i="2"/>
  <c r="B34" i="2" s="1"/>
  <c r="I5" i="2"/>
  <c r="B32" i="2" s="1"/>
  <c r="H7" i="2"/>
  <c r="H8" i="2" s="1"/>
  <c r="H6" i="2"/>
  <c r="F22" i="2"/>
  <c r="F23" i="2"/>
  <c r="U17" i="2" s="1"/>
  <c r="V17" i="2" s="1"/>
  <c r="F24" i="2"/>
  <c r="F25" i="2"/>
  <c r="U24" i="2" s="1"/>
  <c r="V24" i="2" s="1"/>
  <c r="F26" i="2"/>
  <c r="U25" i="2" s="1"/>
  <c r="V25" i="2" s="1"/>
  <c r="B5" i="2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K7" i="2" l="1"/>
  <c r="U20" i="2"/>
  <c r="V20" i="2" s="1"/>
  <c r="U23" i="2"/>
  <c r="V23" i="2" s="1"/>
  <c r="U19" i="2"/>
  <c r="V19" i="2" s="1"/>
  <c r="U22" i="2"/>
  <c r="V22" i="2" s="1"/>
  <c r="U18" i="2"/>
  <c r="V18" i="2" s="1"/>
  <c r="U21" i="2"/>
  <c r="V21" i="2" s="1"/>
  <c r="H9" i="2"/>
  <c r="I8" i="2"/>
  <c r="J6" i="2"/>
  <c r="K6" i="2" s="1"/>
  <c r="J5" i="2"/>
  <c r="K5" i="2" s="1"/>
  <c r="U16" i="2"/>
  <c r="V16" i="2" s="1"/>
  <c r="U15" i="2"/>
  <c r="V15" i="2" s="1"/>
  <c r="U14" i="2"/>
  <c r="V14" i="2" s="1"/>
  <c r="U6" i="2"/>
  <c r="V6" i="2" s="1"/>
  <c r="U10" i="2"/>
  <c r="V10" i="2" s="1"/>
  <c r="U8" i="2"/>
  <c r="V8" i="2" s="1"/>
  <c r="F16" i="1"/>
  <c r="I16" i="1"/>
  <c r="I5" i="1"/>
  <c r="P20" i="1"/>
  <c r="P19" i="1"/>
  <c r="N20" i="1"/>
  <c r="N19" i="1"/>
  <c r="F5" i="1" s="1"/>
  <c r="H10" i="2" l="1"/>
  <c r="I9" i="2"/>
  <c r="Q5" i="2"/>
  <c r="N5" i="2"/>
  <c r="O5" i="2"/>
  <c r="M5" i="2"/>
  <c r="L5" i="2"/>
  <c r="P5" i="2"/>
  <c r="Q6" i="2"/>
  <c r="O6" i="2"/>
  <c r="N6" i="2"/>
  <c r="P6" i="2"/>
  <c r="M6" i="2"/>
  <c r="B35" i="2"/>
  <c r="J8" i="2"/>
  <c r="K8" i="2" s="1"/>
  <c r="N7" i="2"/>
  <c r="P7" i="2"/>
  <c r="L7" i="2"/>
  <c r="O7" i="2"/>
  <c r="Q7" i="2"/>
  <c r="C21" i="1"/>
  <c r="C20" i="1"/>
  <c r="O8" i="2" l="1"/>
  <c r="Q8" i="2"/>
  <c r="P8" i="2"/>
  <c r="N8" i="2"/>
  <c r="B36" i="2"/>
  <c r="J9" i="2"/>
  <c r="H11" i="2"/>
  <c r="I10" i="2"/>
  <c r="E22" i="1"/>
  <c r="C19" i="1"/>
  <c r="C17" i="1"/>
  <c r="C18" i="1"/>
  <c r="P9" i="2" l="1"/>
  <c r="Q9" i="2"/>
  <c r="O9" i="2"/>
  <c r="B37" i="2"/>
  <c r="J10" i="2"/>
  <c r="K10" i="2" s="1"/>
  <c r="H12" i="2"/>
  <c r="I11" i="2"/>
  <c r="Q10" i="2" l="1"/>
  <c r="M10" i="2"/>
  <c r="H13" i="2"/>
  <c r="I12" i="2"/>
  <c r="B38" i="2"/>
  <c r="J11" i="2"/>
  <c r="K11" i="2" s="1"/>
  <c r="M11" i="2" l="1"/>
  <c r="L11" i="2"/>
  <c r="R11" i="2" s="1"/>
  <c r="O11" i="2"/>
  <c r="Q11" i="2"/>
  <c r="B39" i="2"/>
  <c r="J12" i="2"/>
  <c r="K12" i="2" s="1"/>
  <c r="H14" i="2"/>
  <c r="I13" i="2"/>
  <c r="Q12" i="2" l="1"/>
  <c r="L12" i="2"/>
  <c r="B40" i="2"/>
  <c r="J13" i="2"/>
  <c r="K13" i="2" s="1"/>
  <c r="H15" i="2"/>
  <c r="I14" i="2"/>
  <c r="H16" i="2" l="1"/>
  <c r="I15" i="2"/>
  <c r="P13" i="2"/>
  <c r="M13" i="2"/>
  <c r="Q13" i="2"/>
  <c r="O13" i="2"/>
  <c r="R12" i="2"/>
  <c r="B41" i="2"/>
  <c r="J14" i="2"/>
  <c r="K14" i="2" s="1"/>
  <c r="H17" i="2" l="1"/>
  <c r="I16" i="2"/>
  <c r="R13" i="2"/>
  <c r="Q14" i="2"/>
  <c r="O14" i="2"/>
  <c r="N14" i="2"/>
  <c r="L14" i="2"/>
  <c r="R14" i="2"/>
  <c r="P14" i="2"/>
  <c r="B42" i="2"/>
  <c r="J15" i="2"/>
  <c r="K15" i="2" s="1"/>
  <c r="B43" i="2" l="1"/>
  <c r="J16" i="2"/>
  <c r="K16" i="2" s="1"/>
  <c r="N15" i="2"/>
  <c r="M15" i="2"/>
  <c r="R15" i="2" s="1"/>
  <c r="P15" i="2"/>
  <c r="L15" i="2"/>
  <c r="Q15" i="2"/>
  <c r="O15" i="2"/>
  <c r="H18" i="2"/>
  <c r="I17" i="2"/>
  <c r="H19" i="2" l="1"/>
  <c r="I18" i="2"/>
  <c r="B44" i="2"/>
  <c r="J17" i="2"/>
  <c r="K17" i="2" s="1"/>
  <c r="O16" i="2"/>
  <c r="Q16" i="2"/>
  <c r="P16" i="2"/>
  <c r="L16" i="2"/>
  <c r="M16" i="2"/>
  <c r="R16" i="2" s="1"/>
  <c r="P17" i="2" l="1"/>
  <c r="N17" i="2"/>
  <c r="R17" i="2" s="1"/>
  <c r="M17" i="2"/>
  <c r="Q17" i="2"/>
  <c r="O17" i="2"/>
  <c r="L17" i="2"/>
  <c r="B45" i="2"/>
  <c r="J18" i="2"/>
  <c r="K18" i="2" s="1"/>
  <c r="H20" i="2"/>
  <c r="I19" i="2"/>
  <c r="Q18" i="2" l="1"/>
  <c r="O18" i="2"/>
  <c r="P18" i="2"/>
  <c r="M18" i="2"/>
  <c r="L18" i="2"/>
  <c r="N18" i="2"/>
  <c r="R18" i="2" s="1"/>
  <c r="B46" i="2"/>
  <c r="J19" i="2"/>
  <c r="K19" i="2" s="1"/>
  <c r="H21" i="2"/>
  <c r="I20" i="2"/>
  <c r="B47" i="2" l="1"/>
  <c r="J20" i="2"/>
  <c r="K20" i="2" s="1"/>
  <c r="N19" i="2"/>
  <c r="M19" i="2"/>
  <c r="P19" i="2"/>
  <c r="L19" i="2"/>
  <c r="O19" i="2"/>
  <c r="R19" i="2" s="1"/>
  <c r="Q19" i="2"/>
  <c r="H22" i="2"/>
  <c r="I21" i="2"/>
  <c r="O20" i="2" l="1"/>
  <c r="R20" i="2" s="1"/>
  <c r="Q20" i="2"/>
  <c r="P20" i="2"/>
  <c r="M20" i="2"/>
  <c r="L20" i="2"/>
  <c r="N20" i="2"/>
  <c r="B48" i="2"/>
  <c r="J21" i="2"/>
  <c r="K21" i="2" s="1"/>
  <c r="H23" i="2"/>
  <c r="I22" i="2"/>
  <c r="P21" i="2" l="1"/>
  <c r="N21" i="2"/>
  <c r="M21" i="2"/>
  <c r="Q21" i="2"/>
  <c r="O21" i="2"/>
  <c r="R21" i="2" s="1"/>
  <c r="L21" i="2"/>
  <c r="B49" i="2"/>
  <c r="J22" i="2"/>
  <c r="K22" i="2" s="1"/>
  <c r="H24" i="2"/>
  <c r="I23" i="2"/>
  <c r="B50" i="2" l="1"/>
  <c r="J23" i="2"/>
  <c r="K23" i="2" s="1"/>
  <c r="Q22" i="2"/>
  <c r="O22" i="2"/>
  <c r="R22" i="2" s="1"/>
  <c r="N22" i="2"/>
  <c r="P22" i="2"/>
  <c r="M22" i="2"/>
  <c r="L22" i="2"/>
  <c r="H25" i="2"/>
  <c r="I25" i="2" s="1"/>
  <c r="J25" i="2" s="1"/>
  <c r="K25" i="2" s="1"/>
  <c r="I24" i="2"/>
  <c r="B51" i="2" l="1"/>
  <c r="J24" i="2"/>
  <c r="K24" i="2" s="1"/>
  <c r="N23" i="2"/>
  <c r="M23" i="2"/>
  <c r="P23" i="2"/>
  <c r="L23" i="2"/>
  <c r="Q23" i="2"/>
  <c r="O23" i="2"/>
  <c r="R23" i="2" s="1"/>
  <c r="P25" i="2"/>
  <c r="N25" i="2"/>
  <c r="M25" i="2"/>
  <c r="R25" i="2"/>
  <c r="L25" i="2"/>
  <c r="O25" i="2"/>
  <c r="O24" i="2" l="1"/>
  <c r="Q24" i="2"/>
  <c r="P24" i="2"/>
  <c r="R24" i="2" s="1"/>
  <c r="L24" i="2"/>
  <c r="N24" i="2"/>
  <c r="M24" i="2"/>
</calcChain>
</file>

<file path=xl/sharedStrings.xml><?xml version="1.0" encoding="utf-8"?>
<sst xmlns="http://schemas.openxmlformats.org/spreadsheetml/2006/main" count="135" uniqueCount="111">
  <si>
    <t>Input Parameters</t>
  </si>
  <si>
    <t>CoG (h)</t>
  </si>
  <si>
    <t>Front axel to CoG distance (a)</t>
  </si>
  <si>
    <t>Wheelbase (l)</t>
  </si>
  <si>
    <t>Track (t)</t>
  </si>
  <si>
    <t>Mass (m)</t>
  </si>
  <si>
    <t>Long accel (+Ve forwards)</t>
  </si>
  <si>
    <t>Corner rad ( R)</t>
  </si>
  <si>
    <t>Speed (V)</t>
  </si>
  <si>
    <t>Fraction of w transfer front (p)</t>
  </si>
  <si>
    <t>Downforce per wheel</t>
  </si>
  <si>
    <t>Units</t>
  </si>
  <si>
    <t>Value</t>
  </si>
  <si>
    <t>m</t>
  </si>
  <si>
    <t>kg</t>
  </si>
  <si>
    <t>m/s^2</t>
  </si>
  <si>
    <t>m/s</t>
  </si>
  <si>
    <t>mf</t>
  </si>
  <si>
    <t>Derived Data</t>
  </si>
  <si>
    <t>Static load Front axle</t>
  </si>
  <si>
    <t>Static load rear  axle</t>
  </si>
  <si>
    <t>Therefore, lateral wt Xfer front</t>
  </si>
  <si>
    <t>Therefore, lateral Xfer rear</t>
  </si>
  <si>
    <t>weight transfer longitudinally</t>
  </si>
  <si>
    <t>Ft Left</t>
  </si>
  <si>
    <t>Ft right</t>
  </si>
  <si>
    <t>Rr left</t>
  </si>
  <si>
    <t>Total Wheel Loads</t>
  </si>
  <si>
    <t>g</t>
  </si>
  <si>
    <t>Data</t>
  </si>
  <si>
    <t>Front</t>
  </si>
  <si>
    <t>outside</t>
  </si>
  <si>
    <t>Lateral acceleration</t>
  </si>
  <si>
    <t>N</t>
  </si>
  <si>
    <t>Rr right</t>
  </si>
  <si>
    <t>rpm</t>
  </si>
  <si>
    <t>Torque N.m</t>
  </si>
  <si>
    <t>aero @100 mph</t>
  </si>
  <si>
    <t>k</t>
  </si>
  <si>
    <t>Mu</t>
  </si>
  <si>
    <t>Torque loss Nm</t>
  </si>
  <si>
    <t>Cd</t>
  </si>
  <si>
    <t>p kg/m^3</t>
  </si>
  <si>
    <t>area m^2</t>
  </si>
  <si>
    <t>wheel rad m</t>
  </si>
  <si>
    <t>wheel mass kg</t>
  </si>
  <si>
    <t>aver rad m</t>
  </si>
  <si>
    <t>inertia kg.m^2</t>
  </si>
  <si>
    <t>car mass</t>
  </si>
  <si>
    <t>h</t>
  </si>
  <si>
    <t>l</t>
  </si>
  <si>
    <t>gear</t>
  </si>
  <si>
    <t>ratio</t>
  </si>
  <si>
    <t>final drive</t>
  </si>
  <si>
    <t>overall</t>
  </si>
  <si>
    <t>engine (rpm)</t>
  </si>
  <si>
    <t>Engine</t>
  </si>
  <si>
    <t>Wheel</t>
  </si>
  <si>
    <t>Long f</t>
  </si>
  <si>
    <t>aero</t>
  </si>
  <si>
    <t>max long</t>
  </si>
  <si>
    <t>actual</t>
  </si>
  <si>
    <t>load</t>
  </si>
  <si>
    <t>mph</t>
  </si>
  <si>
    <t>vel</t>
  </si>
  <si>
    <t>wheel</t>
  </si>
  <si>
    <t>1st</t>
  </si>
  <si>
    <t>2nd</t>
  </si>
  <si>
    <t>3rd</t>
  </si>
  <si>
    <t>4th</t>
  </si>
  <si>
    <t>5th</t>
  </si>
  <si>
    <t>6th</t>
  </si>
  <si>
    <t>used</t>
  </si>
  <si>
    <t>torque</t>
  </si>
  <si>
    <t>wheels</t>
  </si>
  <si>
    <t>rear load</t>
  </si>
  <si>
    <t>long</t>
  </si>
  <si>
    <t>rear</t>
  </si>
  <si>
    <t>frm torque</t>
  </si>
  <si>
    <t>omega</t>
  </si>
  <si>
    <t>F</t>
  </si>
  <si>
    <t>du to mu</t>
  </si>
  <si>
    <t>/N</t>
  </si>
  <si>
    <t>drag</t>
  </si>
  <si>
    <t>accel</t>
  </si>
  <si>
    <t>new load</t>
  </si>
  <si>
    <t>new</t>
  </si>
  <si>
    <t>max</t>
  </si>
  <si>
    <t>long F</t>
  </si>
  <si>
    <t xml:space="preserve">actual </t>
  </si>
  <si>
    <t>Nett F</t>
  </si>
  <si>
    <t>/g</t>
  </si>
  <si>
    <t>10mph</t>
  </si>
  <si>
    <t>gain</t>
  </si>
  <si>
    <t>time for</t>
  </si>
  <si>
    <t>Total</t>
  </si>
  <si>
    <t>time</t>
  </si>
  <si>
    <t>to</t>
  </si>
  <si>
    <t>Ttot</t>
  </si>
  <si>
    <t>=F*r</t>
  </si>
  <si>
    <t>Ttot-Rd</t>
  </si>
  <si>
    <t>accounting for wheel</t>
  </si>
  <si>
    <t>r(ml+mr)</t>
  </si>
  <si>
    <t>4l/r`</t>
  </si>
  <si>
    <t>ay</t>
  </si>
  <si>
    <t xml:space="preserve">10mph </t>
  </si>
  <si>
    <t>Tot time</t>
  </si>
  <si>
    <t>weight transfer</t>
  </si>
  <si>
    <t>f at rear</t>
  </si>
  <si>
    <t xml:space="preserve">net F                             </t>
  </si>
  <si>
    <t>Input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</si>
</sst>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2" xfId="0" applyBorder="1"/>
    <xf numFmtId="0" fontId="0" fillId="0" borderId="19" xfId="0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23" xfId="0" applyBorder="1"/>
    <xf numFmtId="0" fontId="0" fillId="0" borderId="18" xfId="0" applyBorder="1"/>
    <xf numFmtId="0" fontId="0" fillId="0" borderId="2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38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41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42" xfId="0" quotePrefix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5" xfId="0" applyBorder="1"/>
    <xf numFmtId="0" fontId="0" fillId="0" borderId="7" xfId="0" applyBorder="1"/>
    <xf numFmtId="0" fontId="0" fillId="0" borderId="1" xfId="0" applyBorder="1" applyAlignment="1"/>
    <xf numFmtId="1" fontId="0" fillId="0" borderId="4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6" borderId="34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0" fillId="0" borderId="0" xfId="0" applyBorder="1" applyAlignment="1"/>
    <xf numFmtId="0" fontId="0" fillId="7" borderId="35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7" borderId="30" xfId="0" applyFill="1" applyBorder="1" applyAlignment="1"/>
    <xf numFmtId="0" fontId="0" fillId="0" borderId="30" xfId="0" applyBorder="1" applyAlignment="1"/>
    <xf numFmtId="0" fontId="2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41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41" xfId="0" applyFill="1" applyBorder="1" applyAlignment="1">
      <alignment horizontal="left" vertical="center"/>
    </xf>
    <xf numFmtId="0" fontId="0" fillId="2" borderId="42" xfId="0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180975</xdr:rowOff>
    </xdr:from>
    <xdr:to>
      <xdr:col>8</xdr:col>
      <xdr:colOff>9525</xdr:colOff>
      <xdr:row>4</xdr:row>
      <xdr:rowOff>9525</xdr:rowOff>
    </xdr:to>
    <xdr:cxnSp macro="">
      <xdr:nvCxnSpPr>
        <xdr:cNvPr id="4" name="Straight Connector 3"/>
        <xdr:cNvCxnSpPr/>
      </xdr:nvCxnSpPr>
      <xdr:spPr>
        <a:xfrm>
          <a:off x="4933950" y="781050"/>
          <a:ext cx="1228725" cy="19050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14</xdr:row>
      <xdr:rowOff>190500</xdr:rowOff>
    </xdr:from>
    <xdr:to>
      <xdr:col>8</xdr:col>
      <xdr:colOff>0</xdr:colOff>
      <xdr:row>15</xdr:row>
      <xdr:rowOff>0</xdr:rowOff>
    </xdr:to>
    <xdr:cxnSp macro="">
      <xdr:nvCxnSpPr>
        <xdr:cNvPr id="6" name="Straight Connector 5"/>
        <xdr:cNvCxnSpPr/>
      </xdr:nvCxnSpPr>
      <xdr:spPr>
        <a:xfrm>
          <a:off x="4933950" y="2914650"/>
          <a:ext cx="1219200" cy="9525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</xdr:row>
      <xdr:rowOff>0</xdr:rowOff>
    </xdr:from>
    <xdr:to>
      <xdr:col>7</xdr:col>
      <xdr:colOff>0</xdr:colOff>
      <xdr:row>15</xdr:row>
      <xdr:rowOff>0</xdr:rowOff>
    </xdr:to>
    <xdr:cxnSp macro="">
      <xdr:nvCxnSpPr>
        <xdr:cNvPr id="8" name="Straight Connector 7"/>
        <xdr:cNvCxnSpPr/>
      </xdr:nvCxnSpPr>
      <xdr:spPr>
        <a:xfrm flipV="1">
          <a:off x="5543550" y="790575"/>
          <a:ext cx="0" cy="2133600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57150</xdr:colOff>
      <xdr:row>23</xdr:row>
      <xdr:rowOff>152400</xdr:rowOff>
    </xdr:from>
    <xdr:to>
      <xdr:col>0</xdr:col>
      <xdr:colOff>1647626</xdr:colOff>
      <xdr:row>26</xdr:row>
      <xdr:rowOff>190424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4638675"/>
          <a:ext cx="1590476" cy="6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P22"/>
  <sheetViews>
    <sheetView workbookViewId="0">
      <selection activeCell="D26" sqref="D26"/>
    </sheetView>
  </sheetViews>
  <sheetFormatPr baseColWidth="10" defaultColWidth="9.140625" defaultRowHeight="15" x14ac:dyDescent="0.25"/>
  <cols>
    <col min="1" max="1" width="28.28515625" bestFit="1" customWidth="1"/>
  </cols>
  <sheetData>
    <row r="1" spans="1:16" ht="15.75" thickBot="1" x14ac:dyDescent="0.3"/>
    <row r="2" spans="1:16" ht="15.75" thickBot="1" x14ac:dyDescent="0.3">
      <c r="A2" s="9" t="s">
        <v>0</v>
      </c>
      <c r="B2" s="10" t="s">
        <v>11</v>
      </c>
      <c r="C2" s="11" t="s">
        <v>12</v>
      </c>
      <c r="E2" s="21"/>
      <c r="F2" s="116" t="s">
        <v>30</v>
      </c>
      <c r="G2" s="117"/>
      <c r="H2" s="117"/>
      <c r="I2" s="118"/>
      <c r="J2" s="15"/>
      <c r="M2" s="113" t="s">
        <v>29</v>
      </c>
      <c r="N2" s="114"/>
      <c r="O2" s="115"/>
    </row>
    <row r="3" spans="1:16" ht="15.75" thickBot="1" x14ac:dyDescent="0.3">
      <c r="A3" s="103"/>
      <c r="B3" s="103"/>
      <c r="C3" s="5"/>
      <c r="E3" s="16"/>
      <c r="F3" s="17"/>
      <c r="G3" s="17"/>
      <c r="H3" s="17"/>
      <c r="I3" s="17"/>
      <c r="J3" s="18"/>
      <c r="M3" s="24" t="s">
        <v>28</v>
      </c>
      <c r="N3" s="33" t="s">
        <v>15</v>
      </c>
      <c r="O3" s="25">
        <v>9.81</v>
      </c>
      <c r="P3" s="1"/>
    </row>
    <row r="4" spans="1:16" ht="15.75" thickBot="1" x14ac:dyDescent="0.3">
      <c r="A4" s="12" t="s">
        <v>1</v>
      </c>
      <c r="B4" s="30" t="s">
        <v>13</v>
      </c>
      <c r="C4" s="6">
        <v>0.3</v>
      </c>
      <c r="E4" s="16"/>
      <c r="F4" s="34" t="s">
        <v>24</v>
      </c>
      <c r="G4" s="5"/>
      <c r="H4" s="5"/>
      <c r="I4" s="34" t="s">
        <v>25</v>
      </c>
      <c r="J4" s="18"/>
    </row>
    <row r="5" spans="1:16" ht="15.75" thickBot="1" x14ac:dyDescent="0.3">
      <c r="A5" s="13" t="s">
        <v>2</v>
      </c>
      <c r="B5" s="31" t="s">
        <v>13</v>
      </c>
      <c r="C5" s="7">
        <v>1.5</v>
      </c>
      <c r="E5" s="16"/>
      <c r="F5" s="23">
        <f>C13+C17+N19</f>
        <v>6665.1147959183672</v>
      </c>
      <c r="G5" s="5"/>
      <c r="H5" s="5"/>
      <c r="I5" s="23">
        <f>(C13)+C17+N20</f>
        <v>3476.3392857142853</v>
      </c>
      <c r="J5" s="18"/>
    </row>
    <row r="6" spans="1:16" x14ac:dyDescent="0.25">
      <c r="A6" s="13" t="s">
        <v>3</v>
      </c>
      <c r="B6" s="31" t="s">
        <v>13</v>
      </c>
      <c r="C6" s="7">
        <v>3</v>
      </c>
      <c r="E6" s="16"/>
      <c r="F6" s="5"/>
      <c r="G6" s="5"/>
      <c r="H6" s="5"/>
      <c r="I6" s="5"/>
      <c r="J6" s="18"/>
    </row>
    <row r="7" spans="1:16" x14ac:dyDescent="0.25">
      <c r="A7" s="13" t="s">
        <v>4</v>
      </c>
      <c r="B7" s="31" t="s">
        <v>13</v>
      </c>
      <c r="C7" s="7">
        <v>1.47</v>
      </c>
      <c r="E7" s="16"/>
      <c r="F7" s="5"/>
      <c r="G7" s="5"/>
      <c r="H7" s="5"/>
      <c r="I7" s="5"/>
      <c r="J7" s="18"/>
    </row>
    <row r="8" spans="1:16" x14ac:dyDescent="0.25">
      <c r="A8" s="13" t="s">
        <v>5</v>
      </c>
      <c r="B8" s="31" t="s">
        <v>14</v>
      </c>
      <c r="C8" s="7">
        <v>625</v>
      </c>
      <c r="E8" s="16"/>
      <c r="F8" s="5"/>
      <c r="G8" s="5"/>
      <c r="H8" s="5"/>
      <c r="I8" s="5"/>
      <c r="J8" s="18"/>
    </row>
    <row r="9" spans="1:16" x14ac:dyDescent="0.25">
      <c r="A9" s="13" t="s">
        <v>6</v>
      </c>
      <c r="B9" s="31" t="s">
        <v>15</v>
      </c>
      <c r="C9" s="7">
        <v>10</v>
      </c>
      <c r="E9" s="16" t="s">
        <v>31</v>
      </c>
      <c r="F9" s="5"/>
      <c r="G9" s="5"/>
      <c r="H9" s="5"/>
      <c r="I9" s="5"/>
      <c r="J9" s="18"/>
    </row>
    <row r="10" spans="1:16" x14ac:dyDescent="0.25">
      <c r="A10" s="13" t="s">
        <v>7</v>
      </c>
      <c r="B10" s="31" t="s">
        <v>13</v>
      </c>
      <c r="C10" s="7">
        <v>40</v>
      </c>
      <c r="E10" s="16"/>
      <c r="F10" s="5"/>
      <c r="G10" s="5"/>
      <c r="H10" s="5"/>
      <c r="I10" s="5"/>
      <c r="J10" s="18"/>
    </row>
    <row r="11" spans="1:16" x14ac:dyDescent="0.25">
      <c r="A11" s="13" t="s">
        <v>8</v>
      </c>
      <c r="B11" s="31" t="s">
        <v>16</v>
      </c>
      <c r="C11" s="7">
        <v>50</v>
      </c>
      <c r="E11" s="16"/>
      <c r="F11" s="5"/>
      <c r="G11" s="5"/>
      <c r="H11" s="5"/>
      <c r="I11" s="5"/>
      <c r="J11" s="18"/>
    </row>
    <row r="12" spans="1:16" x14ac:dyDescent="0.25">
      <c r="A12" s="13" t="s">
        <v>9</v>
      </c>
      <c r="B12" s="31" t="s">
        <v>17</v>
      </c>
      <c r="C12" s="7">
        <v>0.4</v>
      </c>
      <c r="E12" s="16"/>
      <c r="F12" s="5"/>
      <c r="G12" s="5"/>
      <c r="H12" s="5"/>
      <c r="I12" s="5"/>
      <c r="J12" s="18"/>
    </row>
    <row r="13" spans="1:16" ht="15.75" thickBot="1" x14ac:dyDescent="0.3">
      <c r="A13" s="14" t="s">
        <v>10</v>
      </c>
      <c r="B13" s="32"/>
      <c r="C13" s="8">
        <v>2000</v>
      </c>
      <c r="E13" s="16"/>
      <c r="F13" s="5"/>
      <c r="G13" s="5"/>
      <c r="H13" s="5"/>
      <c r="I13" s="5"/>
      <c r="J13" s="18"/>
    </row>
    <row r="14" spans="1:16" ht="15.75" thickBot="1" x14ac:dyDescent="0.3">
      <c r="E14" s="16"/>
      <c r="F14" s="5"/>
      <c r="G14" s="5"/>
      <c r="H14" s="5"/>
      <c r="I14" s="5"/>
      <c r="J14" s="18"/>
    </row>
    <row r="15" spans="1:16" ht="15.75" thickBot="1" x14ac:dyDescent="0.3">
      <c r="A15" s="104" t="s">
        <v>18</v>
      </c>
      <c r="B15" s="105"/>
      <c r="C15" s="106"/>
      <c r="E15" s="16"/>
      <c r="F15" s="34" t="s">
        <v>26</v>
      </c>
      <c r="G15" s="5"/>
      <c r="H15" s="5"/>
      <c r="I15" s="34" t="s">
        <v>34</v>
      </c>
      <c r="J15" s="18"/>
    </row>
    <row r="16" spans="1:16" ht="15.75" thickBot="1" x14ac:dyDescent="0.3">
      <c r="A16" s="17"/>
      <c r="B16" s="17"/>
      <c r="C16" s="17"/>
      <c r="E16" s="16"/>
      <c r="F16" s="23">
        <f>C13+C18+P19+C22</f>
        <v>7462.3086734693879</v>
      </c>
      <c r="G16" s="5"/>
      <c r="H16" s="5"/>
      <c r="I16" s="23">
        <f>C13+C18+P20</f>
        <v>2679.1454081632655</v>
      </c>
      <c r="J16" s="18"/>
    </row>
    <row r="17" spans="1:16" x14ac:dyDescent="0.25">
      <c r="A17" s="12" t="s">
        <v>19</v>
      </c>
      <c r="B17" s="26" t="s">
        <v>33</v>
      </c>
      <c r="C17" s="2">
        <f>C8*O3*((C6-C5)/C6)</f>
        <v>3065.625</v>
      </c>
      <c r="E17" s="16"/>
      <c r="F17" s="5"/>
      <c r="G17" s="5"/>
      <c r="H17" s="5"/>
      <c r="I17" s="5"/>
      <c r="J17" s="18"/>
    </row>
    <row r="18" spans="1:16" ht="15.75" thickBot="1" x14ac:dyDescent="0.3">
      <c r="A18" s="13" t="s">
        <v>20</v>
      </c>
      <c r="B18" s="27" t="s">
        <v>33</v>
      </c>
      <c r="C18" s="3">
        <f>C8*O3*(C5/C6)</f>
        <v>3065.625</v>
      </c>
      <c r="E18" s="19"/>
      <c r="F18" s="22"/>
      <c r="G18" s="22"/>
      <c r="H18" s="22"/>
      <c r="I18" s="22"/>
      <c r="J18" s="20"/>
    </row>
    <row r="19" spans="1:16" x14ac:dyDescent="0.25">
      <c r="A19" s="13" t="s">
        <v>32</v>
      </c>
      <c r="B19" s="27" t="s">
        <v>15</v>
      </c>
      <c r="C19" s="3">
        <f>(C11*C11)/C10</f>
        <v>62.5</v>
      </c>
      <c r="N19">
        <f>(C20/2)+C12*C19*(C4/C7)</f>
        <v>1599.4897959183675</v>
      </c>
      <c r="P19">
        <f>(C21/2)+C12*C19*(C4/C7)</f>
        <v>2396.6836734693879</v>
      </c>
    </row>
    <row r="20" spans="1:16" ht="15.75" thickBot="1" x14ac:dyDescent="0.3">
      <c r="A20" s="13" t="s">
        <v>21</v>
      </c>
      <c r="B20" s="28" t="s">
        <v>33</v>
      </c>
      <c r="C20" s="3">
        <f>((C8*C19*C4)/C7)*C12</f>
        <v>3188.7755102040819</v>
      </c>
      <c r="N20">
        <f>(-C20/2)-C12*-C19*(C4/C7)</f>
        <v>-1589.2857142857144</v>
      </c>
      <c r="P20">
        <f>(-C21/2)-C12*-C19*(C4/C7)</f>
        <v>-2386.4795918367345</v>
      </c>
    </row>
    <row r="21" spans="1:16" x14ac:dyDescent="0.25">
      <c r="A21" s="13" t="s">
        <v>22</v>
      </c>
      <c r="B21" s="27" t="s">
        <v>33</v>
      </c>
      <c r="C21" s="3">
        <f>((C8*C19*C4)/C7)*(1-C12)</f>
        <v>4783.1632653061224</v>
      </c>
      <c r="E21" s="107" t="s">
        <v>27</v>
      </c>
      <c r="F21" s="108"/>
      <c r="G21" s="108"/>
      <c r="H21" s="108"/>
      <c r="I21" s="108"/>
      <c r="J21" s="109"/>
    </row>
    <row r="22" spans="1:16" ht="15.75" thickBot="1" x14ac:dyDescent="0.3">
      <c r="A22" s="14" t="s">
        <v>23</v>
      </c>
      <c r="B22" s="29"/>
      <c r="C22" s="4"/>
      <c r="E22" s="110">
        <f>F5+I5+F16+I16</f>
        <v>20282.908163265307</v>
      </c>
      <c r="F22" s="111"/>
      <c r="G22" s="111"/>
      <c r="H22" s="111"/>
      <c r="I22" s="111"/>
      <c r="J22" s="112"/>
    </row>
  </sheetData>
  <mergeCells count="6">
    <mergeCell ref="A3:B3"/>
    <mergeCell ref="A15:C15"/>
    <mergeCell ref="E21:J21"/>
    <mergeCell ref="E22:J22"/>
    <mergeCell ref="M2:O2"/>
    <mergeCell ref="F2:I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/>
  </sheetPr>
  <dimension ref="B1:AD52"/>
  <sheetViews>
    <sheetView tabSelected="1" workbookViewId="0">
      <selection activeCell="K8" sqref="K8"/>
    </sheetView>
  </sheetViews>
  <sheetFormatPr baseColWidth="10" defaultColWidth="9.140625" defaultRowHeight="15" x14ac:dyDescent="0.25"/>
  <cols>
    <col min="3" max="3" width="11.42578125" bestFit="1" customWidth="1"/>
    <col min="5" max="5" width="14.85546875" bestFit="1" customWidth="1"/>
    <col min="7" max="7" width="1.140625" customWidth="1"/>
    <col min="22" max="22" width="10.5703125" bestFit="1" customWidth="1"/>
    <col min="23" max="23" width="8.85546875" style="1" bestFit="1" customWidth="1"/>
  </cols>
  <sheetData>
    <row r="1" spans="2:30" ht="15.75" thickBot="1" x14ac:dyDescent="0.3"/>
    <row r="2" spans="2:30" ht="15.75" thickBot="1" x14ac:dyDescent="0.3">
      <c r="B2" s="39" t="s">
        <v>35</v>
      </c>
      <c r="C2" s="40" t="s">
        <v>36</v>
      </c>
      <c r="E2" s="48" t="s">
        <v>37</v>
      </c>
      <c r="F2" s="97">
        <v>2.2000000000000002</v>
      </c>
      <c r="H2" s="107" t="s">
        <v>55</v>
      </c>
      <c r="I2" s="108"/>
      <c r="J2" s="108"/>
      <c r="K2" s="108"/>
      <c r="L2" s="108"/>
      <c r="M2" s="108"/>
      <c r="N2" s="108"/>
      <c r="O2" s="108"/>
      <c r="P2" s="108"/>
      <c r="Q2" s="108"/>
      <c r="R2" s="36" t="s">
        <v>35</v>
      </c>
      <c r="S2" s="36" t="s">
        <v>56</v>
      </c>
      <c r="T2" s="36" t="s">
        <v>51</v>
      </c>
      <c r="U2" s="36" t="s">
        <v>57</v>
      </c>
      <c r="V2" s="36" t="s">
        <v>58</v>
      </c>
      <c r="W2" s="42" t="s">
        <v>59</v>
      </c>
      <c r="X2" s="36" t="s">
        <v>60</v>
      </c>
      <c r="Y2" s="36" t="s">
        <v>61</v>
      </c>
      <c r="Z2" s="37" t="s">
        <v>62</v>
      </c>
    </row>
    <row r="3" spans="2:30" x14ac:dyDescent="0.25">
      <c r="B3" s="60"/>
      <c r="C3" s="61"/>
      <c r="E3" s="49" t="s">
        <v>38</v>
      </c>
      <c r="F3" s="98">
        <v>1.079</v>
      </c>
      <c r="H3" s="53" t="s">
        <v>63</v>
      </c>
      <c r="I3" s="54" t="s">
        <v>64</v>
      </c>
      <c r="J3" s="54" t="s">
        <v>65</v>
      </c>
      <c r="K3" s="54" t="s">
        <v>65</v>
      </c>
      <c r="L3" s="54" t="s">
        <v>66</v>
      </c>
      <c r="M3" s="54" t="s">
        <v>67</v>
      </c>
      <c r="N3" s="54" t="s">
        <v>68</v>
      </c>
      <c r="O3" s="54" t="s">
        <v>69</v>
      </c>
      <c r="P3" s="54" t="s">
        <v>70</v>
      </c>
      <c r="Q3" s="54" t="s">
        <v>71</v>
      </c>
      <c r="R3" s="54" t="s">
        <v>72</v>
      </c>
      <c r="S3" s="54" t="s">
        <v>73</v>
      </c>
      <c r="T3" s="54"/>
      <c r="U3" s="54" t="s">
        <v>73</v>
      </c>
      <c r="V3" s="54" t="s">
        <v>74</v>
      </c>
      <c r="W3" s="54" t="s">
        <v>75</v>
      </c>
      <c r="X3" s="54" t="s">
        <v>108</v>
      </c>
      <c r="Y3" s="54" t="s">
        <v>76</v>
      </c>
      <c r="Z3" s="55" t="s">
        <v>77</v>
      </c>
    </row>
    <row r="4" spans="2:30" ht="15.75" thickBot="1" x14ac:dyDescent="0.3">
      <c r="B4" s="90">
        <v>6000</v>
      </c>
      <c r="C4" s="92">
        <v>240</v>
      </c>
      <c r="E4" s="50" t="s">
        <v>39</v>
      </c>
      <c r="F4" s="98">
        <v>1.6</v>
      </c>
      <c r="H4" s="56"/>
      <c r="I4" s="57" t="s">
        <v>16</v>
      </c>
      <c r="J4" s="57" t="s">
        <v>79</v>
      </c>
      <c r="K4" s="57" t="s">
        <v>35</v>
      </c>
      <c r="L4" s="57"/>
      <c r="M4" s="57"/>
      <c r="N4" s="57"/>
      <c r="O4" s="57"/>
      <c r="P4" s="57"/>
      <c r="Q4" s="57"/>
      <c r="R4" s="57"/>
      <c r="S4" s="57"/>
      <c r="T4" s="57"/>
      <c r="U4" s="57"/>
      <c r="V4" s="57" t="s">
        <v>78</v>
      </c>
      <c r="W4" s="57" t="s">
        <v>82</v>
      </c>
      <c r="X4" s="57" t="s">
        <v>81</v>
      </c>
      <c r="Y4" s="57" t="s">
        <v>80</v>
      </c>
      <c r="Z4" s="58"/>
    </row>
    <row r="5" spans="2:30" ht="15.75" thickBot="1" x14ac:dyDescent="0.3">
      <c r="B5" s="90">
        <f>B4+1000</f>
        <v>7000</v>
      </c>
      <c r="C5" s="92">
        <v>260</v>
      </c>
      <c r="E5" s="45"/>
      <c r="F5" s="46"/>
      <c r="H5" s="95">
        <v>0</v>
      </c>
      <c r="I5" s="59">
        <f>H5*0.44704</f>
        <v>0</v>
      </c>
      <c r="J5" s="59">
        <f>(I5/$F$10)</f>
        <v>0</v>
      </c>
      <c r="K5" s="102">
        <f>J5*(60/(2*PI()))</f>
        <v>0</v>
      </c>
      <c r="L5" s="102">
        <f>K5*$F$21</f>
        <v>0</v>
      </c>
      <c r="M5" s="102">
        <f>K5*$F$22</f>
        <v>0</v>
      </c>
      <c r="N5" s="102">
        <f>K5*$F$23</f>
        <v>0</v>
      </c>
      <c r="O5" s="102">
        <f>K5*$F$24</f>
        <v>0</v>
      </c>
      <c r="P5" s="102">
        <f>K5*$F$25</f>
        <v>0</v>
      </c>
      <c r="Q5" s="102">
        <f>K5*$F$26</f>
        <v>0</v>
      </c>
      <c r="R5" s="47">
        <v>10000</v>
      </c>
      <c r="S5" s="47">
        <v>340</v>
      </c>
      <c r="T5" s="47">
        <v>1</v>
      </c>
      <c r="U5" s="87">
        <f>S5*F21</f>
        <v>5718.8</v>
      </c>
      <c r="V5" s="87">
        <f>U5/$F$12</f>
        <v>19720.000000000004</v>
      </c>
      <c r="W5" s="47">
        <f>$F$7*((1/2)*$F$8*$F$9*(I5*I5))*$F$2/$F$3/$F$16</f>
        <v>0</v>
      </c>
      <c r="X5" s="81"/>
      <c r="Y5" s="81"/>
      <c r="Z5" s="81"/>
      <c r="AA5" s="88"/>
      <c r="AB5" s="100"/>
      <c r="AC5" s="101" t="s">
        <v>110</v>
      </c>
      <c r="AD5" s="88"/>
    </row>
    <row r="6" spans="2:30" x14ac:dyDescent="0.25">
      <c r="B6" s="90">
        <f t="shared" ref="B6:B18" si="0">B5+1000</f>
        <v>8000</v>
      </c>
      <c r="C6" s="92">
        <v>280</v>
      </c>
      <c r="E6" s="48" t="s">
        <v>40</v>
      </c>
      <c r="F6" s="98">
        <v>15</v>
      </c>
      <c r="H6" s="95">
        <f>H5+10</f>
        <v>10</v>
      </c>
      <c r="I6" s="59">
        <f t="shared" ref="I6:I25" si="1">H6*0.44704</f>
        <v>4.4703999999999997</v>
      </c>
      <c r="J6" s="59">
        <f t="shared" ref="J6:J25" si="2">(I6/$F$10)</f>
        <v>13.969999999999999</v>
      </c>
      <c r="K6" s="102">
        <f t="shared" ref="K6:K25" si="3">J6*(60/(2*PI()))</f>
        <v>133.40367329962666</v>
      </c>
      <c r="L6" s="102">
        <f>K6*$F$21</f>
        <v>2243.8497848997204</v>
      </c>
      <c r="M6" s="102">
        <f t="shared" ref="M6:M25" si="4">K6*$F$22</f>
        <v>1702.2308713032362</v>
      </c>
      <c r="N6" s="102">
        <f t="shared" ref="N6:N25" si="5">K6*$F$23</f>
        <v>1470.1084797618857</v>
      </c>
      <c r="O6" s="102">
        <f t="shared" ref="O6:O24" si="6">K6*$F$24</f>
        <v>1083.2378271929683</v>
      </c>
      <c r="P6" s="102">
        <f t="shared" ref="P6:P25" si="7">K6*$F$25</f>
        <v>1005.8636966791851</v>
      </c>
      <c r="Q6" s="102">
        <f t="shared" ref="Q6:Q24" si="8">K6*$F$26</f>
        <v>851.1154356516181</v>
      </c>
      <c r="R6" s="47">
        <v>10000</v>
      </c>
      <c r="S6" s="47">
        <v>340</v>
      </c>
      <c r="T6" s="47">
        <v>1</v>
      </c>
      <c r="U6" s="87">
        <f>S6*F21</f>
        <v>5718.8</v>
      </c>
      <c r="V6" s="87">
        <f t="shared" ref="V6:V25" si="9">U6/$F$12</f>
        <v>19720.000000000004</v>
      </c>
      <c r="W6" s="47">
        <f t="shared" ref="W6:W25" si="10">$F$7*((1/2)*$F$8*$F$9*(I6*I6))*$F$2/$F$3/$F$16</f>
        <v>106.00292160011865</v>
      </c>
      <c r="X6" s="81"/>
      <c r="Y6" s="47"/>
      <c r="Z6" s="47"/>
    </row>
    <row r="7" spans="2:30" x14ac:dyDescent="0.25">
      <c r="B7" s="90">
        <f t="shared" si="0"/>
        <v>9000</v>
      </c>
      <c r="C7" s="92">
        <v>310</v>
      </c>
      <c r="E7" s="49" t="s">
        <v>41</v>
      </c>
      <c r="F7" s="98">
        <v>1.1000000000000001</v>
      </c>
      <c r="H7" s="95">
        <f t="shared" ref="H7:H25" si="11">H6+10</f>
        <v>20</v>
      </c>
      <c r="I7" s="59">
        <f t="shared" si="1"/>
        <v>8.9407999999999994</v>
      </c>
      <c r="J7" s="59">
        <f>(I7/$F$10)</f>
        <v>27.939999999999998</v>
      </c>
      <c r="K7" s="102">
        <f t="shared" si="3"/>
        <v>266.80734659925332</v>
      </c>
      <c r="L7" s="102">
        <f t="shared" ref="L7:L25" si="12">K7*$F$21</f>
        <v>4487.6995697994407</v>
      </c>
      <c r="M7" s="102">
        <f>K7*$F$22</f>
        <v>3404.4617426064724</v>
      </c>
      <c r="N7" s="102">
        <f t="shared" si="5"/>
        <v>2940.2169595237715</v>
      </c>
      <c r="O7" s="102">
        <f t="shared" si="6"/>
        <v>2166.4756543859367</v>
      </c>
      <c r="P7" s="102">
        <f t="shared" si="7"/>
        <v>2011.7273933583701</v>
      </c>
      <c r="Q7" s="102">
        <f t="shared" si="8"/>
        <v>1702.2308713032362</v>
      </c>
      <c r="R7" s="47">
        <v>10000</v>
      </c>
      <c r="S7" s="47">
        <v>340</v>
      </c>
      <c r="T7" s="47">
        <v>1</v>
      </c>
      <c r="U7" s="87">
        <f>S7*F21</f>
        <v>5718.8</v>
      </c>
      <c r="V7" s="87">
        <f t="shared" si="9"/>
        <v>19720.000000000004</v>
      </c>
      <c r="W7" s="47">
        <f t="shared" si="10"/>
        <v>424.01168640047462</v>
      </c>
      <c r="X7" s="81"/>
      <c r="Y7" s="47"/>
      <c r="Z7" s="47"/>
    </row>
    <row r="8" spans="2:30" x14ac:dyDescent="0.25">
      <c r="B8" s="90">
        <f t="shared" si="0"/>
        <v>10000</v>
      </c>
      <c r="C8" s="92">
        <v>340</v>
      </c>
      <c r="E8" s="49" t="s">
        <v>42</v>
      </c>
      <c r="F8" s="98">
        <v>1.29</v>
      </c>
      <c r="H8" s="95">
        <f t="shared" si="11"/>
        <v>30</v>
      </c>
      <c r="I8" s="59">
        <f t="shared" si="1"/>
        <v>13.411199999999999</v>
      </c>
      <c r="J8" s="59">
        <f t="shared" si="2"/>
        <v>41.91</v>
      </c>
      <c r="K8" s="102">
        <f t="shared" si="3"/>
        <v>400.21101989888001</v>
      </c>
      <c r="L8" s="102">
        <f>K8*$F$21</f>
        <v>6731.549354699162</v>
      </c>
      <c r="M8" s="102">
        <f>K8*$F$22</f>
        <v>5106.6926139097086</v>
      </c>
      <c r="N8" s="102">
        <f t="shared" si="5"/>
        <v>4410.3254392856579</v>
      </c>
      <c r="O8" s="102">
        <f t="shared" si="6"/>
        <v>3249.7134815789054</v>
      </c>
      <c r="P8" s="102">
        <f t="shared" si="7"/>
        <v>3017.5910900375552</v>
      </c>
      <c r="Q8" s="102">
        <f t="shared" si="8"/>
        <v>2553.3463069548543</v>
      </c>
      <c r="R8" s="47">
        <v>10000</v>
      </c>
      <c r="S8" s="47">
        <v>340</v>
      </c>
      <c r="T8" s="47">
        <v>1</v>
      </c>
      <c r="U8" s="87">
        <f>S8*F21</f>
        <v>5718.8</v>
      </c>
      <c r="V8" s="87">
        <f t="shared" si="9"/>
        <v>19720.000000000004</v>
      </c>
      <c r="W8" s="47">
        <f t="shared" si="10"/>
        <v>954.02629440106807</v>
      </c>
      <c r="X8" s="81"/>
      <c r="Y8" s="47"/>
      <c r="Z8" s="47"/>
    </row>
    <row r="9" spans="2:30" x14ac:dyDescent="0.25">
      <c r="B9" s="90">
        <f t="shared" si="0"/>
        <v>11000</v>
      </c>
      <c r="C9" s="92">
        <v>350</v>
      </c>
      <c r="E9" s="49" t="s">
        <v>43</v>
      </c>
      <c r="F9" s="98">
        <v>1.1000000000000001</v>
      </c>
      <c r="H9" s="95">
        <f t="shared" si="11"/>
        <v>40</v>
      </c>
      <c r="I9" s="59">
        <f t="shared" si="1"/>
        <v>17.881599999999999</v>
      </c>
      <c r="J9" s="59">
        <f t="shared" si="2"/>
        <v>55.879999999999995</v>
      </c>
      <c r="K9" s="102">
        <f>J9*(60/(2*PI()))</f>
        <v>533.61469319850664</v>
      </c>
      <c r="L9" s="102">
        <f>K9*$F$21</f>
        <v>8975.3991395988814</v>
      </c>
      <c r="M9" s="102">
        <f>K9*$F$22</f>
        <v>6808.9234852129448</v>
      </c>
      <c r="N9" s="102">
        <f>K9*$F$23</f>
        <v>5880.433919047543</v>
      </c>
      <c r="O9" s="102">
        <f t="shared" si="6"/>
        <v>4332.9513087718733</v>
      </c>
      <c r="P9" s="102">
        <f t="shared" si="7"/>
        <v>4023.4547867167403</v>
      </c>
      <c r="Q9" s="102">
        <f t="shared" si="8"/>
        <v>3404.4617426064724</v>
      </c>
      <c r="R9" s="47">
        <v>10000</v>
      </c>
      <c r="S9" s="47">
        <v>340</v>
      </c>
      <c r="T9" s="47">
        <v>1</v>
      </c>
      <c r="U9" s="87">
        <f>S9*F21</f>
        <v>5718.8</v>
      </c>
      <c r="V9" s="87">
        <f t="shared" si="9"/>
        <v>19720.000000000004</v>
      </c>
      <c r="W9" s="47">
        <f t="shared" si="10"/>
        <v>1696.0467456018985</v>
      </c>
      <c r="X9" s="81"/>
      <c r="Y9" s="47"/>
      <c r="Z9" s="47"/>
    </row>
    <row r="10" spans="2:30" x14ac:dyDescent="0.25">
      <c r="B10" s="90">
        <f t="shared" si="0"/>
        <v>12000</v>
      </c>
      <c r="C10" s="92">
        <v>355</v>
      </c>
      <c r="E10" s="49" t="s">
        <v>44</v>
      </c>
      <c r="F10" s="98">
        <v>0.32</v>
      </c>
      <c r="H10" s="95">
        <f t="shared" si="11"/>
        <v>50</v>
      </c>
      <c r="I10" s="59">
        <f t="shared" si="1"/>
        <v>22.352</v>
      </c>
      <c r="J10" s="59">
        <f t="shared" si="2"/>
        <v>69.849999999999994</v>
      </c>
      <c r="K10" s="102">
        <f t="shared" si="3"/>
        <v>667.01836649813333</v>
      </c>
      <c r="L10" s="102">
        <f>K10*$F$21</f>
        <v>11219.248924498603</v>
      </c>
      <c r="M10" s="102">
        <f t="shared" si="4"/>
        <v>8511.154356516181</v>
      </c>
      <c r="N10" s="102">
        <f>K10*$F$23</f>
        <v>7350.542398809429</v>
      </c>
      <c r="O10" s="102">
        <f>K10*$F$24</f>
        <v>5416.1891359648425</v>
      </c>
      <c r="P10" s="102">
        <f>K10*$F$25</f>
        <v>5029.3184833959258</v>
      </c>
      <c r="Q10" s="102">
        <f t="shared" si="8"/>
        <v>4255.5771782580905</v>
      </c>
      <c r="R10" s="47">
        <f>MAX(L10:Q10)</f>
        <v>11219.248924498603</v>
      </c>
      <c r="S10" s="59">
        <f>R10*C9/B9</f>
        <v>356.97610214313738</v>
      </c>
      <c r="T10" s="47">
        <v>1</v>
      </c>
      <c r="U10" s="87">
        <f>S10*F21</f>
        <v>6004.338038047571</v>
      </c>
      <c r="V10" s="87">
        <f t="shared" si="9"/>
        <v>20704.613924301972</v>
      </c>
      <c r="W10" s="47">
        <f t="shared" si="10"/>
        <v>2650.0730400029665</v>
      </c>
      <c r="X10" s="81"/>
      <c r="Y10" s="47"/>
      <c r="Z10" s="47"/>
    </row>
    <row r="11" spans="2:30" x14ac:dyDescent="0.25">
      <c r="B11" s="90">
        <f t="shared" si="0"/>
        <v>13000</v>
      </c>
      <c r="C11" s="92">
        <v>355</v>
      </c>
      <c r="E11" s="49" t="s">
        <v>45</v>
      </c>
      <c r="F11" s="98">
        <v>12</v>
      </c>
      <c r="H11" s="95">
        <f t="shared" si="11"/>
        <v>60</v>
      </c>
      <c r="I11" s="59">
        <f t="shared" si="1"/>
        <v>26.822399999999998</v>
      </c>
      <c r="J11" s="59">
        <f t="shared" si="2"/>
        <v>83.82</v>
      </c>
      <c r="K11" s="102">
        <f t="shared" si="3"/>
        <v>800.42203979776002</v>
      </c>
      <c r="L11" s="102">
        <f t="shared" si="12"/>
        <v>13463.098709398324</v>
      </c>
      <c r="M11" s="102">
        <f t="shared" si="4"/>
        <v>10213.385227819417</v>
      </c>
      <c r="N11" s="102">
        <f>K11*$F$23</f>
        <v>8820.6508785713158</v>
      </c>
      <c r="O11" s="102">
        <f t="shared" si="6"/>
        <v>6499.4269631578109</v>
      </c>
      <c r="P11" s="102">
        <f>K11*$F$25</f>
        <v>6035.1821800751104</v>
      </c>
      <c r="Q11" s="102">
        <f t="shared" si="8"/>
        <v>5106.6926139097086</v>
      </c>
      <c r="R11" s="47">
        <f>L11</f>
        <v>13463.098709398324</v>
      </c>
      <c r="S11" s="59">
        <f>R11*C11/B11</f>
        <v>367.64615706433887</v>
      </c>
      <c r="T11" s="47">
        <v>1</v>
      </c>
      <c r="U11" s="87">
        <f>S11*F21</f>
        <v>6183.8083618221799</v>
      </c>
      <c r="V11" s="87">
        <f t="shared" si="9"/>
        <v>21323.477109731655</v>
      </c>
      <c r="W11" s="47">
        <f t="shared" si="10"/>
        <v>3816.1051776042723</v>
      </c>
      <c r="X11" s="81"/>
      <c r="Y11" s="47"/>
      <c r="Z11" s="47"/>
    </row>
    <row r="12" spans="2:30" x14ac:dyDescent="0.25">
      <c r="B12" s="90">
        <f t="shared" si="0"/>
        <v>14000</v>
      </c>
      <c r="C12" s="92">
        <v>353</v>
      </c>
      <c r="E12" s="49" t="s">
        <v>46</v>
      </c>
      <c r="F12" s="98">
        <v>0.28999999999999998</v>
      </c>
      <c r="H12" s="95">
        <f t="shared" si="11"/>
        <v>70</v>
      </c>
      <c r="I12" s="59">
        <f t="shared" si="1"/>
        <v>31.2928</v>
      </c>
      <c r="J12" s="59">
        <f t="shared" si="2"/>
        <v>97.789999999999992</v>
      </c>
      <c r="K12" s="102">
        <f t="shared" si="3"/>
        <v>933.82571309738671</v>
      </c>
      <c r="L12" s="102">
        <f t="shared" si="12"/>
        <v>15706.948494298045</v>
      </c>
      <c r="M12" s="102">
        <f>K12*$F$22</f>
        <v>11915.616099122653</v>
      </c>
      <c r="N12" s="102">
        <f>K12*$F$23</f>
        <v>10290.759358333202</v>
      </c>
      <c r="O12" s="102">
        <f>K12*$F$24</f>
        <v>7582.6647903507792</v>
      </c>
      <c r="P12" s="102">
        <f>K12*$F$25</f>
        <v>7041.0458767542959</v>
      </c>
      <c r="Q12" s="102">
        <f t="shared" si="8"/>
        <v>5957.8080495613267</v>
      </c>
      <c r="R12" s="47">
        <f t="shared" ref="R12:R13" si="13">MAX(L12:Q12)</f>
        <v>15706.948494298045</v>
      </c>
      <c r="S12" s="59">
        <f>R12*C13/B13</f>
        <v>364.40120506771467</v>
      </c>
      <c r="T12" s="47">
        <v>1</v>
      </c>
      <c r="U12" s="87">
        <f>S12*F21</f>
        <v>6129.2282692389608</v>
      </c>
      <c r="V12" s="87">
        <f t="shared" si="9"/>
        <v>21135.269893927452</v>
      </c>
      <c r="W12" s="47">
        <f t="shared" si="10"/>
        <v>5194.1431584058146</v>
      </c>
      <c r="X12" s="81"/>
      <c r="Y12" s="47"/>
      <c r="Z12" s="47"/>
    </row>
    <row r="13" spans="2:30" ht="15.75" thickBot="1" x14ac:dyDescent="0.3">
      <c r="B13" s="90">
        <f t="shared" si="0"/>
        <v>15000</v>
      </c>
      <c r="C13" s="92">
        <v>348</v>
      </c>
      <c r="E13" s="50" t="s">
        <v>47</v>
      </c>
      <c r="F13" s="99">
        <f>F10*F11</f>
        <v>3.84</v>
      </c>
      <c r="H13" s="95">
        <f t="shared" si="11"/>
        <v>80</v>
      </c>
      <c r="I13" s="59">
        <f t="shared" si="1"/>
        <v>35.763199999999998</v>
      </c>
      <c r="J13" s="59">
        <f t="shared" si="2"/>
        <v>111.75999999999999</v>
      </c>
      <c r="K13" s="102">
        <f t="shared" si="3"/>
        <v>1067.2293863970133</v>
      </c>
      <c r="L13" s="102">
        <f>K13*$F$21</f>
        <v>17950.798279197763</v>
      </c>
      <c r="M13" s="102">
        <f t="shared" si="4"/>
        <v>13617.84697042589</v>
      </c>
      <c r="N13" s="102">
        <f>K13*$F$23</f>
        <v>11760.867838095086</v>
      </c>
      <c r="O13" s="102">
        <f t="shared" si="6"/>
        <v>8665.9026175437466</v>
      </c>
      <c r="P13" s="102">
        <f t="shared" si="7"/>
        <v>8046.9095734334805</v>
      </c>
      <c r="Q13" s="102">
        <f t="shared" si="8"/>
        <v>6808.9234852129448</v>
      </c>
      <c r="R13" s="47">
        <f t="shared" si="13"/>
        <v>17950.798279197763</v>
      </c>
      <c r="S13" s="59">
        <f>R13*C15/B15</f>
        <v>348.45667247854482</v>
      </c>
      <c r="T13" s="47">
        <v>1</v>
      </c>
      <c r="U13" s="87">
        <f>S13*F21</f>
        <v>5861.0412310891243</v>
      </c>
      <c r="V13" s="87">
        <f t="shared" si="9"/>
        <v>20210.487003755603</v>
      </c>
      <c r="W13" s="47">
        <f t="shared" si="10"/>
        <v>6784.1869824075939</v>
      </c>
      <c r="X13" s="81"/>
      <c r="Y13" s="47"/>
      <c r="Z13" s="47"/>
    </row>
    <row r="14" spans="2:30" ht="15.75" thickBot="1" x14ac:dyDescent="0.3">
      <c r="B14" s="90">
        <f t="shared" si="0"/>
        <v>16000</v>
      </c>
      <c r="C14" s="92">
        <v>342</v>
      </c>
      <c r="E14" s="1"/>
      <c r="F14" s="1"/>
      <c r="H14" s="95">
        <f t="shared" si="11"/>
        <v>90</v>
      </c>
      <c r="I14" s="59">
        <f t="shared" si="1"/>
        <v>40.233600000000003</v>
      </c>
      <c r="J14" s="59">
        <f t="shared" si="2"/>
        <v>125.73</v>
      </c>
      <c r="K14" s="102">
        <f t="shared" si="3"/>
        <v>1200.6330596966402</v>
      </c>
      <c r="L14" s="102">
        <f t="shared" si="12"/>
        <v>20194.648064097488</v>
      </c>
      <c r="M14" s="102">
        <f>K14*$F$22</f>
        <v>15320.077841729129</v>
      </c>
      <c r="N14" s="102">
        <f t="shared" si="5"/>
        <v>13230.976317856974</v>
      </c>
      <c r="O14" s="102">
        <f t="shared" si="6"/>
        <v>9749.1404447367167</v>
      </c>
      <c r="P14" s="102">
        <f t="shared" si="7"/>
        <v>9052.7732701126679</v>
      </c>
      <c r="Q14" s="102">
        <f t="shared" si="8"/>
        <v>7660.0389208645647</v>
      </c>
      <c r="R14" s="47">
        <f>M14</f>
        <v>15320.077841729129</v>
      </c>
      <c r="S14" s="59">
        <f>R14*C13/B13</f>
        <v>355.42580592811578</v>
      </c>
      <c r="T14" s="47">
        <v>2</v>
      </c>
      <c r="U14" s="87">
        <f>S14*F22</f>
        <v>4535.2332836427577</v>
      </c>
      <c r="V14" s="87">
        <f t="shared" si="9"/>
        <v>15638.735460837097</v>
      </c>
      <c r="W14" s="47">
        <f t="shared" si="10"/>
        <v>8586.2366496096129</v>
      </c>
      <c r="X14" s="81"/>
      <c r="Y14" s="47"/>
      <c r="Z14" s="47"/>
    </row>
    <row r="15" spans="2:30" x14ac:dyDescent="0.25">
      <c r="B15" s="90">
        <f t="shared" si="0"/>
        <v>17000</v>
      </c>
      <c r="C15" s="92">
        <v>330</v>
      </c>
      <c r="E15" s="48" t="s">
        <v>48</v>
      </c>
      <c r="F15" s="97">
        <v>500</v>
      </c>
      <c r="H15" s="95">
        <f t="shared" si="11"/>
        <v>100</v>
      </c>
      <c r="I15" s="59">
        <f t="shared" si="1"/>
        <v>44.704000000000001</v>
      </c>
      <c r="J15" s="59">
        <f t="shared" si="2"/>
        <v>139.69999999999999</v>
      </c>
      <c r="K15" s="102">
        <f t="shared" si="3"/>
        <v>1334.0367329962667</v>
      </c>
      <c r="L15" s="102">
        <f t="shared" si="12"/>
        <v>22438.497848997205</v>
      </c>
      <c r="M15" s="102">
        <f t="shared" si="4"/>
        <v>17022.308713032362</v>
      </c>
      <c r="N15" s="102">
        <f t="shared" si="5"/>
        <v>14701.084797618858</v>
      </c>
      <c r="O15" s="102">
        <f t="shared" si="6"/>
        <v>10832.378271929685</v>
      </c>
      <c r="P15" s="102">
        <f t="shared" si="7"/>
        <v>10058.636966791852</v>
      </c>
      <c r="Q15" s="102">
        <f t="shared" si="8"/>
        <v>8511.154356516181</v>
      </c>
      <c r="R15" s="47">
        <f>M15</f>
        <v>17022.308713032362</v>
      </c>
      <c r="S15" s="59">
        <f>R15*C15/B15</f>
        <v>330.43305148827528</v>
      </c>
      <c r="T15" s="47">
        <v>2</v>
      </c>
      <c r="U15" s="87">
        <f>S15*F22</f>
        <v>4216.3257369903922</v>
      </c>
      <c r="V15" s="87">
        <f t="shared" si="9"/>
        <v>14539.054265484112</v>
      </c>
      <c r="W15" s="47">
        <f t="shared" si="10"/>
        <v>10600.292160011866</v>
      </c>
      <c r="X15" s="81"/>
      <c r="Y15" s="47"/>
      <c r="Z15" s="47"/>
    </row>
    <row r="16" spans="2:30" x14ac:dyDescent="0.25">
      <c r="B16" s="90">
        <f t="shared" si="0"/>
        <v>18000</v>
      </c>
      <c r="C16" s="92">
        <v>315</v>
      </c>
      <c r="E16" s="49" t="s">
        <v>49</v>
      </c>
      <c r="F16" s="98">
        <v>0.3</v>
      </c>
      <c r="H16" s="95">
        <f t="shared" si="11"/>
        <v>110</v>
      </c>
      <c r="I16" s="59">
        <f t="shared" si="1"/>
        <v>49.174399999999999</v>
      </c>
      <c r="J16" s="59">
        <f t="shared" si="2"/>
        <v>153.66999999999999</v>
      </c>
      <c r="K16" s="102">
        <f t="shared" si="3"/>
        <v>1467.4404062958934</v>
      </c>
      <c r="L16" s="102">
        <f t="shared" si="12"/>
        <v>24682.347633896927</v>
      </c>
      <c r="M16" s="102">
        <f t="shared" si="4"/>
        <v>18724.539584335598</v>
      </c>
      <c r="N16" s="102">
        <f>K16*$F$23</f>
        <v>16171.193277380744</v>
      </c>
      <c r="O16" s="102">
        <f t="shared" si="6"/>
        <v>11915.616099122653</v>
      </c>
      <c r="P16" s="102">
        <f t="shared" si="7"/>
        <v>11064.500663471035</v>
      </c>
      <c r="Q16" s="102">
        <f t="shared" si="8"/>
        <v>9362.2697921677991</v>
      </c>
      <c r="R16" s="47">
        <f>M16</f>
        <v>18724.539584335598</v>
      </c>
      <c r="S16" s="59">
        <f>R16*C16/B16</f>
        <v>327.679442725873</v>
      </c>
      <c r="T16" s="47">
        <v>2</v>
      </c>
      <c r="U16" s="87">
        <f>S16*F22</f>
        <v>4181.1896891821398</v>
      </c>
      <c r="V16" s="87">
        <f t="shared" si="9"/>
        <v>14417.895479938414</v>
      </c>
      <c r="W16" s="47">
        <f t="shared" si="10"/>
        <v>12826.353513614356</v>
      </c>
      <c r="X16" s="81"/>
      <c r="Y16" s="47"/>
      <c r="Z16" s="47"/>
    </row>
    <row r="17" spans="2:26" ht="15.75" thickBot="1" x14ac:dyDescent="0.3">
      <c r="B17" s="90">
        <f t="shared" si="0"/>
        <v>19000</v>
      </c>
      <c r="C17" s="92">
        <v>315</v>
      </c>
      <c r="E17" s="50" t="s">
        <v>50</v>
      </c>
      <c r="F17" s="99">
        <v>3</v>
      </c>
      <c r="H17" s="95">
        <f t="shared" si="11"/>
        <v>120</v>
      </c>
      <c r="I17" s="59">
        <f t="shared" si="1"/>
        <v>53.644799999999996</v>
      </c>
      <c r="J17" s="59">
        <f t="shared" si="2"/>
        <v>167.64</v>
      </c>
      <c r="K17" s="102">
        <f t="shared" si="3"/>
        <v>1600.84407959552</v>
      </c>
      <c r="L17" s="102">
        <f t="shared" si="12"/>
        <v>26926.197418796648</v>
      </c>
      <c r="M17" s="102">
        <f t="shared" si="4"/>
        <v>20426.770455638834</v>
      </c>
      <c r="N17" s="102">
        <f t="shared" si="5"/>
        <v>17641.301757142632</v>
      </c>
      <c r="O17" s="102">
        <f t="shared" si="6"/>
        <v>12998.853926315622</v>
      </c>
      <c r="P17" s="102">
        <f t="shared" si="7"/>
        <v>12070.364360150221</v>
      </c>
      <c r="Q17" s="102">
        <f t="shared" si="8"/>
        <v>10213.385227819417</v>
      </c>
      <c r="R17" s="47">
        <f>N17</f>
        <v>17641.301757142632</v>
      </c>
      <c r="S17" s="59">
        <f>R17*C15/B15</f>
        <v>342.44879881512168</v>
      </c>
      <c r="T17" s="47">
        <v>3</v>
      </c>
      <c r="U17" s="87">
        <f>S17*F23</f>
        <v>3773.7857629426408</v>
      </c>
      <c r="V17" s="87">
        <f t="shared" si="9"/>
        <v>13013.054354974623</v>
      </c>
      <c r="W17" s="47">
        <f t="shared" si="10"/>
        <v>15264.420710417089</v>
      </c>
      <c r="X17" s="81"/>
      <c r="Y17" s="47"/>
      <c r="Z17" s="47"/>
    </row>
    <row r="18" spans="2:26" ht="15.75" thickBot="1" x14ac:dyDescent="0.3">
      <c r="B18" s="91">
        <f t="shared" si="0"/>
        <v>20000</v>
      </c>
      <c r="C18" s="93">
        <v>310</v>
      </c>
      <c r="E18" s="1"/>
      <c r="F18" s="1"/>
      <c r="H18" s="95">
        <f t="shared" si="11"/>
        <v>130</v>
      </c>
      <c r="I18" s="59">
        <f t="shared" si="1"/>
        <v>58.115200000000002</v>
      </c>
      <c r="J18" s="59">
        <f t="shared" si="2"/>
        <v>181.61</v>
      </c>
      <c r="K18" s="102">
        <f t="shared" si="3"/>
        <v>1734.247752895147</v>
      </c>
      <c r="L18" s="102">
        <f t="shared" si="12"/>
        <v>29170.047203696373</v>
      </c>
      <c r="M18" s="102">
        <f t="shared" si="4"/>
        <v>22129.001326942074</v>
      </c>
      <c r="N18" s="102">
        <f t="shared" si="5"/>
        <v>19111.410236904518</v>
      </c>
      <c r="O18" s="102">
        <f t="shared" si="6"/>
        <v>14082.091753508592</v>
      </c>
      <c r="P18" s="102">
        <f t="shared" si="7"/>
        <v>13076.228056829408</v>
      </c>
      <c r="Q18" s="102">
        <f t="shared" si="8"/>
        <v>11064.500663471037</v>
      </c>
      <c r="R18" s="47">
        <f>N18</f>
        <v>19111.410236904518</v>
      </c>
      <c r="S18" s="59">
        <f>R18*C17/B17</f>
        <v>316.84706445394335</v>
      </c>
      <c r="T18" s="47">
        <v>3</v>
      </c>
      <c r="U18" s="87">
        <f>S18*F24</f>
        <v>2572.7981633660197</v>
      </c>
      <c r="V18" s="87">
        <f t="shared" si="9"/>
        <v>8871.7178047104135</v>
      </c>
      <c r="W18" s="47">
        <f t="shared" si="10"/>
        <v>17914.493750420057</v>
      </c>
      <c r="X18" s="81"/>
      <c r="Y18" s="47"/>
      <c r="Z18" s="47"/>
    </row>
    <row r="19" spans="2:26" ht="15.75" thickBot="1" x14ac:dyDescent="0.3">
      <c r="H19" s="95">
        <f t="shared" si="11"/>
        <v>140</v>
      </c>
      <c r="I19" s="59">
        <f t="shared" si="1"/>
        <v>62.585599999999999</v>
      </c>
      <c r="J19" s="59">
        <f t="shared" si="2"/>
        <v>195.57999999999998</v>
      </c>
      <c r="K19" s="102">
        <f t="shared" si="3"/>
        <v>1867.6514261947734</v>
      </c>
      <c r="L19" s="102">
        <f t="shared" si="12"/>
        <v>31413.896988596091</v>
      </c>
      <c r="M19" s="102">
        <f t="shared" si="4"/>
        <v>23831.232198245307</v>
      </c>
      <c r="N19" s="102">
        <f t="shared" si="5"/>
        <v>20581.518716666404</v>
      </c>
      <c r="O19" s="102">
        <f t="shared" si="6"/>
        <v>15165.329580701558</v>
      </c>
      <c r="P19" s="102">
        <f t="shared" si="7"/>
        <v>14082.091753508592</v>
      </c>
      <c r="Q19" s="102">
        <f t="shared" si="8"/>
        <v>11915.616099122653</v>
      </c>
      <c r="R19" s="47">
        <f>O19</f>
        <v>15165.329580701558</v>
      </c>
      <c r="S19" s="59">
        <f>R19*C13/B13</f>
        <v>351.83564627227616</v>
      </c>
      <c r="T19" s="47">
        <v>4</v>
      </c>
      <c r="U19" s="87">
        <f>S19*F24</f>
        <v>2856.9054477308823</v>
      </c>
      <c r="V19" s="87">
        <f t="shared" si="9"/>
        <v>9851.3980956237319</v>
      </c>
      <c r="W19" s="47">
        <f t="shared" si="10"/>
        <v>20776.572633623258</v>
      </c>
      <c r="X19" s="81"/>
      <c r="Y19" s="47"/>
      <c r="Z19" s="47"/>
    </row>
    <row r="20" spans="2:26" ht="15.75" thickBot="1" x14ac:dyDescent="0.3">
      <c r="B20" s="39" t="s">
        <v>51</v>
      </c>
      <c r="C20" s="40" t="s">
        <v>52</v>
      </c>
      <c r="D20" s="51"/>
      <c r="E20" s="39" t="s">
        <v>53</v>
      </c>
      <c r="F20" s="40" t="s">
        <v>54</v>
      </c>
      <c r="H20" s="95">
        <f t="shared" si="11"/>
        <v>150</v>
      </c>
      <c r="I20" s="59">
        <f t="shared" si="1"/>
        <v>67.055999999999997</v>
      </c>
      <c r="J20" s="59">
        <f t="shared" si="2"/>
        <v>209.54999999999998</v>
      </c>
      <c r="K20" s="102">
        <f t="shared" si="3"/>
        <v>2001.0550994944001</v>
      </c>
      <c r="L20" s="102">
        <f t="shared" si="12"/>
        <v>33657.746773495812</v>
      </c>
      <c r="M20" s="102">
        <f t="shared" si="4"/>
        <v>25533.463069548547</v>
      </c>
      <c r="N20" s="102">
        <f t="shared" si="5"/>
        <v>22051.62719642829</v>
      </c>
      <c r="O20" s="102">
        <f t="shared" si="6"/>
        <v>16248.567407894527</v>
      </c>
      <c r="P20" s="102">
        <f t="shared" si="7"/>
        <v>15087.955450187777</v>
      </c>
      <c r="Q20" s="102">
        <f t="shared" si="8"/>
        <v>12766.731534774273</v>
      </c>
      <c r="R20" s="47">
        <f>O20</f>
        <v>16248.567407894527</v>
      </c>
      <c r="S20" s="59">
        <f>R20*C14/B14</f>
        <v>347.31312834374546</v>
      </c>
      <c r="T20" s="47">
        <v>4</v>
      </c>
      <c r="U20" s="87">
        <f>S20*F24</f>
        <v>2820.1826021512129</v>
      </c>
      <c r="V20" s="87">
        <f t="shared" si="9"/>
        <v>9724.7675936248725</v>
      </c>
      <c r="W20" s="47">
        <f t="shared" si="10"/>
        <v>23850.657360026697</v>
      </c>
      <c r="X20" s="81"/>
      <c r="Y20" s="47"/>
      <c r="Z20" s="47"/>
    </row>
    <row r="21" spans="2:26" x14ac:dyDescent="0.25">
      <c r="B21" s="89">
        <v>1</v>
      </c>
      <c r="C21" s="94">
        <v>2.9</v>
      </c>
      <c r="D21" s="35"/>
      <c r="E21" s="94">
        <v>5.8</v>
      </c>
      <c r="F21" s="52">
        <f>C21*E21</f>
        <v>16.82</v>
      </c>
      <c r="H21" s="95">
        <f t="shared" si="11"/>
        <v>160</v>
      </c>
      <c r="I21" s="59">
        <f t="shared" si="1"/>
        <v>71.526399999999995</v>
      </c>
      <c r="J21" s="59">
        <f t="shared" si="2"/>
        <v>223.51999999999998</v>
      </c>
      <c r="K21" s="102">
        <f t="shared" si="3"/>
        <v>2134.4587727940266</v>
      </c>
      <c r="L21" s="102">
        <f t="shared" si="12"/>
        <v>35901.596558395526</v>
      </c>
      <c r="M21" s="102">
        <f t="shared" si="4"/>
        <v>27235.693940851779</v>
      </c>
      <c r="N21" s="102">
        <f t="shared" si="5"/>
        <v>23521.735676190172</v>
      </c>
      <c r="O21" s="102">
        <f t="shared" si="6"/>
        <v>17331.805235087493</v>
      </c>
      <c r="P21" s="102">
        <f t="shared" si="7"/>
        <v>16093.819146866961</v>
      </c>
      <c r="Q21" s="102">
        <f t="shared" si="8"/>
        <v>13617.84697042589</v>
      </c>
      <c r="R21" s="47">
        <f>O21</f>
        <v>17331.805235087493</v>
      </c>
      <c r="S21" s="59">
        <f>R21*C15/B15</f>
        <v>336.44092515169842</v>
      </c>
      <c r="T21" s="47">
        <v>4</v>
      </c>
      <c r="U21" s="87">
        <f>S21*F24</f>
        <v>2731.9003122317908</v>
      </c>
      <c r="V21" s="87">
        <f t="shared" si="9"/>
        <v>9420.3459042475552</v>
      </c>
      <c r="W21" s="47">
        <f t="shared" si="10"/>
        <v>27136.747929630375</v>
      </c>
      <c r="X21" s="81"/>
      <c r="Y21" s="47"/>
      <c r="Z21" s="47"/>
    </row>
    <row r="22" spans="2:26" x14ac:dyDescent="0.25">
      <c r="B22" s="90">
        <v>2</v>
      </c>
      <c r="C22" s="95">
        <v>2.2000000000000002</v>
      </c>
      <c r="D22" s="35"/>
      <c r="E22" s="95">
        <v>5.8</v>
      </c>
      <c r="F22" s="3">
        <f t="shared" ref="F22:F26" si="14">C22*E22</f>
        <v>12.76</v>
      </c>
      <c r="H22" s="95">
        <f t="shared" si="11"/>
        <v>170</v>
      </c>
      <c r="I22" s="59">
        <f t="shared" si="1"/>
        <v>75.996799999999993</v>
      </c>
      <c r="J22" s="59">
        <f t="shared" si="2"/>
        <v>237.48999999999998</v>
      </c>
      <c r="K22" s="102">
        <f t="shared" si="3"/>
        <v>2267.8624460936535</v>
      </c>
      <c r="L22" s="102">
        <f t="shared" si="12"/>
        <v>38145.446343295254</v>
      </c>
      <c r="M22" s="102">
        <f t="shared" si="4"/>
        <v>28937.924812155019</v>
      </c>
      <c r="N22" s="102">
        <f t="shared" si="5"/>
        <v>24991.844155952062</v>
      </c>
      <c r="O22" s="102">
        <f t="shared" si="6"/>
        <v>18415.043062280463</v>
      </c>
      <c r="P22" s="102">
        <f t="shared" si="7"/>
        <v>17099.682843546147</v>
      </c>
      <c r="Q22" s="102">
        <f t="shared" si="8"/>
        <v>14468.96240607751</v>
      </c>
      <c r="R22" s="47">
        <f>O22</f>
        <v>18415.043062280463</v>
      </c>
      <c r="S22" s="59">
        <f>R22*C16/B16</f>
        <v>322.26325358990812</v>
      </c>
      <c r="T22" s="47">
        <v>4</v>
      </c>
      <c r="U22" s="87">
        <f>S22*F24</f>
        <v>2616.7776191500539</v>
      </c>
      <c r="V22" s="87">
        <f t="shared" si="9"/>
        <v>9023.3711005174282</v>
      </c>
      <c r="W22" s="47">
        <f t="shared" si="10"/>
        <v>30634.844342434295</v>
      </c>
      <c r="X22" s="81"/>
      <c r="Y22" s="47"/>
      <c r="Z22" s="47"/>
    </row>
    <row r="23" spans="2:26" x14ac:dyDescent="0.25">
      <c r="B23" s="90">
        <v>3</v>
      </c>
      <c r="C23" s="95">
        <v>1.9</v>
      </c>
      <c r="D23" s="35"/>
      <c r="E23" s="95">
        <v>5.8</v>
      </c>
      <c r="F23" s="3">
        <f t="shared" si="14"/>
        <v>11.02</v>
      </c>
      <c r="H23" s="95">
        <f t="shared" si="11"/>
        <v>180</v>
      </c>
      <c r="I23" s="59">
        <f t="shared" si="1"/>
        <v>80.467200000000005</v>
      </c>
      <c r="J23" s="59">
        <f t="shared" si="2"/>
        <v>251.46</v>
      </c>
      <c r="K23" s="102">
        <f t="shared" si="3"/>
        <v>2401.2661193932804</v>
      </c>
      <c r="L23" s="102">
        <f t="shared" si="12"/>
        <v>40389.296128194976</v>
      </c>
      <c r="M23" s="102">
        <f t="shared" si="4"/>
        <v>30640.155683458259</v>
      </c>
      <c r="N23" s="102">
        <f t="shared" si="5"/>
        <v>26461.952635713948</v>
      </c>
      <c r="O23" s="102">
        <f t="shared" si="6"/>
        <v>19498.280889473433</v>
      </c>
      <c r="P23" s="102">
        <f t="shared" si="7"/>
        <v>18105.546540225336</v>
      </c>
      <c r="Q23" s="102">
        <f t="shared" si="8"/>
        <v>15320.077841729129</v>
      </c>
      <c r="R23" s="47">
        <f>O23</f>
        <v>19498.280889473433</v>
      </c>
      <c r="S23" s="59">
        <f>R23*C17/B17</f>
        <v>323.26097264127009</v>
      </c>
      <c r="T23" s="47">
        <v>4</v>
      </c>
      <c r="U23" s="87">
        <f>S23*F24</f>
        <v>2624.8790978471129</v>
      </c>
      <c r="V23" s="87">
        <f t="shared" si="9"/>
        <v>9051.307233955562</v>
      </c>
      <c r="W23" s="47">
        <f t="shared" si="10"/>
        <v>34344.946598438451</v>
      </c>
      <c r="X23" s="81"/>
      <c r="Y23" s="47"/>
      <c r="Z23" s="47"/>
    </row>
    <row r="24" spans="2:26" x14ac:dyDescent="0.25">
      <c r="B24" s="90">
        <v>4</v>
      </c>
      <c r="C24" s="95">
        <v>1.4</v>
      </c>
      <c r="D24" s="35"/>
      <c r="E24" s="95">
        <v>5.8</v>
      </c>
      <c r="F24" s="3">
        <f t="shared" si="14"/>
        <v>8.1199999999999992</v>
      </c>
      <c r="H24" s="95">
        <f t="shared" si="11"/>
        <v>190</v>
      </c>
      <c r="I24" s="59">
        <f t="shared" si="1"/>
        <v>84.937600000000003</v>
      </c>
      <c r="J24" s="59">
        <f t="shared" si="2"/>
        <v>265.43</v>
      </c>
      <c r="K24" s="102">
        <f t="shared" si="3"/>
        <v>2534.6697926929069</v>
      </c>
      <c r="L24" s="102">
        <f t="shared" si="12"/>
        <v>42633.145913094697</v>
      </c>
      <c r="M24" s="102">
        <f t="shared" si="4"/>
        <v>32342.386554761491</v>
      </c>
      <c r="N24" s="102">
        <f t="shared" si="5"/>
        <v>27932.061115475834</v>
      </c>
      <c r="O24" s="102">
        <f t="shared" si="6"/>
        <v>20581.5187166664</v>
      </c>
      <c r="P24" s="102">
        <f t="shared" si="7"/>
        <v>19111.410236904518</v>
      </c>
      <c r="Q24" s="102">
        <f t="shared" si="8"/>
        <v>16171.193277380746</v>
      </c>
      <c r="R24" s="47">
        <f>P24</f>
        <v>19111.410236904518</v>
      </c>
      <c r="S24" s="59">
        <f>R24*C17/B17</f>
        <v>316.84706445394335</v>
      </c>
      <c r="T24" s="47">
        <v>5</v>
      </c>
      <c r="U24" s="87">
        <f>S24*F25</f>
        <v>2389.0268659827329</v>
      </c>
      <c r="V24" s="87">
        <f t="shared" si="9"/>
        <v>8238.0236758025276</v>
      </c>
      <c r="W24" s="47">
        <f t="shared" si="10"/>
        <v>38267.054697642845</v>
      </c>
      <c r="X24" s="81"/>
      <c r="Y24" s="47"/>
      <c r="Z24" s="47"/>
    </row>
    <row r="25" spans="2:26" x14ac:dyDescent="0.25">
      <c r="B25" s="90">
        <v>5</v>
      </c>
      <c r="C25" s="95">
        <v>1.3</v>
      </c>
      <c r="D25" s="35"/>
      <c r="E25" s="95">
        <v>5.8</v>
      </c>
      <c r="F25" s="3">
        <f t="shared" si="14"/>
        <v>7.54</v>
      </c>
      <c r="H25" s="95">
        <f t="shared" si="11"/>
        <v>200</v>
      </c>
      <c r="I25" s="59">
        <f t="shared" si="1"/>
        <v>89.408000000000001</v>
      </c>
      <c r="J25" s="59">
        <f t="shared" si="2"/>
        <v>279.39999999999998</v>
      </c>
      <c r="K25" s="102">
        <f t="shared" si="3"/>
        <v>2668.0734659925333</v>
      </c>
      <c r="L25" s="102">
        <f t="shared" si="12"/>
        <v>44876.995697994411</v>
      </c>
      <c r="M25" s="102">
        <f t="shared" si="4"/>
        <v>34044.617426064724</v>
      </c>
      <c r="N25" s="102">
        <f t="shared" si="5"/>
        <v>29402.169595237716</v>
      </c>
      <c r="O25" s="102">
        <f>K25*$F$24</f>
        <v>21664.75654385937</v>
      </c>
      <c r="P25" s="102">
        <f t="shared" si="7"/>
        <v>20117.273933583703</v>
      </c>
      <c r="Q25" s="102">
        <f>K25*$F$26</f>
        <v>17022.308713032362</v>
      </c>
      <c r="R25" s="47">
        <f>Q25</f>
        <v>17022.308713032362</v>
      </c>
      <c r="S25" s="59">
        <f>R25*C15/B15</f>
        <v>330.43305148827528</v>
      </c>
      <c r="T25" s="47">
        <v>6</v>
      </c>
      <c r="U25" s="87">
        <f>S25*F26</f>
        <v>2108.1628684951961</v>
      </c>
      <c r="V25" s="87">
        <f t="shared" si="9"/>
        <v>7269.527132742056</v>
      </c>
      <c r="W25" s="47">
        <f t="shared" si="10"/>
        <v>42401.168640047465</v>
      </c>
      <c r="X25" s="81"/>
      <c r="Y25" s="47"/>
      <c r="Z25" s="47"/>
    </row>
    <row r="26" spans="2:26" ht="15.75" thickBot="1" x14ac:dyDescent="0.3">
      <c r="B26" s="91">
        <v>6</v>
      </c>
      <c r="C26" s="96">
        <v>1.1000000000000001</v>
      </c>
      <c r="D26" s="22"/>
      <c r="E26" s="96">
        <v>5.8</v>
      </c>
      <c r="F26" s="38">
        <f t="shared" si="14"/>
        <v>6.38</v>
      </c>
      <c r="W26" s="47"/>
    </row>
    <row r="27" spans="2:26" ht="15.75" thickBot="1" x14ac:dyDescent="0.3"/>
    <row r="28" spans="2:26" x14ac:dyDescent="0.25">
      <c r="B28" s="119" t="s">
        <v>83</v>
      </c>
      <c r="C28" s="128" t="s">
        <v>109</v>
      </c>
      <c r="D28" s="119" t="s">
        <v>84</v>
      </c>
      <c r="E28" s="122" t="s">
        <v>107</v>
      </c>
      <c r="F28" s="62" t="s">
        <v>85</v>
      </c>
      <c r="G28" s="84"/>
      <c r="H28" s="62" t="s">
        <v>86</v>
      </c>
      <c r="I28" s="62" t="s">
        <v>89</v>
      </c>
      <c r="J28" s="125" t="s">
        <v>90</v>
      </c>
      <c r="K28" s="119" t="s">
        <v>84</v>
      </c>
      <c r="L28" s="63" t="s">
        <v>84</v>
      </c>
      <c r="M28" s="62" t="s">
        <v>94</v>
      </c>
      <c r="N28" s="63" t="s">
        <v>95</v>
      </c>
      <c r="O28" s="119" t="s">
        <v>63</v>
      </c>
      <c r="P28" s="64" t="s">
        <v>96</v>
      </c>
      <c r="Q28" s="65"/>
      <c r="R28" s="62" t="s">
        <v>98</v>
      </c>
      <c r="S28" s="125" t="s">
        <v>100</v>
      </c>
      <c r="T28" s="122" t="s">
        <v>101</v>
      </c>
      <c r="U28" s="125"/>
      <c r="V28" s="131"/>
      <c r="W28" s="63" t="s">
        <v>94</v>
      </c>
      <c r="X28" s="119" t="s">
        <v>106</v>
      </c>
      <c r="Y28" s="119" t="s">
        <v>63</v>
      </c>
    </row>
    <row r="29" spans="2:26" x14ac:dyDescent="0.25">
      <c r="B29" s="120"/>
      <c r="C29" s="129"/>
      <c r="D29" s="120"/>
      <c r="E29" s="123"/>
      <c r="F29" s="66" t="s">
        <v>77</v>
      </c>
      <c r="G29" s="85"/>
      <c r="H29" s="66" t="s">
        <v>87</v>
      </c>
      <c r="I29" s="66" t="s">
        <v>88</v>
      </c>
      <c r="J29" s="126"/>
      <c r="K29" s="120"/>
      <c r="L29" s="67" t="s">
        <v>91</v>
      </c>
      <c r="M29" s="66" t="s">
        <v>92</v>
      </c>
      <c r="N29" s="67" t="s">
        <v>96</v>
      </c>
      <c r="O29" s="120"/>
      <c r="P29" s="68" t="s">
        <v>97</v>
      </c>
      <c r="Q29" s="65"/>
      <c r="R29" s="69" t="s">
        <v>99</v>
      </c>
      <c r="S29" s="126"/>
      <c r="T29" s="70" t="s">
        <v>102</v>
      </c>
      <c r="U29" s="67" t="s">
        <v>103</v>
      </c>
      <c r="V29" s="68" t="s">
        <v>104</v>
      </c>
      <c r="W29" s="67" t="s">
        <v>105</v>
      </c>
      <c r="X29" s="120"/>
      <c r="Y29" s="120"/>
    </row>
    <row r="30" spans="2:26" ht="15.75" thickBot="1" x14ac:dyDescent="0.3">
      <c r="B30" s="121"/>
      <c r="C30" s="130"/>
      <c r="D30" s="121"/>
      <c r="E30" s="124"/>
      <c r="F30" s="71"/>
      <c r="G30" s="86"/>
      <c r="H30" s="71" t="s">
        <v>88</v>
      </c>
      <c r="I30" s="71"/>
      <c r="J30" s="127"/>
      <c r="K30" s="121"/>
      <c r="L30" s="72"/>
      <c r="M30" s="71" t="s">
        <v>93</v>
      </c>
      <c r="N30" s="72"/>
      <c r="O30" s="121"/>
      <c r="P30" s="73"/>
      <c r="Q30" s="65"/>
      <c r="R30" s="71"/>
      <c r="S30" s="127"/>
      <c r="T30" s="74"/>
      <c r="U30" s="72"/>
      <c r="V30" s="73"/>
      <c r="W30" s="72" t="s">
        <v>93</v>
      </c>
      <c r="X30" s="121"/>
      <c r="Y30" s="121"/>
    </row>
    <row r="31" spans="2:26" x14ac:dyDescent="0.25">
      <c r="B31" s="1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8"/>
      <c r="R31" s="16"/>
      <c r="S31" s="17"/>
      <c r="T31" s="17"/>
      <c r="U31" s="17"/>
      <c r="V31" s="17"/>
      <c r="W31" s="41"/>
      <c r="X31" s="17"/>
      <c r="Y31" s="18"/>
    </row>
    <row r="32" spans="2:26" x14ac:dyDescent="0.25">
      <c r="B32" s="82">
        <f t="shared" ref="B32:B52" si="15">$F$7*((1/2)*$F$8*$F$9*(I5*I5))</f>
        <v>0</v>
      </c>
      <c r="C32" s="47"/>
      <c r="D32" s="47">
        <f>C32/$F$15</f>
        <v>0</v>
      </c>
      <c r="E32" s="47">
        <f>C32/10</f>
        <v>0</v>
      </c>
      <c r="F32" s="47">
        <f>Z5+E32</f>
        <v>0</v>
      </c>
      <c r="G32" s="47"/>
      <c r="H32" s="47"/>
      <c r="I32" s="47"/>
      <c r="J32" s="47"/>
      <c r="K32" s="47"/>
      <c r="L32" s="47"/>
      <c r="M32" s="47"/>
      <c r="N32" s="47"/>
      <c r="O32" s="47"/>
      <c r="P32" s="3"/>
      <c r="R32" s="76"/>
      <c r="S32" s="75"/>
      <c r="T32" s="75"/>
      <c r="U32" s="75"/>
      <c r="V32" s="75"/>
      <c r="W32" s="47"/>
      <c r="X32" s="75"/>
      <c r="Y32" s="77"/>
    </row>
    <row r="33" spans="2:25" x14ac:dyDescent="0.25">
      <c r="B33" s="82">
        <f t="shared" si="15"/>
        <v>15.596884419072001</v>
      </c>
      <c r="C33" s="47"/>
      <c r="D33" s="47">
        <f t="shared" ref="D33:D52" si="16">C33/$F$15</f>
        <v>0</v>
      </c>
      <c r="E33" s="47">
        <f t="shared" ref="E33:E52" si="17">C33/10</f>
        <v>0</v>
      </c>
      <c r="F33" s="47">
        <f t="shared" ref="F33:F52" si="18">Z6+E33</f>
        <v>0</v>
      </c>
      <c r="G33" s="47"/>
      <c r="H33" s="47"/>
      <c r="I33" s="47"/>
      <c r="J33" s="47"/>
      <c r="K33" s="47"/>
      <c r="L33" s="47"/>
      <c r="M33" s="47"/>
      <c r="N33" s="47"/>
      <c r="O33" s="47"/>
      <c r="P33" s="3"/>
      <c r="R33" s="76"/>
      <c r="S33" s="75"/>
      <c r="T33" s="75"/>
      <c r="U33" s="75"/>
      <c r="V33" s="75"/>
      <c r="W33" s="47"/>
      <c r="X33" s="75"/>
      <c r="Y33" s="77"/>
    </row>
    <row r="34" spans="2:25" x14ac:dyDescent="0.25">
      <c r="B34" s="82">
        <f t="shared" si="15"/>
        <v>62.387537676288005</v>
      </c>
      <c r="C34" s="47"/>
      <c r="D34" s="47">
        <f t="shared" si="16"/>
        <v>0</v>
      </c>
      <c r="E34" s="47">
        <f t="shared" si="17"/>
        <v>0</v>
      </c>
      <c r="F34" s="47">
        <f t="shared" si="18"/>
        <v>0</v>
      </c>
      <c r="G34" s="47"/>
      <c r="H34" s="47"/>
      <c r="I34" s="47"/>
      <c r="J34" s="47"/>
      <c r="K34" s="47"/>
      <c r="L34" s="47"/>
      <c r="M34" s="47"/>
      <c r="N34" s="47"/>
      <c r="O34" s="47"/>
      <c r="P34" s="3"/>
      <c r="R34" s="76"/>
      <c r="S34" s="75"/>
      <c r="T34" s="75"/>
      <c r="U34" s="75"/>
      <c r="V34" s="75"/>
      <c r="W34" s="47"/>
      <c r="X34" s="75"/>
      <c r="Y34" s="77"/>
    </row>
    <row r="35" spans="2:25" x14ac:dyDescent="0.25">
      <c r="B35" s="82">
        <f t="shared" si="15"/>
        <v>140.37195977164802</v>
      </c>
      <c r="C35" s="47"/>
      <c r="D35" s="47">
        <f t="shared" si="16"/>
        <v>0</v>
      </c>
      <c r="E35" s="47">
        <f t="shared" si="17"/>
        <v>0</v>
      </c>
      <c r="F35" s="47">
        <f t="shared" si="18"/>
        <v>0</v>
      </c>
      <c r="G35" s="47"/>
      <c r="H35" s="47"/>
      <c r="I35" s="47"/>
      <c r="J35" s="47"/>
      <c r="K35" s="47"/>
      <c r="L35" s="47"/>
      <c r="M35" s="47"/>
      <c r="N35" s="47"/>
      <c r="O35" s="47"/>
      <c r="P35" s="3"/>
      <c r="R35" s="76"/>
      <c r="S35" s="75"/>
      <c r="T35" s="75"/>
      <c r="U35" s="75"/>
      <c r="V35" s="75"/>
      <c r="W35" s="47"/>
      <c r="X35" s="75"/>
      <c r="Y35" s="77"/>
    </row>
    <row r="36" spans="2:25" x14ac:dyDescent="0.25">
      <c r="B36" s="82">
        <f t="shared" si="15"/>
        <v>249.55015070515202</v>
      </c>
      <c r="C36" s="47"/>
      <c r="D36" s="47">
        <f t="shared" si="16"/>
        <v>0</v>
      </c>
      <c r="E36" s="47">
        <f t="shared" si="17"/>
        <v>0</v>
      </c>
      <c r="F36" s="47">
        <f t="shared" si="18"/>
        <v>0</v>
      </c>
      <c r="G36" s="47"/>
      <c r="H36" s="47"/>
      <c r="I36" s="47"/>
      <c r="J36" s="47"/>
      <c r="K36" s="47"/>
      <c r="L36" s="47"/>
      <c r="M36" s="47"/>
      <c r="N36" s="47"/>
      <c r="O36" s="47"/>
      <c r="P36" s="3"/>
      <c r="R36" s="76"/>
      <c r="S36" s="75"/>
      <c r="T36" s="75"/>
      <c r="U36" s="75"/>
      <c r="V36" s="75"/>
      <c r="W36" s="47"/>
      <c r="X36" s="75"/>
      <c r="Y36" s="77"/>
    </row>
    <row r="37" spans="2:25" x14ac:dyDescent="0.25">
      <c r="B37" s="82">
        <f t="shared" si="15"/>
        <v>389.92211047680013</v>
      </c>
      <c r="C37" s="47"/>
      <c r="D37" s="47">
        <f t="shared" si="16"/>
        <v>0</v>
      </c>
      <c r="E37" s="47">
        <f t="shared" si="17"/>
        <v>0</v>
      </c>
      <c r="F37" s="47">
        <f t="shared" si="18"/>
        <v>0</v>
      </c>
      <c r="G37" s="47"/>
      <c r="H37" s="47"/>
      <c r="I37" s="47"/>
      <c r="J37" s="47"/>
      <c r="K37" s="47"/>
      <c r="L37" s="47"/>
      <c r="M37" s="47"/>
      <c r="N37" s="47"/>
      <c r="O37" s="47"/>
      <c r="P37" s="3"/>
      <c r="R37" s="76"/>
      <c r="S37" s="75"/>
      <c r="T37" s="75"/>
      <c r="U37" s="75"/>
      <c r="V37" s="75"/>
      <c r="W37" s="47"/>
      <c r="X37" s="75"/>
      <c r="Y37" s="77"/>
    </row>
    <row r="38" spans="2:25" x14ac:dyDescent="0.25">
      <c r="B38" s="82">
        <f t="shared" si="15"/>
        <v>561.48783908659209</v>
      </c>
      <c r="C38" s="47"/>
      <c r="D38" s="47">
        <f t="shared" si="16"/>
        <v>0</v>
      </c>
      <c r="E38" s="47">
        <f t="shared" si="17"/>
        <v>0</v>
      </c>
      <c r="F38" s="47">
        <f t="shared" si="18"/>
        <v>0</v>
      </c>
      <c r="G38" s="47"/>
      <c r="H38" s="47"/>
      <c r="I38" s="47"/>
      <c r="J38" s="47"/>
      <c r="K38" s="47"/>
      <c r="L38" s="47"/>
      <c r="M38" s="47"/>
      <c r="N38" s="47"/>
      <c r="O38" s="47"/>
      <c r="P38" s="3"/>
      <c r="R38" s="76"/>
      <c r="S38" s="75"/>
      <c r="T38" s="75"/>
      <c r="U38" s="75"/>
      <c r="V38" s="75"/>
      <c r="W38" s="47"/>
      <c r="X38" s="75"/>
      <c r="Y38" s="77"/>
    </row>
    <row r="39" spans="2:25" x14ac:dyDescent="0.25">
      <c r="B39" s="82">
        <f t="shared" si="15"/>
        <v>764.24733653452813</v>
      </c>
      <c r="C39" s="47"/>
      <c r="D39" s="47">
        <f t="shared" si="16"/>
        <v>0</v>
      </c>
      <c r="E39" s="47">
        <f t="shared" si="17"/>
        <v>0</v>
      </c>
      <c r="F39" s="47">
        <f t="shared" si="18"/>
        <v>0</v>
      </c>
      <c r="G39" s="47"/>
      <c r="H39" s="47"/>
      <c r="I39" s="47"/>
      <c r="J39" s="47"/>
      <c r="K39" s="47"/>
      <c r="L39" s="47"/>
      <c r="M39" s="47"/>
      <c r="N39" s="47"/>
      <c r="O39" s="47"/>
      <c r="P39" s="3"/>
      <c r="R39" s="76"/>
      <c r="S39" s="75"/>
      <c r="T39" s="75"/>
      <c r="U39" s="75"/>
      <c r="V39" s="75"/>
      <c r="W39" s="47"/>
      <c r="X39" s="75"/>
      <c r="Y39" s="77"/>
    </row>
    <row r="40" spans="2:25" x14ac:dyDescent="0.25">
      <c r="B40" s="82">
        <f t="shared" si="15"/>
        <v>998.20060282060808</v>
      </c>
      <c r="C40" s="47"/>
      <c r="D40" s="47">
        <f t="shared" si="16"/>
        <v>0</v>
      </c>
      <c r="E40" s="47">
        <f t="shared" si="17"/>
        <v>0</v>
      </c>
      <c r="F40" s="47">
        <f t="shared" si="18"/>
        <v>0</v>
      </c>
      <c r="G40" s="47"/>
      <c r="H40" s="47"/>
      <c r="I40" s="47"/>
      <c r="J40" s="47"/>
      <c r="K40" s="47"/>
      <c r="L40" s="47"/>
      <c r="M40" s="47"/>
      <c r="N40" s="47"/>
      <c r="O40" s="47"/>
      <c r="P40" s="3"/>
      <c r="R40" s="76"/>
      <c r="S40" s="75"/>
      <c r="T40" s="75"/>
      <c r="U40" s="75"/>
      <c r="V40" s="75"/>
      <c r="W40" s="47"/>
      <c r="X40" s="75"/>
      <c r="Y40" s="77"/>
    </row>
    <row r="41" spans="2:25" x14ac:dyDescent="0.25">
      <c r="B41" s="82">
        <f t="shared" si="15"/>
        <v>1263.3476379448325</v>
      </c>
      <c r="C41" s="47"/>
      <c r="D41" s="47">
        <f t="shared" si="16"/>
        <v>0</v>
      </c>
      <c r="E41" s="47">
        <f t="shared" si="17"/>
        <v>0</v>
      </c>
      <c r="F41" s="47">
        <f t="shared" si="18"/>
        <v>0</v>
      </c>
      <c r="G41" s="47"/>
      <c r="H41" s="47"/>
      <c r="I41" s="47"/>
      <c r="J41" s="47"/>
      <c r="K41" s="47"/>
      <c r="L41" s="47"/>
      <c r="M41" s="47"/>
      <c r="N41" s="47"/>
      <c r="O41" s="47"/>
      <c r="P41" s="3"/>
      <c r="R41" s="76"/>
      <c r="S41" s="75"/>
      <c r="T41" s="75"/>
      <c r="U41" s="75"/>
      <c r="V41" s="75"/>
      <c r="W41" s="47"/>
      <c r="X41" s="75"/>
      <c r="Y41" s="77"/>
    </row>
    <row r="42" spans="2:25" x14ac:dyDescent="0.25">
      <c r="B42" s="82">
        <f t="shared" si="15"/>
        <v>1559.6884419072005</v>
      </c>
      <c r="C42" s="47"/>
      <c r="D42" s="47">
        <f t="shared" si="16"/>
        <v>0</v>
      </c>
      <c r="E42" s="47">
        <f t="shared" si="17"/>
        <v>0</v>
      </c>
      <c r="F42" s="47">
        <f t="shared" si="18"/>
        <v>0</v>
      </c>
      <c r="G42" s="47"/>
      <c r="H42" s="47"/>
      <c r="I42" s="47"/>
      <c r="J42" s="47"/>
      <c r="K42" s="47"/>
      <c r="L42" s="47"/>
      <c r="M42" s="47"/>
      <c r="N42" s="47"/>
      <c r="O42" s="47"/>
      <c r="P42" s="3"/>
      <c r="R42" s="76"/>
      <c r="S42" s="75"/>
      <c r="T42" s="75"/>
      <c r="U42" s="75"/>
      <c r="V42" s="75"/>
      <c r="W42" s="47"/>
      <c r="X42" s="75"/>
      <c r="Y42" s="77"/>
    </row>
    <row r="43" spans="2:25" x14ac:dyDescent="0.25">
      <c r="B43" s="82">
        <f t="shared" si="15"/>
        <v>1887.2230147077123</v>
      </c>
      <c r="C43" s="47"/>
      <c r="D43" s="47">
        <f t="shared" si="16"/>
        <v>0</v>
      </c>
      <c r="E43" s="47">
        <f t="shared" si="17"/>
        <v>0</v>
      </c>
      <c r="F43" s="47">
        <f t="shared" si="18"/>
        <v>0</v>
      </c>
      <c r="G43" s="47"/>
      <c r="H43" s="47"/>
      <c r="I43" s="47"/>
      <c r="J43" s="47"/>
      <c r="K43" s="47"/>
      <c r="L43" s="47"/>
      <c r="M43" s="47"/>
      <c r="N43" s="47"/>
      <c r="O43" s="47"/>
      <c r="P43" s="3"/>
      <c r="R43" s="76"/>
      <c r="S43" s="75"/>
      <c r="T43" s="75"/>
      <c r="U43" s="75"/>
      <c r="V43" s="75"/>
      <c r="W43" s="47"/>
      <c r="X43" s="75"/>
      <c r="Y43" s="77"/>
    </row>
    <row r="44" spans="2:25" x14ac:dyDescent="0.25">
      <c r="B44" s="82">
        <f t="shared" si="15"/>
        <v>2245.9513563463684</v>
      </c>
      <c r="C44" s="47"/>
      <c r="D44" s="47">
        <f t="shared" si="16"/>
        <v>0</v>
      </c>
      <c r="E44" s="47">
        <f t="shared" si="17"/>
        <v>0</v>
      </c>
      <c r="F44" s="47">
        <f t="shared" si="18"/>
        <v>0</v>
      </c>
      <c r="G44" s="47"/>
      <c r="H44" s="47"/>
      <c r="I44" s="47"/>
      <c r="J44" s="47"/>
      <c r="K44" s="47"/>
      <c r="L44" s="47"/>
      <c r="M44" s="47"/>
      <c r="N44" s="47"/>
      <c r="O44" s="47"/>
      <c r="P44" s="3"/>
      <c r="R44" s="76"/>
      <c r="S44" s="75"/>
      <c r="T44" s="75"/>
      <c r="U44" s="75"/>
      <c r="V44" s="75"/>
      <c r="W44" s="47"/>
      <c r="X44" s="75"/>
      <c r="Y44" s="77"/>
    </row>
    <row r="45" spans="2:25" x14ac:dyDescent="0.25">
      <c r="B45" s="82">
        <f t="shared" si="15"/>
        <v>2635.8734668231691</v>
      </c>
      <c r="C45" s="47"/>
      <c r="D45" s="47">
        <f t="shared" si="16"/>
        <v>0</v>
      </c>
      <c r="E45" s="47">
        <f t="shared" si="17"/>
        <v>0</v>
      </c>
      <c r="F45" s="47">
        <f t="shared" si="18"/>
        <v>0</v>
      </c>
      <c r="G45" s="47"/>
      <c r="H45" s="47"/>
      <c r="I45" s="47"/>
      <c r="J45" s="47"/>
      <c r="K45" s="47"/>
      <c r="L45" s="47"/>
      <c r="M45" s="47"/>
      <c r="N45" s="47"/>
      <c r="O45" s="47"/>
      <c r="P45" s="3"/>
      <c r="R45" s="76"/>
      <c r="S45" s="75"/>
      <c r="T45" s="75"/>
      <c r="U45" s="75"/>
      <c r="V45" s="75"/>
      <c r="W45" s="47"/>
      <c r="X45" s="75"/>
      <c r="Y45" s="77"/>
    </row>
    <row r="46" spans="2:25" x14ac:dyDescent="0.25">
      <c r="B46" s="82">
        <f t="shared" si="15"/>
        <v>3056.9893461381125</v>
      </c>
      <c r="C46" s="47"/>
      <c r="D46" s="47">
        <f t="shared" si="16"/>
        <v>0</v>
      </c>
      <c r="E46" s="47">
        <f t="shared" si="17"/>
        <v>0</v>
      </c>
      <c r="F46" s="47">
        <f t="shared" si="18"/>
        <v>0</v>
      </c>
      <c r="G46" s="47"/>
      <c r="H46" s="47"/>
      <c r="I46" s="47"/>
      <c r="J46" s="47"/>
      <c r="K46" s="47"/>
      <c r="L46" s="47"/>
      <c r="M46" s="47"/>
      <c r="N46" s="47"/>
      <c r="O46" s="47"/>
      <c r="P46" s="3"/>
      <c r="R46" s="76"/>
      <c r="S46" s="75"/>
      <c r="T46" s="75"/>
      <c r="U46" s="75"/>
      <c r="V46" s="75"/>
      <c r="W46" s="47"/>
      <c r="X46" s="75"/>
      <c r="Y46" s="77"/>
    </row>
    <row r="47" spans="2:25" x14ac:dyDescent="0.25">
      <c r="B47" s="82">
        <f t="shared" si="15"/>
        <v>3509.2989942912004</v>
      </c>
      <c r="C47" s="47"/>
      <c r="D47" s="47">
        <f t="shared" si="16"/>
        <v>0</v>
      </c>
      <c r="E47" s="47">
        <f t="shared" si="17"/>
        <v>0</v>
      </c>
      <c r="F47" s="47">
        <f t="shared" si="18"/>
        <v>0</v>
      </c>
      <c r="G47" s="47"/>
      <c r="H47" s="47"/>
      <c r="I47" s="47"/>
      <c r="J47" s="47"/>
      <c r="K47" s="47"/>
      <c r="L47" s="47"/>
      <c r="M47" s="47"/>
      <c r="N47" s="47"/>
      <c r="O47" s="47"/>
      <c r="P47" s="3"/>
      <c r="R47" s="76"/>
      <c r="S47" s="75"/>
      <c r="T47" s="75"/>
      <c r="U47" s="75"/>
      <c r="V47" s="75"/>
      <c r="W47" s="47"/>
      <c r="X47" s="75"/>
      <c r="Y47" s="77"/>
    </row>
    <row r="48" spans="2:25" x14ac:dyDescent="0.25">
      <c r="B48" s="82">
        <f t="shared" si="15"/>
        <v>3992.8024112824323</v>
      </c>
      <c r="C48" s="47"/>
      <c r="D48" s="47">
        <f t="shared" si="16"/>
        <v>0</v>
      </c>
      <c r="E48" s="47">
        <f t="shared" si="17"/>
        <v>0</v>
      </c>
      <c r="F48" s="47">
        <f t="shared" si="18"/>
        <v>0</v>
      </c>
      <c r="G48" s="47"/>
      <c r="H48" s="47"/>
      <c r="I48" s="47"/>
      <c r="J48" s="47"/>
      <c r="K48" s="47"/>
      <c r="L48" s="47"/>
      <c r="M48" s="47"/>
      <c r="N48" s="47"/>
      <c r="O48" s="47"/>
      <c r="P48" s="3"/>
      <c r="R48" s="76"/>
      <c r="S48" s="75"/>
      <c r="T48" s="75"/>
      <c r="U48" s="75"/>
      <c r="V48" s="75"/>
      <c r="W48" s="47"/>
      <c r="X48" s="75"/>
      <c r="Y48" s="77"/>
    </row>
    <row r="49" spans="2:25" x14ac:dyDescent="0.25">
      <c r="B49" s="82">
        <f t="shared" si="15"/>
        <v>4507.4995971118087</v>
      </c>
      <c r="C49" s="47"/>
      <c r="D49" s="47">
        <f t="shared" si="16"/>
        <v>0</v>
      </c>
      <c r="E49" s="47">
        <f t="shared" si="17"/>
        <v>0</v>
      </c>
      <c r="F49" s="47">
        <f t="shared" si="18"/>
        <v>0</v>
      </c>
      <c r="G49" s="47"/>
      <c r="H49" s="47"/>
      <c r="I49" s="47"/>
      <c r="J49" s="47"/>
      <c r="K49" s="47"/>
      <c r="L49" s="47"/>
      <c r="M49" s="47"/>
      <c r="N49" s="47"/>
      <c r="O49" s="47"/>
      <c r="P49" s="3"/>
      <c r="R49" s="76"/>
      <c r="S49" s="75"/>
      <c r="T49" s="75"/>
      <c r="U49" s="75"/>
      <c r="V49" s="75"/>
      <c r="W49" s="47"/>
      <c r="X49" s="75"/>
      <c r="Y49" s="77"/>
    </row>
    <row r="50" spans="2:25" x14ac:dyDescent="0.25">
      <c r="B50" s="82">
        <f t="shared" si="15"/>
        <v>5053.3905517793301</v>
      </c>
      <c r="C50" s="47"/>
      <c r="D50" s="47">
        <f t="shared" si="16"/>
        <v>0</v>
      </c>
      <c r="E50" s="47">
        <f t="shared" si="17"/>
        <v>0</v>
      </c>
      <c r="F50" s="47">
        <f t="shared" si="18"/>
        <v>0</v>
      </c>
      <c r="G50" s="47"/>
      <c r="H50" s="47"/>
      <c r="I50" s="47"/>
      <c r="J50" s="47"/>
      <c r="K50" s="47"/>
      <c r="L50" s="47"/>
      <c r="M50" s="47"/>
      <c r="N50" s="47"/>
      <c r="O50" s="47"/>
      <c r="P50" s="3"/>
      <c r="R50" s="76"/>
      <c r="S50" s="75"/>
      <c r="T50" s="75"/>
      <c r="U50" s="75"/>
      <c r="V50" s="75"/>
      <c r="W50" s="47"/>
      <c r="X50" s="75"/>
      <c r="Y50" s="77"/>
    </row>
    <row r="51" spans="2:25" x14ac:dyDescent="0.25">
      <c r="B51" s="82">
        <f t="shared" si="15"/>
        <v>5630.4752752849945</v>
      </c>
      <c r="C51" s="47"/>
      <c r="D51" s="47">
        <f t="shared" si="16"/>
        <v>0</v>
      </c>
      <c r="E51" s="47">
        <f t="shared" si="17"/>
        <v>0</v>
      </c>
      <c r="F51" s="47">
        <f t="shared" si="18"/>
        <v>0</v>
      </c>
      <c r="G51" s="47"/>
      <c r="H51" s="47"/>
      <c r="I51" s="47"/>
      <c r="J51" s="47"/>
      <c r="K51" s="47"/>
      <c r="L51" s="47"/>
      <c r="M51" s="47"/>
      <c r="N51" s="47"/>
      <c r="O51" s="47"/>
      <c r="P51" s="3"/>
      <c r="R51" s="76"/>
      <c r="S51" s="75"/>
      <c r="T51" s="75"/>
      <c r="U51" s="75"/>
      <c r="V51" s="75"/>
      <c r="W51" s="47"/>
      <c r="X51" s="75"/>
      <c r="Y51" s="77"/>
    </row>
    <row r="52" spans="2:25" ht="15.75" thickBot="1" x14ac:dyDescent="0.3">
      <c r="B52" s="83">
        <f t="shared" si="15"/>
        <v>6238.7537676288021</v>
      </c>
      <c r="C52" s="47"/>
      <c r="D52" s="47">
        <f t="shared" si="16"/>
        <v>0</v>
      </c>
      <c r="E52" s="47">
        <f t="shared" si="17"/>
        <v>0</v>
      </c>
      <c r="F52" s="47">
        <f t="shared" si="18"/>
        <v>0</v>
      </c>
      <c r="G52" s="43"/>
      <c r="H52" s="43"/>
      <c r="I52" s="43"/>
      <c r="J52" s="43"/>
      <c r="K52" s="43"/>
      <c r="L52" s="43"/>
      <c r="M52" s="43"/>
      <c r="N52" s="43"/>
      <c r="O52" s="43"/>
      <c r="P52" s="44"/>
      <c r="R52" s="78"/>
      <c r="S52" s="79"/>
      <c r="T52" s="79"/>
      <c r="U52" s="79"/>
      <c r="V52" s="79"/>
      <c r="W52" s="43"/>
      <c r="X52" s="79"/>
      <c r="Y52" s="80"/>
    </row>
  </sheetData>
  <mergeCells count="12">
    <mergeCell ref="X28:X30"/>
    <mergeCell ref="Y28:Y30"/>
    <mergeCell ref="D28:D30"/>
    <mergeCell ref="C28:C30"/>
    <mergeCell ref="H2:Q2"/>
    <mergeCell ref="T28:V28"/>
    <mergeCell ref="S28:S30"/>
    <mergeCell ref="B28:B30"/>
    <mergeCell ref="E28:E30"/>
    <mergeCell ref="J28:J30"/>
    <mergeCell ref="K28:K30"/>
    <mergeCell ref="O28:O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Wheel loads</vt:lpstr>
      <vt:lpstr>Straight line accel</vt:lpstr>
    </vt:vector>
  </TitlesOfParts>
  <Company>Oxford Brookes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OBIS</dc:creator>
  <cp:lastModifiedBy>gmb</cp:lastModifiedBy>
  <dcterms:created xsi:type="dcterms:W3CDTF">2017-10-07T14:33:21Z</dcterms:created>
  <dcterms:modified xsi:type="dcterms:W3CDTF">2017-10-17T08:10:08Z</dcterms:modified>
</cp:coreProperties>
</file>