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05" windowHeight="10065" tabRatio="500"/>
    <workbookView xWindow="0" yWindow="0" windowWidth="23640" windowHeight="10065" activeTab="1"/>
  </bookViews>
  <sheets>
    <sheet name="Modèle" sheetId="1" r:id="rId1"/>
    <sheet name="RECAP BILAN" sheetId="9" r:id="rId2"/>
    <sheet name="Evap profroid" sheetId="2" state="hidden" r:id="rId3"/>
    <sheet name="RECAP CO2" sheetId="4" state="hidden" r:id="rId4"/>
    <sheet name="Feuil3" sheetId="8" state="hidden" r:id="rId5"/>
    <sheet name="RECAP HFC" sheetId="5" state="hidden" r:id="rId6"/>
    <sheet name="OPTION" sheetId="7" state="hidden" r:id="rId7"/>
  </sheets>
  <externalReferences>
    <externalReference r:id="rId8"/>
  </externalReferences>
  <definedNames>
    <definedName name="_xlfn_SUMIFS">NA()</definedName>
    <definedName name="Dégivrage" localSheetId="1">[1]Modèle!$GV$1:$GV$2</definedName>
    <definedName name="Dégivrage">Modèle!#REF!</definedName>
    <definedName name="DIOX" localSheetId="1">#REF!</definedName>
    <definedName name="DIOX">#REF!</definedName>
    <definedName name="DT" localSheetId="1">[1]Modèle!$GW$1:$GW$5</definedName>
    <definedName name="DT">Modèle!#REF!</definedName>
    <definedName name="Excel_BuiltIn__FilterDatabase" localSheetId="0">Modèle!$E$29:$I$37</definedName>
    <definedName name="Excel_BuiltIn_Print_Area_2">"$#REF !.$A$1:$M$88"</definedName>
    <definedName name="Excel_BuiltIn_Print_Area_3">"$#REF !.$A$1:$M$87"</definedName>
    <definedName name="Excel_BuiltIn_Print_Area_4">"$#REF !.$A$1:$M$87"</definedName>
    <definedName name="Excel_BuiltIn_Print_Area_5">"$#REF !.$A$1:$M$87"</definedName>
    <definedName name="Excel_BuiltIn_Print_Area_6">"$#REF !.$A$1:$M$87"</definedName>
    <definedName name="Fluide" localSheetId="1">[1]Modèle!$GR$1:$GR$2</definedName>
    <definedName name="Fluide">Modèle!#REF!</definedName>
    <definedName name="Gamme" localSheetId="1">[1]Modèle!$GS$1:$GS$2</definedName>
    <definedName name="Gamme">Modèle!#REF!</definedName>
    <definedName name="HFC" localSheetId="1">#REF!</definedName>
    <definedName name="HFC">#REF!</definedName>
    <definedName name="negatif" localSheetId="1">#REF!</definedName>
    <definedName name="negatif">#REF!</definedName>
    <definedName name="Négatif">Modèle!#REF!</definedName>
    <definedName name="pos" localSheetId="1">#REF!</definedName>
    <definedName name="pos">#REF!</definedName>
    <definedName name="Positif">Modèle!#REF!</definedName>
    <definedName name="test" localSheetId="1">#REF!</definedName>
    <definedName name="test">#REF!</definedName>
    <definedName name="_xlnm.Print_Area" localSheetId="0">Modèle!$A$1:$N$99</definedName>
  </definedNames>
  <calcPr calcId="152511" iterateCount="1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K2" i="8" l="1"/>
  <c r="L2" i="8"/>
  <c r="K5" i="8"/>
  <c r="L5" i="8"/>
  <c r="K3" i="8"/>
  <c r="L3" i="8"/>
  <c r="K4" i="8"/>
  <c r="L4" i="8"/>
  <c r="L1" i="8"/>
  <c r="K6" i="8"/>
  <c r="L6" i="8"/>
  <c r="J17" i="1"/>
  <c r="K17" i="1"/>
  <c r="F12" i="1"/>
  <c r="E17" i="1"/>
  <c r="L17" i="1"/>
  <c r="J18" i="1"/>
  <c r="K18" i="1"/>
  <c r="E18" i="1"/>
  <c r="L18" i="1"/>
  <c r="J19" i="1"/>
  <c r="K19" i="1"/>
  <c r="E19" i="1"/>
  <c r="L19" i="1"/>
  <c r="J20" i="1"/>
  <c r="K20" i="1"/>
  <c r="E20" i="1"/>
  <c r="L20" i="1"/>
  <c r="E24" i="1"/>
  <c r="E9" i="1"/>
  <c r="E21" i="1"/>
  <c r="E25" i="1"/>
  <c r="E22" i="1"/>
  <c r="E26" i="1"/>
  <c r="I25" i="1"/>
  <c r="G9" i="1"/>
  <c r="G29" i="1"/>
  <c r="E29" i="1"/>
  <c r="E34" i="1"/>
  <c r="H34" i="1"/>
  <c r="E39" i="1"/>
  <c r="H36" i="1"/>
  <c r="H37" i="1"/>
  <c r="E41" i="1"/>
  <c r="E37" i="1"/>
  <c r="E42" i="1"/>
  <c r="E35" i="1"/>
  <c r="E40" i="1"/>
  <c r="I41" i="1"/>
  <c r="G45" i="1"/>
  <c r="E45" i="1"/>
  <c r="K45" i="1"/>
  <c r="H47" i="1"/>
  <c r="E50" i="1"/>
  <c r="I49" i="1"/>
  <c r="F54" i="1"/>
  <c r="E56" i="1"/>
  <c r="I55" i="1"/>
  <c r="F66" i="1"/>
  <c r="D66" i="1"/>
  <c r="J14" i="1"/>
  <c r="J12" i="1"/>
  <c r="J13" i="1"/>
  <c r="K14" i="1"/>
  <c r="K12" i="1"/>
  <c r="K11" i="1"/>
  <c r="J11" i="1"/>
  <c r="E69" i="1"/>
  <c r="I68" i="1"/>
  <c r="E63" i="1"/>
  <c r="I62" i="1"/>
  <c r="E76" i="1"/>
  <c r="I75" i="1"/>
  <c r="E81" i="1"/>
  <c r="I80" i="1"/>
  <c r="D85" i="1"/>
  <c r="D90" i="1"/>
  <c r="F90" i="1"/>
  <c r="K1" i="8"/>
  <c r="H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S2" i="8"/>
  <c r="S3" i="8"/>
  <c r="W5" i="8"/>
  <c r="K11" i="8"/>
  <c r="C3" i="8"/>
  <c r="C4" i="8"/>
  <c r="C5" i="8"/>
  <c r="C6" i="8"/>
  <c r="C7" i="8"/>
  <c r="C9" i="8"/>
  <c r="C10" i="8"/>
  <c r="C11" i="8"/>
  <c r="C12" i="8"/>
  <c r="C13" i="8"/>
  <c r="C15" i="8"/>
  <c r="C16" i="8"/>
  <c r="C17" i="8"/>
  <c r="C18" i="8"/>
  <c r="C19" i="8"/>
  <c r="C21" i="8"/>
  <c r="C22" i="8"/>
  <c r="C23" i="8"/>
  <c r="C24" i="8"/>
  <c r="C25" i="8"/>
  <c r="C27" i="8"/>
  <c r="C28" i="8"/>
  <c r="C29" i="8"/>
  <c r="C30" i="8"/>
  <c r="C31" i="8"/>
  <c r="C34" i="8"/>
  <c r="C35" i="8"/>
  <c r="C36" i="8"/>
  <c r="C37" i="8"/>
  <c r="C38" i="8"/>
  <c r="C41" i="8"/>
  <c r="C42" i="8"/>
  <c r="C43" i="8"/>
  <c r="C44" i="8"/>
  <c r="C45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5" i="8"/>
  <c r="C66" i="8"/>
  <c r="C67" i="8"/>
  <c r="C68" i="8"/>
  <c r="C69" i="8"/>
  <c r="C71" i="8"/>
  <c r="C72" i="8"/>
  <c r="C73" i="8"/>
  <c r="C74" i="8"/>
  <c r="C75" i="8"/>
  <c r="C77" i="8"/>
  <c r="C78" i="8"/>
  <c r="C79" i="8"/>
  <c r="C80" i="8"/>
  <c r="C81" i="8"/>
  <c r="C83" i="8"/>
  <c r="C84" i="8"/>
  <c r="C85" i="8"/>
  <c r="C86" i="8"/>
  <c r="C8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C100" i="1"/>
  <c r="L10" i="8"/>
  <c r="L9" i="8"/>
  <c r="L8" i="8"/>
  <c r="F129" i="8"/>
  <c r="E129" i="8"/>
  <c r="C129" i="8"/>
  <c r="B129" i="8"/>
  <c r="F128" i="8"/>
  <c r="E128" i="8"/>
  <c r="C128" i="8"/>
  <c r="B128" i="8"/>
  <c r="F127" i="8"/>
  <c r="E127" i="8"/>
  <c r="C127" i="8"/>
  <c r="B127" i="8"/>
  <c r="F126" i="8"/>
  <c r="E126" i="8"/>
  <c r="C126" i="8"/>
  <c r="B126" i="8"/>
  <c r="F125" i="8"/>
  <c r="E125" i="8"/>
  <c r="C125" i="8"/>
  <c r="B125" i="8"/>
  <c r="F124" i="8"/>
  <c r="E124" i="8"/>
  <c r="C124" i="8"/>
  <c r="B124" i="8"/>
  <c r="F123" i="8"/>
  <c r="E123" i="8"/>
  <c r="C123" i="8"/>
  <c r="B123" i="8"/>
  <c r="F122" i="8"/>
  <c r="E122" i="8"/>
  <c r="C122" i="8"/>
  <c r="B122" i="8"/>
  <c r="F121" i="8"/>
  <c r="E121" i="8"/>
  <c r="C121" i="8"/>
  <c r="B121" i="8"/>
  <c r="F120" i="8"/>
  <c r="E120" i="8"/>
  <c r="C120" i="8"/>
  <c r="B120" i="8"/>
  <c r="F119" i="8"/>
  <c r="E119" i="8"/>
  <c r="C119" i="8"/>
  <c r="B119" i="8"/>
  <c r="F118" i="8"/>
  <c r="E118" i="8"/>
  <c r="C118" i="8"/>
  <c r="B118" i="8"/>
  <c r="F117" i="8"/>
  <c r="E117" i="8"/>
  <c r="C117" i="8"/>
  <c r="B117" i="8"/>
  <c r="F116" i="8"/>
  <c r="E116" i="8"/>
  <c r="C116" i="8"/>
  <c r="B116" i="8"/>
  <c r="F115" i="8"/>
  <c r="E115" i="8"/>
  <c r="C115" i="8"/>
  <c r="B115" i="8"/>
  <c r="F114" i="8"/>
  <c r="E114" i="8"/>
  <c r="C114" i="8"/>
  <c r="B114" i="8"/>
  <c r="F112" i="8"/>
  <c r="E112" i="8"/>
  <c r="C112" i="8"/>
  <c r="B112" i="8"/>
  <c r="F111" i="8"/>
  <c r="E111" i="8"/>
  <c r="C111" i="8"/>
  <c r="B111" i="8"/>
  <c r="F110" i="8"/>
  <c r="E110" i="8"/>
  <c r="C110" i="8"/>
  <c r="B110" i="8"/>
  <c r="F109" i="8"/>
  <c r="E109" i="8"/>
  <c r="C109" i="8"/>
  <c r="B109" i="8"/>
  <c r="F108" i="8"/>
  <c r="E108" i="8"/>
  <c r="C108" i="8"/>
  <c r="B108" i="8"/>
  <c r="F107" i="8"/>
  <c r="E107" i="8"/>
  <c r="C107" i="8"/>
  <c r="B107" i="8"/>
  <c r="F106" i="8"/>
  <c r="E106" i="8"/>
  <c r="C106" i="8"/>
  <c r="B106" i="8"/>
  <c r="F105" i="8"/>
  <c r="E105" i="8"/>
  <c r="C105" i="8"/>
  <c r="B105" i="8"/>
  <c r="F104" i="8"/>
  <c r="E104" i="8"/>
  <c r="C104" i="8"/>
  <c r="B104" i="8"/>
  <c r="F103" i="8"/>
  <c r="E103" i="8"/>
  <c r="C103" i="8"/>
  <c r="B103" i="8"/>
  <c r="F102" i="8"/>
  <c r="E102" i="8"/>
  <c r="C102" i="8"/>
  <c r="B102" i="8"/>
  <c r="F101" i="8"/>
  <c r="E101" i="8"/>
  <c r="C101" i="8"/>
  <c r="B101" i="8"/>
  <c r="F100" i="8"/>
  <c r="E100" i="8"/>
  <c r="C100" i="8"/>
  <c r="B100" i="8"/>
  <c r="F99" i="8"/>
  <c r="E99" i="8"/>
  <c r="C99" i="8"/>
  <c r="B99" i="8"/>
  <c r="F98" i="8"/>
  <c r="E98" i="8"/>
  <c r="C98" i="8"/>
  <c r="B98" i="8"/>
  <c r="F97" i="8"/>
  <c r="E97" i="8"/>
  <c r="C97" i="8"/>
  <c r="B97" i="8"/>
  <c r="F96" i="8"/>
  <c r="E96" i="8"/>
  <c r="C96" i="8"/>
  <c r="B96" i="8"/>
  <c r="F94" i="8"/>
  <c r="E94" i="8"/>
  <c r="C94" i="8"/>
  <c r="B94" i="8"/>
  <c r="F93" i="8"/>
  <c r="E93" i="8"/>
  <c r="C93" i="8"/>
  <c r="B93" i="8"/>
  <c r="F92" i="8"/>
  <c r="E92" i="8"/>
  <c r="C92" i="8"/>
  <c r="B92" i="8"/>
  <c r="F91" i="8"/>
  <c r="E91" i="8"/>
  <c r="C91" i="8"/>
  <c r="B91" i="8"/>
  <c r="F90" i="8"/>
  <c r="E90" i="8"/>
  <c r="C90" i="8"/>
  <c r="B90" i="8"/>
  <c r="F89" i="8"/>
  <c r="E89" i="8"/>
  <c r="C89" i="8"/>
  <c r="B89" i="8"/>
  <c r="F87" i="8"/>
  <c r="E87" i="8"/>
  <c r="B87" i="8"/>
  <c r="F86" i="8"/>
  <c r="E86" i="8"/>
  <c r="B86" i="8"/>
  <c r="F85" i="8"/>
  <c r="E85" i="8"/>
  <c r="B85" i="8"/>
  <c r="F84" i="8"/>
  <c r="E84" i="8"/>
  <c r="B84" i="8"/>
  <c r="F83" i="8"/>
  <c r="E83" i="8"/>
  <c r="B83" i="8"/>
  <c r="F81" i="8"/>
  <c r="E81" i="8"/>
  <c r="B81" i="8"/>
  <c r="F80" i="8"/>
  <c r="E80" i="8"/>
  <c r="B80" i="8"/>
  <c r="F79" i="8"/>
  <c r="E79" i="8"/>
  <c r="B79" i="8"/>
  <c r="F78" i="8"/>
  <c r="E78" i="8"/>
  <c r="B78" i="8"/>
  <c r="F77" i="8"/>
  <c r="E77" i="8"/>
  <c r="B77" i="8"/>
  <c r="F75" i="8"/>
  <c r="E75" i="8"/>
  <c r="B75" i="8"/>
  <c r="F74" i="8"/>
  <c r="E74" i="8"/>
  <c r="B74" i="8"/>
  <c r="F73" i="8"/>
  <c r="E73" i="8"/>
  <c r="B73" i="8"/>
  <c r="F72" i="8"/>
  <c r="E72" i="8"/>
  <c r="B72" i="8"/>
  <c r="F71" i="8"/>
  <c r="E71" i="8"/>
  <c r="B71" i="8"/>
  <c r="F69" i="8"/>
  <c r="E69" i="8"/>
  <c r="B69" i="8"/>
  <c r="F68" i="8"/>
  <c r="E68" i="8"/>
  <c r="B68" i="8"/>
  <c r="F67" i="8"/>
  <c r="E67" i="8"/>
  <c r="B67" i="8"/>
  <c r="F66" i="8"/>
  <c r="E66" i="8"/>
  <c r="B66" i="8"/>
  <c r="F65" i="8"/>
  <c r="E65" i="8"/>
  <c r="B65" i="8"/>
  <c r="F63" i="8"/>
  <c r="E63" i="8"/>
  <c r="B63" i="8"/>
  <c r="F62" i="8"/>
  <c r="E62" i="8"/>
  <c r="B62" i="8"/>
  <c r="F61" i="8"/>
  <c r="E61" i="8"/>
  <c r="B61" i="8"/>
  <c r="F60" i="8"/>
  <c r="E60" i="8"/>
  <c r="B60" i="8"/>
  <c r="F59" i="8"/>
  <c r="E59" i="8"/>
  <c r="B59" i="8"/>
  <c r="F58" i="8"/>
  <c r="E58" i="8"/>
  <c r="B58" i="8"/>
  <c r="F57" i="8"/>
  <c r="E57" i="8"/>
  <c r="B57" i="8"/>
  <c r="F56" i="8"/>
  <c r="E56" i="8"/>
  <c r="B56" i="8"/>
  <c r="F55" i="8"/>
  <c r="E55" i="8"/>
  <c r="B55" i="8"/>
  <c r="F54" i="8"/>
  <c r="E54" i="8"/>
  <c r="B54" i="8"/>
  <c r="F53" i="8"/>
  <c r="E53" i="8"/>
  <c r="B53" i="8"/>
  <c r="F52" i="8"/>
  <c r="E52" i="8"/>
  <c r="B52" i="8"/>
  <c r="F51" i="8"/>
  <c r="E51" i="8"/>
  <c r="B51" i="8"/>
  <c r="F50" i="8"/>
  <c r="E50" i="8"/>
  <c r="B50" i="8"/>
  <c r="F49" i="8"/>
  <c r="E49" i="8"/>
  <c r="B49" i="8"/>
  <c r="F48" i="8"/>
  <c r="E48" i="8"/>
  <c r="B48" i="8"/>
  <c r="F47" i="8"/>
  <c r="E47" i="8"/>
  <c r="C47" i="8"/>
  <c r="B47" i="8"/>
  <c r="F45" i="8"/>
  <c r="E45" i="8"/>
  <c r="B45" i="8"/>
  <c r="F44" i="8"/>
  <c r="E44" i="8"/>
  <c r="B44" i="8"/>
  <c r="F43" i="8"/>
  <c r="E43" i="8"/>
  <c r="B43" i="8"/>
  <c r="F42" i="8"/>
  <c r="E42" i="8"/>
  <c r="B42" i="8"/>
  <c r="F41" i="8"/>
  <c r="E41" i="8"/>
  <c r="B41" i="8"/>
  <c r="F40" i="8"/>
  <c r="E40" i="8"/>
  <c r="C40" i="8"/>
  <c r="B40" i="8"/>
  <c r="F38" i="8"/>
  <c r="E38" i="8"/>
  <c r="B38" i="8"/>
  <c r="F37" i="8"/>
  <c r="E37" i="8"/>
  <c r="B37" i="8"/>
  <c r="F36" i="8"/>
  <c r="E36" i="8"/>
  <c r="B36" i="8"/>
  <c r="F35" i="8"/>
  <c r="E35" i="8"/>
  <c r="B35" i="8"/>
  <c r="F34" i="8"/>
  <c r="E34" i="8"/>
  <c r="B34" i="8"/>
  <c r="F33" i="8"/>
  <c r="E33" i="8"/>
  <c r="C33" i="8"/>
  <c r="B33" i="8"/>
  <c r="L7" i="8"/>
  <c r="F31" i="8"/>
  <c r="E31" i="8"/>
  <c r="B31" i="8"/>
  <c r="F30" i="8"/>
  <c r="E30" i="8"/>
  <c r="B30" i="8"/>
  <c r="F29" i="8"/>
  <c r="E29" i="8"/>
  <c r="B29" i="8"/>
  <c r="F28" i="8"/>
  <c r="E28" i="8"/>
  <c r="B28" i="8"/>
  <c r="F27" i="8"/>
  <c r="E27" i="8"/>
  <c r="B27" i="8"/>
  <c r="F25" i="8"/>
  <c r="E25" i="8"/>
  <c r="B25" i="8"/>
  <c r="F24" i="8"/>
  <c r="E24" i="8"/>
  <c r="B24" i="8"/>
  <c r="F23" i="8"/>
  <c r="E23" i="8"/>
  <c r="B23" i="8"/>
  <c r="F22" i="8"/>
  <c r="E22" i="8"/>
  <c r="B22" i="8"/>
  <c r="E21" i="8"/>
  <c r="B21" i="8"/>
  <c r="F19" i="8"/>
  <c r="E19" i="8"/>
  <c r="B19" i="8"/>
  <c r="F18" i="8"/>
  <c r="E18" i="8"/>
  <c r="B18" i="8"/>
  <c r="F17" i="8"/>
  <c r="E17" i="8"/>
  <c r="B17" i="8"/>
  <c r="F16" i="8"/>
  <c r="E16" i="8"/>
  <c r="B16" i="8"/>
  <c r="F15" i="8"/>
  <c r="E15" i="8"/>
  <c r="B15" i="8"/>
  <c r="F13" i="8"/>
  <c r="E13" i="8"/>
  <c r="B13" i="8"/>
  <c r="F12" i="8"/>
  <c r="E12" i="8"/>
  <c r="B12" i="8"/>
  <c r="F11" i="8"/>
  <c r="E11" i="8"/>
  <c r="B11" i="8"/>
  <c r="F10" i="8"/>
  <c r="E10" i="8"/>
  <c r="B10" i="8"/>
  <c r="F9" i="8"/>
  <c r="E9" i="8"/>
  <c r="B9" i="8"/>
  <c r="F7" i="8"/>
  <c r="E7" i="8"/>
  <c r="B7" i="8"/>
  <c r="F6" i="8"/>
  <c r="E6" i="8"/>
  <c r="B6" i="8"/>
  <c r="F5" i="8"/>
  <c r="E5" i="8"/>
  <c r="B5" i="8"/>
  <c r="F4" i="8"/>
  <c r="E4" i="8"/>
  <c r="B4" i="8"/>
  <c r="F3" i="8"/>
  <c r="E3" i="8"/>
  <c r="B3" i="8"/>
  <c r="F2" i="8"/>
  <c r="E2" i="8"/>
  <c r="C2" i="8"/>
  <c r="B2" i="8"/>
  <c r="H77" i="5"/>
  <c r="G77" i="5"/>
  <c r="E77" i="5"/>
  <c r="D77" i="5"/>
  <c r="H76" i="5"/>
  <c r="G76" i="5"/>
  <c r="E76" i="5"/>
  <c r="D76" i="5"/>
  <c r="H75" i="5"/>
  <c r="G75" i="5"/>
  <c r="E75" i="5"/>
  <c r="D75" i="5"/>
  <c r="H74" i="5"/>
  <c r="G74" i="5"/>
  <c r="E74" i="5"/>
  <c r="D74" i="5"/>
  <c r="H73" i="5"/>
  <c r="G73" i="5"/>
  <c r="E73" i="5"/>
  <c r="D73" i="5"/>
  <c r="H72" i="5"/>
  <c r="G72" i="5"/>
  <c r="E72" i="5"/>
  <c r="D72" i="5"/>
  <c r="H71" i="5"/>
  <c r="G71" i="5"/>
  <c r="E71" i="5"/>
  <c r="D71" i="5"/>
  <c r="H70" i="5"/>
  <c r="G70" i="5"/>
  <c r="E70" i="5"/>
  <c r="D70" i="5"/>
  <c r="H69" i="5"/>
  <c r="G69" i="5"/>
  <c r="E69" i="5"/>
  <c r="D69" i="5"/>
  <c r="H68" i="5"/>
  <c r="G68" i="5"/>
  <c r="E68" i="5"/>
  <c r="D68" i="5"/>
  <c r="H67" i="5"/>
  <c r="G67" i="5"/>
  <c r="E67" i="5"/>
  <c r="D67" i="5"/>
  <c r="H66" i="5"/>
  <c r="G66" i="5"/>
  <c r="E66" i="5"/>
  <c r="D66" i="5"/>
  <c r="H65" i="5"/>
  <c r="G65" i="5"/>
  <c r="E65" i="5"/>
  <c r="D65" i="5"/>
  <c r="H64" i="5"/>
  <c r="G64" i="5"/>
  <c r="E64" i="5"/>
  <c r="D64" i="5"/>
  <c r="H63" i="5"/>
  <c r="G63" i="5"/>
  <c r="E63" i="5"/>
  <c r="D63" i="5"/>
  <c r="H62" i="5"/>
  <c r="G62" i="5"/>
  <c r="E62" i="5"/>
  <c r="D62" i="5"/>
  <c r="H55" i="5"/>
  <c r="G55" i="5"/>
  <c r="E55" i="5"/>
  <c r="D55" i="5"/>
  <c r="H54" i="5"/>
  <c r="G54" i="5"/>
  <c r="E54" i="5"/>
  <c r="D54" i="5"/>
  <c r="H53" i="5"/>
  <c r="G53" i="5"/>
  <c r="E53" i="5"/>
  <c r="D53" i="5"/>
  <c r="H52" i="5"/>
  <c r="G52" i="5"/>
  <c r="E52" i="5"/>
  <c r="D52" i="5"/>
  <c r="H51" i="5"/>
  <c r="G51" i="5"/>
  <c r="E51" i="5"/>
  <c r="D51" i="5"/>
  <c r="H50" i="5"/>
  <c r="G50" i="5"/>
  <c r="E50" i="5"/>
  <c r="D50" i="5"/>
  <c r="H48" i="5"/>
  <c r="G48" i="5"/>
  <c r="E48" i="5"/>
  <c r="D48" i="5"/>
  <c r="H47" i="5"/>
  <c r="G47" i="5"/>
  <c r="E47" i="5"/>
  <c r="D47" i="5"/>
  <c r="H46" i="5"/>
  <c r="G46" i="5"/>
  <c r="E46" i="5"/>
  <c r="D46" i="5"/>
  <c r="H45" i="5"/>
  <c r="G45" i="5"/>
  <c r="E45" i="5"/>
  <c r="D45" i="5"/>
  <c r="H44" i="5"/>
  <c r="G44" i="5"/>
  <c r="E44" i="5"/>
  <c r="D44" i="5"/>
  <c r="H42" i="5"/>
  <c r="G42" i="5"/>
  <c r="E42" i="5"/>
  <c r="D42" i="5"/>
  <c r="H41" i="5"/>
  <c r="G41" i="5"/>
  <c r="E41" i="5"/>
  <c r="D41" i="5"/>
  <c r="H40" i="5"/>
  <c r="G40" i="5"/>
  <c r="E40" i="5"/>
  <c r="D40" i="5"/>
  <c r="H39" i="5"/>
  <c r="G39" i="5"/>
  <c r="E39" i="5"/>
  <c r="D39" i="5"/>
  <c r="H38" i="5"/>
  <c r="G38" i="5"/>
  <c r="E38" i="5"/>
  <c r="D38" i="5"/>
  <c r="H36" i="5"/>
  <c r="G36" i="5"/>
  <c r="E36" i="5"/>
  <c r="D36" i="5"/>
  <c r="H35" i="5"/>
  <c r="G35" i="5"/>
  <c r="E35" i="5"/>
  <c r="D35" i="5"/>
  <c r="H34" i="5"/>
  <c r="G34" i="5"/>
  <c r="E34" i="5"/>
  <c r="D34" i="5"/>
  <c r="H33" i="5"/>
  <c r="G33" i="5"/>
  <c r="E33" i="5"/>
  <c r="D33" i="5"/>
  <c r="H32" i="5"/>
  <c r="G32" i="5"/>
  <c r="E32" i="5"/>
  <c r="D32" i="5"/>
  <c r="H30" i="5"/>
  <c r="G30" i="5"/>
  <c r="E30" i="5"/>
  <c r="D30" i="5"/>
  <c r="H29" i="5"/>
  <c r="G29" i="5"/>
  <c r="E29" i="5"/>
  <c r="D29" i="5"/>
  <c r="H28" i="5"/>
  <c r="G28" i="5"/>
  <c r="E28" i="5"/>
  <c r="D28" i="5"/>
  <c r="H27" i="5"/>
  <c r="G27" i="5"/>
  <c r="E27" i="5"/>
  <c r="D27" i="5"/>
  <c r="H26" i="5"/>
  <c r="G26" i="5"/>
  <c r="E26" i="5"/>
  <c r="D26" i="5"/>
  <c r="P24" i="5"/>
  <c r="O24" i="5"/>
  <c r="M24" i="5"/>
  <c r="L24" i="5"/>
  <c r="H24" i="5"/>
  <c r="G24" i="5"/>
  <c r="E24" i="5"/>
  <c r="D24" i="5"/>
  <c r="P23" i="5"/>
  <c r="O23" i="5"/>
  <c r="M23" i="5"/>
  <c r="L23" i="5"/>
  <c r="H23" i="5"/>
  <c r="G23" i="5"/>
  <c r="E23" i="5"/>
  <c r="D23" i="5"/>
  <c r="P22" i="5"/>
  <c r="O22" i="5"/>
  <c r="M22" i="5"/>
  <c r="L22" i="5"/>
  <c r="H22" i="5"/>
  <c r="G22" i="5"/>
  <c r="E22" i="5"/>
  <c r="D22" i="5"/>
  <c r="P21" i="5"/>
  <c r="O21" i="5"/>
  <c r="M21" i="5"/>
  <c r="L21" i="5"/>
  <c r="H21" i="5"/>
  <c r="G21" i="5"/>
  <c r="E21" i="5"/>
  <c r="D21" i="5"/>
  <c r="P20" i="5"/>
  <c r="O20" i="5"/>
  <c r="M20" i="5"/>
  <c r="L20" i="5"/>
  <c r="H20" i="5"/>
  <c r="G20" i="5"/>
  <c r="E20" i="5"/>
  <c r="D20" i="5"/>
  <c r="P19" i="5"/>
  <c r="O19" i="5"/>
  <c r="M19" i="5"/>
  <c r="L19" i="5"/>
  <c r="H19" i="5"/>
  <c r="G19" i="5"/>
  <c r="E19" i="5"/>
  <c r="D19" i="5"/>
  <c r="P18" i="5"/>
  <c r="O18" i="5"/>
  <c r="M18" i="5"/>
  <c r="L18" i="5"/>
  <c r="H18" i="5"/>
  <c r="G18" i="5"/>
  <c r="E18" i="5"/>
  <c r="D18" i="5"/>
  <c r="P17" i="5"/>
  <c r="O17" i="5"/>
  <c r="M17" i="5"/>
  <c r="L17" i="5"/>
  <c r="H17" i="5"/>
  <c r="G17" i="5"/>
  <c r="E17" i="5"/>
  <c r="D17" i="5"/>
  <c r="P16" i="5"/>
  <c r="O16" i="5"/>
  <c r="M16" i="5"/>
  <c r="L16" i="5"/>
  <c r="H16" i="5"/>
  <c r="G16" i="5"/>
  <c r="E16" i="5"/>
  <c r="D16" i="5"/>
  <c r="P15" i="5"/>
  <c r="O15" i="5"/>
  <c r="M15" i="5"/>
  <c r="L15" i="5"/>
  <c r="H15" i="5"/>
  <c r="G15" i="5"/>
  <c r="E15" i="5"/>
  <c r="D15" i="5"/>
  <c r="P14" i="5"/>
  <c r="O14" i="5"/>
  <c r="M14" i="5"/>
  <c r="L14" i="5"/>
  <c r="H14" i="5"/>
  <c r="G14" i="5"/>
  <c r="E14" i="5"/>
  <c r="D14" i="5"/>
  <c r="P13" i="5"/>
  <c r="O13" i="5"/>
  <c r="M13" i="5"/>
  <c r="L13" i="5"/>
  <c r="H13" i="5"/>
  <c r="G13" i="5"/>
  <c r="E13" i="5"/>
  <c r="D13" i="5"/>
  <c r="P12" i="5"/>
  <c r="O12" i="5"/>
  <c r="M12" i="5"/>
  <c r="L12" i="5"/>
  <c r="H12" i="5"/>
  <c r="G12" i="5"/>
  <c r="E12" i="5"/>
  <c r="D12" i="5"/>
  <c r="P11" i="5"/>
  <c r="O11" i="5"/>
  <c r="M11" i="5"/>
  <c r="L11" i="5"/>
  <c r="H11" i="5"/>
  <c r="G11" i="5"/>
  <c r="E11" i="5"/>
  <c r="D11" i="5"/>
  <c r="P10" i="5"/>
  <c r="O10" i="5"/>
  <c r="M10" i="5"/>
  <c r="L10" i="5"/>
  <c r="H10" i="5"/>
  <c r="G10" i="5"/>
  <c r="E10" i="5"/>
  <c r="D10" i="5"/>
  <c r="P9" i="5"/>
  <c r="O9" i="5"/>
  <c r="M9" i="5"/>
  <c r="L9" i="5"/>
  <c r="H9" i="5"/>
  <c r="G9" i="5"/>
  <c r="E9" i="5"/>
  <c r="D9" i="5"/>
  <c r="P8" i="5"/>
  <c r="O8" i="5"/>
  <c r="M8" i="5"/>
  <c r="L8" i="5"/>
  <c r="H8" i="5"/>
  <c r="G8" i="5"/>
  <c r="E8" i="5"/>
  <c r="D8" i="5"/>
  <c r="H48" i="4"/>
  <c r="G48" i="4"/>
  <c r="E48" i="4"/>
  <c r="D48" i="4"/>
  <c r="H47" i="4"/>
  <c r="G47" i="4"/>
  <c r="E47" i="4"/>
  <c r="D47" i="4"/>
  <c r="H46" i="4"/>
  <c r="G46" i="4"/>
  <c r="E46" i="4"/>
  <c r="D46" i="4"/>
  <c r="H45" i="4"/>
  <c r="G45" i="4"/>
  <c r="E45" i="4"/>
  <c r="D45" i="4"/>
  <c r="H44" i="4"/>
  <c r="G44" i="4"/>
  <c r="E44" i="4"/>
  <c r="D44" i="4"/>
  <c r="H43" i="4"/>
  <c r="G43" i="4"/>
  <c r="E43" i="4"/>
  <c r="D43" i="4"/>
  <c r="H36" i="4"/>
  <c r="G36" i="4"/>
  <c r="E36" i="4"/>
  <c r="D36" i="4"/>
  <c r="H35" i="4"/>
  <c r="G35" i="4"/>
  <c r="E35" i="4"/>
  <c r="D35" i="4"/>
  <c r="H34" i="4"/>
  <c r="G34" i="4"/>
  <c r="E34" i="4"/>
  <c r="D34" i="4"/>
  <c r="H33" i="4"/>
  <c r="G33" i="4"/>
  <c r="E33" i="4"/>
  <c r="D33" i="4"/>
  <c r="H32" i="4"/>
  <c r="G32" i="4"/>
  <c r="E32" i="4"/>
  <c r="D32" i="4"/>
  <c r="H30" i="4"/>
  <c r="G30" i="4"/>
  <c r="E30" i="4"/>
  <c r="D30" i="4"/>
  <c r="H29" i="4"/>
  <c r="G29" i="4"/>
  <c r="E29" i="4"/>
  <c r="D29" i="4"/>
  <c r="H28" i="4"/>
  <c r="G28" i="4"/>
  <c r="E28" i="4"/>
  <c r="D28" i="4"/>
  <c r="H27" i="4"/>
  <c r="G27" i="4"/>
  <c r="E27" i="4"/>
  <c r="D27" i="4"/>
  <c r="H26" i="4"/>
  <c r="G26" i="4"/>
  <c r="E26" i="4"/>
  <c r="D26" i="4"/>
  <c r="H24" i="4"/>
  <c r="G24" i="4"/>
  <c r="E24" i="4"/>
  <c r="D24" i="4"/>
  <c r="H23" i="4"/>
  <c r="G23" i="4"/>
  <c r="E23" i="4"/>
  <c r="D23" i="4"/>
  <c r="H22" i="4"/>
  <c r="G22" i="4"/>
  <c r="E22" i="4"/>
  <c r="D22" i="4"/>
  <c r="H21" i="4"/>
  <c r="G21" i="4"/>
  <c r="E21" i="4"/>
  <c r="D21" i="4"/>
  <c r="H20" i="4"/>
  <c r="G20" i="4"/>
  <c r="E20" i="4"/>
  <c r="D20" i="4"/>
  <c r="H18" i="4"/>
  <c r="G18" i="4"/>
  <c r="E18" i="4"/>
  <c r="D18" i="4"/>
  <c r="H17" i="4"/>
  <c r="G17" i="4"/>
  <c r="E17" i="4"/>
  <c r="D17" i="4"/>
  <c r="H16" i="4"/>
  <c r="G16" i="4"/>
  <c r="E16" i="4"/>
  <c r="D16" i="4"/>
  <c r="H15" i="4"/>
  <c r="G15" i="4"/>
  <c r="E15" i="4"/>
  <c r="D15" i="4"/>
  <c r="H14" i="4"/>
  <c r="G14" i="4"/>
  <c r="E14" i="4"/>
  <c r="D14" i="4"/>
  <c r="P12" i="4"/>
  <c r="O12" i="4"/>
  <c r="M12" i="4"/>
  <c r="L12" i="4"/>
  <c r="H12" i="4"/>
  <c r="G12" i="4"/>
  <c r="E12" i="4"/>
  <c r="D12" i="4"/>
  <c r="P11" i="4"/>
  <c r="O11" i="4"/>
  <c r="M11" i="4"/>
  <c r="L11" i="4"/>
  <c r="H11" i="4"/>
  <c r="G11" i="4"/>
  <c r="E11" i="4"/>
  <c r="D11" i="4"/>
  <c r="P10" i="4"/>
  <c r="O10" i="4"/>
  <c r="M10" i="4"/>
  <c r="L10" i="4"/>
  <c r="H10" i="4"/>
  <c r="G10" i="4"/>
  <c r="E10" i="4"/>
  <c r="D10" i="4"/>
  <c r="P9" i="4"/>
  <c r="O9" i="4"/>
  <c r="M9" i="4"/>
  <c r="L9" i="4"/>
  <c r="H9" i="4"/>
  <c r="G9" i="4"/>
  <c r="E9" i="4"/>
  <c r="D9" i="4"/>
  <c r="P8" i="4"/>
  <c r="O8" i="4"/>
  <c r="M8" i="4"/>
  <c r="L8" i="4"/>
  <c r="H8" i="4"/>
  <c r="G8" i="4"/>
  <c r="E8" i="4"/>
  <c r="D8" i="4"/>
  <c r="P7" i="4"/>
  <c r="O7" i="4"/>
  <c r="M7" i="4"/>
  <c r="L7" i="4"/>
  <c r="H7" i="4"/>
  <c r="G7" i="4"/>
  <c r="E7" i="4"/>
  <c r="D7" i="4"/>
  <c r="B60" i="2"/>
  <c r="B59" i="2"/>
  <c r="B58" i="2"/>
  <c r="B57" i="2"/>
  <c r="B56" i="2"/>
  <c r="B55" i="2"/>
  <c r="B53" i="2"/>
  <c r="B52" i="2"/>
  <c r="B51" i="2"/>
  <c r="B50" i="2"/>
  <c r="B49" i="2"/>
  <c r="B47" i="2"/>
  <c r="B46" i="2"/>
  <c r="B45" i="2"/>
  <c r="B44" i="2"/>
  <c r="B43" i="2"/>
  <c r="I42" i="2"/>
  <c r="H42" i="2"/>
  <c r="B42" i="2"/>
  <c r="I41" i="2"/>
  <c r="H41" i="2"/>
  <c r="E30" i="2"/>
  <c r="F30" i="2"/>
  <c r="C30" i="2"/>
  <c r="B30" i="2"/>
  <c r="M29" i="2"/>
  <c r="L29" i="2"/>
  <c r="J29" i="2"/>
  <c r="I29" i="2"/>
  <c r="E29" i="2"/>
  <c r="F29" i="2"/>
  <c r="C29" i="2"/>
  <c r="B29" i="2"/>
  <c r="M28" i="2"/>
  <c r="L28" i="2"/>
  <c r="J28" i="2"/>
  <c r="I28" i="2"/>
  <c r="E28" i="2"/>
  <c r="F28" i="2"/>
  <c r="C28" i="2"/>
  <c r="B28" i="2"/>
  <c r="M27" i="2"/>
  <c r="L27" i="2"/>
  <c r="J27" i="2"/>
  <c r="I27" i="2"/>
  <c r="E27" i="2"/>
  <c r="F27" i="2"/>
  <c r="C27" i="2"/>
  <c r="B27" i="2"/>
  <c r="M26" i="2"/>
  <c r="L26" i="2"/>
  <c r="J26" i="2"/>
  <c r="I26" i="2"/>
  <c r="E26" i="2"/>
  <c r="F26" i="2"/>
  <c r="C26" i="2"/>
  <c r="B26" i="2"/>
  <c r="M25" i="2"/>
  <c r="L25" i="2"/>
  <c r="J25" i="2"/>
  <c r="I25" i="2"/>
  <c r="E25" i="2"/>
  <c r="F25" i="2"/>
  <c r="C25" i="2"/>
  <c r="B25" i="2"/>
  <c r="M24" i="2"/>
  <c r="L24" i="2"/>
  <c r="J24" i="2"/>
  <c r="I24" i="2"/>
  <c r="E23" i="2"/>
  <c r="F23" i="2"/>
  <c r="C23" i="2"/>
  <c r="B23" i="2"/>
  <c r="E22" i="2"/>
  <c r="F22" i="2"/>
  <c r="C22" i="2"/>
  <c r="B22" i="2"/>
  <c r="E21" i="2"/>
  <c r="F21" i="2"/>
  <c r="C21" i="2"/>
  <c r="B21" i="2"/>
  <c r="E20" i="2"/>
  <c r="F20" i="2"/>
  <c r="C20" i="2"/>
  <c r="B20" i="2"/>
  <c r="E19" i="2"/>
  <c r="F19" i="2"/>
  <c r="C19" i="2"/>
  <c r="B19" i="2"/>
  <c r="E17" i="2"/>
  <c r="F17" i="2"/>
  <c r="C17" i="2"/>
  <c r="B17" i="2"/>
  <c r="L16" i="2"/>
  <c r="K16" i="2"/>
  <c r="I16" i="2"/>
  <c r="E16" i="2"/>
  <c r="F16" i="2"/>
  <c r="C16" i="2"/>
  <c r="B16" i="2"/>
  <c r="L15" i="2"/>
  <c r="K15" i="2"/>
  <c r="I15" i="2"/>
  <c r="E15" i="2"/>
  <c r="F15" i="2"/>
  <c r="C15" i="2"/>
  <c r="B15" i="2"/>
  <c r="L14" i="2"/>
  <c r="K14" i="2"/>
  <c r="I14" i="2"/>
  <c r="E14" i="2"/>
  <c r="F14" i="2"/>
  <c r="C14" i="2"/>
  <c r="B14" i="2"/>
  <c r="L13" i="2"/>
  <c r="K13" i="2"/>
  <c r="I13" i="2"/>
  <c r="E13" i="2"/>
  <c r="F13" i="2"/>
  <c r="C13" i="2"/>
  <c r="B13" i="2"/>
  <c r="L12" i="2"/>
  <c r="K12" i="2"/>
  <c r="I12" i="2"/>
  <c r="E12" i="2"/>
  <c r="F12" i="2"/>
  <c r="C12" i="2"/>
  <c r="B12" i="2"/>
  <c r="H100" i="1"/>
  <c r="E46" i="1"/>
  <c r="E36" i="1"/>
  <c r="G33" i="1"/>
  <c r="G30" i="1"/>
  <c r="J22" i="1"/>
  <c r="K22" i="1"/>
  <c r="G22" i="1"/>
  <c r="J21" i="1"/>
  <c r="K21" i="1"/>
  <c r="G21" i="1"/>
  <c r="G20" i="1"/>
  <c r="G19" i="1"/>
  <c r="G18" i="1"/>
  <c r="G17" i="1"/>
  <c r="F9" i="1"/>
  <c r="K13" i="1"/>
  <c r="L22" i="1"/>
  <c r="L21" i="1"/>
  <c r="K62" i="1"/>
  <c r="K55" i="1"/>
  <c r="K29" i="1"/>
  <c r="K75" i="1"/>
  <c r="K25" i="1"/>
  <c r="K49" i="1"/>
  <c r="K68" i="1"/>
  <c r="K41" i="1"/>
  <c r="I26" i="1"/>
  <c r="I63" i="1"/>
  <c r="K80" i="1"/>
  <c r="I69" i="1"/>
  <c r="D96" i="1"/>
  <c r="G96" i="1"/>
  <c r="I81" i="1"/>
  <c r="I76" i="1"/>
  <c r="F85" i="1"/>
  <c r="I42" i="1"/>
  <c r="I50" i="1"/>
  <c r="I56" i="1"/>
</calcChain>
</file>

<file path=xl/sharedStrings.xml><?xml version="1.0" encoding="utf-8"?>
<sst xmlns="http://schemas.openxmlformats.org/spreadsheetml/2006/main" count="1163" uniqueCount="481">
  <si>
    <t>BILAN THERMIQUE</t>
  </si>
  <si>
    <t>Dimension intérieures</t>
  </si>
  <si>
    <t>Conditions de base</t>
  </si>
  <si>
    <t>Longueur</t>
  </si>
  <si>
    <t>Largeur</t>
  </si>
  <si>
    <t>Hauteur</t>
  </si>
  <si>
    <t>Surface sol</t>
  </si>
  <si>
    <t>Surface murs</t>
  </si>
  <si>
    <t>Volume</t>
  </si>
  <si>
    <t>Intérieure</t>
  </si>
  <si>
    <t>Extérieure</t>
  </si>
  <si>
    <t>Plafond</t>
  </si>
  <si>
    <t>Sol</t>
  </si>
  <si>
    <t xml:space="preserve"> T (°C)</t>
  </si>
  <si>
    <t>m</t>
  </si>
  <si>
    <t>m²</t>
  </si>
  <si>
    <r>
      <rPr>
        <sz val="12"/>
        <rFont val="Arial"/>
        <family val="2"/>
      </rPr>
      <t>m</t>
    </r>
    <r>
      <rPr>
        <vertAlign val="superscript"/>
        <sz val="10"/>
        <rFont val="Arial"/>
        <family val="2"/>
      </rPr>
      <t>3</t>
    </r>
  </si>
  <si>
    <t xml:space="preserve"> H.R.(%)</t>
  </si>
  <si>
    <r>
      <rPr>
        <sz val="12"/>
        <rFont val="Arial"/>
        <family val="2"/>
      </rPr>
      <t xml:space="preserve"> h (kJ.kg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</si>
  <si>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 xml:space="preserve"> Base de temps (h)</t>
  </si>
  <si>
    <t>soit t =</t>
  </si>
  <si>
    <t>secondes</t>
  </si>
  <si>
    <r>
      <rPr>
        <sz val="12"/>
        <rFont val="Arial"/>
        <family val="2"/>
      </rPr>
      <t xml:space="preserve"> w (kg.kg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</si>
  <si>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rPr>
        <sz val="12"/>
        <rFont val="Arial"/>
        <family val="2"/>
      </rPr>
      <t xml:space="preserve"> v"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</si>
  <si>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 xml:space="preserve"> Pv sat (Pa)</t>
  </si>
  <si>
    <t>Double flux DF</t>
  </si>
  <si>
    <t>Evaporateur :</t>
  </si>
  <si>
    <t xml:space="preserve">  APPORTS PAR LES PAROIS</t>
  </si>
  <si>
    <r>
      <rPr>
        <sz val="12"/>
        <rFont val="Arial"/>
        <family val="2"/>
      </rPr>
      <t>Coeff. K (W.m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</si>
  <si>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>mur 1</t>
  </si>
  <si>
    <t>valeur/défaut =</t>
  </si>
  <si>
    <r>
      <rPr>
        <sz val="12"/>
        <rFont val="Arial"/>
        <family val="2"/>
      </rPr>
      <t>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 xml:space="preserve"> (fonction de T° int)</t>
    </r>
  </si>
  <si>
    <t>mur 2</t>
  </si>
  <si>
    <t>mur 3</t>
  </si>
  <si>
    <t>mur 4</t>
  </si>
  <si>
    <t>plafond</t>
  </si>
  <si>
    <t>sol</t>
  </si>
  <si>
    <t xml:space="preserve"> murs verticaux</t>
  </si>
  <si>
    <r>
      <rPr>
        <sz val="10"/>
        <rFont val="Arial"/>
        <family val="2"/>
      </rPr>
      <t>Qp1 = K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t</t>
    </r>
  </si>
  <si>
    <t>kJ</t>
  </si>
  <si>
    <t xml:space="preserve"> plafond</t>
  </si>
  <si>
    <r>
      <rPr>
        <sz val="10"/>
        <rFont val="Arial"/>
        <family val="2"/>
      </rPr>
      <t>Qp2 = K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</si>
  <si>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parois</t>
    </r>
  </si>
  <si>
    <t>kW</t>
  </si>
  <si>
    <t xml:space="preserve"> sol</t>
  </si>
  <si>
    <r>
      <rPr>
        <sz val="10"/>
        <rFont val="Arial"/>
        <family val="2"/>
      </rPr>
      <t>Qp3 = K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</si>
  <si>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parois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</si>
  <si>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>%</t>
  </si>
  <si>
    <t xml:space="preserve">  APPORTS PAR LES DENRÉES</t>
  </si>
  <si>
    <t>Quantité introduite / base de temps (kg)</t>
  </si>
  <si>
    <r>
      <rPr>
        <sz val="12"/>
        <rFont val="Arial"/>
        <family val="2"/>
      </rPr>
      <t>kg/base de temps (25 kg.m</t>
    </r>
    <r>
      <rPr>
        <vertAlign val="superscript"/>
        <sz val="10"/>
        <rFont val="Arial"/>
        <family val="2"/>
      </rPr>
      <t>-3</t>
    </r>
    <r>
      <rPr>
        <sz val="10"/>
        <rFont val="Arial"/>
        <family val="2"/>
      </rPr>
      <t>)</t>
    </r>
  </si>
  <si>
    <t>quantité stockée</t>
  </si>
  <si>
    <t xml:space="preserve">Type de denrées </t>
  </si>
  <si>
    <t>Température d'introduction</t>
  </si>
  <si>
    <t>°C</t>
  </si>
  <si>
    <t>Température de sortie ou de stockage</t>
  </si>
  <si>
    <t>°C par défaut =</t>
  </si>
  <si>
    <t>°C (température intérieure)</t>
  </si>
  <si>
    <t>Chaleur massique avant congélation C1</t>
  </si>
  <si>
    <r>
      <rPr>
        <sz val="12"/>
        <rFont val="Arial"/>
        <family val="2"/>
      </rPr>
      <t>kJ.kg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</si>
  <si>
    <t>DT1 =</t>
  </si>
  <si>
    <t>K</t>
  </si>
  <si>
    <t>Chaleur de respiration</t>
  </si>
  <si>
    <t>Chaleur latente de congélation L</t>
  </si>
  <si>
    <r>
      <rPr>
        <sz val="12"/>
        <rFont val="Arial"/>
        <family val="2"/>
      </rPr>
      <t>kJ.kg</t>
    </r>
    <r>
      <rPr>
        <vertAlign val="superscript"/>
        <sz val="10"/>
        <rFont val="Arial"/>
        <family val="2"/>
      </rPr>
      <t>-1</t>
    </r>
  </si>
  <si>
    <t>T°cong. =</t>
  </si>
  <si>
    <t>Chaleur massique après congélation C2</t>
  </si>
  <si>
    <t>DT2 =</t>
  </si>
  <si>
    <t xml:space="preserve"> avant congélation            QD1 = m x C1 x DT1</t>
  </si>
  <si>
    <t xml:space="preserve"> respiration                         QD= m x R</t>
  </si>
  <si>
    <t xml:space="preserve"> pendant la congélation    QD2 = m x L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</si>
  <si>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denrées</t>
    </r>
  </si>
  <si>
    <t xml:space="preserve"> après la congélation        QD3 = m x C2 x DT2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</si>
  <si>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denrées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</si>
  <si>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L'EMBALLAGE</t>
  </si>
  <si>
    <t>kg/base de temps (20 % des denrées)</t>
  </si>
  <si>
    <t>Chaleur massique C</t>
  </si>
  <si>
    <t>DT =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</si>
  <si>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</si>
  <si>
    <t xml:space="preserve"> kW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</si>
  <si>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 xml:space="preserve"> = m x C x DT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</si>
  <si>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</si>
  <si>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L'ÉCLAIRAGE</t>
  </si>
  <si>
    <t>Puissance installée</t>
  </si>
  <si>
    <r>
      <rPr>
        <sz val="12"/>
        <rFont val="Arial"/>
        <family val="2"/>
      </rPr>
      <t>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de surface au sol</t>
    </r>
  </si>
  <si>
    <t>Durée d'éclairage</t>
  </si>
  <si>
    <t>h         soit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</si>
  <si>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</si>
  <si>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 xml:space="preserve"> = P x S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</si>
  <si>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</si>
  <si>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LE PERSONNEL</t>
  </si>
  <si>
    <t>Individus dans l'ambiance n</t>
  </si>
  <si>
    <t>P apportée par un individu</t>
  </si>
  <si>
    <t>W</t>
  </si>
  <si>
    <t xml:space="preserve">temps passé dans l'ambiance </t>
  </si>
  <si>
    <t>heures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</si>
  <si>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</si>
  <si>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</si>
  <si>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</si>
  <si>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>Taux/base de temps</t>
  </si>
  <si>
    <t xml:space="preserve">  APPORTS PAR LE RENOUVELLEMENT D'AIR</t>
  </si>
  <si>
    <t>Taux de renouvellement d'air T</t>
  </si>
  <si>
    <t xml:space="preserve">par défaut  </t>
  </si>
  <si>
    <t>Volumes/base de temps (service fort prendre Tx2 ; service faible Tx0,6)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</si>
  <si>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</si>
  <si>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 xml:space="preserve"> = (V x t / v"i) x (he - hi)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</si>
  <si>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</si>
  <si>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LES MACHINES</t>
  </si>
  <si>
    <t>Nombre de machines (n)</t>
  </si>
  <si>
    <t>Puissance apportée par machine (P)</t>
  </si>
  <si>
    <t xml:space="preserve">Temps de fonctionnement (t)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</si>
  <si>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machines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</si>
  <si>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machines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</si>
  <si>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</si>
  <si>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LA VENTILATION</t>
  </si>
  <si>
    <r>
      <rPr>
        <sz val="12"/>
        <rFont val="Arial"/>
        <family val="2"/>
      </rPr>
      <t>% de Q</t>
    </r>
    <r>
      <rPr>
        <vertAlign val="subscript"/>
        <sz val="10"/>
        <rFont val="Arial"/>
        <family val="2"/>
      </rPr>
      <t>parois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 xml:space="preserve">denrées 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machines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</si>
  <si>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</si>
  <si>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  <r>
      <rPr>
        <sz val="10"/>
        <rFont val="Arial"/>
        <family val="2"/>
      </rPr>
      <t xml:space="preserve"> = somme Q précédents x X%</t>
    </r>
  </si>
  <si>
    <t xml:space="preserve">kJ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</si>
  <si>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</si>
  <si>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BILAN TOTAL JOURNALIER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</si>
  <si>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total</t>
    </r>
    <r>
      <rPr>
        <sz val="10"/>
        <rFont val="Arial"/>
        <family val="2"/>
      </rPr>
      <t xml:space="preserve"> = somme Q</t>
    </r>
  </si>
  <si>
    <t xml:space="preserve">  BILAN TOTAL JOURNALIER MAJORÉ</t>
  </si>
  <si>
    <t xml:space="preserve"> Majoration</t>
  </si>
  <si>
    <r>
      <rPr>
        <sz val="12"/>
        <rFont val="Arial"/>
        <family val="2"/>
      </rPr>
      <t xml:space="preserve"> Qtotal</t>
    </r>
    <r>
      <rPr>
        <vertAlign val="subscript"/>
        <sz val="10"/>
        <rFont val="Arial"/>
        <family val="2"/>
      </rPr>
      <t>majoré</t>
    </r>
    <r>
      <rPr>
        <sz val="10"/>
        <rFont val="Arial"/>
        <family val="2"/>
      </rPr>
      <t xml:space="preserve"> = somme Q x majoration</t>
    </r>
  </si>
  <si>
    <t xml:space="preserve">  PUISSANCE DU GROUPE À INSTALLER</t>
  </si>
  <si>
    <t>Temps de fonctionnement de l'installation frigorifique</t>
  </si>
  <si>
    <t>Fo</t>
  </si>
  <si>
    <t>compresseur</t>
  </si>
  <si>
    <t xml:space="preserve">soit </t>
  </si>
  <si>
    <r>
      <rPr>
        <sz val="14"/>
        <rFont val="Arial"/>
        <family val="2"/>
      </rPr>
      <t>W/m</t>
    </r>
    <r>
      <rPr>
        <vertAlign val="superscript"/>
        <sz val="10"/>
        <rFont val="Arial"/>
        <family val="2"/>
      </rPr>
      <t>3</t>
    </r>
  </si>
  <si>
    <t>Chaleur sensible</t>
  </si>
  <si>
    <t>Chaleur latente de congelation (Kj/Kg)</t>
  </si>
  <si>
    <t>Chaleur de respiration (Kj/Kg.24h)</t>
  </si>
  <si>
    <t>Produit</t>
  </si>
  <si>
    <t>point de congelation (°C)</t>
  </si>
  <si>
    <t>Avant decongelation (Kj/Kg.k)</t>
  </si>
  <si>
    <t>Aprèse decongelation (Kj/Kg.K)</t>
  </si>
  <si>
    <t>defaut</t>
  </si>
  <si>
    <t>Viandes</t>
  </si>
  <si>
    <t>agneau</t>
  </si>
  <si>
    <t>CAN 3267</t>
  </si>
  <si>
    <t>Bœuf (gras)</t>
  </si>
  <si>
    <t>Boeuuf (maigre)</t>
  </si>
  <si>
    <t>Porc</t>
  </si>
  <si>
    <t>Volailles</t>
  </si>
  <si>
    <t>Jambon</t>
  </si>
  <si>
    <t xml:space="preserve">Charcuterie fraiche </t>
  </si>
  <si>
    <t>Veau</t>
  </si>
  <si>
    <t>Friuts</t>
  </si>
  <si>
    <t>Anans</t>
  </si>
  <si>
    <t>Oranges</t>
  </si>
  <si>
    <t>Bananes</t>
  </si>
  <si>
    <t>Cerises</t>
  </si>
  <si>
    <t>Dattes sèches</t>
  </si>
  <si>
    <t>Fraises</t>
  </si>
  <si>
    <t>Citrons</t>
  </si>
  <si>
    <t>Mandarines</t>
  </si>
  <si>
    <t>Pommes</t>
  </si>
  <si>
    <t>Melons</t>
  </si>
  <si>
    <t>Poires</t>
  </si>
  <si>
    <t>Pèches</t>
  </si>
  <si>
    <t>Pamplemousses</t>
  </si>
  <si>
    <t>Prunes</t>
  </si>
  <si>
    <t>Raisins</t>
  </si>
  <si>
    <t>Produits actés</t>
  </si>
  <si>
    <t xml:space="preserve">Beurre </t>
  </si>
  <si>
    <t xml:space="preserve">Formage </t>
  </si>
  <si>
    <t>Lait</t>
  </si>
  <si>
    <t>Poissons</t>
  </si>
  <si>
    <t>Poissons fumés</t>
  </si>
  <si>
    <t>Poissons gras</t>
  </si>
  <si>
    <t>Poissons maigres</t>
  </si>
  <si>
    <t>Poissons salés</t>
  </si>
  <si>
    <t>Crustacés</t>
  </si>
  <si>
    <t>Huitres</t>
  </si>
  <si>
    <t>Légumes</t>
  </si>
  <si>
    <t>Asperges</t>
  </si>
  <si>
    <t>Blettes</t>
  </si>
  <si>
    <t>Brocolis</t>
  </si>
  <si>
    <t>Artichauts</t>
  </si>
  <si>
    <t>Carottes</t>
  </si>
  <si>
    <t>Choux-fleurs</t>
  </si>
  <si>
    <t>Concombres</t>
  </si>
  <si>
    <t xml:space="preserve">Oignons </t>
  </si>
  <si>
    <t>Haricotsfrais</t>
  </si>
  <si>
    <t>Haricots secs</t>
  </si>
  <si>
    <t>-</t>
  </si>
  <si>
    <t xml:space="preserve">Champignons </t>
  </si>
  <si>
    <t>Laitues</t>
  </si>
  <si>
    <t>Pommes de terre</t>
  </si>
  <si>
    <t xml:space="preserve">Pois frais </t>
  </si>
  <si>
    <t>Pois sec</t>
  </si>
  <si>
    <t>Tomates mûres</t>
  </si>
  <si>
    <t>Tomates  variées</t>
  </si>
  <si>
    <t>Céleris</t>
  </si>
  <si>
    <t>Epinards</t>
  </si>
  <si>
    <t>Divers</t>
  </si>
  <si>
    <t>Bière</t>
  </si>
  <si>
    <t>Fleurs coupées</t>
  </si>
  <si>
    <t>Glaces</t>
  </si>
  <si>
    <t>Lard</t>
  </si>
  <si>
    <t>levure</t>
  </si>
  <si>
    <t>Margarine</t>
  </si>
  <si>
    <t>Miel</t>
  </si>
  <si>
    <t>Huile</t>
  </si>
  <si>
    <t>Pain</t>
  </si>
  <si>
    <t>Peau à tanner</t>
  </si>
  <si>
    <t>Fourrures</t>
  </si>
  <si>
    <t>Œufs</t>
  </si>
  <si>
    <t>Type de panneau</t>
  </si>
  <si>
    <r>
      <rPr>
        <sz val="14"/>
        <rFont val="Arial"/>
        <family val="2"/>
      </rPr>
      <t>K=w / m</t>
    </r>
    <r>
      <rPr>
        <sz val="10"/>
        <rFont val="Calibri"/>
        <family val="2"/>
      </rPr>
      <t>² * K</t>
    </r>
  </si>
  <si>
    <t xml:space="preserve">Dreyer 80 </t>
  </si>
  <si>
    <t>Dreyer 100</t>
  </si>
  <si>
    <t>Dreyer 120</t>
  </si>
  <si>
    <t>Dreyer 140</t>
  </si>
  <si>
    <t>Dreyer 200</t>
  </si>
  <si>
    <t>Daggard 60</t>
  </si>
  <si>
    <t>Daggard 80</t>
  </si>
  <si>
    <t>Daggard 100</t>
  </si>
  <si>
    <t>Acclad 60</t>
  </si>
  <si>
    <t>Acclad 80</t>
  </si>
  <si>
    <t>Acclad 100</t>
  </si>
  <si>
    <t>Acclad 120</t>
  </si>
  <si>
    <t>Acclad 160</t>
  </si>
  <si>
    <t xml:space="preserve">Acclad 180 </t>
  </si>
  <si>
    <t>Acclad 200</t>
  </si>
  <si>
    <t>GAMME COMMERCIAL PROFROID</t>
  </si>
  <si>
    <t>Gamme POSITIF</t>
  </si>
  <si>
    <t>CUBIQUE  POSITIF</t>
  </si>
  <si>
    <t>DOUBLE FLUX POSITIF</t>
  </si>
  <si>
    <t>dt 8</t>
  </si>
  <si>
    <t>Ecartement d'ailettes 6.3mm</t>
  </si>
  <si>
    <t xml:space="preserve">CUBIQUE </t>
  </si>
  <si>
    <t>dt 5.5</t>
  </si>
  <si>
    <t>dt 7</t>
  </si>
  <si>
    <t>dt 15</t>
  </si>
  <si>
    <t>dt 20</t>
  </si>
  <si>
    <t xml:space="preserve">DB FLUX </t>
  </si>
  <si>
    <t>Kw</t>
  </si>
  <si>
    <t>DFC 14</t>
  </si>
  <si>
    <t>DFC 24</t>
  </si>
  <si>
    <t>DFC 34</t>
  </si>
  <si>
    <t>DFC 44</t>
  </si>
  <si>
    <t>DFC 54</t>
  </si>
  <si>
    <t>BP refrigeration POSITIF</t>
  </si>
  <si>
    <t>BP</t>
  </si>
  <si>
    <t>dt 10</t>
  </si>
  <si>
    <t>GAMME NEGATIF</t>
  </si>
  <si>
    <t>CUBIQUE  NEGATIF</t>
  </si>
  <si>
    <t>BP Négatif</t>
  </si>
  <si>
    <t>BN</t>
  </si>
  <si>
    <t>Cubique</t>
  </si>
  <si>
    <t>CHOIX :</t>
  </si>
  <si>
    <t>PRIX</t>
  </si>
  <si>
    <t>Gamme positif Pas d'ailette 6mm</t>
  </si>
  <si>
    <t>CO2</t>
  </si>
  <si>
    <t>Dégivrage naturel</t>
  </si>
  <si>
    <t xml:space="preserve">degivrage électrique </t>
  </si>
  <si>
    <t>puissance</t>
  </si>
  <si>
    <t>Puissance</t>
  </si>
  <si>
    <t>Gamme</t>
  </si>
  <si>
    <t>Prix</t>
  </si>
  <si>
    <t>CAN3167</t>
  </si>
  <si>
    <t>CAE3167</t>
  </si>
  <si>
    <t>CAN3267</t>
  </si>
  <si>
    <t>CAE3267</t>
  </si>
  <si>
    <t>CAN3367</t>
  </si>
  <si>
    <t>CAE3367</t>
  </si>
  <si>
    <t>CAN3467</t>
  </si>
  <si>
    <t>CAE3467</t>
  </si>
  <si>
    <t>CAN3567</t>
  </si>
  <si>
    <t>CAE3567</t>
  </si>
  <si>
    <t>CAN3667</t>
  </si>
  <si>
    <t>CAE3667</t>
  </si>
  <si>
    <t>DFC16 4P</t>
  </si>
  <si>
    <t>DFC26 4P</t>
  </si>
  <si>
    <t>DFC36 4P</t>
  </si>
  <si>
    <t>DFC46 4P</t>
  </si>
  <si>
    <t>DFC56 4P</t>
  </si>
  <si>
    <t>DFC14 EV 4P</t>
  </si>
  <si>
    <t>DFC24 EV 4P</t>
  </si>
  <si>
    <t>DFC 34 EV 4P</t>
  </si>
  <si>
    <t>DFC 44 EV 4P</t>
  </si>
  <si>
    <t>DFC 54 EV 4P</t>
  </si>
  <si>
    <t>DFC16 6P</t>
  </si>
  <si>
    <t>DFC26 6P</t>
  </si>
  <si>
    <t>DFC36 6P</t>
  </si>
  <si>
    <t>DFC46 6P</t>
  </si>
  <si>
    <t>DFC56 6P</t>
  </si>
  <si>
    <t>DFC14 EV 6P</t>
  </si>
  <si>
    <t>DFC24 EV 6P</t>
  </si>
  <si>
    <t>DFC 34 EV 6P</t>
  </si>
  <si>
    <t>DFC 44 EV 6P</t>
  </si>
  <si>
    <t>DFC 54 EV 6P</t>
  </si>
  <si>
    <t>Gamme négatif Pas d'ailette 6mm</t>
  </si>
  <si>
    <t>CAB3167</t>
  </si>
  <si>
    <t>CAB3267</t>
  </si>
  <si>
    <t>CAB3367</t>
  </si>
  <si>
    <t>CAB3467</t>
  </si>
  <si>
    <t>CAB3567</t>
  </si>
  <si>
    <t>CAB3667</t>
  </si>
  <si>
    <t>HFC</t>
  </si>
  <si>
    <t>CAN4167</t>
  </si>
  <si>
    <t>CAE4167</t>
  </si>
  <si>
    <t>CAN4247</t>
  </si>
  <si>
    <t>CAE4247</t>
  </si>
  <si>
    <t>CAN4267</t>
  </si>
  <si>
    <t>CAE4267</t>
  </si>
  <si>
    <t>CAN4287</t>
  </si>
  <si>
    <t>CAE4287</t>
  </si>
  <si>
    <t>CAN4367</t>
  </si>
  <si>
    <t>CAE4367</t>
  </si>
  <si>
    <t>CAN4467</t>
  </si>
  <si>
    <t>CAE4467</t>
  </si>
  <si>
    <t>CAN5247</t>
  </si>
  <si>
    <t>CAE5247</t>
  </si>
  <si>
    <t>CAN5287</t>
  </si>
  <si>
    <t>CAE5287</t>
  </si>
  <si>
    <t>CAN5367</t>
  </si>
  <si>
    <t>CAE5367</t>
  </si>
  <si>
    <t>CAN5387</t>
  </si>
  <si>
    <t>CAE5387</t>
  </si>
  <si>
    <t>CAN5487</t>
  </si>
  <si>
    <t>CAE5487</t>
  </si>
  <si>
    <t>BP EV 70</t>
  </si>
  <si>
    <t>BE EV 105</t>
  </si>
  <si>
    <t>BP EV 145</t>
  </si>
  <si>
    <t>BP EV 215</t>
  </si>
  <si>
    <t>BP EV 290</t>
  </si>
  <si>
    <t>BPEV415</t>
  </si>
  <si>
    <t>CAB4167</t>
  </si>
  <si>
    <t>CAB4247</t>
  </si>
  <si>
    <t>CAB4267</t>
  </si>
  <si>
    <t>CAB4367</t>
  </si>
  <si>
    <t>CAB4467</t>
  </si>
  <si>
    <t>CAB5247</t>
  </si>
  <si>
    <t>CAB5287</t>
  </si>
  <si>
    <t>CAB5367</t>
  </si>
  <si>
    <t>CAB5387</t>
  </si>
  <si>
    <t>CAB5487</t>
  </si>
  <si>
    <t>Positif</t>
  </si>
  <si>
    <t>Electrique</t>
  </si>
  <si>
    <t>FLUIDE</t>
  </si>
  <si>
    <t>GAMME</t>
  </si>
  <si>
    <t>TYPE</t>
  </si>
  <si>
    <t>DEGIVRAGE</t>
  </si>
  <si>
    <t>DT</t>
  </si>
  <si>
    <t>Naturel</t>
  </si>
  <si>
    <t>CPC3167</t>
  </si>
  <si>
    <t>CPC3267</t>
  </si>
  <si>
    <t>CPC3367</t>
  </si>
  <si>
    <t>CPC3467</t>
  </si>
  <si>
    <t>CPC3567</t>
  </si>
  <si>
    <t>CPCR3167</t>
  </si>
  <si>
    <t>CPCR3267</t>
  </si>
  <si>
    <t>CPCR3367</t>
  </si>
  <si>
    <t>CPCR3467</t>
  </si>
  <si>
    <t>CPCR3567</t>
  </si>
  <si>
    <t>CPCR3667</t>
  </si>
  <si>
    <t>CNCR3167</t>
  </si>
  <si>
    <t>CNCR3267</t>
  </si>
  <si>
    <t>CNCR3367</t>
  </si>
  <si>
    <t>CNCR3467</t>
  </si>
  <si>
    <t>CNCR3567</t>
  </si>
  <si>
    <t>CNCR3667</t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</si>
  <si>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3167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</si>
  <si>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3267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</si>
  <si>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3367</t>
    </r>
  </si>
  <si>
    <r>
      <t>HPC</t>
    </r>
    <r>
      <rPr>
        <sz val="11"/>
        <color theme="1"/>
        <rFont val="Calibri"/>
        <family val="2"/>
        <scheme val="minor"/>
      </rPr>
      <t>3467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</si>
  <si>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3567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</si>
  <si>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3667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</si>
  <si>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4167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</si>
  <si>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4247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</si>
  <si>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</si>
  <si>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</si>
  <si>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4367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</si>
  <si>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4467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</si>
  <si>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5247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</si>
  <si>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5287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</si>
  <si>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5367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</si>
  <si>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5387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</si>
  <si>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5487</t>
    </r>
  </si>
  <si>
    <t>HPB70</t>
  </si>
  <si>
    <t>HPB105</t>
  </si>
  <si>
    <t>HPB145</t>
  </si>
  <si>
    <t>HPB215</t>
  </si>
  <si>
    <t>HPB290</t>
  </si>
  <si>
    <t>HPB415</t>
  </si>
  <si>
    <t>HPCR3167</t>
  </si>
  <si>
    <t>HPCR3267</t>
  </si>
  <si>
    <t>HPCR3367</t>
  </si>
  <si>
    <t>HPCR3467</t>
  </si>
  <si>
    <t>HPCR3567</t>
  </si>
  <si>
    <t>HPCR3667</t>
  </si>
  <si>
    <t>HPCR4167</t>
  </si>
  <si>
    <t>HPCR4247</t>
  </si>
  <si>
    <t>HPCR4267</t>
  </si>
  <si>
    <t>HPCR4287</t>
  </si>
  <si>
    <t>HPCR4367</t>
  </si>
  <si>
    <t>HPCR4467</t>
  </si>
  <si>
    <t>HPCR5247</t>
  </si>
  <si>
    <t>HPCR5287</t>
  </si>
  <si>
    <t>HPCR5367</t>
  </si>
  <si>
    <t>HPCR5387</t>
  </si>
  <si>
    <t>HPCR5487</t>
  </si>
  <si>
    <t>HNCR3167</t>
  </si>
  <si>
    <t>HNCR3267</t>
  </si>
  <si>
    <t>HNCR3367</t>
  </si>
  <si>
    <t>HNCR3467</t>
  </si>
  <si>
    <t>HNCR3567</t>
  </si>
  <si>
    <t>HNCR3667</t>
  </si>
  <si>
    <t>HNCR4167</t>
  </si>
  <si>
    <t>HNCR4247</t>
  </si>
  <si>
    <t>HNCR4267</t>
  </si>
  <si>
    <t>HNCR4367</t>
  </si>
  <si>
    <t>HNCR4467</t>
  </si>
  <si>
    <t>HHN5247</t>
  </si>
  <si>
    <t>HNCR5287</t>
  </si>
  <si>
    <t>HNCR5367</t>
  </si>
  <si>
    <t>HNCR5387</t>
  </si>
  <si>
    <t>HNCR5487</t>
  </si>
  <si>
    <t>BPEV 70</t>
  </si>
  <si>
    <t>CP16</t>
  </si>
  <si>
    <t>CP26</t>
  </si>
  <si>
    <t>CP36</t>
  </si>
  <si>
    <t>CP46</t>
  </si>
  <si>
    <t>CP56</t>
  </si>
  <si>
    <t>CP14</t>
  </si>
  <si>
    <t>CP24</t>
  </si>
  <si>
    <t>CP34</t>
  </si>
  <si>
    <t>CP44</t>
  </si>
  <si>
    <t>CP54</t>
  </si>
  <si>
    <t>HP16</t>
  </si>
  <si>
    <t>HP26</t>
  </si>
  <si>
    <t>HP36</t>
  </si>
  <si>
    <t>HP46</t>
  </si>
  <si>
    <t>HP56</t>
  </si>
  <si>
    <t>HP14</t>
  </si>
  <si>
    <t>HP24</t>
  </si>
  <si>
    <t>HP34</t>
  </si>
  <si>
    <t>HP44</t>
  </si>
  <si>
    <t>HP54</t>
  </si>
  <si>
    <t>OPTION</t>
  </si>
  <si>
    <t>Detendeur et VEM montée</t>
  </si>
  <si>
    <t>resistance virole 7%</t>
  </si>
  <si>
    <t>traitement epoxy 9%</t>
  </si>
  <si>
    <t>DET</t>
  </si>
  <si>
    <t>double bac</t>
  </si>
  <si>
    <t>resistance de virole</t>
  </si>
  <si>
    <t>VEM</t>
  </si>
  <si>
    <t xml:space="preserve">cache coude </t>
  </si>
  <si>
    <t>HHNR5247</t>
  </si>
  <si>
    <t>CPC3667</t>
  </si>
  <si>
    <t>resistance de bac</t>
  </si>
  <si>
    <t>Panneau</t>
  </si>
  <si>
    <t>Chambre froide</t>
  </si>
  <si>
    <t xml:space="preserve">Longueur </t>
  </si>
  <si>
    <t xml:space="preserve">Largeur </t>
  </si>
  <si>
    <t>HSP</t>
  </si>
  <si>
    <t>Surface</t>
  </si>
  <si>
    <t>Modèle</t>
  </si>
  <si>
    <t>Prix Evap</t>
  </si>
  <si>
    <t>DET/VEM</t>
  </si>
  <si>
    <t>Double bac isolé</t>
  </si>
  <si>
    <t>Rés. De bac</t>
  </si>
  <si>
    <t>Rés. De virolle</t>
  </si>
  <si>
    <t>Trait Epoxy</t>
  </si>
  <si>
    <t>Cache coude</t>
  </si>
  <si>
    <t xml:space="preserve">Nom : </t>
  </si>
  <si>
    <t>modèle F1</t>
  </si>
  <si>
    <t>Modèle b9</t>
  </si>
  <si>
    <t>modèle c9</t>
  </si>
  <si>
    <t>modèle d9</t>
  </si>
  <si>
    <t>modèle e9</t>
  </si>
  <si>
    <t>modèle g9</t>
  </si>
  <si>
    <t>modèle f90</t>
  </si>
  <si>
    <t>modèle g4</t>
  </si>
  <si>
    <t>modèle c100</t>
  </si>
  <si>
    <t>modèle d100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</si>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</sst>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-* #,##0.00\ &quot;€&quot;_-;\-* #,##0.00\ &quot;€&quot;_-;_-* &quot;-&quot;??\ &quot;€&quot;_-;_-@_-"/>
    <numFmt numFmtId="164" formatCode="\ #,##0.0&quot;    &quot;;\-#,##0.0&quot;    &quot;;&quot; -&quot;#&quot;    &quot;;@\ "/>
    <numFmt numFmtId="165" formatCode="\ #,##0.00&quot;    &quot;;\-#,##0.00&quot;    &quot;;&quot; -&quot;#&quot;    &quot;;@\ "/>
    <numFmt numFmtId="166" formatCode="\ #,##0&quot;    &quot;;\-#,##0&quot;    &quot;;&quot; -&quot;#&quot;    &quot;;@\ "/>
    <numFmt numFmtId="167" formatCode="\ #,##0.0&quot;   &quot;;\-#,##0.0&quot;   &quot;;&quot; -&quot;#&quot;   &quot;;@\ "/>
    <numFmt numFmtId="168" formatCode="\ #,##0.0000&quot;    &quot;;\-#,##0.0000&quot;    &quot;;&quot; -&quot;#&quot;    &quot;;@\ "/>
    <numFmt numFmtId="169" formatCode="\ #,##0.000&quot;    &quot;;\-#,##0.000&quot;    &quot;;&quot; -&quot;#&quot;    &quot;;@\ "/>
    <numFmt numFmtId="170" formatCode="0.00\ %"/>
    <numFmt numFmtId="171" formatCode="\ #,##0.000&quot;   &quot;;\-#,##0.000&quot;   &quot;;&quot; -&quot;#&quot;   &quot;;@\ "/>
    <numFmt numFmtId="172" formatCode="#,##0.0&quot;   &quot;"/>
    <numFmt numFmtId="173" formatCode="\ #,##0&quot;  &quot;;\-#,##0&quot;  &quot;;&quot; -&quot;#&quot;  &quot;;@\ "/>
    <numFmt numFmtId="174" formatCode="\ #,##0.0&quot;  &quot;;\-#,##0.0&quot;  &quot;;&quot; -&quot;#&quot;  &quot;;@\ "/>
    <numFmt numFmtId="175" formatCode="\ #,##0.00&quot;    &quot;;\-#,##0.000&quot;    &quot;;&quot; -&quot;#&quot;    &quot;;@\ "/>
    <numFmt numFmtId="176" formatCode="#,##0_ ;\-#,##0\ "/>
    <numFmt numFmtId="177" formatCode="#,##0.00_ ;\-#,##0.00\ "/>
    <numFmt numFmtId="178" formatCode="0.0"/>
    <numFmt numFmtId="179" formatCode="_-* #,##0.0\ &quot;€&quot;_-;\-* #,##0.0\ &quot;€&quot;_-;_-* &quot;-&quot;?\ &quot;€&quot;_-;_-@_-"/>
    <numFmt numFmtId="180" formatCode="_-* #,##0.0\ &quot;€&quot;_-;\-* #,##0.0\ &quot;€&quot;_-;_-* &quot;-&quot;??\ &quot;€&quot;_-;_-@_-"/>
    <numFmt numFmtId="181" formatCode="#,##0.00\ &quot;€&quot;"/>
  </numFmts>
  <fonts count="3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333399"/>
      <name val="Cambria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b/>
      <i/>
      <u/>
      <sz val="14"/>
      <color rgb="FF0000FF"/>
      <name val="Arial"/>
      <family val="2"/>
    </font>
    <font>
      <sz val="14"/>
      <name val="Arial"/>
      <family val="2"/>
    </font>
    <font>
      <sz val="14"/>
      <color rgb="FF000000"/>
      <name val="Segoe UI"/>
      <family val="2"/>
    </font>
    <font>
      <sz val="11"/>
      <name val="Arial"/>
      <family val="2"/>
    </font>
    <font>
      <sz val="6"/>
      <name val="Arial"/>
      <family val="2"/>
    </font>
    <font>
      <vertAlign val="subscript"/>
      <sz val="10"/>
      <name val="Arial"/>
      <family val="2"/>
    </font>
    <font>
      <sz val="12"/>
      <color rgb="FFFF0000"/>
      <name val="Arial"/>
      <family val="2"/>
    </font>
    <font>
      <sz val="12"/>
      <color rgb="FFFFFFFF"/>
      <name val="Arial"/>
      <family val="2"/>
    </font>
    <font>
      <sz val="6"/>
      <color rgb="FFFF0000"/>
      <name val="Arial"/>
      <family val="2"/>
    </font>
    <font>
      <sz val="14"/>
      <name val="Symbol"/>
      <family val="1"/>
      <charset val="2"/>
    </font>
    <font>
      <sz val="14"/>
      <color rgb="FFFF0000"/>
      <name val="Arial"/>
      <family val="2"/>
    </font>
    <font>
      <sz val="10"/>
      <color rgb="FFFFFFFF"/>
      <name val="Arial"/>
      <family val="2"/>
    </font>
    <font>
      <sz val="20"/>
      <name val="Arial"/>
      <family val="2"/>
    </font>
    <font>
      <sz val="13"/>
      <color rgb="FFFFFFFF"/>
      <name val="Arial"/>
      <family val="2"/>
    </font>
    <font>
      <sz val="13"/>
      <name val="Arial"/>
      <family val="2"/>
    </font>
    <font>
      <sz val="19"/>
      <name val="Arial"/>
      <family val="2"/>
    </font>
    <font>
      <sz val="10"/>
      <name val="Calibri"/>
      <family val="2"/>
    </font>
    <font>
      <b/>
      <sz val="15"/>
      <color rgb="FFFFFFFF"/>
      <name val="Arial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0"/>
      <color theme="11"/>
      <name val="Arial"/>
      <family val="2"/>
    </font>
    <font>
      <sz val="10"/>
      <color rgb="FFFF0000"/>
      <name val="Arial"/>
      <family val="2"/>
    </font>
    <font>
      <sz val="1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0"/>
        <bgColor rgb="FFFFFF99"/>
      </patternFill>
    </fill>
    <fill>
      <patternFill patternType="solid">
        <fgColor rgb="FFFFCC99"/>
        <bgColor rgb="FFE6E6E6"/>
      </patternFill>
    </fill>
    <fill>
      <patternFill patternType="solid">
        <fgColor rgb="FFFFFF00"/>
        <bgColor rgb="FFFFFF00"/>
      </patternFill>
    </fill>
    <fill>
      <patternFill patternType="solid">
        <fgColor rgb="FFE6E6E6"/>
        <bgColor rgb="FFFFFFFF"/>
      </patternFill>
    </fill>
    <fill>
      <patternFill patternType="solid">
        <fgColor rgb="FFFFFF99"/>
        <bgColor rgb="FFFFFFC0"/>
      </patternFill>
    </fill>
    <fill>
      <patternFill patternType="solid">
        <fgColor rgb="FFFFFFFF"/>
        <bgColor rgb="FFFFFFC0"/>
      </patternFill>
    </fill>
    <fill>
      <patternFill patternType="solid">
        <fgColor rgb="FF3333CC"/>
        <bgColor rgb="FF333399"/>
      </patternFill>
    </fill>
    <fill>
      <patternFill patternType="solid">
        <fgColor rgb="FFFF0000"/>
        <bgColor rgb="FF993300"/>
      </patternFill>
    </fill>
    <fill>
      <patternFill patternType="solid">
        <fgColor rgb="FF00FF00"/>
        <bgColor rgb="FF33CCCC"/>
      </patternFill>
    </fill>
    <fill>
      <patternFill patternType="solid">
        <fgColor rgb="FFA6CAF0"/>
        <bgColor rgb="FFCCCCFF"/>
      </patternFill>
    </fill>
    <fill>
      <patternFill patternType="solid">
        <fgColor rgb="FF008000"/>
        <bgColor rgb="FF008080"/>
      </patternFill>
    </fill>
    <fill>
      <patternFill patternType="solid">
        <fgColor rgb="FF999933"/>
        <bgColor rgb="FF969696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0">
    <xf numFmtId="0" fontId="0" fillId="0" borderId="0"/>
    <xf numFmtId="165" fontId="5" fillId="0" borderId="0" applyBorder="0" applyAlignment="0" applyProtection="0"/>
    <xf numFmtId="0" fontId="6" fillId="0" borderId="0" applyBorder="0" applyAlignment="0" applyProtection="0"/>
    <xf numFmtId="0" fontId="4" fillId="0" borderId="0"/>
    <xf numFmtId="0" fontId="3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341">
    <xf numFmtId="0" fontId="0" fillId="0" borderId="0" xfId="0"/>
    <xf numFmtId="0" fontId="0" fillId="0" borderId="0" xfId="0" applyFont="1" applyProtection="1"/>
    <xf numFmtId="164" fontId="0" fillId="0" borderId="0" xfId="0" applyNumberFormat="1" applyFont="1" applyProtection="1"/>
    <xf numFmtId="166" fontId="0" fillId="0" borderId="0" xfId="1" applyNumberFormat="1" applyFont="1" applyBorder="1" applyAlignment="1" applyProtection="1">
      <alignment vertical="top"/>
    </xf>
    <xf numFmtId="166" fontId="8" fillId="0" borderId="0" xfId="1" applyNumberFormat="1" applyFont="1" applyBorder="1" applyAlignment="1" applyProtection="1"/>
    <xf numFmtId="166" fontId="8" fillId="0" borderId="2" xfId="1" applyNumberFormat="1" applyFont="1" applyBorder="1" applyAlignment="1" applyProtection="1">
      <alignment horizontal="center"/>
    </xf>
    <xf numFmtId="166" fontId="8" fillId="0" borderId="3" xfId="1" applyNumberFormat="1" applyFont="1" applyBorder="1" applyAlignment="1" applyProtection="1">
      <alignment horizontal="center"/>
    </xf>
    <xf numFmtId="166" fontId="8" fillId="0" borderId="4" xfId="1" applyNumberFormat="1" applyFont="1" applyBorder="1" applyAlignment="1" applyProtection="1">
      <alignment horizontal="center"/>
    </xf>
    <xf numFmtId="166" fontId="8" fillId="0" borderId="5" xfId="1" applyNumberFormat="1" applyFont="1" applyBorder="1" applyAlignment="1" applyProtection="1"/>
    <xf numFmtId="166" fontId="8" fillId="0" borderId="6" xfId="1" applyNumberFormat="1" applyFont="1" applyBorder="1" applyAlignment="1" applyProtection="1">
      <alignment horizontal="center"/>
    </xf>
    <xf numFmtId="166" fontId="8" fillId="0" borderId="7" xfId="1" applyNumberFormat="1" applyFont="1" applyBorder="1" applyAlignment="1" applyProtection="1">
      <alignment horizontal="center"/>
    </xf>
    <xf numFmtId="164" fontId="10" fillId="3" borderId="2" xfId="1" applyNumberFormat="1" applyFont="1" applyFill="1" applyBorder="1" applyAlignment="1" applyProtection="1">
      <alignment horizontal="center"/>
      <protection locked="0"/>
    </xf>
    <xf numFmtId="164" fontId="10" fillId="3" borderId="3" xfId="1" applyNumberFormat="1" applyFont="1" applyFill="1" applyBorder="1" applyAlignment="1" applyProtection="1">
      <alignment horizontal="center"/>
      <protection locked="0"/>
    </xf>
    <xf numFmtId="164" fontId="8" fillId="0" borderId="4" xfId="1" applyNumberFormat="1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left"/>
    </xf>
    <xf numFmtId="167" fontId="10" fillId="3" borderId="6" xfId="1" applyNumberFormat="1" applyFont="1" applyFill="1" applyBorder="1" applyAlignment="1" applyProtection="1">
      <alignment horizontal="right"/>
      <protection locked="0"/>
    </xf>
    <xf numFmtId="167" fontId="9" fillId="3" borderId="6" xfId="1" applyNumberFormat="1" applyFont="1" applyFill="1" applyBorder="1" applyAlignment="1" applyProtection="1">
      <alignment horizontal="right"/>
      <protection locked="0"/>
    </xf>
    <xf numFmtId="167" fontId="9" fillId="3" borderId="6" xfId="1" applyNumberFormat="1" applyFont="1" applyFill="1" applyBorder="1" applyAlignment="1" applyProtection="1">
      <protection locked="0"/>
    </xf>
    <xf numFmtId="167" fontId="9" fillId="3" borderId="7" xfId="1" applyNumberFormat="1" applyFont="1" applyFill="1" applyBorder="1" applyAlignment="1" applyProtection="1">
      <protection locked="0"/>
    </xf>
    <xf numFmtId="166" fontId="8" fillId="0" borderId="8" xfId="1" applyNumberFormat="1" applyFont="1" applyBorder="1" applyAlignment="1" applyProtection="1">
      <alignment horizontal="center"/>
    </xf>
    <xf numFmtId="166" fontId="8" fillId="0" borderId="9" xfId="1" applyNumberFormat="1" applyFont="1" applyBorder="1" applyAlignment="1" applyProtection="1">
      <alignment horizontal="center"/>
    </xf>
    <xf numFmtId="166" fontId="8" fillId="0" borderId="10" xfId="1" applyNumberFormat="1" applyFont="1" applyBorder="1" applyAlignment="1" applyProtection="1">
      <alignment horizontal="center"/>
    </xf>
    <xf numFmtId="167" fontId="9" fillId="2" borderId="6" xfId="1" applyNumberFormat="1" applyFont="1" applyFill="1" applyBorder="1" applyAlignment="1" applyProtection="1">
      <protection locked="0"/>
    </xf>
    <xf numFmtId="166" fontId="8" fillId="0" borderId="11" xfId="1" applyNumberFormat="1" applyFont="1" applyBorder="1" applyAlignment="1" applyProtection="1"/>
    <xf numFmtId="166" fontId="8" fillId="0" borderId="12" xfId="1" applyNumberFormat="1" applyFont="1" applyBorder="1" applyAlignment="1" applyProtection="1"/>
    <xf numFmtId="166" fontId="8" fillId="0" borderId="5" xfId="1" applyNumberFormat="1" applyFont="1" applyBorder="1" applyAlignment="1" applyProtection="1">
      <alignment horizontal="left"/>
    </xf>
    <xf numFmtId="165" fontId="12" fillId="0" borderId="6" xfId="1" applyFont="1" applyBorder="1" applyAlignment="1" applyProtection="1">
      <alignment horizontal="right"/>
    </xf>
    <xf numFmtId="165" fontId="0" fillId="0" borderId="6" xfId="1" applyFont="1" applyBorder="1" applyAlignment="1" applyProtection="1">
      <alignment horizontal="right"/>
    </xf>
    <xf numFmtId="166" fontId="8" fillId="0" borderId="13" xfId="1" applyNumberFormat="1" applyFont="1" applyBorder="1" applyAlignment="1" applyProtection="1"/>
    <xf numFmtId="164" fontId="10" fillId="3" borderId="15" xfId="1" applyNumberFormat="1" applyFont="1" applyFill="1" applyBorder="1" applyAlignment="1" applyProtection="1">
      <alignment horizontal="center"/>
      <protection locked="0"/>
    </xf>
    <xf numFmtId="166" fontId="8" fillId="0" borderId="0" xfId="1" applyNumberFormat="1" applyFont="1" applyBorder="1" applyAlignment="1" applyProtection="1">
      <alignment horizontal="center"/>
    </xf>
    <xf numFmtId="166" fontId="8" fillId="0" borderId="16" xfId="1" applyNumberFormat="1" applyFont="1" applyBorder="1" applyAlignment="1" applyProtection="1"/>
    <xf numFmtId="166" fontId="8" fillId="0" borderId="17" xfId="1" applyNumberFormat="1" applyFont="1" applyBorder="1" applyAlignment="1" applyProtection="1">
      <alignment horizontal="center"/>
    </xf>
    <xf numFmtId="168" fontId="0" fillId="0" borderId="6" xfId="1" applyNumberFormat="1" applyFont="1" applyBorder="1" applyAlignment="1" applyProtection="1">
      <alignment horizontal="right"/>
    </xf>
    <xf numFmtId="169" fontId="12" fillId="0" borderId="6" xfId="1" applyNumberFormat="1" applyFont="1" applyBorder="1" applyAlignment="1" applyProtection="1">
      <alignment horizontal="right"/>
    </xf>
    <xf numFmtId="166" fontId="8" fillId="0" borderId="18" xfId="1" applyNumberFormat="1" applyFont="1" applyBorder="1" applyAlignment="1" applyProtection="1">
      <alignment horizontal="left"/>
    </xf>
    <xf numFmtId="166" fontId="0" fillId="0" borderId="19" xfId="1" applyNumberFormat="1" applyFont="1" applyBorder="1" applyAlignment="1" applyProtection="1">
      <alignment horizontal="right"/>
    </xf>
    <xf numFmtId="0" fontId="0" fillId="0" borderId="0" xfId="0" applyFont="1" applyProtection="1"/>
    <xf numFmtId="166" fontId="8" fillId="0" borderId="0" xfId="1" applyNumberFormat="1" applyFont="1" applyBorder="1" applyAlignment="1" applyProtection="1">
      <alignment horizontal="left"/>
    </xf>
    <xf numFmtId="166" fontId="0" fillId="0" borderId="0" xfId="1" applyNumberFormat="1" applyFont="1" applyBorder="1" applyAlignment="1" applyProtection="1">
      <alignment horizontal="right"/>
    </xf>
    <xf numFmtId="0" fontId="8" fillId="0" borderId="0" xfId="0" applyFont="1" applyBorder="1" applyProtection="1"/>
    <xf numFmtId="166" fontId="8" fillId="5" borderId="21" xfId="1" applyNumberFormat="1" applyFont="1" applyFill="1" applyBorder="1" applyAlignment="1" applyProtection="1">
      <alignment vertical="center"/>
    </xf>
    <xf numFmtId="166" fontId="0" fillId="5" borderId="21" xfId="1" applyNumberFormat="1" applyFont="1" applyFill="1" applyBorder="1" applyAlignment="1" applyProtection="1">
      <alignment horizontal="center" vertical="center"/>
    </xf>
    <xf numFmtId="166" fontId="0" fillId="5" borderId="21" xfId="1" applyNumberFormat="1" applyFont="1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166" fontId="8" fillId="0" borderId="0" xfId="1" applyNumberFormat="1" applyFont="1" applyBorder="1" applyAlignment="1" applyProtection="1">
      <alignment vertical="center"/>
    </xf>
    <xf numFmtId="171" fontId="10" fillId="2" borderId="0" xfId="1" applyNumberFormat="1" applyFont="1" applyFill="1" applyBorder="1" applyAlignment="1" applyProtection="1">
      <alignment horizontal="right"/>
      <protection locked="0"/>
    </xf>
    <xf numFmtId="166" fontId="16" fillId="0" borderId="0" xfId="1" applyNumberFormat="1" applyFont="1" applyBorder="1" applyAlignment="1" applyProtection="1"/>
    <xf numFmtId="169" fontId="8" fillId="0" borderId="0" xfId="1" applyNumberFormat="1" applyFont="1" applyBorder="1" applyAlignment="1" applyProtection="1">
      <alignment horizontal="center"/>
    </xf>
    <xf numFmtId="172" fontId="8" fillId="0" borderId="0" xfId="1" applyNumberFormat="1" applyFont="1" applyBorder="1" applyAlignment="1" applyProtection="1">
      <alignment horizontal="right"/>
    </xf>
    <xf numFmtId="167" fontId="8" fillId="6" borderId="0" xfId="1" applyNumberFormat="1" applyFont="1" applyFill="1" applyBorder="1" applyAlignment="1" applyProtection="1"/>
    <xf numFmtId="166" fontId="8" fillId="0" borderId="1" xfId="1" applyNumberFormat="1" applyFont="1" applyBorder="1" applyAlignment="1" applyProtection="1"/>
    <xf numFmtId="166" fontId="8" fillId="0" borderId="22" xfId="1" applyNumberFormat="1" applyFont="1" applyBorder="1" applyAlignment="1" applyProtection="1"/>
    <xf numFmtId="166" fontId="17" fillId="0" borderId="0" xfId="1" applyNumberFormat="1" applyFont="1" applyBorder="1" applyAlignment="1" applyProtection="1"/>
    <xf numFmtId="164" fontId="17" fillId="0" borderId="0" xfId="1" applyNumberFormat="1" applyFont="1" applyBorder="1" applyAlignment="1" applyProtection="1"/>
    <xf numFmtId="166" fontId="0" fillId="0" borderId="11" xfId="1" applyNumberFormat="1" applyFont="1" applyBorder="1" applyAlignment="1" applyProtection="1">
      <alignment vertical="center"/>
    </xf>
    <xf numFmtId="166" fontId="0" fillId="0" borderId="12" xfId="1" applyNumberFormat="1" applyFont="1" applyBorder="1" applyAlignment="1" applyProtection="1">
      <alignment vertical="center"/>
    </xf>
    <xf numFmtId="166" fontId="0" fillId="0" borderId="23" xfId="1" applyNumberFormat="1" applyFont="1" applyBorder="1" applyAlignment="1" applyProtection="1">
      <alignment vertical="center"/>
    </xf>
    <xf numFmtId="166" fontId="8" fillId="0" borderId="24" xfId="1" applyNumberFormat="1" applyFont="1" applyBorder="1" applyAlignment="1" applyProtection="1">
      <alignment horizontal="right" vertical="center"/>
    </xf>
    <xf numFmtId="166" fontId="8" fillId="0" borderId="25" xfId="1" applyNumberFormat="1" applyFont="1" applyBorder="1" applyAlignment="1" applyProtection="1">
      <alignment vertical="center"/>
    </xf>
    <xf numFmtId="164" fontId="8" fillId="0" borderId="0" xfId="1" applyNumberFormat="1" applyFont="1" applyBorder="1" applyAlignment="1" applyProtection="1">
      <alignment vertical="center"/>
    </xf>
    <xf numFmtId="166" fontId="0" fillId="0" borderId="2" xfId="1" applyNumberFormat="1" applyFont="1" applyBorder="1" applyAlignment="1" applyProtection="1">
      <alignment vertical="center"/>
    </xf>
    <xf numFmtId="166" fontId="0" fillId="0" borderId="26" xfId="1" applyNumberFormat="1" applyFont="1" applyBorder="1" applyAlignment="1" applyProtection="1">
      <alignment vertical="center"/>
    </xf>
    <xf numFmtId="166" fontId="0" fillId="0" borderId="27" xfId="1" applyNumberFormat="1" applyFont="1" applyBorder="1" applyAlignment="1" applyProtection="1">
      <alignment vertical="center"/>
    </xf>
    <xf numFmtId="166" fontId="8" fillId="0" borderId="6" xfId="1" applyNumberFormat="1" applyFont="1" applyBorder="1" applyAlignment="1" applyProtection="1">
      <alignment horizontal="right" vertical="center"/>
    </xf>
    <xf numFmtId="166" fontId="8" fillId="0" borderId="4" xfId="1" applyNumberFormat="1" applyFont="1" applyBorder="1" applyAlignment="1" applyProtection="1">
      <alignment vertical="center"/>
    </xf>
    <xf numFmtId="166" fontId="8" fillId="0" borderId="11" xfId="1" applyNumberFormat="1" applyFont="1" applyBorder="1" applyAlignment="1" applyProtection="1">
      <alignment horizontal="left" vertical="center"/>
    </xf>
    <xf numFmtId="173" fontId="8" fillId="0" borderId="24" xfId="1" applyNumberFormat="1" applyFont="1" applyBorder="1" applyAlignment="1" applyProtection="1">
      <alignment vertical="center"/>
    </xf>
    <xf numFmtId="166" fontId="14" fillId="0" borderId="12" xfId="1" applyNumberFormat="1" applyFont="1" applyBorder="1" applyAlignment="1" applyProtection="1">
      <alignment vertical="center"/>
    </xf>
    <xf numFmtId="174" fontId="14" fillId="0" borderId="28" xfId="1" applyNumberFormat="1" applyFont="1" applyBorder="1" applyAlignment="1" applyProtection="1">
      <alignment horizontal="right" vertical="center"/>
    </xf>
    <xf numFmtId="166" fontId="14" fillId="0" borderId="17" xfId="1" applyNumberFormat="1" applyFont="1" applyBorder="1" applyAlignment="1" applyProtection="1">
      <alignment vertical="center"/>
    </xf>
    <xf numFmtId="166" fontId="0" fillId="0" borderId="8" xfId="1" applyNumberFormat="1" applyFont="1" applyBorder="1" applyAlignment="1" applyProtection="1">
      <alignment vertical="center"/>
    </xf>
    <xf numFmtId="166" fontId="0" fillId="0" borderId="29" xfId="1" applyNumberFormat="1" applyFont="1" applyBorder="1" applyAlignment="1" applyProtection="1">
      <alignment vertical="center"/>
    </xf>
    <xf numFmtId="166" fontId="0" fillId="0" borderId="30" xfId="1" applyNumberFormat="1" applyFont="1" applyBorder="1" applyAlignment="1" applyProtection="1">
      <alignment vertical="center"/>
    </xf>
    <xf numFmtId="166" fontId="8" fillId="0" borderId="19" xfId="1" applyNumberFormat="1" applyFont="1" applyBorder="1" applyAlignment="1" applyProtection="1">
      <alignment horizontal="right" vertical="center"/>
    </xf>
    <xf numFmtId="166" fontId="8" fillId="0" borderId="10" xfId="1" applyNumberFormat="1" applyFont="1" applyBorder="1" applyAlignment="1" applyProtection="1">
      <alignment vertical="center"/>
    </xf>
    <xf numFmtId="166" fontId="8" fillId="0" borderId="18" xfId="1" applyNumberFormat="1" applyFont="1" applyBorder="1" applyAlignment="1" applyProtection="1">
      <alignment horizontal="left" vertical="center"/>
    </xf>
    <xf numFmtId="174" fontId="14" fillId="0" borderId="19" xfId="1" applyNumberFormat="1" applyFont="1" applyBorder="1" applyAlignment="1" applyProtection="1">
      <alignment vertical="center"/>
    </xf>
    <xf numFmtId="166" fontId="14" fillId="0" borderId="31" xfId="1" applyNumberFormat="1" applyFont="1" applyBorder="1" applyAlignment="1" applyProtection="1">
      <alignment vertical="center"/>
    </xf>
    <xf numFmtId="164" fontId="14" fillId="0" borderId="0" xfId="1" applyNumberFormat="1" applyFont="1" applyBorder="1" applyAlignment="1" applyProtection="1">
      <alignment vertical="center"/>
    </xf>
    <xf numFmtId="166" fontId="14" fillId="0" borderId="0" xfId="1" applyNumberFormat="1" applyFont="1" applyBorder="1" applyAlignment="1" applyProtection="1">
      <alignment vertical="center"/>
    </xf>
    <xf numFmtId="164" fontId="8" fillId="5" borderId="21" xfId="1" applyNumberFormat="1" applyFont="1" applyFill="1" applyBorder="1" applyAlignment="1" applyProtection="1">
      <alignment vertical="center"/>
    </xf>
    <xf numFmtId="166" fontId="10" fillId="3" borderId="0" xfId="1" applyNumberFormat="1" applyFont="1" applyFill="1" applyBorder="1" applyAlignment="1" applyProtection="1">
      <alignment horizontal="right"/>
      <protection locked="0"/>
    </xf>
    <xf numFmtId="166" fontId="19" fillId="0" borderId="0" xfId="1" applyNumberFormat="1" applyFont="1" applyBorder="1" applyAlignment="1" applyProtection="1"/>
    <xf numFmtId="164" fontId="20" fillId="0" borderId="0" xfId="1" applyNumberFormat="1" applyFont="1" applyBorder="1" applyAlignment="1" applyProtection="1"/>
    <xf numFmtId="166" fontId="10" fillId="0" borderId="0" xfId="1" applyNumberFormat="1" applyFont="1" applyBorder="1" applyAlignment="1" applyProtection="1">
      <alignment horizontal="right"/>
      <protection locked="0"/>
    </xf>
    <xf numFmtId="164" fontId="10" fillId="3" borderId="0" xfId="1" applyNumberFormat="1" applyFont="1" applyFill="1" applyBorder="1" applyAlignment="1" applyProtection="1">
      <alignment horizontal="right"/>
      <protection locked="0"/>
    </xf>
    <xf numFmtId="164" fontId="8" fillId="0" borderId="0" xfId="1" applyNumberFormat="1" applyFont="1" applyBorder="1" applyAlignment="1" applyProtection="1">
      <alignment horizontal="center"/>
    </xf>
    <xf numFmtId="175" fontId="10" fillId="7" borderId="0" xfId="1" applyNumberFormat="1" applyFont="1" applyFill="1" applyBorder="1" applyAlignment="1" applyProtection="1">
      <alignment horizontal="right"/>
      <protection locked="0"/>
    </xf>
    <xf numFmtId="166" fontId="8" fillId="0" borderId="0" xfId="1" applyNumberFormat="1" applyFont="1" applyBorder="1" applyAlignment="1" applyProtection="1">
      <alignment horizontal="right"/>
    </xf>
    <xf numFmtId="164" fontId="8" fillId="0" borderId="0" xfId="1" applyNumberFormat="1" applyFont="1" applyBorder="1" applyAlignment="1" applyProtection="1">
      <alignment horizontal="right"/>
    </xf>
    <xf numFmtId="164" fontId="19" fillId="0" borderId="0" xfId="1" applyNumberFormat="1" applyFont="1" applyBorder="1" applyAlignment="1" applyProtection="1"/>
    <xf numFmtId="176" fontId="10" fillId="7" borderId="0" xfId="1" applyNumberFormat="1" applyFont="1" applyFill="1" applyBorder="1" applyAlignment="1" applyProtection="1">
      <alignment horizontal="right"/>
      <protection locked="0"/>
    </xf>
    <xf numFmtId="164" fontId="10" fillId="7" borderId="0" xfId="1" applyNumberFormat="1" applyFont="1" applyFill="1" applyBorder="1" applyAlignment="1" applyProtection="1">
      <alignment horizontal="right"/>
      <protection locked="0"/>
    </xf>
    <xf numFmtId="177" fontId="10" fillId="7" borderId="0" xfId="1" applyNumberFormat="1" applyFont="1" applyFill="1" applyBorder="1" applyAlignment="1" applyProtection="1">
      <alignment horizontal="right"/>
      <protection locked="0"/>
    </xf>
    <xf numFmtId="166" fontId="17" fillId="0" borderId="0" xfId="1" applyNumberFormat="1" applyFont="1" applyBorder="1" applyAlignment="1" applyProtection="1">
      <alignment horizontal="right"/>
    </xf>
    <xf numFmtId="166" fontId="21" fillId="0" borderId="0" xfId="1" applyNumberFormat="1" applyFont="1" applyBorder="1" applyAlignment="1" applyProtection="1"/>
    <xf numFmtId="164" fontId="21" fillId="0" borderId="0" xfId="1" applyNumberFormat="1" applyFont="1" applyBorder="1" applyAlignment="1" applyProtection="1"/>
    <xf numFmtId="166" fontId="8" fillId="0" borderId="12" xfId="1" applyNumberFormat="1" applyFont="1" applyBorder="1" applyAlignment="1" applyProtection="1">
      <alignment vertical="center"/>
    </xf>
    <xf numFmtId="166" fontId="8" fillId="0" borderId="32" xfId="1" applyNumberFormat="1" applyFont="1" applyBorder="1" applyAlignment="1" applyProtection="1">
      <alignment horizontal="right" vertical="center"/>
    </xf>
    <xf numFmtId="166" fontId="19" fillId="0" borderId="0" xfId="1" applyNumberFormat="1" applyFont="1" applyBorder="1" applyAlignment="1" applyProtection="1">
      <alignment vertical="center"/>
    </xf>
    <xf numFmtId="164" fontId="19" fillId="0" borderId="0" xfId="1" applyNumberFormat="1" applyFont="1" applyBorder="1" applyAlignment="1" applyProtection="1">
      <alignment vertical="center"/>
    </xf>
    <xf numFmtId="166" fontId="8" fillId="0" borderId="2" xfId="1" applyNumberFormat="1" applyFont="1" applyBorder="1" applyAlignment="1" applyProtection="1">
      <alignment horizontal="left" vertical="center"/>
    </xf>
    <xf numFmtId="166" fontId="8" fillId="0" borderId="26" xfId="1" applyNumberFormat="1" applyFont="1" applyBorder="1" applyAlignment="1" applyProtection="1">
      <alignment horizontal="left" vertical="center"/>
    </xf>
    <xf numFmtId="166" fontId="8" fillId="0" borderId="33" xfId="1" applyNumberFormat="1" applyFont="1" applyBorder="1" applyAlignment="1" applyProtection="1">
      <alignment horizontal="right" vertical="center"/>
    </xf>
    <xf numFmtId="166" fontId="8" fillId="0" borderId="2" xfId="1" applyNumberFormat="1" applyFont="1" applyBorder="1" applyAlignment="1" applyProtection="1">
      <alignment vertical="center"/>
    </xf>
    <xf numFmtId="166" fontId="8" fillId="0" borderId="26" xfId="1" applyNumberFormat="1" applyFont="1" applyBorder="1" applyAlignment="1" applyProtection="1">
      <alignment vertical="center"/>
    </xf>
    <xf numFmtId="166" fontId="0" fillId="0" borderId="11" xfId="1" applyNumberFormat="1" applyFont="1" applyBorder="1" applyAlignment="1" applyProtection="1">
      <alignment horizontal="left" vertical="center"/>
    </xf>
    <xf numFmtId="173" fontId="8" fillId="0" borderId="24" xfId="1" applyNumberFormat="1" applyFont="1" applyBorder="1" applyAlignment="1" applyProtection="1">
      <alignment horizontal="right" vertical="center"/>
    </xf>
    <xf numFmtId="166" fontId="8" fillId="0" borderId="8" xfId="1" applyNumberFormat="1" applyFont="1" applyBorder="1" applyAlignment="1" applyProtection="1">
      <alignment vertical="center"/>
    </xf>
    <xf numFmtId="166" fontId="8" fillId="0" borderId="29" xfId="1" applyNumberFormat="1" applyFont="1" applyBorder="1" applyAlignment="1" applyProtection="1">
      <alignment vertical="center"/>
    </xf>
    <xf numFmtId="166" fontId="8" fillId="0" borderId="34" xfId="1" applyNumberFormat="1" applyFont="1" applyBorder="1" applyAlignment="1" applyProtection="1">
      <alignment horizontal="right" vertical="center"/>
    </xf>
    <xf numFmtId="166" fontId="0" fillId="0" borderId="18" xfId="1" applyNumberFormat="1" applyFont="1" applyBorder="1" applyAlignment="1" applyProtection="1">
      <alignment horizontal="left" vertical="center"/>
    </xf>
    <xf numFmtId="166" fontId="10" fillId="3" borderId="0" xfId="1" applyNumberFormat="1" applyFont="1" applyFill="1" applyBorder="1" applyAlignment="1" applyProtection="1">
      <alignment horizontal="center"/>
      <protection locked="0"/>
    </xf>
    <xf numFmtId="164" fontId="8" fillId="0" borderId="0" xfId="1" applyNumberFormat="1" applyFont="1" applyBorder="1" applyAlignment="1" applyProtection="1"/>
    <xf numFmtId="169" fontId="8" fillId="0" borderId="0" xfId="1" applyNumberFormat="1" applyFont="1" applyBorder="1" applyAlignment="1" applyProtection="1">
      <alignment horizontal="right"/>
    </xf>
    <xf numFmtId="173" fontId="14" fillId="0" borderId="24" xfId="1" applyNumberFormat="1" applyFont="1" applyBorder="1" applyAlignment="1" applyProtection="1">
      <alignment horizontal="right" vertical="center"/>
    </xf>
    <xf numFmtId="166" fontId="8" fillId="0" borderId="14" xfId="1" applyNumberFormat="1" applyFont="1" applyBorder="1" applyAlignment="1" applyProtection="1">
      <alignment horizontal="left" vertical="center"/>
    </xf>
    <xf numFmtId="166" fontId="8" fillId="0" borderId="35" xfId="1" applyNumberFormat="1" applyFont="1" applyBorder="1" applyAlignment="1" applyProtection="1">
      <alignment horizontal="center" vertical="center"/>
    </xf>
    <xf numFmtId="166" fontId="8" fillId="0" borderId="28" xfId="1" applyNumberFormat="1" applyFont="1" applyBorder="1" applyAlignment="1" applyProtection="1">
      <alignment vertical="center"/>
    </xf>
    <xf numFmtId="166" fontId="8" fillId="0" borderId="17" xfId="1" applyNumberFormat="1" applyFont="1" applyBorder="1" applyAlignment="1" applyProtection="1">
      <alignment vertical="center"/>
    </xf>
    <xf numFmtId="166" fontId="17" fillId="0" borderId="0" xfId="1" applyNumberFormat="1" applyFont="1" applyBorder="1" applyAlignment="1" applyProtection="1">
      <alignment horizontal="left"/>
    </xf>
    <xf numFmtId="166" fontId="8" fillId="5" borderId="21" xfId="1" applyNumberFormat="1" applyFont="1" applyFill="1" applyBorder="1" applyAlignment="1" applyProtection="1">
      <alignment horizontal="left" vertical="center"/>
    </xf>
    <xf numFmtId="166" fontId="10" fillId="2" borderId="0" xfId="1" applyNumberFormat="1" applyFont="1" applyFill="1" applyBorder="1" applyAlignment="1" applyProtection="1">
      <alignment horizontal="right"/>
      <protection locked="0"/>
    </xf>
    <xf numFmtId="166" fontId="8" fillId="0" borderId="0" xfId="1" applyNumberFormat="1" applyFont="1" applyBorder="1" applyAlignment="1" applyProtection="1">
      <alignment horizontal="right" vertical="center"/>
    </xf>
    <xf numFmtId="166" fontId="8" fillId="0" borderId="35" xfId="1" applyNumberFormat="1" applyFont="1" applyBorder="1" applyAlignment="1" applyProtection="1">
      <alignment horizontal="left" vertical="center"/>
    </xf>
    <xf numFmtId="166" fontId="8" fillId="0" borderId="35" xfId="1" applyNumberFormat="1" applyFont="1" applyBorder="1" applyAlignment="1" applyProtection="1">
      <alignment horizontal="right" vertical="center"/>
    </xf>
    <xf numFmtId="166" fontId="8" fillId="5" borderId="21" xfId="1" applyNumberFormat="1" applyFont="1" applyFill="1" applyBorder="1" applyAlignment="1" applyProtection="1">
      <alignment horizontal="right" vertical="center"/>
    </xf>
    <xf numFmtId="164" fontId="10" fillId="2" borderId="0" xfId="1" applyNumberFormat="1" applyFont="1" applyFill="1" applyBorder="1" applyAlignment="1" applyProtection="1">
      <alignment horizontal="right"/>
      <protection locked="0"/>
    </xf>
    <xf numFmtId="165" fontId="8" fillId="0" borderId="0" xfId="1" applyFont="1" applyBorder="1" applyAlignment="1" applyProtection="1"/>
    <xf numFmtId="169" fontId="8" fillId="0" borderId="0" xfId="1" applyNumberFormat="1" applyFont="1" applyBorder="1" applyAlignment="1" applyProtection="1"/>
    <xf numFmtId="0" fontId="17" fillId="0" borderId="0" xfId="0" applyFont="1" applyProtection="1"/>
    <xf numFmtId="166" fontId="8" fillId="0" borderId="37" xfId="1" applyNumberFormat="1" applyFont="1" applyBorder="1" applyAlignment="1" applyProtection="1">
      <alignment vertical="center"/>
    </xf>
    <xf numFmtId="166" fontId="8" fillId="0" borderId="38" xfId="1" applyNumberFormat="1" applyFont="1" applyBorder="1" applyAlignment="1" applyProtection="1">
      <alignment vertical="center"/>
    </xf>
    <xf numFmtId="165" fontId="8" fillId="0" borderId="37" xfId="1" applyFont="1" applyBorder="1" applyAlignment="1" applyProtection="1">
      <alignment horizontal="right" vertical="center"/>
    </xf>
    <xf numFmtId="166" fontId="8" fillId="0" borderId="39" xfId="1" applyNumberFormat="1" applyFont="1" applyBorder="1" applyAlignment="1" applyProtection="1">
      <alignment vertical="center"/>
    </xf>
    <xf numFmtId="165" fontId="8" fillId="0" borderId="40" xfId="1" applyFont="1" applyBorder="1" applyAlignment="1" applyProtection="1">
      <alignment horizontal="center" vertical="center"/>
    </xf>
    <xf numFmtId="166" fontId="8" fillId="0" borderId="40" xfId="1" applyNumberFormat="1" applyFont="1" applyBorder="1" applyAlignment="1" applyProtection="1">
      <alignment vertical="center"/>
    </xf>
    <xf numFmtId="166" fontId="22" fillId="0" borderId="41" xfId="1" applyNumberFormat="1" applyFont="1" applyBorder="1" applyAlignment="1" applyProtection="1">
      <alignment horizontal="right" vertical="center"/>
    </xf>
    <xf numFmtId="166" fontId="14" fillId="0" borderId="42" xfId="1" applyNumberFormat="1" applyFont="1" applyBorder="1" applyAlignment="1" applyProtection="1">
      <alignment vertical="center"/>
    </xf>
    <xf numFmtId="165" fontId="14" fillId="0" borderId="42" xfId="1" applyFont="1" applyBorder="1" applyAlignment="1" applyProtection="1">
      <alignment horizontal="right" vertical="center"/>
    </xf>
    <xf numFmtId="166" fontId="14" fillId="0" borderId="43" xfId="1" applyNumberFormat="1" applyFont="1" applyBorder="1" applyAlignment="1" applyProtection="1">
      <alignment vertical="center"/>
    </xf>
    <xf numFmtId="166" fontId="14" fillId="0" borderId="0" xfId="1" applyNumberFormat="1" applyFont="1" applyBorder="1" applyAlignment="1" applyProtection="1">
      <alignment horizontal="center" vertical="center"/>
    </xf>
    <xf numFmtId="174" fontId="23" fillId="0" borderId="41" xfId="1" applyNumberFormat="1" applyFont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5" xfId="0" applyFont="1" applyBorder="1" applyAlignment="1" applyProtection="1">
      <alignment horizontal="center" vertical="center"/>
    </xf>
    <xf numFmtId="2" fontId="0" fillId="0" borderId="3" xfId="0" applyNumberFormat="1" applyFont="1" applyBorder="1" applyAlignment="1" applyProtection="1">
      <alignment horizontal="center" vertical="center"/>
    </xf>
    <xf numFmtId="178" fontId="0" fillId="0" borderId="3" xfId="0" applyNumberFormat="1" applyFont="1" applyBorder="1" applyAlignment="1" applyProtection="1">
      <alignment horizontal="center" vertical="center" wrapText="1"/>
    </xf>
    <xf numFmtId="2" fontId="0" fillId="0" borderId="3" xfId="0" applyNumberFormat="1" applyFont="1" applyBorder="1" applyAlignment="1" applyProtection="1">
      <alignment horizontal="center" vertical="center" wrapText="1"/>
    </xf>
    <xf numFmtId="2" fontId="0" fillId="0" borderId="46" xfId="0" applyNumberFormat="1" applyFont="1" applyBorder="1" applyAlignment="1" applyProtection="1">
      <alignment horizontal="center" vertical="center" wrapText="1"/>
    </xf>
    <xf numFmtId="0" fontId="24" fillId="8" borderId="0" xfId="0" applyFont="1" applyFill="1"/>
    <xf numFmtId="2" fontId="0" fillId="4" borderId="0" xfId="0" applyNumberFormat="1" applyFill="1"/>
    <xf numFmtId="0" fontId="26" fillId="9" borderId="3" xfId="0" applyFont="1" applyFill="1" applyBorder="1" applyProtection="1"/>
    <xf numFmtId="178" fontId="20" fillId="9" borderId="3" xfId="0" applyNumberFormat="1" applyFont="1" applyFill="1" applyBorder="1" applyAlignment="1" applyProtection="1">
      <alignment horizontal="center"/>
    </xf>
    <xf numFmtId="2" fontId="20" fillId="9" borderId="3" xfId="0" applyNumberFormat="1" applyFont="1" applyFill="1" applyBorder="1" applyAlignment="1" applyProtection="1">
      <alignment horizontal="center"/>
    </xf>
    <xf numFmtId="1" fontId="20" fillId="9" borderId="3" xfId="0" applyNumberFormat="1" applyFont="1" applyFill="1" applyBorder="1" applyAlignment="1" applyProtection="1">
      <alignment horizontal="center"/>
    </xf>
    <xf numFmtId="0" fontId="0" fillId="0" borderId="0" xfId="0" applyFont="1" applyBorder="1" applyProtection="1"/>
    <xf numFmtId="0" fontId="27" fillId="10" borderId="3" xfId="0" applyFont="1" applyFill="1" applyBorder="1" applyProtection="1"/>
    <xf numFmtId="178" fontId="8" fillId="10" borderId="3" xfId="0" applyNumberFormat="1" applyFont="1" applyFill="1" applyBorder="1" applyAlignment="1" applyProtection="1">
      <alignment horizontal="center"/>
    </xf>
    <xf numFmtId="2" fontId="8" fillId="10" borderId="3" xfId="0" applyNumberFormat="1" applyFont="1" applyFill="1" applyBorder="1" applyAlignment="1" applyProtection="1">
      <alignment horizontal="center"/>
    </xf>
    <xf numFmtId="1" fontId="8" fillId="10" borderId="3" xfId="0" applyNumberFormat="1" applyFont="1" applyFill="1" applyBorder="1" applyAlignment="1" applyProtection="1">
      <alignment horizontal="center"/>
    </xf>
    <xf numFmtId="0" fontId="27" fillId="4" borderId="3" xfId="0" applyFont="1" applyFill="1" applyBorder="1" applyProtection="1"/>
    <xf numFmtId="178" fontId="8" fillId="4" borderId="3" xfId="0" applyNumberFormat="1" applyFont="1" applyFill="1" applyBorder="1" applyAlignment="1" applyProtection="1">
      <alignment horizontal="center"/>
    </xf>
    <xf numFmtId="2" fontId="8" fillId="4" borderId="3" xfId="0" applyNumberFormat="1" applyFont="1" applyFill="1" applyBorder="1" applyAlignment="1" applyProtection="1">
      <alignment horizontal="center"/>
    </xf>
    <xf numFmtId="1" fontId="8" fillId="4" borderId="3" xfId="0" applyNumberFormat="1" applyFont="1" applyFill="1" applyBorder="1" applyAlignment="1" applyProtection="1">
      <alignment horizontal="center"/>
    </xf>
    <xf numFmtId="0" fontId="27" fillId="11" borderId="3" xfId="0" applyFont="1" applyFill="1" applyBorder="1" applyProtection="1"/>
    <xf numFmtId="178" fontId="8" fillId="11" borderId="3" xfId="0" applyNumberFormat="1" applyFont="1" applyFill="1" applyBorder="1" applyAlignment="1" applyProtection="1">
      <alignment horizontal="center"/>
    </xf>
    <xf numFmtId="2" fontId="8" fillId="11" borderId="3" xfId="0" applyNumberFormat="1" applyFont="1" applyFill="1" applyBorder="1" applyAlignment="1" applyProtection="1">
      <alignment horizontal="center"/>
    </xf>
    <xf numFmtId="1" fontId="8" fillId="11" borderId="3" xfId="0" applyNumberFormat="1" applyFont="1" applyFill="1" applyBorder="1" applyAlignment="1" applyProtection="1">
      <alignment horizontal="center"/>
    </xf>
    <xf numFmtId="0" fontId="27" fillId="12" borderId="3" xfId="0" applyFont="1" applyFill="1" applyBorder="1" applyProtection="1"/>
    <xf numFmtId="178" fontId="8" fillId="12" borderId="3" xfId="0" applyNumberFormat="1" applyFont="1" applyFill="1" applyBorder="1" applyAlignment="1" applyProtection="1">
      <alignment horizontal="center"/>
    </xf>
    <xf numFmtId="2" fontId="8" fillId="12" borderId="3" xfId="0" applyNumberFormat="1" applyFont="1" applyFill="1" applyBorder="1" applyAlignment="1" applyProtection="1">
      <alignment horizontal="center"/>
    </xf>
    <xf numFmtId="1" fontId="8" fillId="12" borderId="3" xfId="0" applyNumberFormat="1" applyFont="1" applyFill="1" applyBorder="1" applyAlignment="1" applyProtection="1">
      <alignment horizontal="center"/>
    </xf>
    <xf numFmtId="0" fontId="27" fillId="13" borderId="3" xfId="0" applyFont="1" applyFill="1" applyBorder="1" applyProtection="1"/>
    <xf numFmtId="178" fontId="8" fillId="13" borderId="3" xfId="0" applyNumberFormat="1" applyFont="1" applyFill="1" applyBorder="1" applyAlignment="1" applyProtection="1">
      <alignment horizontal="center"/>
    </xf>
    <xf numFmtId="2" fontId="8" fillId="13" borderId="3" xfId="0" applyNumberFormat="1" applyFont="1" applyFill="1" applyBorder="1" applyAlignment="1" applyProtection="1">
      <alignment horizontal="center"/>
    </xf>
    <xf numFmtId="1" fontId="8" fillId="13" borderId="3" xfId="0" applyNumberFormat="1" applyFont="1" applyFill="1" applyBorder="1" applyAlignment="1" applyProtection="1">
      <alignment horizontal="center"/>
    </xf>
    <xf numFmtId="0" fontId="0" fillId="0" borderId="20" xfId="0" applyFont="1" applyBorder="1" applyProtection="1"/>
    <xf numFmtId="0" fontId="8" fillId="0" borderId="20" xfId="0" applyFont="1" applyBorder="1" applyProtection="1"/>
    <xf numFmtId="178" fontId="8" fillId="0" borderId="20" xfId="0" applyNumberFormat="1" applyFont="1" applyBorder="1" applyAlignment="1" applyProtection="1">
      <alignment horizontal="center"/>
    </xf>
    <xf numFmtId="2" fontId="8" fillId="0" borderId="20" xfId="0" applyNumberFormat="1" applyFont="1" applyBorder="1" applyAlignment="1" applyProtection="1">
      <alignment horizontal="center"/>
    </xf>
    <xf numFmtId="1" fontId="8" fillId="0" borderId="20" xfId="0" applyNumberFormat="1" applyFont="1" applyBorder="1" applyAlignment="1" applyProtection="1">
      <alignment horizontal="center"/>
    </xf>
    <xf numFmtId="0" fontId="0" fillId="0" borderId="0" xfId="0" applyFont="1" applyBorder="1" applyProtection="1"/>
    <xf numFmtId="0" fontId="8" fillId="0" borderId="0" xfId="0" applyFont="1" applyBorder="1" applyProtection="1"/>
    <xf numFmtId="178" fontId="8" fillId="0" borderId="0" xfId="0" applyNumberFormat="1" applyFont="1" applyBorder="1" applyAlignment="1" applyProtection="1">
      <alignment horizontal="center"/>
    </xf>
    <xf numFmtId="2" fontId="8" fillId="0" borderId="0" xfId="0" applyNumberFormat="1" applyFont="1" applyBorder="1" applyAlignment="1" applyProtection="1">
      <alignment horizontal="center"/>
    </xf>
    <xf numFmtId="1" fontId="8" fillId="0" borderId="0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left" vertical="center"/>
    </xf>
    <xf numFmtId="2" fontId="14" fillId="0" borderId="0" xfId="0" applyNumberFormat="1" applyFont="1" applyBorder="1" applyAlignment="1" applyProtection="1">
      <alignment horizontal="center" vertical="center"/>
    </xf>
    <xf numFmtId="178" fontId="20" fillId="0" borderId="0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Alignment="1">
      <alignment horizontal="right"/>
    </xf>
    <xf numFmtId="0" fontId="20" fillId="9" borderId="0" xfId="0" applyFont="1" applyFill="1"/>
    <xf numFmtId="0" fontId="0" fillId="9" borderId="0" xfId="0" applyFill="1"/>
    <xf numFmtId="0" fontId="0" fillId="7" borderId="0" xfId="0" applyFill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2" fontId="0" fillId="4" borderId="0" xfId="0" applyNumberFormat="1" applyFont="1" applyFill="1"/>
    <xf numFmtId="0" fontId="24" fillId="7" borderId="0" xfId="0" applyFont="1" applyFill="1"/>
    <xf numFmtId="2" fontId="0" fillId="7" borderId="0" xfId="0" applyNumberFormat="1" applyFont="1" applyFill="1"/>
    <xf numFmtId="2" fontId="0" fillId="7" borderId="0" xfId="0" applyNumberFormat="1" applyFill="1"/>
    <xf numFmtId="0" fontId="0" fillId="0" borderId="0" xfId="0" applyAlignment="1">
      <alignment horizontal="center"/>
    </xf>
    <xf numFmtId="0" fontId="0" fillId="0" borderId="0" xfId="0"/>
    <xf numFmtId="166" fontId="0" fillId="0" borderId="11" xfId="1" applyNumberFormat="1" applyFont="1" applyBorder="1" applyAlignment="1" applyProtection="1">
      <alignment vertical="top"/>
    </xf>
    <xf numFmtId="166" fontId="0" fillId="0" borderId="12" xfId="1" applyNumberFormat="1" applyFont="1" applyBorder="1" applyAlignment="1" applyProtection="1">
      <alignment vertical="top"/>
    </xf>
    <xf numFmtId="166" fontId="0" fillId="0" borderId="25" xfId="1" applyNumberFormat="1" applyFont="1" applyBorder="1" applyAlignment="1" applyProtection="1">
      <alignment vertical="top"/>
    </xf>
    <xf numFmtId="166" fontId="8" fillId="0" borderId="47" xfId="1" applyNumberFormat="1" applyFont="1" applyBorder="1" applyAlignment="1" applyProtection="1"/>
    <xf numFmtId="0" fontId="0" fillId="0" borderId="47" xfId="0" applyFont="1" applyBorder="1" applyProtection="1"/>
    <xf numFmtId="166" fontId="9" fillId="0" borderId="13" xfId="1" applyNumberFormat="1" applyFont="1" applyBorder="1" applyAlignment="1" applyProtection="1"/>
    <xf numFmtId="170" fontId="0" fillId="0" borderId="0" xfId="0" applyNumberFormat="1" applyFont="1" applyBorder="1" applyProtection="1"/>
    <xf numFmtId="0" fontId="13" fillId="0" borderId="0" xfId="0" applyFont="1" applyBorder="1" applyAlignment="1" applyProtection="1">
      <alignment horizontal="center" vertical="center"/>
    </xf>
    <xf numFmtId="166" fontId="9" fillId="5" borderId="48" xfId="1" applyNumberFormat="1" applyFont="1" applyFill="1" applyBorder="1" applyAlignment="1" applyProtection="1">
      <alignment vertical="center"/>
    </xf>
    <xf numFmtId="0" fontId="0" fillId="0" borderId="47" xfId="0" applyFont="1" applyBorder="1" applyAlignment="1" applyProtection="1">
      <alignment vertical="center"/>
    </xf>
    <xf numFmtId="166" fontId="8" fillId="5" borderId="13" xfId="1" applyNumberFormat="1" applyFont="1" applyFill="1" applyBorder="1" applyAlignment="1" applyProtection="1"/>
    <xf numFmtId="166" fontId="17" fillId="5" borderId="13" xfId="1" applyNumberFormat="1" applyFont="1" applyFill="1" applyBorder="1" applyAlignment="1" applyProtection="1"/>
    <xf numFmtId="166" fontId="17" fillId="0" borderId="47" xfId="1" applyNumberFormat="1" applyFont="1" applyBorder="1" applyAlignment="1" applyProtection="1"/>
    <xf numFmtId="166" fontId="8" fillId="5" borderId="13" xfId="1" applyNumberFormat="1" applyFont="1" applyFill="1" applyBorder="1" applyAlignment="1" applyProtection="1">
      <alignment vertical="center"/>
    </xf>
    <xf numFmtId="166" fontId="8" fillId="0" borderId="47" xfId="1" applyNumberFormat="1" applyFont="1" applyBorder="1" applyAlignment="1" applyProtection="1">
      <alignment vertical="center"/>
    </xf>
    <xf numFmtId="166" fontId="17" fillId="0" borderId="13" xfId="1" applyNumberFormat="1" applyFont="1" applyBorder="1" applyAlignment="1" applyProtection="1"/>
    <xf numFmtId="166" fontId="19" fillId="0" borderId="47" xfId="1" applyNumberFormat="1" applyFont="1" applyBorder="1" applyAlignment="1" applyProtection="1"/>
    <xf numFmtId="166" fontId="21" fillId="0" borderId="47" xfId="1" applyNumberFormat="1" applyFont="1" applyBorder="1" applyAlignment="1" applyProtection="1"/>
    <xf numFmtId="166" fontId="19" fillId="0" borderId="47" xfId="1" applyNumberFormat="1" applyFont="1" applyBorder="1" applyAlignment="1" applyProtection="1">
      <alignment vertical="center"/>
    </xf>
    <xf numFmtId="0" fontId="17" fillId="0" borderId="0" xfId="0" applyFont="1" applyBorder="1" applyProtection="1"/>
    <xf numFmtId="0" fontId="0" fillId="0" borderId="13" xfId="0" applyFont="1" applyBorder="1" applyProtection="1"/>
    <xf numFmtId="164" fontId="0" fillId="0" borderId="0" xfId="0" applyNumberFormat="1" applyFont="1" applyBorder="1" applyProtection="1"/>
    <xf numFmtId="0" fontId="0" fillId="0" borderId="8" xfId="0" applyFont="1" applyBorder="1" applyProtection="1"/>
    <xf numFmtId="0" fontId="0" fillId="0" borderId="29" xfId="0" applyFont="1" applyBorder="1" applyProtection="1"/>
    <xf numFmtId="0" fontId="14" fillId="0" borderId="29" xfId="0" applyFont="1" applyBorder="1" applyAlignment="1" applyProtection="1">
      <alignment horizontal="center" vertical="center" wrapText="1"/>
    </xf>
    <xf numFmtId="164" fontId="0" fillId="0" borderId="29" xfId="0" applyNumberFormat="1" applyFont="1" applyBorder="1" applyProtection="1"/>
    <xf numFmtId="0" fontId="0" fillId="0" borderId="10" xfId="0" applyFont="1" applyBorder="1" applyProtection="1"/>
    <xf numFmtId="166" fontId="9" fillId="0" borderId="8" xfId="1" applyNumberFormat="1" applyFont="1" applyBorder="1" applyAlignment="1" applyProtection="1"/>
    <xf numFmtId="166" fontId="8" fillId="0" borderId="29" xfId="1" applyNumberFormat="1" applyFont="1" applyBorder="1" applyAlignment="1" applyProtection="1"/>
    <xf numFmtId="166" fontId="8" fillId="0" borderId="29" xfId="1" applyNumberFormat="1" applyFont="1" applyBorder="1" applyAlignment="1" applyProtection="1">
      <alignment horizontal="left"/>
    </xf>
    <xf numFmtId="166" fontId="0" fillId="0" borderId="29" xfId="1" applyNumberFormat="1" applyFont="1" applyBorder="1" applyAlignment="1" applyProtection="1">
      <alignment horizontal="right"/>
    </xf>
    <xf numFmtId="0" fontId="15" fillId="0" borderId="0" xfId="0" applyFont="1" applyBorder="1" applyAlignment="1" applyProtection="1">
      <alignment horizontal="center"/>
    </xf>
    <xf numFmtId="166" fontId="9" fillId="0" borderId="0" xfId="1" applyNumberFormat="1" applyFont="1" applyBorder="1" applyAlignment="1" applyProtection="1">
      <alignment horizontal="center"/>
    </xf>
    <xf numFmtId="166" fontId="31" fillId="0" borderId="13" xfId="1" applyNumberFormat="1" applyFont="1" applyBorder="1" applyAlignment="1" applyProtection="1">
      <alignment horizontal="center"/>
    </xf>
    <xf numFmtId="166" fontId="31" fillId="0" borderId="0" xfId="1" applyNumberFormat="1" applyFont="1" applyBorder="1" applyAlignment="1" applyProtection="1">
      <alignment horizontal="center"/>
    </xf>
    <xf numFmtId="0" fontId="14" fillId="0" borderId="3" xfId="0" applyFont="1" applyBorder="1" applyProtection="1"/>
    <xf numFmtId="164" fontId="32" fillId="0" borderId="0" xfId="1" applyNumberFormat="1" applyFont="1" applyBorder="1" applyAlignment="1" applyProtection="1"/>
    <xf numFmtId="164" fontId="33" fillId="0" borderId="0" xfId="1" applyNumberFormat="1" applyFont="1" applyBorder="1" applyAlignment="1" applyProtection="1"/>
    <xf numFmtId="166" fontId="32" fillId="0" borderId="0" xfId="1" applyNumberFormat="1" applyFont="1" applyBorder="1" applyAlignment="1" applyProtection="1"/>
    <xf numFmtId="0" fontId="4" fillId="0" borderId="0" xfId="3"/>
    <xf numFmtId="0" fontId="4" fillId="0" borderId="3" xfId="3" applyBorder="1"/>
    <xf numFmtId="0" fontId="4" fillId="0" borderId="3" xfId="3" applyBorder="1" applyAlignment="1">
      <alignment horizontal="center"/>
    </xf>
    <xf numFmtId="44" fontId="4" fillId="0" borderId="3" xfId="3" applyNumberFormat="1" applyBorder="1" applyAlignment="1">
      <alignment horizontal="center"/>
    </xf>
    <xf numFmtId="0" fontId="4" fillId="0" borderId="3" xfId="3" applyFill="1" applyBorder="1" applyAlignment="1">
      <alignment horizontal="center"/>
    </xf>
    <xf numFmtId="0" fontId="4" fillId="0" borderId="0" xfId="3" applyBorder="1"/>
    <xf numFmtId="0" fontId="4" fillId="0" borderId="0" xfId="3" applyBorder="1" applyAlignment="1">
      <alignment horizontal="center"/>
    </xf>
    <xf numFmtId="0" fontId="4" fillId="0" borderId="0" xfId="3" applyFill="1" applyBorder="1" applyAlignment="1">
      <alignment horizontal="center"/>
    </xf>
    <xf numFmtId="44" fontId="4" fillId="0" borderId="0" xfId="3" applyNumberFormat="1" applyBorder="1" applyAlignment="1">
      <alignment horizontal="center"/>
    </xf>
    <xf numFmtId="44" fontId="4" fillId="0" borderId="3" xfId="3" applyNumberFormat="1" applyBorder="1"/>
    <xf numFmtId="179" fontId="4" fillId="0" borderId="0" xfId="3" applyNumberFormat="1" applyBorder="1" applyAlignment="1">
      <alignment horizontal="center"/>
    </xf>
    <xf numFmtId="44" fontId="4" fillId="0" borderId="0" xfId="3" applyNumberFormat="1" applyBorder="1"/>
    <xf numFmtId="180" fontId="4" fillId="0" borderId="3" xfId="3" applyNumberFormat="1" applyBorder="1"/>
    <xf numFmtId="180" fontId="4" fillId="0" borderId="3" xfId="3" applyNumberFormat="1" applyBorder="1" applyAlignment="1">
      <alignment horizontal="center"/>
    </xf>
    <xf numFmtId="44" fontId="4" fillId="0" borderId="0" xfId="3" applyNumberFormat="1" applyAlignment="1">
      <alignment horizontal="center"/>
    </xf>
    <xf numFmtId="0" fontId="4" fillId="0" borderId="0" xfId="3" applyAlignment="1">
      <alignment horizontal="center"/>
    </xf>
    <xf numFmtId="179" fontId="4" fillId="0" borderId="0" xfId="3" applyNumberFormat="1" applyAlignment="1">
      <alignment horizontal="center"/>
    </xf>
    <xf numFmtId="166" fontId="9" fillId="0" borderId="0" xfId="1" applyNumberFormat="1" applyFont="1" applyBorder="1" applyAlignment="1" applyProtection="1">
      <alignment horizontal="center" vertical="center"/>
    </xf>
    <xf numFmtId="166" fontId="9" fillId="0" borderId="0" xfId="1" applyNumberFormat="1" applyFont="1" applyBorder="1" applyAlignment="1" applyProtection="1">
      <alignment vertical="center"/>
    </xf>
    <xf numFmtId="0" fontId="37" fillId="0" borderId="0" xfId="0" applyFont="1"/>
    <xf numFmtId="0" fontId="3" fillId="0" borderId="3" xfId="3" applyFont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4" fillId="0" borderId="3" xfId="3" applyBorder="1" applyAlignment="1">
      <alignment horizontal="center"/>
    </xf>
    <xf numFmtId="0" fontId="37" fillId="0" borderId="0" xfId="0" applyFont="1" applyFill="1"/>
    <xf numFmtId="178" fontId="0" fillId="0" borderId="0" xfId="0" applyNumberFormat="1"/>
    <xf numFmtId="0" fontId="4" fillId="0" borderId="3" xfId="3" applyBorder="1" applyAlignment="1">
      <alignment horizontal="center"/>
    </xf>
    <xf numFmtId="0" fontId="0" fillId="14" borderId="0" xfId="0" applyFill="1" applyAlignment="1">
      <alignment horizontal="center"/>
    </xf>
    <xf numFmtId="44" fontId="4" fillId="0" borderId="33" xfId="3" applyNumberFormat="1" applyBorder="1" applyAlignment="1">
      <alignment horizontal="center"/>
    </xf>
    <xf numFmtId="44" fontId="4" fillId="0" borderId="33" xfId="3" applyNumberFormat="1" applyBorder="1"/>
    <xf numFmtId="0" fontId="4" fillId="0" borderId="33" xfId="3" applyBorder="1" applyAlignment="1">
      <alignment horizontal="center"/>
    </xf>
    <xf numFmtId="180" fontId="4" fillId="0" borderId="33" xfId="3" applyNumberFormat="1" applyBorder="1"/>
    <xf numFmtId="0" fontId="2" fillId="0" borderId="3" xfId="3" applyFont="1" applyBorder="1" applyAlignment="1">
      <alignment horizontal="center"/>
    </xf>
    <xf numFmtId="181" fontId="14" fillId="0" borderId="0" xfId="0" applyNumberFormat="1" applyFont="1" applyAlignment="1" applyProtection="1">
      <alignment horizontal="center"/>
    </xf>
    <xf numFmtId="0" fontId="4" fillId="0" borderId="3" xfId="3" applyNumberFormat="1" applyBorder="1" applyAlignment="1">
      <alignment horizontal="center"/>
    </xf>
    <xf numFmtId="0" fontId="4" fillId="0" borderId="33" xfId="3" applyNumberFormat="1" applyBorder="1" applyAlignment="1">
      <alignment horizontal="center"/>
    </xf>
    <xf numFmtId="0" fontId="4" fillId="0" borderId="0" xfId="3" applyNumberFormat="1" applyBorder="1" applyAlignment="1">
      <alignment horizontal="center"/>
    </xf>
    <xf numFmtId="0" fontId="4" fillId="0" borderId="0" xfId="3" applyNumberFormat="1" applyBorder="1"/>
    <xf numFmtId="0" fontId="4" fillId="0" borderId="33" xfId="3" applyNumberFormat="1" applyBorder="1"/>
    <xf numFmtId="0" fontId="0" fillId="0" borderId="0" xfId="0" applyNumberFormat="1" applyAlignment="1">
      <alignment horizontal="center"/>
    </xf>
    <xf numFmtId="0" fontId="37" fillId="0" borderId="0" xfId="0" applyNumberFormat="1" applyFont="1"/>
    <xf numFmtId="0" fontId="0" fillId="14" borderId="0" xfId="0" applyNumberFormat="1" applyFill="1" applyAlignment="1">
      <alignment horizontal="center"/>
    </xf>
    <xf numFmtId="0" fontId="4" fillId="0" borderId="0" xfId="3" applyNumberFormat="1"/>
    <xf numFmtId="0" fontId="4" fillId="0" borderId="3" xfId="3" applyNumberFormat="1" applyBorder="1"/>
    <xf numFmtId="0" fontId="4" fillId="0" borderId="0" xfId="3" applyNumberFormat="1" applyAlignment="1">
      <alignment horizontal="center"/>
    </xf>
    <xf numFmtId="0" fontId="3" fillId="0" borderId="3" xfId="3" applyNumberFormat="1" applyFont="1" applyBorder="1" applyAlignment="1">
      <alignment horizontal="center"/>
    </xf>
    <xf numFmtId="0" fontId="3" fillId="0" borderId="3" xfId="3" applyNumberFormat="1" applyFont="1" applyFill="1" applyBorder="1" applyAlignment="1">
      <alignment horizontal="center"/>
    </xf>
    <xf numFmtId="0" fontId="2" fillId="0" borderId="0" xfId="3" applyFont="1"/>
    <xf numFmtId="44" fontId="0" fillId="0" borderId="0" xfId="0" applyNumberFormat="1"/>
    <xf numFmtId="0" fontId="2" fillId="0" borderId="3" xfId="3" applyFont="1" applyFill="1" applyBorder="1" applyAlignment="1">
      <alignment horizontal="center"/>
    </xf>
    <xf numFmtId="166" fontId="8" fillId="0" borderId="0" xfId="1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167" fontId="10" fillId="3" borderId="6" xfId="1" applyNumberFormat="1" applyFont="1" applyFill="1" applyBorder="1" applyAlignment="1" applyProtection="1">
      <alignment horizontal="center"/>
      <protection locked="0"/>
    </xf>
    <xf numFmtId="167" fontId="9" fillId="3" borderId="6" xfId="1" applyNumberFormat="1" applyFont="1" applyFill="1" applyBorder="1" applyAlignment="1" applyProtection="1">
      <alignment horizontal="center"/>
      <protection locked="0"/>
    </xf>
    <xf numFmtId="167" fontId="9" fillId="2" borderId="6" xfId="1" applyNumberFormat="1" applyFont="1" applyFill="1" applyBorder="1" applyAlignment="1" applyProtection="1">
      <alignment horizontal="center"/>
      <protection locked="0"/>
    </xf>
    <xf numFmtId="166" fontId="7" fillId="0" borderId="3" xfId="1" applyNumberFormat="1" applyFont="1" applyBorder="1" applyAlignment="1" applyProtection="1">
      <alignment vertical="top"/>
    </xf>
    <xf numFmtId="0" fontId="0" fillId="15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6" fontId="7" fillId="0" borderId="12" xfId="1" applyNumberFormat="1" applyFont="1" applyBorder="1" applyAlignment="1" applyProtection="1">
      <alignment vertical="top"/>
    </xf>
    <xf numFmtId="166" fontId="9" fillId="0" borderId="1" xfId="1" applyNumberFormat="1" applyFont="1" applyBorder="1" applyAlignment="1" applyProtection="1">
      <alignment horizontal="center"/>
    </xf>
    <xf numFmtId="166" fontId="8" fillId="0" borderId="14" xfId="1" applyNumberFormat="1" applyFont="1" applyBorder="1" applyAlignment="1" applyProtection="1">
      <alignment horizontal="left"/>
    </xf>
    <xf numFmtId="166" fontId="8" fillId="0" borderId="0" xfId="1" applyNumberFormat="1" applyFont="1" applyBorder="1" applyAlignment="1" applyProtection="1">
      <alignment horizontal="center"/>
    </xf>
    <xf numFmtId="166" fontId="31" fillId="0" borderId="13" xfId="1" applyNumberFormat="1" applyFont="1" applyBorder="1" applyAlignment="1" applyProtection="1">
      <alignment horizontal="center"/>
    </xf>
    <xf numFmtId="166" fontId="31" fillId="0" borderId="0" xfId="1" applyNumberFormat="1" applyFont="1" applyBorder="1" applyAlignment="1" applyProtection="1">
      <alignment horizontal="center"/>
    </xf>
    <xf numFmtId="166" fontId="7" fillId="0" borderId="12" xfId="1" applyNumberFormat="1" applyFont="1" applyBorder="1" applyAlignment="1" applyProtection="1">
      <alignment horizontal="center" vertical="top"/>
    </xf>
    <xf numFmtId="166" fontId="8" fillId="0" borderId="36" xfId="1" applyNumberFormat="1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 wrapText="1"/>
    </xf>
    <xf numFmtId="0" fontId="25" fillId="12" borderId="3" xfId="0" applyFont="1" applyFill="1" applyBorder="1" applyAlignment="1" applyProtection="1">
      <alignment horizontal="center" vertical="center" textRotation="90"/>
    </xf>
    <xf numFmtId="0" fontId="25" fillId="13" borderId="3" xfId="0" applyFont="1" applyFill="1" applyBorder="1" applyAlignment="1" applyProtection="1">
      <alignment horizontal="center" vertical="center" textRotation="90" wrapText="1"/>
    </xf>
    <xf numFmtId="0" fontId="14" fillId="0" borderId="0" xfId="0" applyFont="1" applyBorder="1" applyAlignment="1" applyProtection="1">
      <alignment horizontal="center" vertical="center"/>
    </xf>
    <xf numFmtId="0" fontId="25" fillId="9" borderId="46" xfId="0" applyFont="1" applyFill="1" applyBorder="1" applyAlignment="1" applyProtection="1">
      <alignment horizontal="center" vertical="center" textRotation="90"/>
    </xf>
    <xf numFmtId="0" fontId="25" fillId="10" borderId="3" xfId="0" applyFont="1" applyFill="1" applyBorder="1" applyAlignment="1" applyProtection="1">
      <alignment horizontal="center" vertical="center" textRotation="90"/>
    </xf>
    <xf numFmtId="0" fontId="0" fillId="4" borderId="3" xfId="0" applyFont="1" applyFill="1" applyBorder="1" applyAlignment="1" applyProtection="1">
      <alignment horizontal="center" vertical="center" textRotation="90" wrapText="1"/>
    </xf>
    <xf numFmtId="0" fontId="28" fillId="11" borderId="3" xfId="0" applyFont="1" applyFill="1" applyBorder="1" applyAlignment="1" applyProtection="1">
      <alignment horizontal="center" vertical="center" textRotation="90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65" fontId="12" fillId="0" borderId="33" xfId="1" applyFont="1" applyBorder="1" applyAlignment="1" applyProtection="1">
      <alignment horizontal="center"/>
    </xf>
    <xf numFmtId="165" fontId="12" fillId="0" borderId="4" xfId="1" applyFont="1" applyBorder="1" applyAlignment="1" applyProtection="1">
      <alignment horizontal="center"/>
    </xf>
    <xf numFmtId="0" fontId="0" fillId="15" borderId="3" xfId="0" applyFill="1" applyBorder="1" applyAlignment="1">
      <alignment horizontal="center"/>
    </xf>
    <xf numFmtId="0" fontId="30" fillId="8" borderId="0" xfId="0" applyFont="1" applyFill="1" applyBorder="1" applyAlignment="1">
      <alignment horizontal="center" vertical="center"/>
    </xf>
    <xf numFmtId="0" fontId="34" fillId="0" borderId="0" xfId="3" applyFont="1" applyAlignment="1">
      <alignment horizontal="center"/>
    </xf>
    <xf numFmtId="0" fontId="4" fillId="0" borderId="3" xfId="3" applyBorder="1" applyAlignment="1">
      <alignment horizontal="center"/>
    </xf>
    <xf numFmtId="0" fontId="38" fillId="0" borderId="1" xfId="0" applyFont="1" applyBorder="1" applyAlignment="1">
      <alignment horizontal="center" vertical="center" textRotation="255" wrapText="1"/>
    </xf>
    <xf numFmtId="0" fontId="38" fillId="0" borderId="49" xfId="0" applyFont="1" applyBorder="1" applyAlignment="1">
      <alignment horizontal="center" vertical="center" textRotation="255" wrapText="1"/>
    </xf>
    <xf numFmtId="0" fontId="38" fillId="0" borderId="50" xfId="0" applyFont="1" applyBorder="1" applyAlignment="1">
      <alignment horizontal="center" vertical="center" textRotation="255" wrapText="1"/>
    </xf>
    <xf numFmtId="0" fontId="14" fillId="0" borderId="1" xfId="0" applyFont="1" applyBorder="1" applyAlignment="1">
      <alignment horizontal="center" vertical="center" textRotation="255"/>
    </xf>
    <xf numFmtId="0" fontId="14" fillId="0" borderId="49" xfId="0" applyFont="1" applyBorder="1" applyAlignment="1">
      <alignment horizontal="center" vertical="center" textRotation="255"/>
    </xf>
    <xf numFmtId="0" fontId="14" fillId="0" borderId="50" xfId="0" applyFont="1" applyBorder="1" applyAlignment="1">
      <alignment horizontal="center" vertical="center" textRotation="255"/>
    </xf>
    <xf numFmtId="0" fontId="35" fillId="0" borderId="0" xfId="3" applyFont="1" applyAlignment="1">
      <alignment horizontal="center"/>
    </xf>
    <xf numFmtId="167" fontId="9" fillId="3" borderId="7" xfId="1" applyNumberFormat="1" applyFont="1" applyFill="1" applyBorder="1" applyAlignment="1" applyProtection="1">
      <alignment horizontal="center"/>
      <protection locked="0"/>
    </xf>
    <xf numFmtId="166" fontId="8" fillId="0" borderId="11" xfId="1" applyNumberFormat="1" applyFont="1" applyBorder="1" applyAlignment="1" applyProtection="1">
      <alignment horizontal="center"/>
    </xf>
    <xf numFmtId="166" fontId="8" fillId="0" borderId="12" xfId="1" applyNumberFormat="1" applyFont="1" applyBorder="1" applyAlignment="1" applyProtection="1">
      <alignment horizontal="center"/>
    </xf>
    <xf numFmtId="166" fontId="8" fillId="0" borderId="13" xfId="1" applyNumberFormat="1" applyFont="1" applyBorder="1" applyAlignment="1" applyProtection="1">
      <alignment horizontal="center"/>
    </xf>
  </cellXfs>
  <cellStyles count="30"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Milliers" xfId="1" builtinId="3"/>
    <cellStyle name="Normal" xfId="0" builtinId="0"/>
    <cellStyle name="Normal 2" xfId="3"/>
    <cellStyle name="Normal 3" xfId="4"/>
    <cellStyle name="Texte explicatif" xfId="2" builtinId="53" customBuiltin="1"/>
  </cellStyles>
  <dxfs count="0"/>
  <tableStyles count="0" defaultTableStyle="TableStyleMedium9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9933"/>
      <rgbColor rgb="FF800080"/>
      <rgbColor rgb="FF008080"/>
      <rgbColor rgb="FFC0C0C0"/>
      <rgbColor rgb="FF808080"/>
      <rgbColor rgb="FF9999FF"/>
      <rgbColor rgb="FF993366"/>
      <rgbColor rgb="FFFFFFC0"/>
      <rgbColor rgb="FFE6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6CAF0"/>
      <rgbColor rgb="FFFF99CC"/>
      <rgbColor rgb="FFCC99FF"/>
      <rgbColor rgb="FFFFCC99"/>
      <rgbColor rgb="FF3333CC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D$235" fmlaRange="$B$235:$B$252" sel="2" val="0"/>
</file>

<file path=xl/ctrlProps/ctrlProp2.xml><?xml version="1.0" encoding="utf-8"?>
<formControlPr xmlns="http://schemas.microsoft.com/office/spreadsheetml/2009/9/main" objectType="Drop" dropStyle="combo" dx="22" fmlaLink="$L$31" fmlaRange="$C$159:$C$222" sel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15</xdr:row>
          <xdr:rowOff>0</xdr:rowOff>
        </xdr:from>
        <xdr:to>
          <xdr:col>5</xdr:col>
          <xdr:colOff>581025</xdr:colOff>
          <xdr:row>16</xdr:row>
          <xdr:rowOff>0</xdr:rowOff>
        </xdr:to>
        <xdr:sp macro="" textlink="">
          <xdr:nvSpPr>
            <xdr:cNvPr id="1026" name="Zone combinée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26</xdr:row>
          <xdr:rowOff>38100</xdr:rowOff>
        </xdr:from>
        <xdr:to>
          <xdr:col>5</xdr:col>
          <xdr:colOff>257175</xdr:colOff>
          <xdr:row>28</xdr:row>
          <xdr:rowOff>28575</xdr:rowOff>
        </xdr:to>
        <xdr:sp macro="" textlink="">
          <xdr:nvSpPr>
            <xdr:cNvPr id="1027" name="Zone combinée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638175</xdr:colOff>
          <xdr:row>2</xdr:row>
          <xdr:rowOff>171450</xdr:rowOff>
        </xdr:from>
        <xdr:to>
          <xdr:col>11</xdr:col>
          <xdr:colOff>381000</xdr:colOff>
          <xdr:row>3</xdr:row>
          <xdr:rowOff>38100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7CBF9034-241A-4BAA-8349-55791CE0B3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 RECAP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ilan%20C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RECAP BILAN"/>
      <sheetName val="Feuil1"/>
      <sheetName val="RECAP CO2"/>
      <sheetName val="RECAP HFC"/>
      <sheetName val="Feuil3"/>
      <sheetName val="OPTION"/>
    </sheetNames>
    <sheetDataSet>
      <sheetData sheetId="0">
        <row r="1">
          <cell r="GR1" t="str">
            <v>HFC</v>
          </cell>
          <cell r="GS1" t="str">
            <v>Positif</v>
          </cell>
          <cell r="GV1" t="str">
            <v xml:space="preserve">Naturel </v>
          </cell>
          <cell r="GW1">
            <v>5.5</v>
          </cell>
        </row>
        <row r="2">
          <cell r="GR2" t="str">
            <v>CO2</v>
          </cell>
          <cell r="GS2" t="str">
            <v>Negatif</v>
          </cell>
          <cell r="GV2" t="str">
            <v>Electrique</v>
          </cell>
          <cell r="GW2">
            <v>7</v>
          </cell>
        </row>
        <row r="3">
          <cell r="GW3">
            <v>8</v>
          </cell>
        </row>
        <row r="4">
          <cell r="GW4">
            <v>15</v>
          </cell>
        </row>
        <row r="5">
          <cell r="GW5">
            <v>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W249"/>
  <sheetViews>
    <sheetView showGridLines="0" tabSelected="1" zoomScale="85" zoomScaleNormal="85" zoomScalePageLayoutView="85" workbookViewId="0">
      <pane ySplit="5" topLeftCell="A6" activePane="bottomLeft" state="frozen"/>
      <selection pane="bottomLeft" activeCell="B13" sqref="B13"/>
    </sheetView>
    <sheetView workbookViewId="1"/>
  </sheetViews>
  <sheetFormatPr baseColWidth="10" defaultColWidth="8.85546875" defaultRowHeight="12.75" x14ac:dyDescent="0.2"/>
  <cols>
    <col min="1" max="1" width="4.85546875" style="1" customWidth="1"/>
    <col min="2" max="2" width="15.28515625" style="1" customWidth="1"/>
    <col min="3" max="3" width="22.140625" style="1" customWidth="1"/>
    <col min="4" max="4" width="25.85546875" style="1" customWidth="1"/>
    <col min="5" max="5" width="14.28515625" style="1" customWidth="1"/>
    <col min="6" max="6" width="16" style="1" customWidth="1"/>
    <col min="7" max="7" width="13.42578125" style="1" customWidth="1"/>
    <col min="8" max="8" width="19" style="1" customWidth="1"/>
    <col min="9" max="9" width="14.85546875" style="1" customWidth="1"/>
    <col min="10" max="10" width="11.140625" style="1" customWidth="1"/>
    <col min="11" max="11" width="12" style="2" customWidth="1"/>
    <col min="12" max="12" width="12.28515625" style="1" customWidth="1"/>
    <col min="13" max="13" width="10.7109375" style="1" customWidth="1"/>
    <col min="14" max="14" width="2.42578125" style="1" customWidth="1"/>
    <col min="15" max="15" width="12.7109375" style="1" customWidth="1"/>
    <col min="16" max="17" width="11.28515625" style="1" customWidth="1"/>
    <col min="18" max="18" width="20.85546875" style="1" customWidth="1"/>
    <col min="19" max="257" width="11.28515625" style="1" customWidth="1"/>
    <col min="258" max="1025" width="11.28515625" customWidth="1"/>
  </cols>
  <sheetData>
    <row r="1" spans="1:18" s="3" customFormat="1" ht="26.25" customHeight="1" x14ac:dyDescent="0.2">
      <c r="A1" s="209"/>
      <c r="B1" s="305" t="s">
        <v>0</v>
      </c>
      <c r="C1" s="305"/>
      <c r="D1" s="305"/>
      <c r="E1" s="305" t="s">
        <v>469</v>
      </c>
      <c r="F1" s="305"/>
      <c r="G1" s="305"/>
      <c r="H1" s="305"/>
      <c r="I1" s="305"/>
      <c r="J1" s="305"/>
      <c r="K1" s="305"/>
      <c r="L1" s="210"/>
      <c r="M1" s="210"/>
      <c r="N1" s="211"/>
    </row>
    <row r="2" spans="1:18" s="4" customFormat="1" ht="15" x14ac:dyDescent="0.2">
      <c r="A2" s="28"/>
      <c r="I2" s="308"/>
      <c r="J2" s="308"/>
      <c r="K2" s="308"/>
      <c r="N2" s="212"/>
    </row>
    <row r="3" spans="1:18" s="4" customFormat="1" ht="27" customHeight="1" x14ac:dyDescent="0.25">
      <c r="A3" s="309" t="s">
        <v>253</v>
      </c>
      <c r="B3" s="310"/>
      <c r="C3" s="265" t="s">
        <v>343</v>
      </c>
      <c r="D3" s="265" t="s">
        <v>344</v>
      </c>
      <c r="E3" s="265" t="s">
        <v>345</v>
      </c>
      <c r="F3" s="266" t="s">
        <v>346</v>
      </c>
      <c r="G3" s="265" t="s">
        <v>347</v>
      </c>
      <c r="I3" s="38"/>
      <c r="J3" s="39"/>
      <c r="K3" s="39"/>
      <c r="N3" s="213"/>
      <c r="O3" s="37"/>
      <c r="P3" s="37"/>
      <c r="Q3" s="37"/>
      <c r="R3" s="37"/>
    </row>
    <row r="4" spans="1:18" s="4" customFormat="1" ht="27" customHeight="1" x14ac:dyDescent="0.25">
      <c r="A4" s="242"/>
      <c r="B4" s="243"/>
      <c r="C4" s="265" t="s">
        <v>302</v>
      </c>
      <c r="D4" s="265" t="s">
        <v>341</v>
      </c>
      <c r="E4" s="265" t="s">
        <v>252</v>
      </c>
      <c r="F4" s="265" t="s">
        <v>342</v>
      </c>
      <c r="G4" s="265">
        <v>20</v>
      </c>
      <c r="I4" s="38"/>
      <c r="J4" s="39"/>
      <c r="K4" s="39"/>
      <c r="N4" s="213"/>
      <c r="O4" s="37"/>
      <c r="P4" s="37"/>
      <c r="Q4" s="37"/>
      <c r="R4" s="37"/>
    </row>
    <row r="5" spans="1:18" s="4" customFormat="1" ht="30.75" customHeight="1" thickBot="1" x14ac:dyDescent="0.3">
      <c r="A5" s="236"/>
      <c r="B5" s="237"/>
      <c r="C5" s="237"/>
      <c r="D5" s="237"/>
      <c r="E5" s="241"/>
      <c r="F5" s="237"/>
      <c r="G5" s="237"/>
      <c r="H5" s="237"/>
      <c r="I5" s="238"/>
      <c r="J5" s="239"/>
      <c r="K5" s="239"/>
      <c r="L5" s="237"/>
      <c r="M5" s="237"/>
      <c r="N5" s="235"/>
      <c r="O5" s="40"/>
      <c r="P5" s="40"/>
      <c r="Q5" s="40"/>
      <c r="R5" s="40"/>
    </row>
    <row r="6" spans="1:18" s="4" customFormat="1" ht="30.75" customHeight="1" thickBot="1" x14ac:dyDescent="0.3">
      <c r="A6" s="214"/>
      <c r="C6" s="311" t="s">
        <v>0</v>
      </c>
      <c r="D6" s="311"/>
      <c r="E6" s="311"/>
      <c r="F6" s="311"/>
      <c r="G6" s="311"/>
      <c r="H6" s="311"/>
      <c r="I6" s="311"/>
      <c r="J6" s="311"/>
      <c r="K6" s="311"/>
      <c r="L6" s="311"/>
      <c r="N6" s="213"/>
      <c r="O6" s="186"/>
      <c r="P6" s="186"/>
      <c r="Q6" s="186"/>
      <c r="R6" s="186"/>
    </row>
    <row r="7" spans="1:18" s="4" customFormat="1" ht="20.25" customHeight="1" x14ac:dyDescent="0.25">
      <c r="A7" s="214"/>
      <c r="B7" s="306" t="s">
        <v>1</v>
      </c>
      <c r="C7" s="306"/>
      <c r="D7" s="306"/>
      <c r="E7" s="306"/>
      <c r="F7" s="306"/>
      <c r="G7" s="306"/>
      <c r="I7" s="306" t="s">
        <v>2</v>
      </c>
      <c r="J7" s="306"/>
      <c r="K7" s="306"/>
      <c r="L7" s="306"/>
      <c r="M7" s="306"/>
      <c r="N7" s="213"/>
      <c r="O7" s="186"/>
      <c r="P7" s="186"/>
      <c r="Q7" s="186"/>
      <c r="R7" s="186"/>
    </row>
    <row r="8" spans="1:18" s="4" customFormat="1" ht="20.25" customHeight="1" x14ac:dyDescent="0.25">
      <c r="A8" s="214"/>
      <c r="B8" s="5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7" t="s">
        <v>8</v>
      </c>
      <c r="I8" s="8"/>
      <c r="J8" s="9" t="s">
        <v>9</v>
      </c>
      <c r="K8" s="9" t="s">
        <v>10</v>
      </c>
      <c r="L8" s="9" t="s">
        <v>11</v>
      </c>
      <c r="M8" s="10" t="s">
        <v>12</v>
      </c>
      <c r="N8" s="213"/>
      <c r="O8" s="186"/>
      <c r="P8" s="186"/>
      <c r="Q8" s="186"/>
      <c r="R8" s="186"/>
    </row>
    <row r="9" spans="1:18" s="4" customFormat="1" ht="18.75" customHeight="1" thickBot="1" x14ac:dyDescent="0.3">
      <c r="A9" s="214"/>
      <c r="B9" s="11">
        <v>5</v>
      </c>
      <c r="C9" s="12">
        <v>5.7</v>
      </c>
      <c r="D9" s="12">
        <v>2.6</v>
      </c>
      <c r="E9" s="6">
        <f>+B9*C9</f>
        <v>28.5</v>
      </c>
      <c r="F9" s="6">
        <f>2*(B9+C9)*D9</f>
        <v>55.64</v>
      </c>
      <c r="G9" s="13">
        <f>+B9*C9*D9</f>
        <v>74.100000000000009</v>
      </c>
      <c r="I9" s="14" t="s">
        <v>13</v>
      </c>
      <c r="J9" s="15">
        <v>-22</v>
      </c>
      <c r="K9" s="16">
        <v>28</v>
      </c>
      <c r="L9" s="17">
        <v>28</v>
      </c>
      <c r="M9" s="18">
        <v>5</v>
      </c>
      <c r="N9" s="213"/>
      <c r="O9" s="186"/>
      <c r="P9" s="186"/>
      <c r="Q9" s="186"/>
      <c r="R9" s="186"/>
    </row>
    <row r="10" spans="1:18" s="4" customFormat="1" ht="18.75" customHeight="1" thickBot="1" x14ac:dyDescent="0.3">
      <c r="A10" s="214"/>
      <c r="B10" s="19" t="s">
        <v>14</v>
      </c>
      <c r="C10" s="20" t="s">
        <v>14</v>
      </c>
      <c r="D10" s="20" t="s">
        <v>14</v>
      </c>
      <c r="E10" s="20" t="s">
        <v>15</v>
      </c>
      <c r="F10" s="20" t="s">
        <v>15</v>
      </c>
      <c r="G10" s="21" t="s">
        <v>16</v>
      </c>
      <c r="I10" s="14" t="s">
        <v>17</v>
      </c>
      <c r="J10" s="22">
        <v>90</v>
      </c>
      <c r="K10" s="22">
        <v>50</v>
      </c>
      <c r="L10" s="23"/>
      <c r="M10" s="24"/>
      <c r="N10" s="213"/>
      <c r="O10" s="186"/>
      <c r="P10" s="186"/>
      <c r="Q10" s="186"/>
      <c r="R10" s="186"/>
    </row>
    <row r="11" spans="1:18" s="4" customFormat="1" ht="17.25" customHeight="1" thickBot="1" x14ac:dyDescent="0.3">
      <c r="A11" s="214"/>
      <c r="I11" s="25" t="s">
        <v>18</v>
      </c>
      <c r="J11" s="26">
        <f>2500.8*J12+J9*(1.007+1.846*J12)</f>
        <v>-20.998145268755042</v>
      </c>
      <c r="K11" s="27">
        <f>2500.8*K12+K9*(1.007+1.846*K12)</f>
        <v>58.363476371799919</v>
      </c>
      <c r="L11" s="28"/>
      <c r="N11" s="213"/>
      <c r="O11" s="186"/>
      <c r="P11" s="186"/>
      <c r="Q11" s="186"/>
      <c r="R11" s="186"/>
    </row>
    <row r="12" spans="1:18" s="4" customFormat="1" ht="18" customHeight="1" thickBot="1" x14ac:dyDescent="0.3">
      <c r="A12" s="214"/>
      <c r="B12" s="307" t="s">
        <v>19</v>
      </c>
      <c r="C12" s="307"/>
      <c r="D12" s="29">
        <v>16</v>
      </c>
      <c r="E12" s="30" t="s">
        <v>20</v>
      </c>
      <c r="F12" s="31">
        <f>+D12*3600</f>
        <v>57600</v>
      </c>
      <c r="G12" s="32" t="s">
        <v>21</v>
      </c>
      <c r="I12" s="14" t="s">
        <v>22</v>
      </c>
      <c r="J12" s="33">
        <f>0.00622*J10*J14/(101325-J10*J14/100)</f>
        <v>4.6982374161850881E-4</v>
      </c>
      <c r="K12" s="33">
        <f>0.00622*K10*K14/(101325-K10*K14/100)</f>
        <v>1.1818851399810664E-2</v>
      </c>
      <c r="L12" s="28"/>
      <c r="N12" s="213"/>
      <c r="O12" s="186"/>
      <c r="P12" s="186"/>
      <c r="Q12" s="186"/>
      <c r="R12" s="186"/>
    </row>
    <row r="13" spans="1:18" s="4" customFormat="1" ht="30.75" customHeight="1" x14ac:dyDescent="0.25">
      <c r="A13" s="214"/>
      <c r="I13" s="25" t="s">
        <v>23</v>
      </c>
      <c r="J13" s="34">
        <f>461.51/101325*(0.622+J12)*(273.15+J9)</f>
        <v>0.71205901351450107</v>
      </c>
      <c r="K13" s="34">
        <f>461.51/101325*(0.622+K12)*(273.15+K9)</f>
        <v>0.86938576098380382</v>
      </c>
      <c r="L13" s="28"/>
      <c r="N13" s="213"/>
      <c r="O13" s="186"/>
      <c r="P13" s="186"/>
      <c r="Q13" s="186"/>
      <c r="R13" s="186"/>
    </row>
    <row r="14" spans="1:18" s="4" customFormat="1" ht="30.75" customHeight="1" thickBot="1" x14ac:dyDescent="0.3">
      <c r="A14" s="214"/>
      <c r="I14" s="35" t="s">
        <v>24</v>
      </c>
      <c r="J14" s="36">
        <f>IF(J9&gt;0,10^(2.7858+7.5*J9/(237.3+J9)),10^(2.7858+9.48*J9/(265.5+J9)))</f>
        <v>84.974919093437691</v>
      </c>
      <c r="K14" s="36">
        <f>IF(K9&gt;0,10^(2.7858+7.5*K9/(237.3+K9)),10^(2.7858+9.48*K9/(265.5+K9)))</f>
        <v>3778.8245503932108</v>
      </c>
      <c r="L14" s="28"/>
      <c r="N14" s="213"/>
      <c r="O14" s="186"/>
      <c r="P14" s="186"/>
      <c r="Q14" s="186"/>
      <c r="R14" s="186"/>
    </row>
    <row r="15" spans="1:18" s="4" customFormat="1" ht="30.75" customHeight="1" x14ac:dyDescent="0.25">
      <c r="A15" s="214"/>
      <c r="I15" s="38"/>
      <c r="J15" s="39"/>
      <c r="K15" s="39"/>
      <c r="N15" s="213"/>
      <c r="O15" s="186"/>
      <c r="P15" s="186"/>
      <c r="Q15" s="186"/>
      <c r="R15" s="186"/>
    </row>
    <row r="16" spans="1:18" s="45" customFormat="1" ht="18.600000000000001" customHeight="1" thickBot="1" x14ac:dyDescent="0.25">
      <c r="A16" s="217" t="s">
        <v>27</v>
      </c>
      <c r="B16" s="41"/>
      <c r="C16" s="41"/>
      <c r="D16" s="41"/>
      <c r="E16" s="41"/>
      <c r="F16" s="41"/>
      <c r="G16" s="41"/>
      <c r="H16" s="41"/>
      <c r="I16" s="42"/>
      <c r="J16" s="43"/>
      <c r="K16" s="43"/>
      <c r="L16" s="41"/>
      <c r="M16" s="41"/>
      <c r="N16" s="218"/>
      <c r="O16" s="44"/>
      <c r="P16" s="44"/>
      <c r="Q16" s="44"/>
      <c r="R16" s="44"/>
    </row>
    <row r="17" spans="1:18" s="4" customFormat="1" ht="16.5" thickBot="1" x14ac:dyDescent="0.3">
      <c r="A17" s="219"/>
      <c r="B17" s="38" t="s">
        <v>28</v>
      </c>
      <c r="C17" s="38"/>
      <c r="D17" s="4" t="s">
        <v>29</v>
      </c>
      <c r="E17" s="46">
        <f>VLOOKUP(D235,A235:C250,3,0)</f>
        <v>0.28000000000000003</v>
      </c>
      <c r="F17" s="47" t="s">
        <v>30</v>
      </c>
      <c r="G17" s="48">
        <f>IF(J9&gt;=0,0.43,0.25)</f>
        <v>0.25</v>
      </c>
      <c r="H17" s="4" t="s">
        <v>31</v>
      </c>
      <c r="J17" s="49">
        <f>B9*D9</f>
        <v>13</v>
      </c>
      <c r="K17" s="50">
        <f>K9-J9</f>
        <v>50</v>
      </c>
      <c r="L17" s="51">
        <f>IF(E17="",E17*J17*(K17-$J$9)*$F$12/1000,E17*J17*(K17-$J$9)*$F$12/1000)</f>
        <v>15095.808000000003</v>
      </c>
      <c r="N17" s="213"/>
      <c r="O17" s="1"/>
      <c r="P17" s="1"/>
      <c r="Q17" s="1"/>
      <c r="R17" s="1"/>
    </row>
    <row r="18" spans="1:18" s="4" customFormat="1" ht="16.5" thickBot="1" x14ac:dyDescent="0.3">
      <c r="A18" s="219"/>
      <c r="B18" s="38" t="s">
        <v>28</v>
      </c>
      <c r="C18" s="38"/>
      <c r="D18" s="4" t="s">
        <v>32</v>
      </c>
      <c r="E18" s="46">
        <f>VLOOKUP(D235,A235:C250,3,0)</f>
        <v>0.28000000000000003</v>
      </c>
      <c r="F18" s="47" t="s">
        <v>30</v>
      </c>
      <c r="G18" s="48">
        <f>IF(J9&gt;=0,0.43,0.25)</f>
        <v>0.25</v>
      </c>
      <c r="H18" s="4" t="s">
        <v>31</v>
      </c>
      <c r="J18" s="49">
        <f>C9*D9</f>
        <v>14.82</v>
      </c>
      <c r="K18" s="50">
        <f>K9-J9</f>
        <v>50</v>
      </c>
      <c r="L18" s="51">
        <f>IF(E18="",G18*J18*(K18-$J$9)*$F$12/1000,E18*J18*(K18-$J$9)*$F$12/1000)</f>
        <v>17209.221120000002</v>
      </c>
      <c r="N18" s="213"/>
      <c r="O18" s="1"/>
      <c r="P18" s="1"/>
      <c r="Q18" s="1"/>
      <c r="R18" s="1"/>
    </row>
    <row r="19" spans="1:18" s="4" customFormat="1" ht="16.5" thickBot="1" x14ac:dyDescent="0.3">
      <c r="A19" s="219"/>
      <c r="B19" s="38" t="s">
        <v>28</v>
      </c>
      <c r="C19" s="38"/>
      <c r="D19" s="4" t="s">
        <v>33</v>
      </c>
      <c r="E19" s="46">
        <f>VLOOKUP(D235,A235:C250,3,0)</f>
        <v>0.28000000000000003</v>
      </c>
      <c r="F19" s="47" t="s">
        <v>30</v>
      </c>
      <c r="G19" s="48">
        <f>IF(J9&gt;=0,0.43,0.25)</f>
        <v>0.25</v>
      </c>
      <c r="H19" s="4" t="s">
        <v>31</v>
      </c>
      <c r="J19" s="49">
        <f>B9*D9</f>
        <v>13</v>
      </c>
      <c r="K19" s="50">
        <f>K9-J9</f>
        <v>50</v>
      </c>
      <c r="L19" s="51">
        <f>IF(E19="",G19*J19*(K19-$J$9)*$F$12/1000,E19*J19*(K19-$J$9)*$F$12/1000)</f>
        <v>15095.808000000003</v>
      </c>
      <c r="N19" s="213"/>
      <c r="O19" s="1"/>
      <c r="P19" s="1"/>
      <c r="Q19" s="1"/>
      <c r="R19" s="1"/>
    </row>
    <row r="20" spans="1:18" s="4" customFormat="1" ht="16.5" thickBot="1" x14ac:dyDescent="0.3">
      <c r="A20" s="219"/>
      <c r="B20" s="38" t="s">
        <v>28</v>
      </c>
      <c r="C20" s="38"/>
      <c r="D20" s="4" t="s">
        <v>34</v>
      </c>
      <c r="E20" s="46">
        <f>VLOOKUP(D235,A235:C250,3,0)</f>
        <v>0.28000000000000003</v>
      </c>
      <c r="F20" s="47" t="s">
        <v>30</v>
      </c>
      <c r="G20" s="48">
        <f>IF(J9&gt;=0,0.43,0.25)</f>
        <v>0.25</v>
      </c>
      <c r="H20" s="4" t="s">
        <v>31</v>
      </c>
      <c r="J20" s="49">
        <f>C9*D9</f>
        <v>14.82</v>
      </c>
      <c r="K20" s="50">
        <f>K9-J9</f>
        <v>50</v>
      </c>
      <c r="L20" s="52">
        <f>IF(E20="",G20*J20*(K20-$J$9)*$F$12/1000,E20*J20*(K20-$J$9)*$F$12/1000)</f>
        <v>17209.221120000002</v>
      </c>
      <c r="N20" s="213"/>
      <c r="O20" s="1"/>
      <c r="P20" s="1"/>
      <c r="Q20" s="1"/>
      <c r="R20" s="1"/>
    </row>
    <row r="21" spans="1:18" s="4" customFormat="1" ht="16.5" thickBot="1" x14ac:dyDescent="0.3">
      <c r="A21" s="219"/>
      <c r="B21" s="38" t="s">
        <v>28</v>
      </c>
      <c r="D21" s="4" t="s">
        <v>35</v>
      </c>
      <c r="E21" s="46">
        <f>VLOOKUP(D235,A235:C250,3,0)</f>
        <v>0.28000000000000003</v>
      </c>
      <c r="F21" s="47" t="s">
        <v>30</v>
      </c>
      <c r="G21" s="48">
        <f>IF(J9&gt;=0,0.43,0.25)</f>
        <v>0.25</v>
      </c>
      <c r="H21" s="4" t="s">
        <v>31</v>
      </c>
      <c r="J21" s="49">
        <f>E9</f>
        <v>28.5</v>
      </c>
      <c r="K21" s="50">
        <f>K9-J9</f>
        <v>50</v>
      </c>
      <c r="L21" s="52">
        <f>IF(E21="",G21*J21*(K21-$J$9)*$F$12/1000,E21*J21*(K21-$J$9)*$F$12/1000)</f>
        <v>33094.656000000003</v>
      </c>
      <c r="N21" s="212"/>
    </row>
    <row r="22" spans="1:18" s="4" customFormat="1" ht="16.5" thickBot="1" x14ac:dyDescent="0.3">
      <c r="A22" s="219"/>
      <c r="B22" s="38" t="s">
        <v>28</v>
      </c>
      <c r="D22" s="4" t="s">
        <v>36</v>
      </c>
      <c r="E22" s="46">
        <f>1/(0.2+0.15/1.28+0.015/0.16+0.1/0.03+0.1/1.28+0.05/1.92+0.015/1.05)</f>
        <v>0.25888471540017333</v>
      </c>
      <c r="F22" s="47" t="s">
        <v>30</v>
      </c>
      <c r="G22" s="48">
        <f>IF(J9&gt;=0,0.43,0.25)</f>
        <v>0.25</v>
      </c>
      <c r="H22" s="4" t="s">
        <v>31</v>
      </c>
      <c r="J22" s="49">
        <f>E9</f>
        <v>28.5</v>
      </c>
      <c r="K22" s="50">
        <f>M9-J9</f>
        <v>27</v>
      </c>
      <c r="L22" s="52">
        <f>IF(E22="",G22*J22*(K22-$J$9)*$F$12/1000,E22*J22*(K22-$J$9)*$F$12/1000)</f>
        <v>20824.272291245303</v>
      </c>
      <c r="N22" s="212"/>
    </row>
    <row r="23" spans="1:18" s="53" customFormat="1" ht="9" thickBot="1" x14ac:dyDescent="0.2">
      <c r="A23" s="220"/>
      <c r="K23" s="54"/>
      <c r="N23" s="221"/>
    </row>
    <row r="24" spans="1:18" s="45" customFormat="1" ht="22.7" customHeight="1" thickBot="1" x14ac:dyDescent="0.25">
      <c r="A24" s="222"/>
      <c r="B24" s="55" t="s">
        <v>37</v>
      </c>
      <c r="C24" s="56" t="s">
        <v>38</v>
      </c>
      <c r="D24" s="57"/>
      <c r="E24" s="58">
        <f>SUM(L17:L20)</f>
        <v>64610.058240000013</v>
      </c>
      <c r="F24" s="59" t="s">
        <v>39</v>
      </c>
      <c r="K24" s="60"/>
      <c r="N24" s="223"/>
    </row>
    <row r="25" spans="1:18" s="45" customFormat="1" ht="24.2" customHeight="1" thickBot="1" x14ac:dyDescent="0.25">
      <c r="A25" s="222"/>
      <c r="B25" s="61" t="s">
        <v>40</v>
      </c>
      <c r="C25" s="62" t="s">
        <v>41</v>
      </c>
      <c r="D25" s="63"/>
      <c r="E25" s="64">
        <f>IF(E21="",G21*E9*(L9-$J$9)*$F$12/1000,E21*E9*(L9-$J$9)*$F$12/1000)</f>
        <v>22982.400000000001</v>
      </c>
      <c r="F25" s="65" t="s">
        <v>39</v>
      </c>
      <c r="H25" s="66" t="s">
        <v>42</v>
      </c>
      <c r="I25" s="67">
        <f>+SUM(E24:E26)</f>
        <v>99067.057257624969</v>
      </c>
      <c r="J25" s="68" t="s">
        <v>39</v>
      </c>
      <c r="K25" s="69">
        <f>I25/F12</f>
        <v>1.7199141885004334</v>
      </c>
      <c r="L25" s="70" t="s">
        <v>43</v>
      </c>
      <c r="N25" s="223"/>
    </row>
    <row r="26" spans="1:18" s="45" customFormat="1" ht="24.2" customHeight="1" thickBot="1" x14ac:dyDescent="0.25">
      <c r="A26" s="222"/>
      <c r="B26" s="71" t="s">
        <v>44</v>
      </c>
      <c r="C26" s="72" t="s">
        <v>45</v>
      </c>
      <c r="D26" s="73"/>
      <c r="E26" s="74">
        <f>IF(E22="",G22*E9*(M9-$J$9)*$F$12/1000,E22*E9*(M9-$J$9)*$F$12/1000)</f>
        <v>11474.599017624963</v>
      </c>
      <c r="F26" s="75" t="s">
        <v>39</v>
      </c>
      <c r="H26" s="76" t="s">
        <v>46</v>
      </c>
      <c r="I26" s="77">
        <f>+(I25/D85)*100</f>
        <v>40.617176984670998</v>
      </c>
      <c r="J26" s="78" t="s">
        <v>47</v>
      </c>
      <c r="K26" s="79"/>
      <c r="L26" s="80"/>
      <c r="N26" s="223"/>
    </row>
    <row r="27" spans="1:18" s="53" customFormat="1" ht="5.85" customHeight="1" x14ac:dyDescent="0.15">
      <c r="A27" s="224"/>
      <c r="K27" s="54"/>
      <c r="N27" s="221"/>
    </row>
    <row r="28" spans="1:18" s="45" customFormat="1" ht="18.600000000000001" customHeight="1" x14ac:dyDescent="0.2">
      <c r="A28" s="217" t="s">
        <v>48</v>
      </c>
      <c r="B28" s="41"/>
      <c r="C28" s="41"/>
      <c r="D28" s="41"/>
      <c r="E28" s="41"/>
      <c r="F28" s="41"/>
      <c r="G28" s="41"/>
      <c r="H28" s="41"/>
      <c r="I28" s="41"/>
      <c r="J28" s="41"/>
      <c r="K28" s="81"/>
      <c r="L28" s="41"/>
      <c r="M28" s="41"/>
      <c r="N28" s="223"/>
    </row>
    <row r="29" spans="1:18" s="4" customFormat="1" ht="15.75" x14ac:dyDescent="0.25">
      <c r="A29" s="219"/>
      <c r="B29" s="47" t="s">
        <v>49</v>
      </c>
      <c r="C29" s="47"/>
      <c r="D29" s="47"/>
      <c r="E29" s="82">
        <f>+G29</f>
        <v>1852.5000000000002</v>
      </c>
      <c r="F29" s="4" t="s">
        <v>30</v>
      </c>
      <c r="G29" s="30">
        <f>25*G9</f>
        <v>1852.5000000000002</v>
      </c>
      <c r="H29" s="4" t="s">
        <v>50</v>
      </c>
      <c r="J29" s="83"/>
      <c r="K29" s="246">
        <f>IF(E29="",G29,E29)</f>
        <v>1852.5000000000002</v>
      </c>
      <c r="L29" s="247"/>
      <c r="M29" s="247"/>
      <c r="N29" s="225"/>
    </row>
    <row r="30" spans="1:18" s="4" customFormat="1" ht="15.75" x14ac:dyDescent="0.25">
      <c r="A30" s="219"/>
      <c r="B30" s="47" t="s">
        <v>51</v>
      </c>
      <c r="C30" s="47"/>
      <c r="D30" s="47"/>
      <c r="E30" s="82">
        <v>2850</v>
      </c>
      <c r="F30" s="4" t="s">
        <v>30</v>
      </c>
      <c r="G30" s="30">
        <f>100*E9</f>
        <v>2850</v>
      </c>
      <c r="J30" s="247"/>
      <c r="K30" s="245"/>
      <c r="L30" s="247"/>
      <c r="M30" s="247"/>
      <c r="N30" s="225"/>
    </row>
    <row r="31" spans="1:18" s="4" customFormat="1" ht="22.5" customHeight="1" x14ac:dyDescent="0.25">
      <c r="A31" s="219"/>
      <c r="B31" s="47" t="s">
        <v>52</v>
      </c>
      <c r="C31" s="47"/>
      <c r="D31" s="47"/>
      <c r="E31" s="85"/>
      <c r="G31" s="30"/>
      <c r="J31" s="247"/>
      <c r="K31" s="245"/>
      <c r="L31" s="247">
        <v>3</v>
      </c>
      <c r="M31" s="247"/>
      <c r="N31" s="225"/>
    </row>
    <row r="32" spans="1:18" s="4" customFormat="1" ht="15.75" x14ac:dyDescent="0.25">
      <c r="A32" s="219"/>
      <c r="B32" s="47" t="s">
        <v>53</v>
      </c>
      <c r="C32" s="47"/>
      <c r="D32" s="47"/>
      <c r="E32" s="86">
        <v>-18</v>
      </c>
      <c r="F32" s="4" t="s">
        <v>54</v>
      </c>
      <c r="J32" s="247"/>
      <c r="K32" s="245"/>
      <c r="L32" s="247"/>
      <c r="M32" s="247"/>
      <c r="N32" s="225"/>
    </row>
    <row r="33" spans="1:14" s="4" customFormat="1" ht="15.75" x14ac:dyDescent="0.25">
      <c r="A33" s="219"/>
      <c r="B33" s="47" t="s">
        <v>55</v>
      </c>
      <c r="C33" s="47"/>
      <c r="D33" s="47"/>
      <c r="E33" s="86">
        <v>-25</v>
      </c>
      <c r="F33" s="4" t="s">
        <v>56</v>
      </c>
      <c r="G33" s="87">
        <f>+J9</f>
        <v>-22</v>
      </c>
      <c r="H33" s="4" t="s">
        <v>57</v>
      </c>
      <c r="J33" s="247"/>
      <c r="K33" s="245">
        <v>0</v>
      </c>
      <c r="L33" s="247"/>
      <c r="M33" s="247"/>
      <c r="N33" s="225"/>
    </row>
    <row r="34" spans="1:14" s="4" customFormat="1" ht="15.75" x14ac:dyDescent="0.25">
      <c r="A34" s="219"/>
      <c r="B34" s="47" t="s">
        <v>58</v>
      </c>
      <c r="C34" s="47"/>
      <c r="D34" s="47"/>
      <c r="E34" s="88">
        <f>VLOOKUP(L31,A159:H222,5,0)</f>
        <v>2.5099999999999998</v>
      </c>
      <c r="F34" s="4" t="s">
        <v>59</v>
      </c>
      <c r="G34" s="89" t="s">
        <v>60</v>
      </c>
      <c r="H34" s="90">
        <f>SUM(E32-E33)</f>
        <v>7</v>
      </c>
      <c r="I34" s="4" t="s">
        <v>61</v>
      </c>
      <c r="J34" s="247"/>
      <c r="K34" s="245"/>
      <c r="L34" s="247"/>
      <c r="M34" s="247"/>
      <c r="N34" s="225"/>
    </row>
    <row r="35" spans="1:14" s="4" customFormat="1" ht="15.75" x14ac:dyDescent="0.25">
      <c r="A35" s="219"/>
      <c r="B35" s="47" t="s">
        <v>62</v>
      </c>
      <c r="C35" s="47"/>
      <c r="D35" s="47"/>
      <c r="E35" s="88">
        <f>VLOOKUP(L31,A160:H223,8,1)</f>
        <v>0</v>
      </c>
      <c r="F35" s="4" t="s">
        <v>59</v>
      </c>
      <c r="G35" s="89"/>
      <c r="H35" s="90"/>
      <c r="J35" s="247"/>
      <c r="K35" s="245"/>
      <c r="L35" s="247"/>
      <c r="M35" s="247"/>
      <c r="N35" s="225"/>
    </row>
    <row r="36" spans="1:14" s="4" customFormat="1" ht="15.75" x14ac:dyDescent="0.25">
      <c r="A36" s="219"/>
      <c r="B36" s="47" t="s">
        <v>63</v>
      </c>
      <c r="C36" s="47"/>
      <c r="D36" s="47"/>
      <c r="E36" s="92">
        <f>VLOOKUP(L31,A159:H224,7,0)</f>
        <v>184</v>
      </c>
      <c r="F36" s="4" t="s">
        <v>64</v>
      </c>
      <c r="G36" s="89" t="s">
        <v>65</v>
      </c>
      <c r="H36" s="93">
        <f>VLOOKUP(L31,A159:H222,4,0)</f>
        <v>-2.2000000000000002</v>
      </c>
      <c r="I36" s="4" t="s">
        <v>54</v>
      </c>
      <c r="J36" s="83"/>
      <c r="K36" s="91"/>
      <c r="L36" s="83"/>
      <c r="M36" s="83"/>
      <c r="N36" s="225"/>
    </row>
    <row r="37" spans="1:14" s="4" customFormat="1" ht="15.75" x14ac:dyDescent="0.25">
      <c r="A37" s="219"/>
      <c r="B37" s="47" t="s">
        <v>66</v>
      </c>
      <c r="C37" s="47"/>
      <c r="D37" s="47"/>
      <c r="E37" s="94">
        <f>VLOOKUP(L31,A159:H225,6,0)</f>
        <v>1.47</v>
      </c>
      <c r="F37" s="4" t="s">
        <v>59</v>
      </c>
      <c r="G37" s="89" t="s">
        <v>67</v>
      </c>
      <c r="H37" s="90">
        <f>IF(AND(E32&gt;=H36,K33&lt;=H36)=TRUE(),ABS(H36-K33),IF(AND(E32&lt;=H36,K33&lt;=H36)=TRUE(),ABS(E32-K33),0))</f>
        <v>0</v>
      </c>
      <c r="I37" s="4" t="s">
        <v>61</v>
      </c>
      <c r="J37" s="83"/>
      <c r="K37" s="91"/>
      <c r="L37" s="83"/>
      <c r="M37" s="83"/>
      <c r="N37" s="225"/>
    </row>
    <row r="38" spans="1:14" s="53" customFormat="1" ht="15" thickBot="1" x14ac:dyDescent="0.25">
      <c r="A38" s="220"/>
      <c r="B38" s="47"/>
      <c r="C38" s="47"/>
      <c r="D38" s="47"/>
      <c r="E38" s="95"/>
      <c r="J38" s="96"/>
      <c r="K38" s="97"/>
      <c r="L38" s="96"/>
      <c r="M38" s="96"/>
      <c r="N38" s="226"/>
    </row>
    <row r="39" spans="1:14" s="45" customFormat="1" ht="20.100000000000001" customHeight="1" x14ac:dyDescent="0.2">
      <c r="A39" s="222"/>
      <c r="B39" s="66" t="s">
        <v>68</v>
      </c>
      <c r="C39" s="98"/>
      <c r="D39" s="98"/>
      <c r="E39" s="99">
        <f>+E29*E34*H34</f>
        <v>32548.425000000003</v>
      </c>
      <c r="F39" s="59" t="s">
        <v>39</v>
      </c>
      <c r="J39" s="100"/>
      <c r="K39" s="101"/>
      <c r="L39" s="100"/>
      <c r="M39" s="100"/>
      <c r="N39" s="227"/>
    </row>
    <row r="40" spans="1:14" s="45" customFormat="1" ht="20.100000000000001" customHeight="1" thickBot="1" x14ac:dyDescent="0.25">
      <c r="A40" s="222"/>
      <c r="B40" s="102" t="s">
        <v>69</v>
      </c>
      <c r="C40" s="103"/>
      <c r="D40" s="103"/>
      <c r="E40" s="104">
        <f>+E30*E35</f>
        <v>0</v>
      </c>
      <c r="F40" s="65" t="s">
        <v>39</v>
      </c>
      <c r="K40" s="60"/>
      <c r="N40" s="223"/>
    </row>
    <row r="41" spans="1:14" s="45" customFormat="1" ht="24.2" customHeight="1" thickBot="1" x14ac:dyDescent="0.25">
      <c r="A41" s="222"/>
      <c r="B41" s="105" t="s">
        <v>70</v>
      </c>
      <c r="C41" s="106"/>
      <c r="D41" s="106"/>
      <c r="E41" s="104">
        <f>IF(AND(H34&gt;0,H37&gt;0)=TRUE(),E29*E36,0)</f>
        <v>0</v>
      </c>
      <c r="F41" s="65" t="s">
        <v>39</v>
      </c>
      <c r="H41" s="107" t="s">
        <v>71</v>
      </c>
      <c r="I41" s="108">
        <f>+SUM(E39:E42)</f>
        <v>32548.425000000003</v>
      </c>
      <c r="J41" s="68" t="s">
        <v>39</v>
      </c>
      <c r="K41" s="69">
        <f>+I41/F12</f>
        <v>0.56507682291666672</v>
      </c>
      <c r="L41" s="70" t="s">
        <v>43</v>
      </c>
      <c r="N41" s="223"/>
    </row>
    <row r="42" spans="1:14" s="45" customFormat="1" ht="24.2" customHeight="1" thickBot="1" x14ac:dyDescent="0.25">
      <c r="A42" s="222"/>
      <c r="B42" s="109" t="s">
        <v>72</v>
      </c>
      <c r="C42" s="110"/>
      <c r="D42" s="110"/>
      <c r="E42" s="111">
        <f>E29*E37*H37</f>
        <v>0</v>
      </c>
      <c r="F42" s="75" t="s">
        <v>39</v>
      </c>
      <c r="H42" s="112" t="s">
        <v>73</v>
      </c>
      <c r="I42" s="77">
        <f>+(I41/D85)*100</f>
        <v>13.344750267077677</v>
      </c>
      <c r="J42" s="78" t="s">
        <v>47</v>
      </c>
      <c r="K42" s="79"/>
      <c r="L42" s="80"/>
      <c r="N42" s="223"/>
    </row>
    <row r="43" spans="1:14" s="53" customFormat="1" ht="5.85" customHeight="1" x14ac:dyDescent="0.15">
      <c r="A43" s="224"/>
      <c r="K43" s="54"/>
      <c r="N43" s="221"/>
    </row>
    <row r="44" spans="1:14" s="45" customFormat="1" ht="18.600000000000001" customHeight="1" x14ac:dyDescent="0.2">
      <c r="A44" s="217" t="s">
        <v>74</v>
      </c>
      <c r="B44" s="41"/>
      <c r="C44" s="41"/>
      <c r="D44" s="41"/>
      <c r="E44" s="41"/>
      <c r="F44" s="41"/>
      <c r="G44" s="41"/>
      <c r="H44" s="41"/>
      <c r="I44" s="41"/>
      <c r="J44" s="41"/>
      <c r="K44" s="81"/>
      <c r="L44" s="41"/>
      <c r="M44" s="41"/>
      <c r="N44" s="223"/>
    </row>
    <row r="45" spans="1:14" s="4" customFormat="1" ht="15.75" x14ac:dyDescent="0.25">
      <c r="A45" s="219"/>
      <c r="B45" s="4" t="s">
        <v>49</v>
      </c>
      <c r="E45" s="113">
        <f>+G45</f>
        <v>370.50000000000006</v>
      </c>
      <c r="F45" s="4" t="s">
        <v>30</v>
      </c>
      <c r="G45" s="30">
        <f>IF(E29="",G29*0.2,E29*0.2)</f>
        <v>370.50000000000006</v>
      </c>
      <c r="H45" s="4" t="s">
        <v>75</v>
      </c>
      <c r="K45" s="84">
        <f>IF(E45="",G45,E45)</f>
        <v>370.50000000000006</v>
      </c>
      <c r="N45" s="212"/>
    </row>
    <row r="46" spans="1:14" s="4" customFormat="1" ht="15" x14ac:dyDescent="0.2">
      <c r="A46" s="219"/>
      <c r="B46" s="4" t="s">
        <v>53</v>
      </c>
      <c r="E46" s="89">
        <f>+E32</f>
        <v>-18</v>
      </c>
      <c r="F46" s="4" t="s">
        <v>54</v>
      </c>
      <c r="K46" s="114"/>
      <c r="N46" s="212"/>
    </row>
    <row r="47" spans="1:14" s="4" customFormat="1" ht="15" x14ac:dyDescent="0.2">
      <c r="A47" s="219"/>
      <c r="B47" s="4" t="s">
        <v>76</v>
      </c>
      <c r="E47" s="115">
        <v>1.7</v>
      </c>
      <c r="F47" s="4" t="s">
        <v>59</v>
      </c>
      <c r="G47" s="89" t="s">
        <v>77</v>
      </c>
      <c r="H47" s="90">
        <f>+H34+H37</f>
        <v>7</v>
      </c>
      <c r="I47" s="4" t="s">
        <v>61</v>
      </c>
      <c r="K47" s="114"/>
      <c r="N47" s="212"/>
    </row>
    <row r="48" spans="1:14" s="53" customFormat="1" ht="7.5" customHeight="1" thickBot="1" x14ac:dyDescent="0.25">
      <c r="A48" s="219"/>
      <c r="K48" s="54"/>
      <c r="N48" s="221"/>
    </row>
    <row r="49" spans="1:47" s="45" customFormat="1" ht="24.2" customHeight="1" thickBot="1" x14ac:dyDescent="0.25">
      <c r="A49" s="222"/>
      <c r="H49" s="107" t="s">
        <v>78</v>
      </c>
      <c r="I49" s="116">
        <f>+E50</f>
        <v>4408.9500000000007</v>
      </c>
      <c r="J49" s="68" t="s">
        <v>39</v>
      </c>
      <c r="K49" s="69">
        <f>+I49/F12</f>
        <v>7.6544270833333344E-2</v>
      </c>
      <c r="L49" s="70" t="s">
        <v>79</v>
      </c>
      <c r="N49" s="223"/>
    </row>
    <row r="50" spans="1:47" s="45" customFormat="1" ht="24.2" customHeight="1" thickBot="1" x14ac:dyDescent="0.25">
      <c r="A50" s="222"/>
      <c r="B50" s="117" t="s">
        <v>80</v>
      </c>
      <c r="C50" s="118"/>
      <c r="D50" s="118"/>
      <c r="E50" s="119">
        <f>+K45*E47*H47</f>
        <v>4408.9500000000007</v>
      </c>
      <c r="F50" s="120" t="s">
        <v>39</v>
      </c>
      <c r="H50" s="112" t="s">
        <v>81</v>
      </c>
      <c r="I50" s="77">
        <f>+(I49/D85)*100</f>
        <v>1.8076554146639086</v>
      </c>
      <c r="J50" s="78" t="s">
        <v>47</v>
      </c>
      <c r="K50" s="79"/>
      <c r="L50" s="80"/>
      <c r="N50" s="223"/>
    </row>
    <row r="51" spans="1:47" s="53" customFormat="1" ht="5.85" customHeight="1" x14ac:dyDescent="0.15">
      <c r="A51" s="224"/>
      <c r="H51" s="121"/>
      <c r="K51" s="54"/>
      <c r="N51" s="221"/>
    </row>
    <row r="52" spans="1:47" s="45" customFormat="1" ht="18.600000000000001" customHeight="1" x14ac:dyDescent="0.2">
      <c r="A52" s="217" t="s">
        <v>82</v>
      </c>
      <c r="B52" s="41"/>
      <c r="C52" s="41"/>
      <c r="D52" s="41"/>
      <c r="E52" s="41"/>
      <c r="F52" s="41"/>
      <c r="G52" s="41"/>
      <c r="H52" s="122"/>
      <c r="I52" s="41"/>
      <c r="J52" s="41"/>
      <c r="K52" s="81"/>
      <c r="L52" s="41"/>
      <c r="M52" s="41"/>
      <c r="N52" s="223"/>
    </row>
    <row r="53" spans="1:47" s="4" customFormat="1" ht="15.75" x14ac:dyDescent="0.25">
      <c r="A53" s="219"/>
      <c r="B53" s="4" t="s">
        <v>83</v>
      </c>
      <c r="D53" s="123">
        <v>15</v>
      </c>
      <c r="E53" s="4" t="s">
        <v>84</v>
      </c>
      <c r="H53" s="38"/>
      <c r="K53" s="114"/>
      <c r="N53" s="212"/>
    </row>
    <row r="54" spans="1:47" s="4" customFormat="1" ht="16.5" thickBot="1" x14ac:dyDescent="0.3">
      <c r="A54" s="219"/>
      <c r="B54" s="4" t="s">
        <v>85</v>
      </c>
      <c r="D54" s="86">
        <v>12</v>
      </c>
      <c r="E54" s="4" t="s">
        <v>86</v>
      </c>
      <c r="F54" s="30">
        <f>D54*3600</f>
        <v>43200</v>
      </c>
      <c r="G54" s="4" t="s">
        <v>21</v>
      </c>
      <c r="H54" s="38"/>
      <c r="K54" s="114"/>
      <c r="N54" s="212"/>
    </row>
    <row r="55" spans="1:47" s="45" customFormat="1" ht="24.2" customHeight="1" thickBot="1" x14ac:dyDescent="0.25">
      <c r="A55" s="222"/>
      <c r="D55" s="124"/>
      <c r="H55" s="107" t="s">
        <v>87</v>
      </c>
      <c r="I55" s="116">
        <f>E56</f>
        <v>18468</v>
      </c>
      <c r="J55" s="68" t="s">
        <v>39</v>
      </c>
      <c r="K55" s="69">
        <f>I55/F12</f>
        <v>0.32062499999999999</v>
      </c>
      <c r="L55" s="70" t="s">
        <v>79</v>
      </c>
      <c r="N55" s="223"/>
    </row>
    <row r="56" spans="1:47" s="45" customFormat="1" ht="24.2" customHeight="1" thickBot="1" x14ac:dyDescent="0.25">
      <c r="A56" s="222"/>
      <c r="B56" s="117" t="s">
        <v>88</v>
      </c>
      <c r="C56" s="125"/>
      <c r="D56" s="126"/>
      <c r="E56" s="119">
        <f>+D53*E9*F54/1000</f>
        <v>18468</v>
      </c>
      <c r="F56" s="120" t="s">
        <v>39</v>
      </c>
      <c r="H56" s="112" t="s">
        <v>89</v>
      </c>
      <c r="I56" s="77">
        <f>(I55/D85)*100</f>
        <v>7.5718210000143022</v>
      </c>
      <c r="J56" s="78" t="s">
        <v>47</v>
      </c>
      <c r="K56" s="79"/>
      <c r="L56" s="80"/>
      <c r="N56" s="223"/>
    </row>
    <row r="57" spans="1:47" s="53" customFormat="1" ht="5.85" customHeight="1" x14ac:dyDescent="0.15">
      <c r="A57" s="224"/>
      <c r="D57" s="95"/>
      <c r="H57" s="121"/>
      <c r="K57" s="54"/>
      <c r="N57" s="221"/>
    </row>
    <row r="58" spans="1:47" s="45" customFormat="1" ht="18.600000000000001" customHeight="1" x14ac:dyDescent="0.2">
      <c r="A58" s="217" t="s">
        <v>90</v>
      </c>
      <c r="B58" s="41"/>
      <c r="C58" s="41"/>
      <c r="D58" s="127"/>
      <c r="E58" s="41"/>
      <c r="F58" s="41"/>
      <c r="G58" s="41"/>
      <c r="H58" s="122"/>
      <c r="I58" s="41"/>
      <c r="J58" s="41"/>
      <c r="K58" s="81"/>
      <c r="L58" s="41"/>
      <c r="M58" s="41"/>
      <c r="N58" s="223"/>
    </row>
    <row r="59" spans="1:47" s="4" customFormat="1" ht="15.75" x14ac:dyDescent="0.25">
      <c r="A59" s="219"/>
      <c r="B59" s="4" t="s">
        <v>91</v>
      </c>
      <c r="D59" s="82">
        <v>1</v>
      </c>
      <c r="H59" s="38"/>
      <c r="K59" s="114"/>
      <c r="N59" s="212"/>
    </row>
    <row r="60" spans="1:47" s="4" customFormat="1" ht="15.75" x14ac:dyDescent="0.25">
      <c r="A60" s="219"/>
      <c r="B60" s="4" t="s">
        <v>92</v>
      </c>
      <c r="D60" s="123">
        <v>270</v>
      </c>
      <c r="E60" s="4" t="s">
        <v>93</v>
      </c>
      <c r="H60" s="38"/>
      <c r="K60" s="114"/>
      <c r="N60" s="212"/>
    </row>
    <row r="61" spans="1:47" s="4" customFormat="1" ht="16.5" thickBot="1" x14ac:dyDescent="0.3">
      <c r="A61" s="219"/>
      <c r="B61" s="4" t="s">
        <v>94</v>
      </c>
      <c r="D61" s="82">
        <v>8</v>
      </c>
      <c r="E61" s="4" t="s">
        <v>95</v>
      </c>
      <c r="H61" s="38"/>
      <c r="K61" s="114"/>
      <c r="N61" s="212"/>
    </row>
    <row r="62" spans="1:47" s="45" customFormat="1" ht="24.2" customHeight="1" thickBot="1" x14ac:dyDescent="0.25">
      <c r="A62" s="222"/>
      <c r="D62" s="124"/>
      <c r="H62" s="107" t="s">
        <v>96</v>
      </c>
      <c r="I62" s="116">
        <f>E63</f>
        <v>7776</v>
      </c>
      <c r="J62" s="68" t="s">
        <v>39</v>
      </c>
      <c r="K62" s="69">
        <f>I62/F12</f>
        <v>0.13500000000000001</v>
      </c>
      <c r="L62" s="70" t="s">
        <v>79</v>
      </c>
      <c r="N62" s="223"/>
    </row>
    <row r="63" spans="1:47" s="45" customFormat="1" ht="24.2" customHeight="1" thickBot="1" x14ac:dyDescent="0.25">
      <c r="A63" s="222"/>
      <c r="B63" s="117" t="s">
        <v>97</v>
      </c>
      <c r="C63" s="118"/>
      <c r="D63" s="126"/>
      <c r="E63" s="119">
        <f>+D59*D60*D61*3600/1000</f>
        <v>7776</v>
      </c>
      <c r="F63" s="120" t="s">
        <v>39</v>
      </c>
      <c r="H63" s="112" t="s">
        <v>98</v>
      </c>
      <c r="I63" s="77">
        <f>(I62/D85)*100</f>
        <v>3.1881351579007586</v>
      </c>
      <c r="J63" s="78" t="s">
        <v>47</v>
      </c>
      <c r="K63" s="79"/>
      <c r="L63" s="80"/>
      <c r="N63" s="223"/>
      <c r="AS63" s="4" t="s">
        <v>8</v>
      </c>
      <c r="AT63" s="4" t="s">
        <v>99</v>
      </c>
      <c r="AU63" s="4"/>
    </row>
    <row r="64" spans="1:47" s="53" customFormat="1" ht="5.85" customHeight="1" x14ac:dyDescent="0.15">
      <c r="A64" s="224"/>
      <c r="D64" s="95"/>
      <c r="H64" s="121"/>
      <c r="K64" s="54"/>
      <c r="N64" s="221"/>
      <c r="R64" s="54"/>
      <c r="AS64" s="53">
        <v>5</v>
      </c>
      <c r="AT64" s="54">
        <v>44.4</v>
      </c>
    </row>
    <row r="65" spans="1:47" s="45" customFormat="1" ht="18.600000000000001" customHeight="1" x14ac:dyDescent="0.2">
      <c r="A65" s="217" t="s">
        <v>100</v>
      </c>
      <c r="B65" s="41"/>
      <c r="C65" s="41"/>
      <c r="D65" s="127"/>
      <c r="E65" s="41"/>
      <c r="F65" s="41"/>
      <c r="G65" s="41"/>
      <c r="H65" s="122"/>
      <c r="I65" s="41"/>
      <c r="J65" s="41"/>
      <c r="K65" s="81"/>
      <c r="L65" s="41"/>
      <c r="M65" s="41"/>
      <c r="N65" s="223"/>
      <c r="AS65" s="45">
        <v>8.5</v>
      </c>
      <c r="AT65" s="60">
        <v>34.56</v>
      </c>
    </row>
    <row r="66" spans="1:47" s="4" customFormat="1" ht="15.75" x14ac:dyDescent="0.25">
      <c r="A66" s="219"/>
      <c r="B66" s="308" t="s">
        <v>101</v>
      </c>
      <c r="C66" s="308"/>
      <c r="D66" s="128">
        <f>+F66*0.6</f>
        <v>7.1999999999999993</v>
      </c>
      <c r="E66" s="4" t="s">
        <v>102</v>
      </c>
      <c r="F66" s="129">
        <f>LOOKUP(G9,AS64:AS83,AT64:AT83)</f>
        <v>12</v>
      </c>
      <c r="G66" s="4" t="s">
        <v>103</v>
      </c>
      <c r="H66" s="38"/>
      <c r="K66" s="114"/>
      <c r="N66" s="212"/>
      <c r="R66" s="130"/>
      <c r="AS66" s="45">
        <v>10</v>
      </c>
      <c r="AT66" s="60">
        <v>29.52</v>
      </c>
      <c r="AU66" s="45"/>
    </row>
    <row r="67" spans="1:47" s="53" customFormat="1" ht="9" thickBot="1" x14ac:dyDescent="0.2">
      <c r="A67" s="220"/>
      <c r="D67" s="95"/>
      <c r="F67" s="228"/>
      <c r="H67" s="121"/>
      <c r="K67" s="54"/>
      <c r="N67" s="221"/>
      <c r="R67" s="131"/>
      <c r="AS67" s="53">
        <v>14</v>
      </c>
      <c r="AT67" s="54">
        <v>25.92</v>
      </c>
    </row>
    <row r="68" spans="1:47" s="45" customFormat="1" ht="24.2" customHeight="1" thickBot="1" x14ac:dyDescent="0.25">
      <c r="A68" s="222"/>
      <c r="D68" s="124"/>
      <c r="H68" s="107" t="s">
        <v>104</v>
      </c>
      <c r="I68" s="116">
        <f>+E69</f>
        <v>59462.785491172785</v>
      </c>
      <c r="J68" s="68" t="s">
        <v>39</v>
      </c>
      <c r="K68" s="69">
        <f>+I68/F12</f>
        <v>1.0323400258884163</v>
      </c>
      <c r="L68" s="70" t="s">
        <v>79</v>
      </c>
      <c r="N68" s="223"/>
      <c r="AS68" s="45">
        <v>17</v>
      </c>
      <c r="AT68" s="60">
        <v>23.04</v>
      </c>
    </row>
    <row r="69" spans="1:47" s="45" customFormat="1" ht="24.2" customHeight="1" thickBot="1" x14ac:dyDescent="0.25">
      <c r="A69" s="222"/>
      <c r="B69" s="117" t="s">
        <v>105</v>
      </c>
      <c r="C69" s="118"/>
      <c r="D69" s="126"/>
      <c r="E69" s="119">
        <f>IF(D66="",+(G9*F66/J13)*(K11-J11),+(G9*D66/J13)*(K11-J11))</f>
        <v>59462.785491172785</v>
      </c>
      <c r="F69" s="120" t="s">
        <v>39</v>
      </c>
      <c r="H69" s="112" t="s">
        <v>106</v>
      </c>
      <c r="I69" s="77">
        <f>+(I68/D85)*100</f>
        <v>24.379552084763258</v>
      </c>
      <c r="J69" s="78" t="s">
        <v>47</v>
      </c>
      <c r="K69" s="79"/>
      <c r="L69" s="80"/>
      <c r="N69" s="223"/>
      <c r="AS69" s="4">
        <v>28</v>
      </c>
      <c r="AT69" s="114">
        <v>17.52</v>
      </c>
      <c r="AU69" s="4"/>
    </row>
    <row r="70" spans="1:47" s="53" customFormat="1" ht="5.85" customHeight="1" x14ac:dyDescent="0.2">
      <c r="A70" s="224"/>
      <c r="D70" s="95"/>
      <c r="H70" s="121"/>
      <c r="K70" s="54"/>
      <c r="N70" s="221"/>
      <c r="AS70" s="4">
        <v>42</v>
      </c>
      <c r="AT70" s="114">
        <v>13.92</v>
      </c>
      <c r="AU70" s="4"/>
    </row>
    <row r="71" spans="1:47" s="45" customFormat="1" ht="18.600000000000001" customHeight="1" x14ac:dyDescent="0.2">
      <c r="A71" s="217" t="s">
        <v>107</v>
      </c>
      <c r="B71" s="41"/>
      <c r="C71" s="41"/>
      <c r="D71" s="127"/>
      <c r="E71" s="41"/>
      <c r="F71" s="41"/>
      <c r="G71" s="41"/>
      <c r="H71" s="122"/>
      <c r="I71" s="41"/>
      <c r="J71" s="41"/>
      <c r="K71" s="81"/>
      <c r="L71" s="41"/>
      <c r="M71" s="41"/>
      <c r="N71" s="223"/>
      <c r="AS71" s="4">
        <v>56</v>
      </c>
      <c r="AT71" s="114">
        <v>12</v>
      </c>
      <c r="AU71" s="4"/>
    </row>
    <row r="72" spans="1:47" s="4" customFormat="1" ht="15.75" x14ac:dyDescent="0.25">
      <c r="A72" s="219"/>
      <c r="B72" s="4" t="s">
        <v>108</v>
      </c>
      <c r="D72" s="82">
        <v>0</v>
      </c>
      <c r="H72" s="38"/>
      <c r="K72" s="114"/>
      <c r="N72" s="212"/>
      <c r="AS72" s="45">
        <v>110</v>
      </c>
      <c r="AT72" s="60">
        <v>8.8800000000000008</v>
      </c>
      <c r="AU72" s="45"/>
    </row>
    <row r="73" spans="1:47" s="4" customFormat="1" ht="15.75" x14ac:dyDescent="0.25">
      <c r="A73" s="219"/>
      <c r="B73" s="4" t="s">
        <v>109</v>
      </c>
      <c r="D73" s="82">
        <v>500</v>
      </c>
      <c r="E73" s="4" t="s">
        <v>93</v>
      </c>
      <c r="H73" s="38"/>
      <c r="K73" s="114"/>
      <c r="N73" s="212"/>
      <c r="AS73" s="45">
        <v>140</v>
      </c>
      <c r="AT73" s="60">
        <v>7.2</v>
      </c>
      <c r="AU73" s="45"/>
    </row>
    <row r="74" spans="1:47" s="4" customFormat="1" ht="16.5" thickBot="1" x14ac:dyDescent="0.3">
      <c r="A74" s="219"/>
      <c r="B74" s="4" t="s">
        <v>110</v>
      </c>
      <c r="D74" s="86"/>
      <c r="E74" s="4" t="s">
        <v>95</v>
      </c>
      <c r="G74" s="89"/>
      <c r="H74" s="38"/>
      <c r="K74" s="114"/>
      <c r="N74" s="212"/>
      <c r="AS74" s="53">
        <v>170</v>
      </c>
      <c r="AT74" s="54">
        <v>6.48</v>
      </c>
      <c r="AU74" s="53"/>
    </row>
    <row r="75" spans="1:47" s="45" customFormat="1" ht="24.2" customHeight="1" thickBot="1" x14ac:dyDescent="0.25">
      <c r="A75" s="222"/>
      <c r="H75" s="107" t="s">
        <v>111</v>
      </c>
      <c r="I75" s="116">
        <f>+E76</f>
        <v>0</v>
      </c>
      <c r="J75" s="68" t="s">
        <v>39</v>
      </c>
      <c r="K75" s="69">
        <f>+I75/F12</f>
        <v>0</v>
      </c>
      <c r="L75" s="70" t="s">
        <v>79</v>
      </c>
      <c r="N75" s="223"/>
      <c r="AS75" s="45">
        <v>220</v>
      </c>
      <c r="AT75" s="60">
        <v>5.52</v>
      </c>
    </row>
    <row r="76" spans="1:47" s="45" customFormat="1" ht="24.2" customHeight="1" thickBot="1" x14ac:dyDescent="0.25">
      <c r="A76" s="222"/>
      <c r="B76" s="117" t="s">
        <v>112</v>
      </c>
      <c r="C76" s="118"/>
      <c r="D76" s="118"/>
      <c r="E76" s="119">
        <f>+D72*D73*D74*3600/1000</f>
        <v>0</v>
      </c>
      <c r="F76" s="120" t="s">
        <v>39</v>
      </c>
      <c r="H76" s="112" t="s">
        <v>113</v>
      </c>
      <c r="I76" s="77">
        <f>+(I75/D85)*100</f>
        <v>0</v>
      </c>
      <c r="J76" s="78" t="s">
        <v>47</v>
      </c>
      <c r="K76" s="79"/>
      <c r="L76" s="80"/>
      <c r="N76" s="223"/>
      <c r="AS76" s="4">
        <v>280</v>
      </c>
      <c r="AT76" s="114">
        <v>4.8</v>
      </c>
      <c r="AU76" s="4"/>
    </row>
    <row r="77" spans="1:47" s="53" customFormat="1" ht="5.85" customHeight="1" x14ac:dyDescent="0.15">
      <c r="A77" s="224"/>
      <c r="H77" s="121"/>
      <c r="K77" s="54"/>
      <c r="N77" s="221"/>
      <c r="AS77" s="45">
        <v>570</v>
      </c>
      <c r="AT77" s="60">
        <v>3.6</v>
      </c>
      <c r="AU77" s="45"/>
    </row>
    <row r="78" spans="1:47" s="45" customFormat="1" ht="18.600000000000001" customHeight="1" x14ac:dyDescent="0.2">
      <c r="A78" s="217" t="s">
        <v>114</v>
      </c>
      <c r="B78" s="41"/>
      <c r="C78" s="41"/>
      <c r="D78" s="41"/>
      <c r="E78" s="41"/>
      <c r="F78" s="41"/>
      <c r="G78" s="41"/>
      <c r="H78" s="122"/>
      <c r="I78" s="41"/>
      <c r="J78" s="41"/>
      <c r="K78" s="81"/>
      <c r="L78" s="41"/>
      <c r="M78" s="41"/>
      <c r="N78" s="223"/>
      <c r="AS78" s="45">
        <v>700</v>
      </c>
      <c r="AT78" s="60">
        <v>3.12</v>
      </c>
    </row>
    <row r="79" spans="1:47" s="4" customFormat="1" ht="17.25" thickBot="1" x14ac:dyDescent="0.35">
      <c r="A79" s="219"/>
      <c r="B79" s="113">
        <v>10</v>
      </c>
      <c r="C79" s="4" t="s">
        <v>115</v>
      </c>
      <c r="H79" s="38"/>
      <c r="K79" s="114"/>
      <c r="N79" s="212"/>
      <c r="AS79" s="53">
        <v>850</v>
      </c>
      <c r="AT79" s="54">
        <v>2.64</v>
      </c>
      <c r="AU79" s="53"/>
    </row>
    <row r="80" spans="1:47" s="45" customFormat="1" ht="24.2" customHeight="1" thickBot="1" x14ac:dyDescent="0.25">
      <c r="A80" s="222"/>
      <c r="H80" s="107" t="s">
        <v>116</v>
      </c>
      <c r="I80" s="116">
        <f>+E81</f>
        <v>22173.121774879779</v>
      </c>
      <c r="J80" s="68" t="s">
        <v>39</v>
      </c>
      <c r="K80" s="69">
        <f>+I80/F12</f>
        <v>0.38495003081388507</v>
      </c>
      <c r="L80" s="70" t="s">
        <v>79</v>
      </c>
      <c r="N80" s="223"/>
      <c r="AS80" s="45">
        <v>1100</v>
      </c>
      <c r="AT80" s="60">
        <v>2.4</v>
      </c>
    </row>
    <row r="81" spans="1:47" s="45" customFormat="1" ht="24.2" customHeight="1" thickBot="1" x14ac:dyDescent="0.2">
      <c r="A81" s="222"/>
      <c r="B81" s="117" t="s">
        <v>117</v>
      </c>
      <c r="C81" s="118"/>
      <c r="D81" s="118"/>
      <c r="E81" s="119">
        <f>+(B79/100)*(I25+I41+I49+I55+I62+I68+I75)</f>
        <v>22173.121774879779</v>
      </c>
      <c r="F81" s="120" t="s">
        <v>118</v>
      </c>
      <c r="H81" s="112" t="s">
        <v>119</v>
      </c>
      <c r="I81" s="77">
        <f>+(I80/D85)*100</f>
        <v>9.0909090909090917</v>
      </c>
      <c r="J81" s="78" t="s">
        <v>47</v>
      </c>
      <c r="K81" s="79"/>
      <c r="L81" s="80"/>
      <c r="N81" s="223"/>
      <c r="AS81" s="53">
        <v>1400</v>
      </c>
      <c r="AT81" s="54">
        <v>1.92</v>
      </c>
      <c r="AU81" s="53"/>
    </row>
    <row r="82" spans="1:47" s="53" customFormat="1" ht="5.85" customHeight="1" x14ac:dyDescent="0.15">
      <c r="A82" s="224"/>
      <c r="K82" s="54"/>
      <c r="N82" s="221"/>
      <c r="AS82" s="45">
        <v>2100</v>
      </c>
      <c r="AT82" s="60">
        <v>1.68</v>
      </c>
      <c r="AU82" s="45"/>
    </row>
    <row r="83" spans="1:47" s="45" customFormat="1" ht="18.600000000000001" customHeight="1" x14ac:dyDescent="0.15">
      <c r="A83" s="217" t="s">
        <v>120</v>
      </c>
      <c r="B83" s="41"/>
      <c r="C83" s="41"/>
      <c r="D83" s="41"/>
      <c r="E83" s="41"/>
      <c r="F83" s="41"/>
      <c r="G83" s="41"/>
      <c r="H83" s="41"/>
      <c r="I83" s="41"/>
      <c r="J83" s="41"/>
      <c r="K83" s="81"/>
      <c r="L83" s="41"/>
      <c r="M83" s="41"/>
      <c r="N83" s="223"/>
      <c r="AS83" s="53">
        <v>2800</v>
      </c>
      <c r="AT83" s="54">
        <v>1.44</v>
      </c>
      <c r="AU83" s="53"/>
    </row>
    <row r="84" spans="1:47" s="53" customFormat="1" ht="15.75" thickBot="1" x14ac:dyDescent="0.2">
      <c r="A84" s="220"/>
      <c r="K84" s="54"/>
      <c r="N84" s="221"/>
      <c r="AS84" s="45"/>
      <c r="AT84" s="60"/>
      <c r="AU84" s="45"/>
    </row>
    <row r="85" spans="1:47" s="45" customFormat="1" ht="24.2" customHeight="1" thickTop="1" thickBot="1" x14ac:dyDescent="0.2">
      <c r="A85" s="222"/>
      <c r="B85" s="312" t="s">
        <v>121</v>
      </c>
      <c r="C85" s="312"/>
      <c r="D85" s="132">
        <f>+(I25+I41+I49+I55+I62+I68+I75+I80)</f>
        <v>243904.33952367754</v>
      </c>
      <c r="E85" s="133" t="s">
        <v>39</v>
      </c>
      <c r="F85" s="134">
        <f>+D85/F12</f>
        <v>4.234450338952735</v>
      </c>
      <c r="G85" s="135" t="s">
        <v>43</v>
      </c>
      <c r="K85" s="60"/>
      <c r="N85" s="223"/>
      <c r="AS85" s="53"/>
      <c r="AT85" s="54"/>
      <c r="AU85" s="53"/>
    </row>
    <row r="86" spans="1:47" s="53" customFormat="1" ht="5.85" customHeight="1" thickTop="1" x14ac:dyDescent="0.15">
      <c r="A86" s="224"/>
      <c r="K86" s="54"/>
      <c r="N86" s="221"/>
      <c r="AS86" s="45">
        <v>2100</v>
      </c>
      <c r="AT86" s="60">
        <v>0</v>
      </c>
      <c r="AU86" s="45"/>
    </row>
    <row r="87" spans="1:47" s="45" customFormat="1" ht="18.600000000000001" customHeight="1" x14ac:dyDescent="0.2">
      <c r="A87" s="217" t="s">
        <v>122</v>
      </c>
      <c r="B87" s="41"/>
      <c r="C87" s="41"/>
      <c r="D87" s="41"/>
      <c r="E87" s="41"/>
      <c r="F87" s="41"/>
      <c r="G87" s="41"/>
      <c r="H87" s="41"/>
      <c r="I87" s="41"/>
      <c r="J87" s="41"/>
      <c r="K87" s="81"/>
      <c r="L87" s="41"/>
      <c r="M87" s="41"/>
      <c r="N87" s="223"/>
      <c r="AS87" s="45">
        <v>2100</v>
      </c>
      <c r="AT87" s="60">
        <v>0</v>
      </c>
    </row>
    <row r="88" spans="1:47" s="53" customFormat="1" ht="15.75" thickBot="1" x14ac:dyDescent="0.2">
      <c r="A88" s="220"/>
      <c r="K88" s="54"/>
      <c r="N88" s="221"/>
      <c r="AS88" s="45"/>
      <c r="AT88" s="45"/>
      <c r="AU88" s="45"/>
    </row>
    <row r="89" spans="1:47" s="45" customFormat="1" ht="24.2" customHeight="1" thickTop="1" thickBot="1" x14ac:dyDescent="0.25">
      <c r="A89" s="222"/>
      <c r="B89" s="312" t="s">
        <v>123</v>
      </c>
      <c r="C89" s="312"/>
      <c r="D89" s="132">
        <v>10</v>
      </c>
      <c r="E89" s="135" t="s">
        <v>47</v>
      </c>
      <c r="F89" s="136"/>
      <c r="G89" s="137"/>
      <c r="K89" s="60"/>
      <c r="N89" s="223"/>
    </row>
    <row r="90" spans="1:47" s="45" customFormat="1" ht="24.2" customHeight="1" thickTop="1" thickBot="1" x14ac:dyDescent="0.25">
      <c r="A90" s="222"/>
      <c r="B90" s="312" t="s">
        <v>124</v>
      </c>
      <c r="C90" s="312"/>
      <c r="D90" s="132">
        <f>D85*(1+D89/100)</f>
        <v>268294.77347604529</v>
      </c>
      <c r="E90" s="133" t="s">
        <v>39</v>
      </c>
      <c r="F90" s="134">
        <f>D90/F12</f>
        <v>4.6578953728480084</v>
      </c>
      <c r="G90" s="135" t="s">
        <v>43</v>
      </c>
      <c r="K90" s="60"/>
      <c r="N90" s="223"/>
    </row>
    <row r="91" spans="1:47" s="53" customFormat="1" ht="5.85" customHeight="1" thickTop="1" x14ac:dyDescent="0.15">
      <c r="A91" s="224"/>
      <c r="K91" s="54"/>
      <c r="N91" s="221"/>
      <c r="P91" s="54"/>
    </row>
    <row r="92" spans="1:47" s="45" customFormat="1" ht="18.600000000000001" customHeight="1" x14ac:dyDescent="0.2">
      <c r="A92" s="217" t="s">
        <v>125</v>
      </c>
      <c r="B92" s="41"/>
      <c r="C92" s="41"/>
      <c r="D92" s="41"/>
      <c r="E92" s="41"/>
      <c r="F92" s="41"/>
      <c r="G92" s="41"/>
      <c r="H92" s="41"/>
      <c r="I92" s="41"/>
      <c r="J92" s="41"/>
      <c r="K92" s="81"/>
      <c r="L92" s="41"/>
      <c r="M92" s="41"/>
      <c r="N92" s="223"/>
    </row>
    <row r="93" spans="1:47" s="53" customFormat="1" ht="8.25" x14ac:dyDescent="0.15">
      <c r="A93" s="220"/>
      <c r="K93" s="54"/>
      <c r="N93" s="221"/>
      <c r="P93" s="54"/>
    </row>
    <row r="94" spans="1:47" s="4" customFormat="1" ht="15.75" x14ac:dyDescent="0.25">
      <c r="A94" s="219"/>
      <c r="B94" s="4" t="s">
        <v>126</v>
      </c>
      <c r="F94" s="86">
        <v>8</v>
      </c>
      <c r="G94" s="4" t="s">
        <v>95</v>
      </c>
      <c r="K94" s="114"/>
      <c r="N94" s="212"/>
      <c r="P94" s="1"/>
    </row>
    <row r="95" spans="1:47" s="53" customFormat="1" ht="9" thickBot="1" x14ac:dyDescent="0.2">
      <c r="A95" s="220"/>
      <c r="K95" s="54"/>
      <c r="N95" s="221"/>
    </row>
    <row r="96" spans="1:47" s="45" customFormat="1" ht="25.5" customHeight="1" thickTop="1" thickBot="1" x14ac:dyDescent="0.25">
      <c r="A96" s="222"/>
      <c r="B96" s="138" t="s">
        <v>127</v>
      </c>
      <c r="C96" s="139" t="s">
        <v>128</v>
      </c>
      <c r="D96" s="140">
        <f>+D85/(F94*3600)</f>
        <v>8.4689006779054701</v>
      </c>
      <c r="E96" s="141" t="s">
        <v>43</v>
      </c>
      <c r="F96" s="142" t="s">
        <v>129</v>
      </c>
      <c r="G96" s="143">
        <f>+D96*1000/G9</f>
        <v>114.29015759656504</v>
      </c>
      <c r="H96" s="141" t="s">
        <v>130</v>
      </c>
      <c r="K96" s="60"/>
      <c r="N96" s="223"/>
    </row>
    <row r="97" spans="1:14" s="53" customFormat="1" ht="9" thickTop="1" x14ac:dyDescent="0.15">
      <c r="A97" s="224"/>
      <c r="K97" s="54"/>
      <c r="N97" s="221"/>
    </row>
    <row r="98" spans="1:14" x14ac:dyDescent="0.2">
      <c r="A98" s="229"/>
      <c r="B98" s="185"/>
      <c r="C98" s="185"/>
      <c r="D98" s="185"/>
      <c r="E98" s="185"/>
      <c r="F98" s="185"/>
      <c r="G98" s="185"/>
      <c r="H98" s="185"/>
      <c r="I98" s="185"/>
      <c r="J98" s="185"/>
      <c r="K98" s="230"/>
      <c r="L98" s="185"/>
      <c r="M98" s="185"/>
      <c r="N98" s="213"/>
    </row>
    <row r="99" spans="1:14" ht="18" x14ac:dyDescent="0.25">
      <c r="A99" s="229"/>
      <c r="B99" s="185"/>
      <c r="C99" s="244" t="s">
        <v>26</v>
      </c>
      <c r="D99" s="244" t="s">
        <v>254</v>
      </c>
      <c r="E99" s="185"/>
      <c r="F99" s="185"/>
      <c r="G99" s="185"/>
      <c r="H99" s="185"/>
      <c r="I99" s="185"/>
      <c r="J99" s="185"/>
      <c r="K99" s="230"/>
      <c r="L99" s="185"/>
      <c r="M99" s="185"/>
      <c r="N99" s="213"/>
    </row>
    <row r="100" spans="1:14" ht="20.25" x14ac:dyDescent="0.35">
      <c r="A100" s="229"/>
      <c r="B100" s="185"/>
      <c r="C100" s="240" t="str">
        <f ca="1">+Feuil3!K11</f>
        <v>CAE3167</v>
      </c>
      <c r="D100" s="280"/>
      <c r="F100" s="215"/>
      <c r="G100" s="185"/>
      <c r="H100" s="216" t="str">
        <f>HYPERLINK("#h11","choix")</f>
        <v>choix</v>
      </c>
      <c r="I100" s="185"/>
      <c r="J100" s="185"/>
      <c r="K100" s="230"/>
      <c r="L100" s="185"/>
      <c r="M100" s="185"/>
      <c r="N100" s="213"/>
    </row>
    <row r="101" spans="1:14" x14ac:dyDescent="0.2">
      <c r="A101" s="229"/>
      <c r="B101" s="185"/>
      <c r="C101" s="185"/>
      <c r="D101" s="185"/>
      <c r="E101" s="185"/>
      <c r="F101" s="185"/>
      <c r="G101" s="185"/>
      <c r="H101" s="185"/>
      <c r="I101" s="185"/>
      <c r="J101" s="185"/>
      <c r="K101" s="230"/>
      <c r="L101" s="185"/>
      <c r="M101" s="185"/>
      <c r="N101" s="213"/>
    </row>
    <row r="102" spans="1:14" x14ac:dyDescent="0.2">
      <c r="A102" s="229"/>
      <c r="B102" s="185"/>
      <c r="C102" s="185"/>
      <c r="D102" s="185"/>
      <c r="E102" s="185"/>
      <c r="F102" s="185"/>
      <c r="G102" s="185"/>
      <c r="H102" s="185"/>
      <c r="I102" s="185"/>
      <c r="J102" s="185"/>
      <c r="K102" s="230"/>
      <c r="L102" s="185"/>
      <c r="M102" s="185"/>
      <c r="N102" s="213"/>
    </row>
    <row r="103" spans="1:14" ht="12.75" customHeight="1" thickBot="1" x14ac:dyDescent="0.25">
      <c r="A103" s="231"/>
      <c r="B103" s="232"/>
      <c r="C103" s="232"/>
      <c r="D103" s="233"/>
      <c r="E103" s="233"/>
      <c r="F103" s="233"/>
      <c r="G103" s="233"/>
      <c r="H103" s="233"/>
      <c r="I103" s="233"/>
      <c r="J103" s="232"/>
      <c r="K103" s="234"/>
      <c r="L103" s="232"/>
      <c r="M103" s="232"/>
      <c r="N103" s="235"/>
    </row>
    <row r="104" spans="1:14" ht="18" x14ac:dyDescent="0.2">
      <c r="D104" s="144"/>
      <c r="E104" s="144"/>
      <c r="F104" s="144"/>
      <c r="G104" s="144"/>
      <c r="H104" s="144"/>
      <c r="I104" s="144"/>
    </row>
    <row r="105" spans="1:14" ht="18" x14ac:dyDescent="0.2">
      <c r="D105" s="144"/>
      <c r="E105" s="144"/>
      <c r="F105" s="144"/>
      <c r="G105" s="144"/>
      <c r="H105" s="144"/>
      <c r="I105" s="144"/>
    </row>
    <row r="106" spans="1:14" ht="18" x14ac:dyDescent="0.2">
      <c r="D106" s="144"/>
      <c r="E106" s="144"/>
      <c r="F106" s="144"/>
      <c r="G106" s="144"/>
      <c r="H106" s="144"/>
      <c r="I106" s="144"/>
    </row>
    <row r="107" spans="1:14" ht="18" x14ac:dyDescent="0.2">
      <c r="D107" s="144"/>
      <c r="E107" s="144"/>
      <c r="F107" s="144"/>
      <c r="G107" s="144"/>
      <c r="H107" s="144"/>
      <c r="I107" s="144"/>
    </row>
    <row r="108" spans="1:14" ht="18" x14ac:dyDescent="0.2">
      <c r="D108" s="144"/>
      <c r="E108" s="144"/>
      <c r="F108" s="144"/>
      <c r="G108" s="144"/>
      <c r="H108" s="144"/>
      <c r="I108" s="144"/>
    </row>
    <row r="109" spans="1:14" ht="18" x14ac:dyDescent="0.2">
      <c r="D109" s="144"/>
      <c r="E109" s="144"/>
      <c r="F109" s="144"/>
      <c r="G109" s="144"/>
      <c r="H109" s="144"/>
      <c r="I109" s="144"/>
    </row>
    <row r="157" spans="1:16" ht="25.5" customHeight="1" x14ac:dyDescent="0.2">
      <c r="E157" s="313" t="s">
        <v>131</v>
      </c>
      <c r="F157" s="313"/>
      <c r="G157" s="314" t="s">
        <v>132</v>
      </c>
      <c r="H157" s="314" t="s">
        <v>133</v>
      </c>
    </row>
    <row r="158" spans="1:16" ht="40.5" customHeight="1" x14ac:dyDescent="0.2">
      <c r="B158" s="146"/>
      <c r="C158" s="147" t="s">
        <v>134</v>
      </c>
      <c r="D158" s="145" t="s">
        <v>135</v>
      </c>
      <c r="E158" s="145" t="s">
        <v>136</v>
      </c>
      <c r="F158" s="145" t="s">
        <v>137</v>
      </c>
      <c r="G158" s="314"/>
      <c r="H158" s="314"/>
    </row>
    <row r="159" spans="1:16" ht="18.75" customHeight="1" x14ac:dyDescent="0.2">
      <c r="A159" s="1">
        <v>1</v>
      </c>
      <c r="B159" s="148"/>
      <c r="C159" s="149" t="s">
        <v>138</v>
      </c>
      <c r="D159" s="150"/>
      <c r="E159" s="151"/>
      <c r="F159" s="151"/>
      <c r="G159" s="152"/>
      <c r="H159" s="152"/>
      <c r="O159" s="153">
        <v>3167</v>
      </c>
      <c r="P159" s="154">
        <v>2.1</v>
      </c>
    </row>
    <row r="160" spans="1:16" ht="16.5" x14ac:dyDescent="0.25">
      <c r="A160" s="1">
        <v>2</v>
      </c>
      <c r="B160" s="318" t="s">
        <v>139</v>
      </c>
      <c r="C160" s="155" t="s">
        <v>140</v>
      </c>
      <c r="D160" s="156">
        <v>-1.7</v>
      </c>
      <c r="E160" s="157">
        <v>2.8</v>
      </c>
      <c r="F160" s="157">
        <v>1.26</v>
      </c>
      <c r="G160" s="158">
        <v>197</v>
      </c>
      <c r="H160" s="157"/>
      <c r="O160" s="153" t="s">
        <v>141</v>
      </c>
      <c r="P160" s="154">
        <v>4.2</v>
      </c>
    </row>
    <row r="161" spans="1:16" ht="16.5" x14ac:dyDescent="0.25">
      <c r="A161" s="1">
        <v>3</v>
      </c>
      <c r="B161" s="318"/>
      <c r="C161" s="155" t="s">
        <v>142</v>
      </c>
      <c r="D161" s="156">
        <v>-2.2000000000000002</v>
      </c>
      <c r="E161" s="157">
        <v>2.5099999999999998</v>
      </c>
      <c r="F161" s="157">
        <v>1.47</v>
      </c>
      <c r="G161" s="158">
        <v>184</v>
      </c>
      <c r="H161" s="157"/>
      <c r="O161" s="153">
        <v>3367</v>
      </c>
      <c r="P161" s="154">
        <v>6</v>
      </c>
    </row>
    <row r="162" spans="1:16" ht="16.5" x14ac:dyDescent="0.25">
      <c r="A162" s="1">
        <v>4</v>
      </c>
      <c r="B162" s="318"/>
      <c r="C162" s="155" t="s">
        <v>143</v>
      </c>
      <c r="D162" s="156">
        <v>-1.7</v>
      </c>
      <c r="E162" s="157">
        <v>3.22</v>
      </c>
      <c r="F162" s="157">
        <v>1.67</v>
      </c>
      <c r="G162" s="158">
        <v>234</v>
      </c>
      <c r="H162" s="157"/>
      <c r="O162" s="153">
        <v>3467</v>
      </c>
      <c r="P162" s="154">
        <v>8.9</v>
      </c>
    </row>
    <row r="163" spans="1:16" ht="16.5" x14ac:dyDescent="0.25">
      <c r="A163" s="159">
        <v>5</v>
      </c>
      <c r="B163" s="318"/>
      <c r="C163" s="155" t="s">
        <v>144</v>
      </c>
      <c r="D163" s="156">
        <v>-2.2000000000000002</v>
      </c>
      <c r="E163" s="157">
        <v>2.5099999999999998</v>
      </c>
      <c r="F163" s="157">
        <v>1.59</v>
      </c>
      <c r="G163" s="158">
        <v>151</v>
      </c>
      <c r="H163" s="157"/>
      <c r="O163" s="153">
        <v>3567</v>
      </c>
      <c r="P163" s="154">
        <v>10.7</v>
      </c>
    </row>
    <row r="164" spans="1:16" ht="16.5" x14ac:dyDescent="0.25">
      <c r="A164" s="159">
        <v>6</v>
      </c>
      <c r="B164" s="318"/>
      <c r="C164" s="155" t="s">
        <v>145</v>
      </c>
      <c r="D164" s="156">
        <v>-2.8</v>
      </c>
      <c r="E164" s="157">
        <v>3.31</v>
      </c>
      <c r="F164" s="157">
        <v>1.76</v>
      </c>
      <c r="G164" s="158">
        <v>247</v>
      </c>
      <c r="H164" s="157"/>
      <c r="O164" s="153">
        <v>3667</v>
      </c>
      <c r="P164" s="154">
        <v>13</v>
      </c>
    </row>
    <row r="165" spans="1:16" ht="16.5" x14ac:dyDescent="0.25">
      <c r="A165" s="159">
        <v>7</v>
      </c>
      <c r="B165" s="318"/>
      <c r="C165" s="155" t="s">
        <v>146</v>
      </c>
      <c r="D165" s="156">
        <v>-2.8</v>
      </c>
      <c r="E165" s="157">
        <v>2.85</v>
      </c>
      <c r="F165" s="157">
        <v>1.59</v>
      </c>
      <c r="G165" s="158">
        <v>201</v>
      </c>
      <c r="H165" s="157"/>
      <c r="O165" s="153">
        <v>4167</v>
      </c>
      <c r="P165" s="154">
        <v>6.2</v>
      </c>
    </row>
    <row r="166" spans="1:16" ht="16.5" x14ac:dyDescent="0.25">
      <c r="A166" s="1">
        <v>8</v>
      </c>
      <c r="B166" s="318"/>
      <c r="C166" s="155" t="s">
        <v>147</v>
      </c>
      <c r="D166" s="156">
        <v>-3.3</v>
      </c>
      <c r="E166" s="157">
        <v>3.73</v>
      </c>
      <c r="F166" s="157">
        <v>2.34</v>
      </c>
      <c r="G166" s="158">
        <v>218</v>
      </c>
      <c r="H166" s="157"/>
      <c r="O166" s="153">
        <v>4247</v>
      </c>
      <c r="P166" s="154">
        <v>9.6</v>
      </c>
    </row>
    <row r="167" spans="1:16" ht="16.5" x14ac:dyDescent="0.25">
      <c r="A167" s="1">
        <v>9</v>
      </c>
      <c r="B167" s="318"/>
      <c r="C167" s="155" t="s">
        <v>148</v>
      </c>
      <c r="D167" s="156">
        <v>-1.7</v>
      </c>
      <c r="E167" s="157">
        <v>2.97</v>
      </c>
      <c r="F167" s="157">
        <v>1.63</v>
      </c>
      <c r="G167" s="158">
        <v>213</v>
      </c>
      <c r="H167" s="157"/>
      <c r="O167" s="153">
        <v>4267</v>
      </c>
      <c r="P167" s="154">
        <v>12.5</v>
      </c>
    </row>
    <row r="168" spans="1:16" ht="16.5" x14ac:dyDescent="0.25">
      <c r="A168" s="159">
        <v>10</v>
      </c>
      <c r="B168" s="319" t="s">
        <v>149</v>
      </c>
      <c r="C168" s="160" t="s">
        <v>150</v>
      </c>
      <c r="D168" s="161">
        <v>-1.5</v>
      </c>
      <c r="E168" s="162">
        <v>3.77</v>
      </c>
      <c r="F168" s="162">
        <v>1.88</v>
      </c>
      <c r="G168" s="163">
        <v>285</v>
      </c>
      <c r="H168" s="162"/>
      <c r="O168" s="153">
        <v>4367</v>
      </c>
      <c r="P168" s="154">
        <v>18.399999999999999</v>
      </c>
    </row>
    <row r="169" spans="1:16" ht="16.5" x14ac:dyDescent="0.25">
      <c r="A169" s="1">
        <v>11</v>
      </c>
      <c r="B169" s="319"/>
      <c r="C169" s="160" t="s">
        <v>151</v>
      </c>
      <c r="D169" s="161">
        <v>-2.2000000000000002</v>
      </c>
      <c r="E169" s="162">
        <v>3.77</v>
      </c>
      <c r="F169" s="162">
        <v>1.88</v>
      </c>
      <c r="G169" s="163">
        <v>293</v>
      </c>
      <c r="H169" s="162">
        <v>0.75</v>
      </c>
      <c r="O169" s="153">
        <v>4467</v>
      </c>
      <c r="P169" s="154">
        <v>24.6</v>
      </c>
    </row>
    <row r="170" spans="1:16" ht="16.5" x14ac:dyDescent="0.25">
      <c r="A170" s="1">
        <v>12</v>
      </c>
      <c r="B170" s="319"/>
      <c r="C170" s="160" t="s">
        <v>152</v>
      </c>
      <c r="D170" s="161">
        <v>-2.2000000000000002</v>
      </c>
      <c r="E170" s="162">
        <v>3.35</v>
      </c>
      <c r="F170" s="162">
        <v>1.76</v>
      </c>
      <c r="G170" s="163">
        <v>251</v>
      </c>
      <c r="H170" s="162">
        <v>16.739999999999998</v>
      </c>
      <c r="O170" s="153">
        <v>5167</v>
      </c>
      <c r="P170" s="154">
        <v>11</v>
      </c>
    </row>
    <row r="171" spans="1:16" ht="16.5" x14ac:dyDescent="0.25">
      <c r="A171" s="1">
        <v>13</v>
      </c>
      <c r="B171" s="319"/>
      <c r="C171" s="160" t="s">
        <v>153</v>
      </c>
      <c r="D171" s="161">
        <v>-2.2000000000000002</v>
      </c>
      <c r="E171" s="162">
        <v>3.64</v>
      </c>
      <c r="F171" s="162">
        <v>1.88</v>
      </c>
      <c r="G171" s="163">
        <v>285</v>
      </c>
      <c r="H171" s="162">
        <v>1.76</v>
      </c>
      <c r="O171" s="153">
        <v>5247</v>
      </c>
      <c r="P171" s="154">
        <v>16.899999999999999</v>
      </c>
    </row>
    <row r="172" spans="1:16" ht="16.5" x14ac:dyDescent="0.25">
      <c r="A172" s="1">
        <v>14</v>
      </c>
      <c r="B172" s="319"/>
      <c r="C172" s="160" t="s">
        <v>154</v>
      </c>
      <c r="D172" s="161">
        <v>-15.5</v>
      </c>
      <c r="E172" s="162">
        <v>1.51</v>
      </c>
      <c r="F172" s="162">
        <v>1.0900000000000001</v>
      </c>
      <c r="G172" s="163">
        <v>67</v>
      </c>
      <c r="H172" s="162">
        <v>0</v>
      </c>
      <c r="O172" s="153">
        <v>5267</v>
      </c>
      <c r="P172" s="154">
        <v>22.3</v>
      </c>
    </row>
    <row r="173" spans="1:16" ht="16.5" x14ac:dyDescent="0.25">
      <c r="A173" s="159">
        <v>15</v>
      </c>
      <c r="B173" s="319"/>
      <c r="C173" s="160" t="s">
        <v>155</v>
      </c>
      <c r="D173" s="161">
        <v>-1.1000000000000001</v>
      </c>
      <c r="E173" s="162">
        <v>3.85</v>
      </c>
      <c r="F173" s="162">
        <v>2.0099999999999998</v>
      </c>
      <c r="G173" s="163">
        <v>301</v>
      </c>
      <c r="H173" s="162">
        <v>3.14</v>
      </c>
      <c r="O173" s="153">
        <v>5367</v>
      </c>
      <c r="P173" s="154">
        <v>33.799999999999997</v>
      </c>
    </row>
    <row r="174" spans="1:16" ht="16.5" x14ac:dyDescent="0.25">
      <c r="A174" s="159">
        <v>16</v>
      </c>
      <c r="B174" s="319"/>
      <c r="C174" s="160" t="s">
        <v>156</v>
      </c>
      <c r="D174" s="161">
        <v>-2.2000000000000002</v>
      </c>
      <c r="E174" s="162">
        <v>3.85</v>
      </c>
      <c r="F174" s="162">
        <v>1.93</v>
      </c>
      <c r="G174" s="163">
        <v>297</v>
      </c>
      <c r="H174" s="162">
        <v>2.2999999999999998</v>
      </c>
      <c r="O174" s="153">
        <v>5467</v>
      </c>
      <c r="P174" s="154">
        <v>45.5</v>
      </c>
    </row>
    <row r="175" spans="1:16" ht="16.5" x14ac:dyDescent="0.25">
      <c r="A175" s="159">
        <v>17</v>
      </c>
      <c r="B175" s="319"/>
      <c r="C175" s="160" t="s">
        <v>157</v>
      </c>
      <c r="D175" s="161">
        <v>-2.2000000000000002</v>
      </c>
      <c r="E175" s="162">
        <v>3.98</v>
      </c>
      <c r="F175" s="162">
        <v>2.13</v>
      </c>
      <c r="G175" s="163">
        <v>293</v>
      </c>
      <c r="H175" s="162">
        <v>5.23</v>
      </c>
      <c r="O175" s="153">
        <v>5487</v>
      </c>
      <c r="P175" s="154">
        <v>52.5</v>
      </c>
    </row>
    <row r="176" spans="1:16" ht="16.5" x14ac:dyDescent="0.25">
      <c r="A176" s="1">
        <v>18</v>
      </c>
      <c r="B176" s="319"/>
      <c r="C176" s="160" t="s">
        <v>158</v>
      </c>
      <c r="D176" s="161">
        <v>-2</v>
      </c>
      <c r="E176" s="162">
        <v>3.6</v>
      </c>
      <c r="F176" s="162">
        <v>1.88</v>
      </c>
      <c r="G176" s="163">
        <v>280</v>
      </c>
      <c r="H176" s="162">
        <v>1.05</v>
      </c>
    </row>
    <row r="177" spans="1:8" ht="16.5" x14ac:dyDescent="0.25">
      <c r="A177" s="1">
        <v>19</v>
      </c>
      <c r="B177" s="319"/>
      <c r="C177" s="160" t="s">
        <v>159</v>
      </c>
      <c r="D177" s="161">
        <v>-1.4</v>
      </c>
      <c r="E177" s="162">
        <v>4.0599999999999996</v>
      </c>
      <c r="F177" s="162">
        <v>2.0499999999999998</v>
      </c>
      <c r="G177" s="163">
        <v>322</v>
      </c>
      <c r="H177" s="162">
        <v>3.14</v>
      </c>
    </row>
    <row r="178" spans="1:8" ht="16.5" x14ac:dyDescent="0.25">
      <c r="A178" s="159">
        <v>20</v>
      </c>
      <c r="B178" s="319"/>
      <c r="C178" s="160" t="s">
        <v>160</v>
      </c>
      <c r="D178" s="161">
        <v>-1.9</v>
      </c>
      <c r="E178" s="162">
        <v>3.56</v>
      </c>
      <c r="F178" s="162">
        <v>1.88</v>
      </c>
      <c r="G178" s="163">
        <v>280</v>
      </c>
      <c r="H178" s="162">
        <v>0.84</v>
      </c>
    </row>
    <row r="179" spans="1:8" ht="16.5" x14ac:dyDescent="0.25">
      <c r="A179" s="1">
        <v>21</v>
      </c>
      <c r="B179" s="319"/>
      <c r="C179" s="160" t="s">
        <v>161</v>
      </c>
      <c r="D179" s="161">
        <v>-1.5</v>
      </c>
      <c r="E179" s="162">
        <v>3.77</v>
      </c>
      <c r="F179" s="162">
        <v>1.88</v>
      </c>
      <c r="G179" s="163">
        <v>293</v>
      </c>
      <c r="H179" s="162">
        <v>1.26</v>
      </c>
    </row>
    <row r="180" spans="1:8" ht="16.5" x14ac:dyDescent="0.25">
      <c r="A180" s="1">
        <v>22</v>
      </c>
      <c r="B180" s="319"/>
      <c r="C180" s="160" t="s">
        <v>162</v>
      </c>
      <c r="D180" s="161">
        <v>-2</v>
      </c>
      <c r="E180" s="162">
        <v>3.77</v>
      </c>
      <c r="F180" s="162">
        <v>1.88</v>
      </c>
      <c r="G180" s="163">
        <v>293</v>
      </c>
      <c r="H180" s="162">
        <v>1.05</v>
      </c>
    </row>
    <row r="181" spans="1:8" ht="16.5" x14ac:dyDescent="0.25">
      <c r="A181" s="1">
        <v>23</v>
      </c>
      <c r="B181" s="319"/>
      <c r="C181" s="160" t="s">
        <v>163</v>
      </c>
      <c r="D181" s="161">
        <v>-2.2000000000000002</v>
      </c>
      <c r="E181" s="162">
        <v>3.68</v>
      </c>
      <c r="F181" s="162">
        <v>1.88</v>
      </c>
      <c r="G181" s="163">
        <v>289</v>
      </c>
      <c r="H181" s="162">
        <v>0.59</v>
      </c>
    </row>
    <row r="182" spans="1:8" ht="16.5" x14ac:dyDescent="0.25">
      <c r="A182" s="1">
        <v>24</v>
      </c>
      <c r="B182" s="319"/>
      <c r="C182" s="160" t="s">
        <v>164</v>
      </c>
      <c r="D182" s="161">
        <v>-3</v>
      </c>
      <c r="E182" s="162">
        <v>3.6</v>
      </c>
      <c r="F182" s="162">
        <v>1.84</v>
      </c>
      <c r="G182" s="163">
        <v>276</v>
      </c>
      <c r="H182" s="162">
        <v>0.52</v>
      </c>
    </row>
    <row r="183" spans="1:8" ht="16.5" customHeight="1" x14ac:dyDescent="0.25">
      <c r="A183" s="159">
        <v>25</v>
      </c>
      <c r="B183" s="320" t="s">
        <v>165</v>
      </c>
      <c r="C183" s="164" t="s">
        <v>166</v>
      </c>
      <c r="D183" s="165"/>
      <c r="E183" s="166">
        <v>2.68</v>
      </c>
      <c r="F183" s="166">
        <v>1.42</v>
      </c>
      <c r="G183" s="167">
        <v>54</v>
      </c>
      <c r="H183" s="166"/>
    </row>
    <row r="184" spans="1:8" ht="16.5" x14ac:dyDescent="0.25">
      <c r="A184" s="159">
        <v>26</v>
      </c>
      <c r="B184" s="320"/>
      <c r="C184" s="164" t="s">
        <v>167</v>
      </c>
      <c r="D184" s="165"/>
      <c r="E184" s="166">
        <v>2.5099999999999998</v>
      </c>
      <c r="F184" s="166">
        <v>1.59</v>
      </c>
      <c r="G184" s="167">
        <v>167</v>
      </c>
      <c r="H184" s="166"/>
    </row>
    <row r="185" spans="1:8" ht="16.5" x14ac:dyDescent="0.25">
      <c r="A185" s="159">
        <v>27</v>
      </c>
      <c r="B185" s="320"/>
      <c r="C185" s="164" t="s">
        <v>168</v>
      </c>
      <c r="D185" s="165"/>
      <c r="E185" s="166"/>
      <c r="F185" s="166"/>
      <c r="G185" s="167">
        <v>293</v>
      </c>
      <c r="H185" s="166"/>
    </row>
    <row r="186" spans="1:8" ht="16.5" customHeight="1" x14ac:dyDescent="0.25">
      <c r="A186" s="1">
        <v>28</v>
      </c>
      <c r="B186" s="321" t="s">
        <v>169</v>
      </c>
      <c r="C186" s="168" t="s">
        <v>170</v>
      </c>
      <c r="D186" s="169"/>
      <c r="E186" s="170">
        <v>3.18</v>
      </c>
      <c r="F186" s="170">
        <v>1.72</v>
      </c>
      <c r="G186" s="171">
        <v>230</v>
      </c>
      <c r="H186" s="170"/>
    </row>
    <row r="187" spans="1:8" ht="16.5" x14ac:dyDescent="0.25">
      <c r="A187" s="1">
        <v>29</v>
      </c>
      <c r="B187" s="321"/>
      <c r="C187" s="168" t="s">
        <v>171</v>
      </c>
      <c r="D187" s="169">
        <v>-2.2000000000000002</v>
      </c>
      <c r="E187" s="170">
        <v>2.93</v>
      </c>
      <c r="F187" s="170">
        <v>1.59</v>
      </c>
      <c r="G187" s="171">
        <v>209</v>
      </c>
      <c r="H187" s="170"/>
    </row>
    <row r="188" spans="1:8" ht="16.5" x14ac:dyDescent="0.25">
      <c r="A188" s="159">
        <v>30</v>
      </c>
      <c r="B188" s="321"/>
      <c r="C188" s="168" t="s">
        <v>172</v>
      </c>
      <c r="D188" s="169">
        <v>-1.5</v>
      </c>
      <c r="E188" s="170">
        <v>3.6</v>
      </c>
      <c r="F188" s="170">
        <v>1.88</v>
      </c>
      <c r="G188" s="171">
        <v>285</v>
      </c>
      <c r="H188" s="170"/>
    </row>
    <row r="189" spans="1:8" ht="16.5" x14ac:dyDescent="0.25">
      <c r="A189" s="1">
        <v>31</v>
      </c>
      <c r="B189" s="321"/>
      <c r="C189" s="168" t="s">
        <v>173</v>
      </c>
      <c r="D189" s="169"/>
      <c r="E189" s="170">
        <v>2.34</v>
      </c>
      <c r="F189" s="170">
        <v>1.42</v>
      </c>
      <c r="G189" s="171">
        <v>151</v>
      </c>
      <c r="H189" s="170"/>
    </row>
    <row r="190" spans="1:8" ht="16.5" x14ac:dyDescent="0.25">
      <c r="A190" s="1">
        <v>32</v>
      </c>
      <c r="B190" s="321"/>
      <c r="C190" s="168" t="s">
        <v>174</v>
      </c>
      <c r="D190" s="169">
        <v>-2.2000000000000002</v>
      </c>
      <c r="E190" s="170">
        <v>3.77</v>
      </c>
      <c r="F190" s="170">
        <v>1.88</v>
      </c>
      <c r="G190" s="171">
        <v>293</v>
      </c>
      <c r="H190" s="170"/>
    </row>
    <row r="191" spans="1:8" ht="16.5" x14ac:dyDescent="0.25">
      <c r="A191" s="1">
        <v>33</v>
      </c>
      <c r="B191" s="321"/>
      <c r="C191" s="168" t="s">
        <v>175</v>
      </c>
      <c r="D191" s="169">
        <v>-2.8</v>
      </c>
      <c r="E191" s="170">
        <v>3.47</v>
      </c>
      <c r="F191" s="170">
        <v>1.84</v>
      </c>
      <c r="G191" s="171">
        <v>268</v>
      </c>
      <c r="H191" s="170"/>
    </row>
    <row r="192" spans="1:8" ht="16.5" x14ac:dyDescent="0.25">
      <c r="A192" s="1">
        <v>34</v>
      </c>
      <c r="B192" s="315" t="s">
        <v>176</v>
      </c>
      <c r="C192" s="172" t="s">
        <v>177</v>
      </c>
      <c r="D192" s="173">
        <v>-1.2</v>
      </c>
      <c r="E192" s="174">
        <v>3.93</v>
      </c>
      <c r="F192" s="174">
        <v>2.0099999999999998</v>
      </c>
      <c r="G192" s="175">
        <v>314</v>
      </c>
      <c r="H192" s="174">
        <v>6.28</v>
      </c>
    </row>
    <row r="193" spans="1:8" ht="16.5" x14ac:dyDescent="0.25">
      <c r="A193" s="159">
        <v>35</v>
      </c>
      <c r="B193" s="315"/>
      <c r="C193" s="172" t="s">
        <v>178</v>
      </c>
      <c r="D193" s="173">
        <v>-0.5</v>
      </c>
      <c r="E193" s="174">
        <v>3.6</v>
      </c>
      <c r="F193" s="174">
        <v>1.97</v>
      </c>
      <c r="G193" s="175">
        <v>301</v>
      </c>
      <c r="H193" s="174">
        <v>2.93</v>
      </c>
    </row>
    <row r="194" spans="1:8" ht="16.5" x14ac:dyDescent="0.25">
      <c r="A194" s="159">
        <v>36</v>
      </c>
      <c r="B194" s="315"/>
      <c r="C194" s="172" t="s">
        <v>179</v>
      </c>
      <c r="D194" s="173">
        <v>-1.6</v>
      </c>
      <c r="E194" s="174">
        <v>3.85</v>
      </c>
      <c r="F194" s="174">
        <v>1.97</v>
      </c>
      <c r="G194" s="175">
        <v>301</v>
      </c>
      <c r="H194" s="174">
        <v>7.95</v>
      </c>
    </row>
    <row r="195" spans="1:8" ht="16.5" x14ac:dyDescent="0.25">
      <c r="A195" s="159">
        <v>37</v>
      </c>
      <c r="B195" s="315"/>
      <c r="C195" s="172" t="s">
        <v>180</v>
      </c>
      <c r="D195" s="173">
        <v>-1.7</v>
      </c>
      <c r="E195" s="174">
        <v>3.64</v>
      </c>
      <c r="F195" s="174">
        <v>1.88</v>
      </c>
      <c r="G195" s="175">
        <v>280</v>
      </c>
      <c r="H195" s="174">
        <v>8.3699999999999992</v>
      </c>
    </row>
    <row r="196" spans="1:8" ht="16.5" x14ac:dyDescent="0.25">
      <c r="A196" s="1">
        <v>38</v>
      </c>
      <c r="B196" s="315"/>
      <c r="C196" s="172" t="s">
        <v>181</v>
      </c>
      <c r="D196" s="173">
        <v>-1.4</v>
      </c>
      <c r="E196" s="174">
        <v>3.6</v>
      </c>
      <c r="F196" s="174">
        <v>1.88</v>
      </c>
      <c r="G196" s="175">
        <v>293</v>
      </c>
      <c r="H196" s="174">
        <v>2.09</v>
      </c>
    </row>
    <row r="197" spans="1:8" ht="16.5" x14ac:dyDescent="0.25">
      <c r="A197" s="1">
        <v>39</v>
      </c>
      <c r="B197" s="315"/>
      <c r="C197" s="172" t="s">
        <v>182</v>
      </c>
      <c r="D197" s="173">
        <v>-0.5</v>
      </c>
      <c r="E197" s="174">
        <v>3.93</v>
      </c>
      <c r="F197" s="174">
        <v>1.97</v>
      </c>
      <c r="G197" s="175">
        <v>310</v>
      </c>
      <c r="H197" s="174">
        <v>1.67</v>
      </c>
    </row>
    <row r="198" spans="1:8" ht="16.5" x14ac:dyDescent="0.25">
      <c r="A198" s="159">
        <v>40</v>
      </c>
      <c r="B198" s="315"/>
      <c r="C198" s="172" t="s">
        <v>183</v>
      </c>
      <c r="D198" s="173">
        <v>-0.8</v>
      </c>
      <c r="E198" s="174">
        <v>3.89</v>
      </c>
      <c r="F198" s="174">
        <v>1.97</v>
      </c>
      <c r="G198" s="175">
        <v>301</v>
      </c>
      <c r="H198" s="174">
        <v>2.2999999999999998</v>
      </c>
    </row>
    <row r="199" spans="1:8" ht="16.5" x14ac:dyDescent="0.25">
      <c r="A199" s="1">
        <v>41</v>
      </c>
      <c r="B199" s="315"/>
      <c r="C199" s="172" t="s">
        <v>184</v>
      </c>
      <c r="D199" s="173">
        <v>-1.1000000000000001</v>
      </c>
      <c r="E199" s="174">
        <v>3.81</v>
      </c>
      <c r="F199" s="174">
        <v>1.93</v>
      </c>
      <c r="G199" s="175">
        <v>280</v>
      </c>
      <c r="H199" s="174">
        <v>0.8</v>
      </c>
    </row>
    <row r="200" spans="1:8" ht="16.5" x14ac:dyDescent="0.25">
      <c r="A200" s="1">
        <v>42</v>
      </c>
      <c r="B200" s="315"/>
      <c r="C200" s="172" t="s">
        <v>185</v>
      </c>
      <c r="D200" s="173">
        <v>-1.2</v>
      </c>
      <c r="E200" s="174">
        <v>3.43</v>
      </c>
      <c r="F200" s="174">
        <v>1.97</v>
      </c>
      <c r="G200" s="175">
        <v>297</v>
      </c>
      <c r="H200" s="174">
        <v>8.3699999999999992</v>
      </c>
    </row>
    <row r="201" spans="1:8" ht="16.5" x14ac:dyDescent="0.25">
      <c r="A201" s="1">
        <v>43</v>
      </c>
      <c r="B201" s="315"/>
      <c r="C201" s="172" t="s">
        <v>186</v>
      </c>
      <c r="D201" s="173" t="s">
        <v>187</v>
      </c>
      <c r="E201" s="174">
        <v>1.26</v>
      </c>
      <c r="F201" s="174">
        <v>1</v>
      </c>
      <c r="G201" s="175">
        <v>42</v>
      </c>
      <c r="H201" s="174"/>
    </row>
    <row r="202" spans="1:8" ht="16.5" x14ac:dyDescent="0.25">
      <c r="A202" s="1">
        <v>44</v>
      </c>
      <c r="B202" s="315"/>
      <c r="C202" s="172" t="s">
        <v>188</v>
      </c>
      <c r="D202" s="173">
        <v>-1</v>
      </c>
      <c r="E202" s="174">
        <v>3.89</v>
      </c>
      <c r="F202" s="174">
        <v>1.97</v>
      </c>
      <c r="G202" s="175">
        <v>301</v>
      </c>
      <c r="H202" s="174">
        <v>6.28</v>
      </c>
    </row>
    <row r="203" spans="1:8" ht="16.5" x14ac:dyDescent="0.25">
      <c r="A203" s="159">
        <v>45</v>
      </c>
      <c r="B203" s="315"/>
      <c r="C203" s="172" t="s">
        <v>189</v>
      </c>
      <c r="D203" s="173">
        <v>-0.5</v>
      </c>
      <c r="E203" s="174">
        <v>4.0199999999999996</v>
      </c>
      <c r="F203" s="174">
        <v>2.0099999999999998</v>
      </c>
      <c r="G203" s="175">
        <v>63</v>
      </c>
      <c r="H203" s="174">
        <v>3.35</v>
      </c>
    </row>
    <row r="204" spans="1:8" ht="16.5" x14ac:dyDescent="0.25">
      <c r="A204" s="159">
        <v>46</v>
      </c>
      <c r="B204" s="315"/>
      <c r="C204" s="172" t="s">
        <v>190</v>
      </c>
      <c r="D204" s="173">
        <v>-1.7</v>
      </c>
      <c r="E204" s="174">
        <v>3.43</v>
      </c>
      <c r="F204" s="174">
        <v>1.8</v>
      </c>
      <c r="G204" s="175">
        <v>260</v>
      </c>
      <c r="H204" s="174">
        <v>5.44</v>
      </c>
    </row>
    <row r="205" spans="1:8" ht="16.5" x14ac:dyDescent="0.25">
      <c r="A205" s="159">
        <v>47</v>
      </c>
      <c r="B205" s="315"/>
      <c r="C205" s="172" t="s">
        <v>191</v>
      </c>
      <c r="D205" s="173">
        <v>-1.1000000000000001</v>
      </c>
      <c r="E205" s="174">
        <v>3.31</v>
      </c>
      <c r="F205" s="174">
        <v>1.76</v>
      </c>
      <c r="G205" s="175">
        <v>247</v>
      </c>
      <c r="H205" s="174">
        <v>8.3699999999999992</v>
      </c>
    </row>
    <row r="206" spans="1:8" ht="16.5" x14ac:dyDescent="0.25">
      <c r="A206" s="1">
        <v>48</v>
      </c>
      <c r="B206" s="315"/>
      <c r="C206" s="172" t="s">
        <v>192</v>
      </c>
      <c r="D206" s="173" t="s">
        <v>187</v>
      </c>
      <c r="E206" s="174">
        <v>1.17</v>
      </c>
      <c r="F206" s="174">
        <v>0.92</v>
      </c>
      <c r="G206" s="175">
        <v>33</v>
      </c>
      <c r="H206" s="174"/>
    </row>
    <row r="207" spans="1:8" ht="16.5" x14ac:dyDescent="0.25">
      <c r="A207" s="1">
        <v>49</v>
      </c>
      <c r="B207" s="315"/>
      <c r="C207" s="172" t="s">
        <v>193</v>
      </c>
      <c r="D207" s="173">
        <v>-0.5</v>
      </c>
      <c r="E207" s="174">
        <v>3.98</v>
      </c>
      <c r="F207" s="174">
        <v>2.0099999999999998</v>
      </c>
      <c r="G207" s="175">
        <v>314</v>
      </c>
      <c r="H207" s="174">
        <v>2.72</v>
      </c>
    </row>
    <row r="208" spans="1:8" ht="16.5" x14ac:dyDescent="0.25">
      <c r="A208" s="159">
        <v>50</v>
      </c>
      <c r="B208" s="315"/>
      <c r="C208" s="172" t="s">
        <v>194</v>
      </c>
      <c r="D208" s="173">
        <v>-0.5</v>
      </c>
      <c r="E208" s="174">
        <v>3.98</v>
      </c>
      <c r="F208" s="174">
        <v>2.0099999999999998</v>
      </c>
      <c r="G208" s="175">
        <v>314</v>
      </c>
      <c r="H208" s="174">
        <v>4.1900000000000004</v>
      </c>
    </row>
    <row r="209" spans="1:8" ht="16.5" x14ac:dyDescent="0.25">
      <c r="A209" s="159">
        <v>51</v>
      </c>
      <c r="B209" s="315"/>
      <c r="C209" s="172" t="s">
        <v>195</v>
      </c>
      <c r="D209" s="173">
        <v>-1.3</v>
      </c>
      <c r="E209" s="174">
        <v>3.98</v>
      </c>
      <c r="F209" s="174">
        <v>2.0099999999999998</v>
      </c>
      <c r="G209" s="175">
        <v>314</v>
      </c>
      <c r="H209" s="174">
        <v>2.09</v>
      </c>
    </row>
    <row r="210" spans="1:8" ht="16.5" x14ac:dyDescent="0.25">
      <c r="A210" s="159">
        <v>52</v>
      </c>
      <c r="B210" s="315"/>
      <c r="C210" s="172" t="s">
        <v>196</v>
      </c>
      <c r="D210" s="173">
        <v>-0.9</v>
      </c>
      <c r="E210" s="174">
        <v>3.93</v>
      </c>
      <c r="F210" s="174">
        <v>2.0099999999999998</v>
      </c>
      <c r="G210" s="175">
        <v>310</v>
      </c>
      <c r="H210" s="174">
        <v>4.5999999999999996</v>
      </c>
    </row>
    <row r="211" spans="1:8" ht="16.5" customHeight="1" x14ac:dyDescent="0.25">
      <c r="A211" s="159">
        <v>53</v>
      </c>
      <c r="B211" s="316" t="s">
        <v>197</v>
      </c>
      <c r="C211" s="176" t="s">
        <v>198</v>
      </c>
      <c r="D211" s="177">
        <v>-2.2000000000000002</v>
      </c>
      <c r="E211" s="178">
        <v>3.85</v>
      </c>
      <c r="F211" s="178"/>
      <c r="G211" s="179"/>
      <c r="H211" s="178"/>
    </row>
    <row r="212" spans="1:8" ht="16.5" x14ac:dyDescent="0.25">
      <c r="A212" s="159">
        <v>54</v>
      </c>
      <c r="B212" s="316"/>
      <c r="C212" s="176" t="s">
        <v>199</v>
      </c>
      <c r="D212" s="177"/>
      <c r="E212" s="178"/>
      <c r="F212" s="178"/>
      <c r="G212" s="179"/>
      <c r="H212" s="178"/>
    </row>
    <row r="213" spans="1:8" ht="16.5" x14ac:dyDescent="0.25">
      <c r="A213" s="159">
        <v>55</v>
      </c>
      <c r="B213" s="316"/>
      <c r="C213" s="176" t="s">
        <v>200</v>
      </c>
      <c r="D213" s="177"/>
      <c r="E213" s="178">
        <v>2.93</v>
      </c>
      <c r="F213" s="178">
        <v>1.63</v>
      </c>
      <c r="G213" s="179">
        <v>209</v>
      </c>
      <c r="H213" s="178"/>
    </row>
    <row r="214" spans="1:8" ht="16.5" x14ac:dyDescent="0.25">
      <c r="A214" s="159">
        <v>56</v>
      </c>
      <c r="B214" s="316"/>
      <c r="C214" s="176" t="s">
        <v>201</v>
      </c>
      <c r="D214" s="177"/>
      <c r="E214" s="178">
        <v>1.8</v>
      </c>
      <c r="F214" s="178">
        <v>1.26</v>
      </c>
      <c r="G214" s="179">
        <v>92</v>
      </c>
      <c r="H214" s="178"/>
    </row>
    <row r="215" spans="1:8" ht="16.5" x14ac:dyDescent="0.25">
      <c r="A215" s="159">
        <v>57</v>
      </c>
      <c r="B215" s="316"/>
      <c r="C215" s="176" t="s">
        <v>202</v>
      </c>
      <c r="D215" s="177"/>
      <c r="E215" s="178">
        <v>3.22</v>
      </c>
      <c r="F215" s="178">
        <v>1.72</v>
      </c>
      <c r="G215" s="179">
        <v>234</v>
      </c>
      <c r="H215" s="178"/>
    </row>
    <row r="216" spans="1:8" ht="16.5" x14ac:dyDescent="0.25">
      <c r="A216" s="159">
        <v>58</v>
      </c>
      <c r="B216" s="316"/>
      <c r="C216" s="176" t="s">
        <v>203</v>
      </c>
      <c r="D216" s="177"/>
      <c r="E216" s="178">
        <v>1.34</v>
      </c>
      <c r="F216" s="178">
        <v>1.05</v>
      </c>
      <c r="G216" s="179">
        <v>50</v>
      </c>
      <c r="H216" s="178"/>
    </row>
    <row r="217" spans="1:8" ht="16.5" x14ac:dyDescent="0.25">
      <c r="A217" s="159">
        <v>59</v>
      </c>
      <c r="B217" s="316"/>
      <c r="C217" s="176" t="s">
        <v>204</v>
      </c>
      <c r="D217" s="177"/>
      <c r="E217" s="178">
        <v>1.47</v>
      </c>
      <c r="F217" s="178">
        <v>1.0900000000000001</v>
      </c>
      <c r="G217" s="179">
        <v>63</v>
      </c>
      <c r="H217" s="178"/>
    </row>
    <row r="218" spans="1:8" ht="16.5" x14ac:dyDescent="0.25">
      <c r="A218" s="159">
        <v>60</v>
      </c>
      <c r="B218" s="316"/>
      <c r="C218" s="176" t="s">
        <v>205</v>
      </c>
      <c r="D218" s="177"/>
      <c r="E218" s="178"/>
      <c r="F218" s="178"/>
      <c r="G218" s="179"/>
      <c r="H218" s="178"/>
    </row>
    <row r="219" spans="1:8" ht="16.5" x14ac:dyDescent="0.25">
      <c r="A219" s="159">
        <v>61</v>
      </c>
      <c r="B219" s="316"/>
      <c r="C219" s="176" t="s">
        <v>206</v>
      </c>
      <c r="D219" s="177">
        <v>-8</v>
      </c>
      <c r="E219" s="178">
        <v>2.93</v>
      </c>
      <c r="F219" s="178">
        <v>1.42</v>
      </c>
      <c r="G219" s="179">
        <v>126</v>
      </c>
      <c r="H219" s="178"/>
    </row>
    <row r="220" spans="1:8" ht="16.5" x14ac:dyDescent="0.25">
      <c r="A220" s="159">
        <v>62</v>
      </c>
      <c r="B220" s="316"/>
      <c r="C220" s="176" t="s">
        <v>207</v>
      </c>
      <c r="D220" s="177"/>
      <c r="E220" s="178"/>
      <c r="F220" s="178"/>
      <c r="G220" s="179"/>
      <c r="H220" s="178"/>
    </row>
    <row r="221" spans="1:8" ht="16.5" x14ac:dyDescent="0.25">
      <c r="A221" s="159">
        <v>63</v>
      </c>
      <c r="B221" s="316"/>
      <c r="C221" s="176" t="s">
        <v>208</v>
      </c>
      <c r="D221" s="177"/>
      <c r="E221" s="178"/>
      <c r="F221" s="178"/>
      <c r="G221" s="179"/>
      <c r="H221" s="178"/>
    </row>
    <row r="222" spans="1:8" ht="16.5" x14ac:dyDescent="0.25">
      <c r="A222" s="159">
        <v>64</v>
      </c>
      <c r="B222" s="316"/>
      <c r="C222" s="176" t="s">
        <v>209</v>
      </c>
      <c r="D222" s="177">
        <v>-2.2000000000000002</v>
      </c>
      <c r="E222" s="178">
        <v>3.06</v>
      </c>
      <c r="F222" s="178">
        <v>1.67</v>
      </c>
      <c r="G222" s="179">
        <v>222</v>
      </c>
      <c r="H222" s="178"/>
    </row>
    <row r="223" spans="1:8" ht="15" x14ac:dyDescent="0.2">
      <c r="B223" s="180"/>
      <c r="C223" s="181"/>
      <c r="D223" s="182"/>
      <c r="E223" s="183"/>
      <c r="F223" s="183"/>
      <c r="G223" s="184"/>
      <c r="H223" s="183"/>
    </row>
    <row r="224" spans="1:8" ht="15" x14ac:dyDescent="0.2">
      <c r="B224" s="185"/>
      <c r="C224" s="186"/>
      <c r="D224" s="187"/>
      <c r="E224" s="188"/>
      <c r="F224" s="188"/>
      <c r="G224" s="189"/>
      <c r="H224" s="188"/>
    </row>
    <row r="225" spans="1:8" ht="15" x14ac:dyDescent="0.2">
      <c r="B225" s="185"/>
      <c r="C225" s="186"/>
      <c r="D225" s="187"/>
      <c r="E225" s="188"/>
      <c r="F225" s="188"/>
      <c r="G225" s="189"/>
      <c r="H225" s="188"/>
    </row>
    <row r="226" spans="1:8" ht="15" x14ac:dyDescent="0.2">
      <c r="B226" s="185"/>
      <c r="C226" s="186"/>
      <c r="D226" s="187"/>
      <c r="E226" s="188"/>
      <c r="F226" s="188"/>
      <c r="G226" s="189"/>
      <c r="H226" s="188"/>
    </row>
    <row r="227" spans="1:8" ht="15" x14ac:dyDescent="0.2">
      <c r="B227" s="185"/>
      <c r="C227" s="186"/>
      <c r="D227" s="187"/>
      <c r="E227" s="188"/>
      <c r="F227" s="188"/>
      <c r="G227" s="189"/>
      <c r="H227" s="188"/>
    </row>
    <row r="228" spans="1:8" ht="15" x14ac:dyDescent="0.2">
      <c r="B228" s="185"/>
      <c r="C228" s="186"/>
      <c r="D228" s="187"/>
      <c r="E228" s="188"/>
      <c r="F228" s="188"/>
      <c r="G228" s="189"/>
      <c r="H228" s="188"/>
    </row>
    <row r="229" spans="1:8" ht="15" x14ac:dyDescent="0.2">
      <c r="B229" s="185"/>
      <c r="C229" s="186"/>
      <c r="D229" s="187"/>
      <c r="E229" s="188"/>
      <c r="F229" s="188"/>
      <c r="G229" s="189"/>
      <c r="H229" s="188"/>
    </row>
    <row r="230" spans="1:8" ht="15" x14ac:dyDescent="0.2">
      <c r="B230" s="185"/>
      <c r="C230" s="186"/>
      <c r="D230" s="187"/>
      <c r="E230" s="188"/>
      <c r="F230" s="188"/>
      <c r="G230" s="189"/>
      <c r="H230" s="188"/>
    </row>
    <row r="231" spans="1:8" ht="15" x14ac:dyDescent="0.2">
      <c r="B231" s="185"/>
      <c r="C231" s="186"/>
      <c r="D231" s="187"/>
      <c r="E231" s="188"/>
      <c r="F231" s="188"/>
      <c r="G231" s="189"/>
      <c r="H231" s="188"/>
    </row>
    <row r="232" spans="1:8" ht="15" x14ac:dyDescent="0.2">
      <c r="B232" s="185"/>
      <c r="C232" s="186"/>
      <c r="D232" s="187"/>
      <c r="E232" s="188"/>
      <c r="F232" s="188"/>
      <c r="G232" s="189"/>
      <c r="H232" s="188"/>
    </row>
    <row r="233" spans="1:8" ht="15" x14ac:dyDescent="0.2">
      <c r="B233" s="185"/>
      <c r="C233" s="186"/>
      <c r="D233" s="187"/>
      <c r="E233" s="188"/>
      <c r="F233" s="188"/>
      <c r="G233" s="189"/>
      <c r="H233" s="188"/>
    </row>
    <row r="234" spans="1:8" ht="23.25" customHeight="1" x14ac:dyDescent="0.2">
      <c r="A234" s="317" t="s">
        <v>210</v>
      </c>
      <c r="B234" s="317"/>
      <c r="C234" s="190" t="s">
        <v>211</v>
      </c>
      <c r="D234" s="187"/>
      <c r="E234" s="188"/>
      <c r="F234" s="188"/>
      <c r="G234" s="189"/>
      <c r="H234" s="188"/>
    </row>
    <row r="235" spans="1:8" ht="18" x14ac:dyDescent="0.2">
      <c r="A235" s="1">
        <v>1</v>
      </c>
      <c r="B235" s="191" t="s">
        <v>212</v>
      </c>
      <c r="C235" s="192">
        <v>0.35</v>
      </c>
      <c r="D235" s="193">
        <v>2</v>
      </c>
      <c r="E235" s="188"/>
      <c r="F235" s="188"/>
      <c r="G235" s="189"/>
      <c r="H235" s="188"/>
    </row>
    <row r="236" spans="1:8" ht="18" x14ac:dyDescent="0.2">
      <c r="A236" s="1">
        <v>2</v>
      </c>
      <c r="B236" s="191" t="s">
        <v>213</v>
      </c>
      <c r="C236" s="192">
        <v>0.28000000000000003</v>
      </c>
      <c r="D236" s="187"/>
      <c r="E236" s="188"/>
      <c r="F236" s="188"/>
      <c r="G236" s="189"/>
      <c r="H236" s="188"/>
    </row>
    <row r="237" spans="1:8" ht="18" x14ac:dyDescent="0.2">
      <c r="A237" s="1">
        <v>3</v>
      </c>
      <c r="B237" s="194" t="s">
        <v>214</v>
      </c>
      <c r="C237" s="192">
        <v>0.23</v>
      </c>
      <c r="D237" s="187"/>
      <c r="E237" s="188"/>
      <c r="F237" s="188"/>
      <c r="G237" s="189"/>
      <c r="H237" s="188"/>
    </row>
    <row r="238" spans="1:8" ht="18" x14ac:dyDescent="0.2">
      <c r="A238" s="1">
        <v>4</v>
      </c>
      <c r="B238" s="194" t="s">
        <v>215</v>
      </c>
      <c r="C238" s="192">
        <v>0.2</v>
      </c>
      <c r="D238" s="187"/>
      <c r="E238" s="188"/>
      <c r="F238" s="188"/>
      <c r="G238" s="189"/>
      <c r="H238" s="188"/>
    </row>
    <row r="239" spans="1:8" ht="18" x14ac:dyDescent="0.2">
      <c r="A239" s="1">
        <v>5</v>
      </c>
      <c r="B239" s="194" t="s">
        <v>216</v>
      </c>
      <c r="C239" s="192"/>
      <c r="D239" s="187"/>
      <c r="E239" s="188"/>
      <c r="F239" s="188"/>
      <c r="G239" s="189"/>
      <c r="H239" s="188"/>
    </row>
    <row r="240" spans="1:8" ht="18" x14ac:dyDescent="0.2">
      <c r="A240" s="1">
        <v>6</v>
      </c>
      <c r="B240" s="194" t="s">
        <v>217</v>
      </c>
      <c r="C240" s="192"/>
      <c r="D240" s="187"/>
      <c r="E240" s="188"/>
      <c r="F240" s="188"/>
      <c r="G240" s="189"/>
      <c r="H240" s="188"/>
    </row>
    <row r="241" spans="1:8" ht="18" x14ac:dyDescent="0.2">
      <c r="A241" s="1">
        <v>7</v>
      </c>
      <c r="B241" s="194" t="s">
        <v>218</v>
      </c>
      <c r="C241" s="192"/>
      <c r="D241" s="187"/>
      <c r="E241" s="188"/>
      <c r="F241" s="188"/>
      <c r="G241" s="189"/>
      <c r="H241" s="188"/>
    </row>
    <row r="242" spans="1:8" ht="18" x14ac:dyDescent="0.2">
      <c r="A242" s="1">
        <v>8</v>
      </c>
      <c r="B242" s="194" t="s">
        <v>219</v>
      </c>
      <c r="C242" s="192"/>
      <c r="D242" s="187"/>
      <c r="E242" s="188"/>
      <c r="F242" s="188"/>
      <c r="G242" s="189"/>
      <c r="H242" s="188"/>
    </row>
    <row r="243" spans="1:8" ht="18" x14ac:dyDescent="0.25">
      <c r="A243" s="1">
        <v>9</v>
      </c>
      <c r="B243" s="194" t="s">
        <v>220</v>
      </c>
      <c r="C243" s="195">
        <v>0.45</v>
      </c>
      <c r="D243" s="187"/>
      <c r="E243" s="188"/>
      <c r="F243" s="188"/>
      <c r="G243" s="189"/>
      <c r="H243" s="188"/>
    </row>
    <row r="244" spans="1:8" ht="18" x14ac:dyDescent="0.25">
      <c r="A244" s="1">
        <v>10</v>
      </c>
      <c r="B244" s="194" t="s">
        <v>221</v>
      </c>
      <c r="C244" s="195">
        <v>0.34</v>
      </c>
      <c r="D244" s="187"/>
      <c r="E244" s="188"/>
      <c r="F244" s="188"/>
      <c r="G244" s="189"/>
      <c r="H244" s="188"/>
    </row>
    <row r="245" spans="1:8" ht="18" x14ac:dyDescent="0.25">
      <c r="A245" s="1">
        <v>11</v>
      </c>
      <c r="B245" s="194" t="s">
        <v>222</v>
      </c>
      <c r="C245" s="195">
        <v>0.28000000000000003</v>
      </c>
      <c r="D245" s="187"/>
      <c r="E245" s="188"/>
      <c r="F245" s="188"/>
      <c r="G245" s="189"/>
      <c r="H245" s="188"/>
    </row>
    <row r="246" spans="1:8" ht="18" x14ac:dyDescent="0.25">
      <c r="A246" s="1">
        <v>12</v>
      </c>
      <c r="B246" s="194" t="s">
        <v>223</v>
      </c>
      <c r="C246" s="195">
        <v>0.23</v>
      </c>
      <c r="D246" s="187"/>
      <c r="E246" s="188"/>
      <c r="F246" s="188"/>
      <c r="G246" s="189"/>
      <c r="H246" s="188"/>
    </row>
    <row r="247" spans="1:8" ht="18" x14ac:dyDescent="0.25">
      <c r="A247" s="1">
        <v>13</v>
      </c>
      <c r="B247" s="194" t="s">
        <v>224</v>
      </c>
      <c r="C247" s="195">
        <v>0.18</v>
      </c>
      <c r="D247" s="187"/>
      <c r="E247" s="188"/>
      <c r="F247" s="188"/>
      <c r="G247" s="189"/>
      <c r="H247" s="188"/>
    </row>
    <row r="248" spans="1:8" ht="18" x14ac:dyDescent="0.25">
      <c r="A248" s="1">
        <v>14</v>
      </c>
      <c r="B248" s="194" t="s">
        <v>225</v>
      </c>
      <c r="C248" s="195">
        <v>0.16</v>
      </c>
      <c r="D248" s="187"/>
      <c r="E248" s="188"/>
      <c r="F248" s="188"/>
      <c r="G248" s="189"/>
      <c r="H248" s="188"/>
    </row>
    <row r="249" spans="1:8" ht="18" x14ac:dyDescent="0.25">
      <c r="A249" s="1">
        <v>15</v>
      </c>
      <c r="B249" s="194" t="s">
        <v>226</v>
      </c>
      <c r="C249" s="195">
        <v>0.14000000000000001</v>
      </c>
      <c r="D249" s="187"/>
      <c r="E249" s="188"/>
      <c r="F249" s="188"/>
      <c r="G249" s="189"/>
      <c r="H249" s="188"/>
    </row>
  </sheetData>
  <mergeCells count="20">
    <mergeCell ref="B192:B210"/>
    <mergeCell ref="B211:B222"/>
    <mergeCell ref="A234:B234"/>
    <mergeCell ref="H157:H158"/>
    <mergeCell ref="B160:B167"/>
    <mergeCell ref="B168:B182"/>
    <mergeCell ref="B183:B185"/>
    <mergeCell ref="B186:B191"/>
    <mergeCell ref="I2:K2"/>
    <mergeCell ref="B85:C85"/>
    <mergeCell ref="B89:C89"/>
    <mergeCell ref="B90:C90"/>
    <mergeCell ref="E157:F157"/>
    <mergeCell ref="G157:G158"/>
    <mergeCell ref="B7:G7"/>
    <mergeCell ref="I7:M7"/>
    <mergeCell ref="B12:C12"/>
    <mergeCell ref="B66:C66"/>
    <mergeCell ref="A3:B3"/>
    <mergeCell ref="C6:L6"/>
  </mergeCells>
  <dataValidations count="5">
    <dataValidation type="list" allowBlank="1" showInputMessage="1" showErrorMessage="1" sqref="C4">
      <formula1>Fluide</formula1>
    </dataValidation>
    <dataValidation type="list" allowBlank="1" showInputMessage="1" showErrorMessage="1" sqref="D4">
      <formula1>Gamme</formula1>
    </dataValidation>
    <dataValidation type="list" allowBlank="1" showInputMessage="1" showErrorMessage="1" sqref="F4">
      <formula1>Dégivrage</formula1>
    </dataValidation>
    <dataValidation type="list" allowBlank="1" showInputMessage="1" showErrorMessage="1" sqref="G4">
      <formula1>DT</formula1>
    </dataValidation>
    <dataValidation type="list" allowBlank="1" showInputMessage="1" showErrorMessage="1" sqref="E4">
      <formula1>INDIRECT(D4)</formula1>
    </dataValidation>
  </dataValidations>
  <pageMargins left="0.499305555555556" right="0.111805555555556" top="0.19375000000000001" bottom="0.35625000000000001" header="0.51180555555555496" footer="0.51180555555555496"/>
  <pageSetup paperSize="9" scale="51" firstPageNumber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Zone combinée 2">
              <controlPr defaultSize="0" autoLine="0" autoPict="0">
                <anchor moveWithCells="1">
                  <from>
                    <xdr:col>3</xdr:col>
                    <xdr:colOff>533400</xdr:colOff>
                    <xdr:row>15</xdr:row>
                    <xdr:rowOff>0</xdr:rowOff>
                  </from>
                  <to>
                    <xdr:col>5</xdr:col>
                    <xdr:colOff>581025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Zone combinée 3">
              <controlPr defaultSize="0" autoLine="0" autoPict="0">
                <anchor moveWithCells="1">
                  <from>
                    <xdr:col>3</xdr:col>
                    <xdr:colOff>600075</xdr:colOff>
                    <xdr:row>26</xdr:row>
                    <xdr:rowOff>38100</xdr:rowOff>
                  </from>
                  <to>
                    <xdr:col>5</xdr:col>
                    <xdr:colOff>257175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outon 4">
              <controlPr defaultSize="0" print="0" autoFill="0" autoPict="0" macro="[0]!Vers">
                <anchor moveWithCells="1">
                  <from>
                    <xdr:col>10</xdr:col>
                    <xdr:colOff>638175</xdr:colOff>
                    <xdr:row>2</xdr:row>
                    <xdr:rowOff>171450</xdr:rowOff>
                  </from>
                  <to>
                    <xdr:col>11</xdr:col>
                    <xdr:colOff>381000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44"/>
  <sheetViews>
    <sheetView workbookViewId="0">
      <selection activeCell="A2" sqref="A2"/>
    </sheetView>
    <sheetView tabSelected="1" workbookViewId="1">
      <selection activeCell="B7" sqref="B7"/>
    </sheetView>
  </sheetViews>
  <sheetFormatPr baseColWidth="10" defaultRowHeight="12.75" x14ac:dyDescent="0.2"/>
  <cols>
    <col min="1" max="1" width="11.42578125" style="208"/>
    <col min="2" max="13" width="11.42578125" style="298"/>
    <col min="14" max="14" width="16" style="298" customWidth="1"/>
    <col min="15" max="15" width="11.85546875" style="298" customWidth="1"/>
    <col min="16" max="16" width="13.7109375" style="298" customWidth="1"/>
    <col min="17" max="18" width="11.42578125" style="298"/>
    <col min="19" max="16384" width="11.42578125" style="208"/>
  </cols>
  <sheetData>
    <row r="1" spans="1:18" ht="15.75" x14ac:dyDescent="0.25">
      <c r="A1" s="306" t="s">
        <v>2</v>
      </c>
      <c r="B1" s="306"/>
      <c r="C1" s="306"/>
      <c r="D1" s="306"/>
      <c r="E1" s="306"/>
    </row>
    <row r="2" spans="1:18" ht="15" x14ac:dyDescent="0.2">
      <c r="A2" s="8"/>
      <c r="B2" s="9" t="s">
        <v>9</v>
      </c>
      <c r="C2" s="9" t="s">
        <v>10</v>
      </c>
      <c r="D2" s="9" t="s">
        <v>11</v>
      </c>
      <c r="E2" s="10" t="s">
        <v>12</v>
      </c>
    </row>
    <row r="3" spans="1:18" ht="16.5" thickBot="1" x14ac:dyDescent="0.3">
      <c r="A3" s="14" t="s">
        <v>13</v>
      </c>
      <c r="B3" s="299">
        <v>-22</v>
      </c>
      <c r="C3" s="300">
        <v>28</v>
      </c>
      <c r="D3" s="300">
        <v>28</v>
      </c>
      <c r="E3" s="337">
        <v>5</v>
      </c>
    </row>
    <row r="4" spans="1:18" ht="15.75" x14ac:dyDescent="0.25">
      <c r="A4" s="14" t="s">
        <v>17</v>
      </c>
      <c r="B4" s="301">
        <v>90</v>
      </c>
      <c r="C4" s="301">
        <v>50</v>
      </c>
      <c r="D4" s="338"/>
      <c r="E4" s="339"/>
    </row>
    <row r="5" spans="1:18" ht="15" x14ac:dyDescent="0.2">
      <c r="A5" s="25" t="s">
        <v>455</v>
      </c>
      <c r="B5" s="324"/>
      <c r="C5" s="325"/>
      <c r="D5" s="340"/>
      <c r="E5" s="297"/>
    </row>
    <row r="6" spans="1:18" ht="23.25" x14ac:dyDescent="0.2">
      <c r="A6" s="302"/>
    </row>
    <row r="7" spans="1:18" ht="23.25" x14ac:dyDescent="0.2">
      <c r="A7" s="302"/>
    </row>
    <row r="8" spans="1:18" s="298" customFormat="1" x14ac:dyDescent="0.2"/>
    <row r="9" spans="1:18" x14ac:dyDescent="0.2">
      <c r="M9" s="326" t="s">
        <v>443</v>
      </c>
      <c r="N9" s="326"/>
      <c r="O9" s="326"/>
      <c r="P9" s="326"/>
      <c r="Q9" s="326"/>
      <c r="R9" s="326"/>
    </row>
    <row r="10" spans="1:18" x14ac:dyDescent="0.2">
      <c r="B10" s="326" t="s">
        <v>456</v>
      </c>
      <c r="C10" s="326"/>
      <c r="D10" s="303" t="s">
        <v>457</v>
      </c>
      <c r="E10" s="303" t="s">
        <v>458</v>
      </c>
      <c r="F10" s="303" t="s">
        <v>459</v>
      </c>
      <c r="G10" s="303" t="s">
        <v>460</v>
      </c>
      <c r="H10" s="303" t="s">
        <v>8</v>
      </c>
      <c r="I10" s="303" t="s">
        <v>260</v>
      </c>
      <c r="J10" s="303" t="s">
        <v>347</v>
      </c>
      <c r="K10" s="303" t="s">
        <v>461</v>
      </c>
      <c r="L10" s="303" t="s">
        <v>462</v>
      </c>
      <c r="M10" s="303" t="s">
        <v>463</v>
      </c>
      <c r="N10" s="303" t="s">
        <v>464</v>
      </c>
      <c r="O10" s="303" t="s">
        <v>465</v>
      </c>
      <c r="P10" s="303" t="s">
        <v>466</v>
      </c>
      <c r="Q10" s="303" t="s">
        <v>467</v>
      </c>
      <c r="R10" s="303" t="s">
        <v>468</v>
      </c>
    </row>
    <row r="11" spans="1:18" x14ac:dyDescent="0.2">
      <c r="B11" s="323" t="s">
        <v>470</v>
      </c>
      <c r="C11" s="323"/>
      <c r="D11" s="304" t="s">
        <v>471</v>
      </c>
      <c r="E11" s="304" t="s">
        <v>472</v>
      </c>
      <c r="F11" s="304" t="s">
        <v>473</v>
      </c>
      <c r="G11" s="304" t="s">
        <v>474</v>
      </c>
      <c r="H11" s="304" t="s">
        <v>475</v>
      </c>
      <c r="I11" s="304" t="s">
        <v>476</v>
      </c>
      <c r="J11" s="304" t="s">
        <v>477</v>
      </c>
      <c r="K11" s="304" t="s">
        <v>478</v>
      </c>
      <c r="L11" s="304" t="s">
        <v>479</v>
      </c>
      <c r="M11" s="304" t="s">
        <v>480</v>
      </c>
      <c r="N11" s="304" t="s">
        <v>480</v>
      </c>
      <c r="O11" s="304" t="s">
        <v>480</v>
      </c>
      <c r="P11" s="304" t="s">
        <v>480</v>
      </c>
      <c r="Q11" s="304"/>
      <c r="R11" s="304"/>
    </row>
    <row r="12" spans="1:18" s="298" customFormat="1" x14ac:dyDescent="0.2">
      <c r="B12" s="323"/>
      <c r="C12" s="323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</row>
    <row r="13" spans="1:18" x14ac:dyDescent="0.2">
      <c r="B13" s="323"/>
      <c r="C13" s="323"/>
      <c r="D13" s="304"/>
      <c r="E13" s="304"/>
      <c r="F13" s="304"/>
      <c r="G13" s="304"/>
      <c r="H13" s="304"/>
      <c r="I13" s="304"/>
      <c r="J13" s="304"/>
      <c r="K13" s="304"/>
      <c r="L13" s="304"/>
      <c r="M13" s="304"/>
      <c r="N13" s="304"/>
      <c r="O13" s="304"/>
      <c r="P13" s="304"/>
      <c r="Q13" s="304"/>
      <c r="R13" s="304"/>
    </row>
    <row r="14" spans="1:18" x14ac:dyDescent="0.2">
      <c r="B14" s="323"/>
      <c r="C14" s="323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</row>
    <row r="15" spans="1:18" x14ac:dyDescent="0.2">
      <c r="B15" s="323"/>
      <c r="C15" s="323"/>
      <c r="D15" s="304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</row>
    <row r="16" spans="1:18" x14ac:dyDescent="0.2">
      <c r="B16" s="323"/>
      <c r="C16" s="323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</row>
    <row r="17" spans="2:18" x14ac:dyDescent="0.2">
      <c r="B17" s="323"/>
      <c r="C17" s="323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</row>
    <row r="18" spans="2:18" x14ac:dyDescent="0.2">
      <c r="B18" s="323"/>
      <c r="C18" s="323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</row>
    <row r="19" spans="2:18" x14ac:dyDescent="0.2">
      <c r="B19" s="323"/>
      <c r="C19" s="323"/>
      <c r="D19" s="304"/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</row>
    <row r="20" spans="2:18" x14ac:dyDescent="0.2">
      <c r="B20" s="323"/>
      <c r="C20" s="323"/>
      <c r="D20" s="304"/>
      <c r="E20" s="304"/>
      <c r="F20" s="304"/>
      <c r="G20" s="304"/>
      <c r="H20" s="304"/>
      <c r="I20" s="304"/>
      <c r="J20" s="304"/>
      <c r="K20" s="304"/>
      <c r="L20" s="304"/>
      <c r="M20" s="304"/>
      <c r="N20" s="304"/>
      <c r="O20" s="304"/>
      <c r="P20" s="304"/>
      <c r="Q20" s="304"/>
      <c r="R20" s="304"/>
    </row>
    <row r="21" spans="2:18" x14ac:dyDescent="0.2">
      <c r="B21" s="323"/>
      <c r="C21" s="323"/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</row>
    <row r="22" spans="2:18" x14ac:dyDescent="0.2">
      <c r="B22" s="323"/>
      <c r="C22" s="323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</row>
    <row r="23" spans="2:18" x14ac:dyDescent="0.2">
      <c r="B23" s="323"/>
      <c r="C23" s="323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</row>
    <row r="24" spans="2:18" x14ac:dyDescent="0.2">
      <c r="B24" s="323"/>
      <c r="C24" s="323"/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</row>
    <row r="25" spans="2:18" x14ac:dyDescent="0.2">
      <c r="B25" s="323"/>
      <c r="C25" s="323"/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</row>
    <row r="26" spans="2:18" x14ac:dyDescent="0.2">
      <c r="B26" s="323"/>
      <c r="C26" s="323"/>
      <c r="D26" s="304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</row>
    <row r="27" spans="2:18" x14ac:dyDescent="0.2">
      <c r="B27" s="323"/>
      <c r="C27" s="323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</row>
    <row r="28" spans="2:18" x14ac:dyDescent="0.2">
      <c r="B28" s="323"/>
      <c r="C28" s="323"/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</row>
    <row r="29" spans="2:18" x14ac:dyDescent="0.2">
      <c r="B29" s="323"/>
      <c r="C29" s="323"/>
      <c r="D29" s="304"/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</row>
    <row r="30" spans="2:18" x14ac:dyDescent="0.2">
      <c r="B30" s="323"/>
      <c r="C30" s="323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</row>
    <row r="31" spans="2:18" x14ac:dyDescent="0.2">
      <c r="B31" s="323"/>
      <c r="C31" s="323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</row>
    <row r="32" spans="2:18" x14ac:dyDescent="0.2">
      <c r="B32" s="323"/>
      <c r="C32" s="323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</row>
    <row r="33" spans="2:18" x14ac:dyDescent="0.2">
      <c r="B33" s="323"/>
      <c r="C33" s="323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/>
      <c r="O33" s="304"/>
      <c r="P33" s="304"/>
      <c r="Q33" s="304"/>
      <c r="R33" s="304"/>
    </row>
    <row r="34" spans="2:18" x14ac:dyDescent="0.2">
      <c r="B34" s="323"/>
      <c r="C34" s="323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</row>
    <row r="35" spans="2:18" x14ac:dyDescent="0.2">
      <c r="B35" s="323"/>
      <c r="C35" s="323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</row>
    <row r="36" spans="2:18" x14ac:dyDescent="0.2">
      <c r="B36" s="323"/>
      <c r="C36" s="323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</row>
    <row r="37" spans="2:18" x14ac:dyDescent="0.2">
      <c r="B37" s="323"/>
      <c r="C37" s="323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</row>
    <row r="38" spans="2:18" x14ac:dyDescent="0.2">
      <c r="B38" s="323"/>
      <c r="C38" s="323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</row>
    <row r="39" spans="2:18" x14ac:dyDescent="0.2">
      <c r="B39" s="323"/>
      <c r="C39" s="323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</row>
    <row r="40" spans="2:18" x14ac:dyDescent="0.2">
      <c r="B40" s="323"/>
      <c r="C40" s="323"/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304"/>
    </row>
    <row r="41" spans="2:18" x14ac:dyDescent="0.2">
      <c r="B41" s="322"/>
      <c r="C41" s="322"/>
    </row>
    <row r="42" spans="2:18" x14ac:dyDescent="0.2">
      <c r="B42" s="322"/>
      <c r="C42" s="322"/>
    </row>
    <row r="43" spans="2:18" x14ac:dyDescent="0.2">
      <c r="B43" s="322"/>
      <c r="C43" s="322"/>
    </row>
    <row r="44" spans="2:18" x14ac:dyDescent="0.2">
      <c r="B44" s="322"/>
      <c r="C44" s="322"/>
    </row>
  </sheetData>
  <mergeCells count="38">
    <mergeCell ref="B12:C12"/>
    <mergeCell ref="A1:E1"/>
    <mergeCell ref="B5:C5"/>
    <mergeCell ref="M9:R9"/>
    <mergeCell ref="B10:C10"/>
    <mergeCell ref="B11:C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36:C36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43:C43"/>
    <mergeCell ref="B44:C44"/>
    <mergeCell ref="B37:C37"/>
    <mergeCell ref="B38:C38"/>
    <mergeCell ref="B39:C39"/>
    <mergeCell ref="B40:C40"/>
    <mergeCell ref="B41:C41"/>
    <mergeCell ref="B42:C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61"/>
  <sheetViews>
    <sheetView topLeftCell="A4" zoomScale="85" zoomScaleNormal="85" zoomScalePageLayoutView="85" workbookViewId="0">
      <selection activeCell="C70" sqref="C70"/>
    </sheetView>
    <sheetView workbookViewId="1">
      <selection sqref="A1:N2"/>
    </sheetView>
  </sheetViews>
  <sheetFormatPr baseColWidth="10" defaultColWidth="8.85546875" defaultRowHeight="12.75" x14ac:dyDescent="0.2"/>
  <cols>
    <col min="1" max="1025" width="11" customWidth="1"/>
  </cols>
  <sheetData>
    <row r="1" spans="1:18" x14ac:dyDescent="0.2">
      <c r="A1" s="327" t="s">
        <v>227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8" x14ac:dyDescent="0.2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</row>
    <row r="4" spans="1:18" x14ac:dyDescent="0.2">
      <c r="A4" s="196" t="s">
        <v>228</v>
      </c>
    </row>
    <row r="6" spans="1:18" x14ac:dyDescent="0.2">
      <c r="A6" s="196" t="s">
        <v>229</v>
      </c>
      <c r="H6" s="196" t="s">
        <v>230</v>
      </c>
      <c r="R6" s="197" t="s">
        <v>231</v>
      </c>
    </row>
    <row r="7" spans="1:18" ht="15" x14ac:dyDescent="0.2">
      <c r="A7" s="198" t="s">
        <v>232</v>
      </c>
      <c r="B7" s="198"/>
      <c r="C7" s="199"/>
      <c r="D7" s="199"/>
      <c r="E7" s="199"/>
      <c r="F7" s="199"/>
      <c r="G7" s="200"/>
      <c r="H7" s="198" t="s">
        <v>232</v>
      </c>
      <c r="I7" s="198"/>
      <c r="J7" s="199"/>
      <c r="K7" s="199"/>
      <c r="L7" s="199"/>
      <c r="M7" s="199"/>
      <c r="N7" s="199"/>
    </row>
    <row r="10" spans="1:18" x14ac:dyDescent="0.2">
      <c r="A10" s="201" t="s">
        <v>233</v>
      </c>
      <c r="B10" s="197" t="s">
        <v>234</v>
      </c>
      <c r="C10" s="197" t="s">
        <v>235</v>
      </c>
      <c r="D10" s="197" t="s">
        <v>231</v>
      </c>
      <c r="E10" s="197" t="s">
        <v>236</v>
      </c>
      <c r="F10" s="197" t="s">
        <v>237</v>
      </c>
      <c r="H10" s="202" t="s">
        <v>238</v>
      </c>
      <c r="I10" s="197" t="s">
        <v>235</v>
      </c>
      <c r="J10" s="197" t="s">
        <v>231</v>
      </c>
      <c r="K10" s="197" t="s">
        <v>236</v>
      </c>
      <c r="L10" s="197" t="s">
        <v>237</v>
      </c>
    </row>
    <row r="12" spans="1:18" x14ac:dyDescent="0.2">
      <c r="A12" s="153">
        <v>3167</v>
      </c>
      <c r="B12" s="203">
        <f t="shared" ref="B12:B17" si="0">D12/10*5.5</f>
        <v>1.155</v>
      </c>
      <c r="C12" s="154">
        <f t="shared" ref="C12:C17" si="1">D12/10*7</f>
        <v>1.4700000000000002</v>
      </c>
      <c r="D12" s="154">
        <v>2.1</v>
      </c>
      <c r="E12" s="154">
        <f t="shared" ref="E12:E17" si="2">D12/10*15</f>
        <v>3.1500000000000004</v>
      </c>
      <c r="F12" s="154">
        <f t="shared" ref="F12:F17" si="3">E12/10*20</f>
        <v>6.3000000000000007</v>
      </c>
      <c r="G12" s="196" t="s">
        <v>239</v>
      </c>
      <c r="H12" s="153" t="s">
        <v>240</v>
      </c>
      <c r="I12" s="154">
        <f>J12/10*7</f>
        <v>1.218</v>
      </c>
      <c r="J12" s="154">
        <v>1.74</v>
      </c>
      <c r="K12" s="154">
        <f>J12/10*15</f>
        <v>2.61</v>
      </c>
      <c r="L12" s="154">
        <f>J12/10*20</f>
        <v>3.4799999999999995</v>
      </c>
      <c r="M12" s="196" t="s">
        <v>239</v>
      </c>
    </row>
    <row r="13" spans="1:18" x14ac:dyDescent="0.2">
      <c r="A13" s="153">
        <v>3267</v>
      </c>
      <c r="B13" s="203">
        <f t="shared" si="0"/>
        <v>2.31</v>
      </c>
      <c r="C13" s="154">
        <f t="shared" si="1"/>
        <v>2.9400000000000004</v>
      </c>
      <c r="D13" s="154">
        <v>4.2</v>
      </c>
      <c r="E13" s="154">
        <f t="shared" si="2"/>
        <v>6.3000000000000007</v>
      </c>
      <c r="F13" s="154">
        <f t="shared" si="3"/>
        <v>12.600000000000001</v>
      </c>
      <c r="G13" s="196" t="s">
        <v>239</v>
      </c>
      <c r="H13" s="153" t="s">
        <v>241</v>
      </c>
      <c r="I13" s="154">
        <f>J13/10*7</f>
        <v>2.4849999999999999</v>
      </c>
      <c r="J13" s="154">
        <v>3.55</v>
      </c>
      <c r="K13" s="154">
        <f>J13/10*15</f>
        <v>5.3249999999999993</v>
      </c>
      <c r="L13" s="154">
        <f>J13/10*20</f>
        <v>7.1</v>
      </c>
      <c r="M13" s="196" t="s">
        <v>239</v>
      </c>
    </row>
    <row r="14" spans="1:18" x14ac:dyDescent="0.2">
      <c r="A14" s="153">
        <v>3367</v>
      </c>
      <c r="B14" s="203">
        <f t="shared" si="0"/>
        <v>3.3</v>
      </c>
      <c r="C14" s="154">
        <f t="shared" si="1"/>
        <v>4.2</v>
      </c>
      <c r="D14" s="154">
        <v>6</v>
      </c>
      <c r="E14" s="154">
        <f t="shared" si="2"/>
        <v>9</v>
      </c>
      <c r="F14" s="154">
        <f t="shared" si="3"/>
        <v>18</v>
      </c>
      <c r="G14" s="196" t="s">
        <v>239</v>
      </c>
      <c r="H14" s="153" t="s">
        <v>242</v>
      </c>
      <c r="I14" s="154">
        <f>J14/10*7</f>
        <v>3.71</v>
      </c>
      <c r="J14" s="154">
        <v>5.3</v>
      </c>
      <c r="K14" s="154">
        <f>J14/10*15</f>
        <v>7.95</v>
      </c>
      <c r="L14" s="154">
        <f>J14/10*20</f>
        <v>10.600000000000001</v>
      </c>
      <c r="M14" s="196" t="s">
        <v>239</v>
      </c>
    </row>
    <row r="15" spans="1:18" x14ac:dyDescent="0.2">
      <c r="A15" s="153">
        <v>3467</v>
      </c>
      <c r="B15" s="203">
        <f t="shared" si="0"/>
        <v>4.8950000000000005</v>
      </c>
      <c r="C15" s="154">
        <f t="shared" si="1"/>
        <v>6.23</v>
      </c>
      <c r="D15" s="154">
        <v>8.9</v>
      </c>
      <c r="E15" s="154">
        <f t="shared" si="2"/>
        <v>13.35</v>
      </c>
      <c r="F15" s="154">
        <f t="shared" si="3"/>
        <v>26.7</v>
      </c>
      <c r="G15" s="196" t="s">
        <v>239</v>
      </c>
      <c r="H15" s="153" t="s">
        <v>243</v>
      </c>
      <c r="I15" s="154">
        <f>J15/10*7</f>
        <v>4.9349999999999996</v>
      </c>
      <c r="J15" s="154">
        <v>7.05</v>
      </c>
      <c r="K15" s="154">
        <f>J15/10*15</f>
        <v>10.574999999999999</v>
      </c>
      <c r="L15" s="154">
        <f>J15/10*20</f>
        <v>14.1</v>
      </c>
      <c r="M15" s="196" t="s">
        <v>239</v>
      </c>
    </row>
    <row r="16" spans="1:18" x14ac:dyDescent="0.2">
      <c r="A16" s="153">
        <v>3567</v>
      </c>
      <c r="B16" s="203">
        <f t="shared" si="0"/>
        <v>5.8849999999999989</v>
      </c>
      <c r="C16" s="154">
        <f t="shared" si="1"/>
        <v>7.4899999999999984</v>
      </c>
      <c r="D16" s="154">
        <v>10.7</v>
      </c>
      <c r="E16" s="154">
        <f t="shared" si="2"/>
        <v>16.049999999999997</v>
      </c>
      <c r="F16" s="154">
        <f t="shared" si="3"/>
        <v>32.099999999999994</v>
      </c>
      <c r="G16" s="196" t="s">
        <v>239</v>
      </c>
      <c r="H16" s="153" t="s">
        <v>244</v>
      </c>
      <c r="I16" s="154">
        <f>J16/10*7</f>
        <v>6.2370000000000001</v>
      </c>
      <c r="J16" s="154">
        <v>8.91</v>
      </c>
      <c r="K16" s="154">
        <f>J16/10*15</f>
        <v>13.365</v>
      </c>
      <c r="L16" s="154">
        <f>J16/10*20</f>
        <v>17.82</v>
      </c>
      <c r="M16" s="196" t="s">
        <v>239</v>
      </c>
    </row>
    <row r="17" spans="1:14" x14ac:dyDescent="0.2">
      <c r="A17" s="153">
        <v>3667</v>
      </c>
      <c r="B17" s="203">
        <f t="shared" si="0"/>
        <v>7.15</v>
      </c>
      <c r="C17" s="154">
        <f t="shared" si="1"/>
        <v>9.1</v>
      </c>
      <c r="D17" s="154">
        <v>13</v>
      </c>
      <c r="E17" s="154">
        <f t="shared" si="2"/>
        <v>19.5</v>
      </c>
      <c r="F17" s="154">
        <f t="shared" si="3"/>
        <v>39</v>
      </c>
      <c r="G17" s="196" t="s">
        <v>239</v>
      </c>
    </row>
    <row r="18" spans="1:14" x14ac:dyDescent="0.2">
      <c r="A18" s="204"/>
      <c r="B18" s="205"/>
      <c r="C18" s="206"/>
      <c r="D18" s="206"/>
      <c r="E18" s="206"/>
      <c r="F18" s="206"/>
      <c r="H18" s="196" t="s">
        <v>245</v>
      </c>
    </row>
    <row r="19" spans="1:14" x14ac:dyDescent="0.2">
      <c r="A19" s="153">
        <v>4167</v>
      </c>
      <c r="B19" s="203">
        <f>D19/10*5.5</f>
        <v>3.41</v>
      </c>
      <c r="C19" s="154">
        <f>D19/10*7</f>
        <v>4.34</v>
      </c>
      <c r="D19" s="154">
        <v>6.2</v>
      </c>
      <c r="E19" s="154">
        <f>D19/10*15</f>
        <v>9.3000000000000007</v>
      </c>
      <c r="F19" s="154">
        <f>E19/10*20</f>
        <v>18.600000000000001</v>
      </c>
      <c r="G19" s="196" t="s">
        <v>239</v>
      </c>
      <c r="H19" s="199"/>
      <c r="I19" s="199"/>
      <c r="J19" s="199"/>
      <c r="K19" s="199"/>
      <c r="L19" s="199"/>
      <c r="M19" s="199"/>
    </row>
    <row r="20" spans="1:14" x14ac:dyDescent="0.2">
      <c r="A20" s="153">
        <v>4247</v>
      </c>
      <c r="B20" s="203">
        <f>D20/10*5.5</f>
        <v>5.2799999999999994</v>
      </c>
      <c r="C20" s="154">
        <f>D20/10*7</f>
        <v>6.72</v>
      </c>
      <c r="D20" s="154">
        <v>9.6</v>
      </c>
      <c r="E20" s="154">
        <f>D20/10*15</f>
        <v>14.399999999999999</v>
      </c>
      <c r="F20" s="154">
        <f>E20/10*20</f>
        <v>28.799999999999997</v>
      </c>
      <c r="G20" s="196" t="s">
        <v>239</v>
      </c>
    </row>
    <row r="21" spans="1:14" x14ac:dyDescent="0.2">
      <c r="A21" s="153">
        <v>4267</v>
      </c>
      <c r="B21" s="203">
        <f>D21/10*5.5</f>
        <v>6.875</v>
      </c>
      <c r="C21" s="154">
        <f>D21/10*7</f>
        <v>8.75</v>
      </c>
      <c r="D21" s="154">
        <v>12.5</v>
      </c>
      <c r="E21" s="154">
        <f>D21/10*15</f>
        <v>18.75</v>
      </c>
      <c r="F21" s="154">
        <f>E21/10*20</f>
        <v>37.5</v>
      </c>
      <c r="G21" s="196" t="s">
        <v>239</v>
      </c>
    </row>
    <row r="22" spans="1:14" x14ac:dyDescent="0.2">
      <c r="A22" s="153">
        <v>4367</v>
      </c>
      <c r="B22" s="203">
        <f>D22/10*5.5</f>
        <v>10.119999999999999</v>
      </c>
      <c r="C22" s="154">
        <f>D22/10*7</f>
        <v>12.879999999999999</v>
      </c>
      <c r="D22" s="154">
        <v>18.399999999999999</v>
      </c>
      <c r="E22" s="154">
        <f>D22/10*15</f>
        <v>27.599999999999998</v>
      </c>
      <c r="F22" s="154">
        <f>E22/10*20</f>
        <v>55.199999999999996</v>
      </c>
      <c r="G22" s="196" t="s">
        <v>239</v>
      </c>
      <c r="H22" s="196" t="s">
        <v>246</v>
      </c>
      <c r="I22" s="197" t="s">
        <v>235</v>
      </c>
      <c r="J22" s="197" t="s">
        <v>231</v>
      </c>
      <c r="K22" s="197" t="s">
        <v>247</v>
      </c>
      <c r="L22" s="197" t="s">
        <v>236</v>
      </c>
      <c r="M22" s="197" t="s">
        <v>237</v>
      </c>
    </row>
    <row r="23" spans="1:14" x14ac:dyDescent="0.2">
      <c r="A23" s="153">
        <v>4467</v>
      </c>
      <c r="B23" s="203">
        <f>D23/10*5.5</f>
        <v>13.53</v>
      </c>
      <c r="C23" s="154">
        <f>D23/10*7</f>
        <v>17.22</v>
      </c>
      <c r="D23" s="154">
        <v>24.6</v>
      </c>
      <c r="E23" s="154">
        <f>D23/10*15</f>
        <v>36.9</v>
      </c>
      <c r="F23" s="154">
        <f>E23/10*20</f>
        <v>73.8</v>
      </c>
      <c r="G23" s="196" t="s">
        <v>239</v>
      </c>
    </row>
    <row r="24" spans="1:14" x14ac:dyDescent="0.2">
      <c r="A24" s="204"/>
      <c r="B24" s="205"/>
      <c r="C24" s="206"/>
      <c r="D24" s="206"/>
      <c r="E24" s="206"/>
      <c r="F24" s="206"/>
      <c r="G24" s="200"/>
      <c r="H24" s="153">
        <v>70</v>
      </c>
      <c r="I24" s="154">
        <f t="shared" ref="I24:I29" si="4">K24/10*7</f>
        <v>0.59499999999999997</v>
      </c>
      <c r="J24" s="154">
        <f t="shared" ref="J24:J29" si="5">K24/10*8</f>
        <v>0.67999999999999994</v>
      </c>
      <c r="K24" s="154">
        <v>0.85</v>
      </c>
      <c r="L24" s="154">
        <f t="shared" ref="L24:L29" si="6">K24/10*15</f>
        <v>1.2749999999999999</v>
      </c>
      <c r="M24" s="154">
        <f t="shared" ref="M24:M29" si="7">K24/10*20</f>
        <v>1.6999999999999997</v>
      </c>
      <c r="N24" s="196" t="s">
        <v>239</v>
      </c>
    </row>
    <row r="25" spans="1:14" x14ac:dyDescent="0.2">
      <c r="A25" s="153">
        <v>5167</v>
      </c>
      <c r="B25" s="203">
        <f t="shared" ref="B25:B30" si="8">D25/10*5.5</f>
        <v>6.0500000000000007</v>
      </c>
      <c r="C25" s="154">
        <f t="shared" ref="C25:C30" si="9">D25/10*7</f>
        <v>7.7000000000000011</v>
      </c>
      <c r="D25" s="154">
        <v>11</v>
      </c>
      <c r="E25" s="154">
        <f t="shared" ref="E25:E30" si="10">D25/10*15</f>
        <v>16.5</v>
      </c>
      <c r="F25" s="154">
        <f t="shared" ref="F25:F30" si="11">E25/10*20</f>
        <v>33</v>
      </c>
      <c r="G25" s="196" t="s">
        <v>239</v>
      </c>
      <c r="H25" s="153">
        <v>105</v>
      </c>
      <c r="I25" s="154">
        <f t="shared" si="4"/>
        <v>0.93800000000000006</v>
      </c>
      <c r="J25" s="154">
        <f t="shared" si="5"/>
        <v>1.0720000000000001</v>
      </c>
      <c r="K25" s="154">
        <v>1.34</v>
      </c>
      <c r="L25" s="154">
        <f t="shared" si="6"/>
        <v>2.0100000000000002</v>
      </c>
      <c r="M25" s="154">
        <f t="shared" si="7"/>
        <v>2.68</v>
      </c>
      <c r="N25" s="196" t="s">
        <v>239</v>
      </c>
    </row>
    <row r="26" spans="1:14" x14ac:dyDescent="0.2">
      <c r="A26" s="153">
        <v>5247</v>
      </c>
      <c r="B26" s="203">
        <f t="shared" si="8"/>
        <v>9.2949999999999999</v>
      </c>
      <c r="C26" s="154">
        <f t="shared" si="9"/>
        <v>11.83</v>
      </c>
      <c r="D26" s="154">
        <v>16.899999999999999</v>
      </c>
      <c r="E26" s="154">
        <f t="shared" si="10"/>
        <v>25.349999999999998</v>
      </c>
      <c r="F26" s="154">
        <f t="shared" si="11"/>
        <v>50.699999999999996</v>
      </c>
      <c r="G26" s="196" t="s">
        <v>239</v>
      </c>
      <c r="H26" s="153">
        <v>145</v>
      </c>
      <c r="I26" s="154">
        <f t="shared" si="4"/>
        <v>1.1689999999999998</v>
      </c>
      <c r="J26" s="154">
        <f t="shared" si="5"/>
        <v>1.3359999999999999</v>
      </c>
      <c r="K26" s="154">
        <v>1.67</v>
      </c>
      <c r="L26" s="154">
        <f t="shared" si="6"/>
        <v>2.5049999999999999</v>
      </c>
      <c r="M26" s="154">
        <f t="shared" si="7"/>
        <v>3.34</v>
      </c>
      <c r="N26" s="196" t="s">
        <v>239</v>
      </c>
    </row>
    <row r="27" spans="1:14" x14ac:dyDescent="0.2">
      <c r="A27" s="153">
        <v>5267</v>
      </c>
      <c r="B27" s="203">
        <f t="shared" si="8"/>
        <v>12.265000000000001</v>
      </c>
      <c r="C27" s="154">
        <f t="shared" si="9"/>
        <v>15.61</v>
      </c>
      <c r="D27" s="154">
        <v>22.3</v>
      </c>
      <c r="E27" s="154">
        <f t="shared" si="10"/>
        <v>33.450000000000003</v>
      </c>
      <c r="F27" s="154">
        <f t="shared" si="11"/>
        <v>66.900000000000006</v>
      </c>
      <c r="G27" s="196" t="s">
        <v>239</v>
      </c>
      <c r="H27" s="153">
        <v>215</v>
      </c>
      <c r="I27" s="154">
        <f t="shared" si="4"/>
        <v>1.7989999999999999</v>
      </c>
      <c r="J27" s="154">
        <f t="shared" si="5"/>
        <v>2.056</v>
      </c>
      <c r="K27" s="154">
        <v>2.57</v>
      </c>
      <c r="L27" s="154">
        <f t="shared" si="6"/>
        <v>3.855</v>
      </c>
      <c r="M27" s="154">
        <f t="shared" si="7"/>
        <v>5.1400000000000006</v>
      </c>
      <c r="N27" s="196" t="s">
        <v>239</v>
      </c>
    </row>
    <row r="28" spans="1:14" x14ac:dyDescent="0.2">
      <c r="A28" s="153">
        <v>5367</v>
      </c>
      <c r="B28" s="203">
        <f t="shared" si="8"/>
        <v>18.59</v>
      </c>
      <c r="C28" s="154">
        <f t="shared" si="9"/>
        <v>23.66</v>
      </c>
      <c r="D28" s="154">
        <v>33.799999999999997</v>
      </c>
      <c r="E28" s="154">
        <f t="shared" si="10"/>
        <v>50.699999999999996</v>
      </c>
      <c r="F28" s="154">
        <f t="shared" si="11"/>
        <v>101.39999999999999</v>
      </c>
      <c r="G28" s="196" t="s">
        <v>239</v>
      </c>
      <c r="H28" s="153">
        <v>290</v>
      </c>
      <c r="I28" s="154">
        <f t="shared" si="4"/>
        <v>2.5129999999999999</v>
      </c>
      <c r="J28" s="154">
        <f t="shared" si="5"/>
        <v>2.8719999999999999</v>
      </c>
      <c r="K28" s="154">
        <v>3.59</v>
      </c>
      <c r="L28" s="154">
        <f t="shared" si="6"/>
        <v>5.3849999999999998</v>
      </c>
      <c r="M28" s="154">
        <f t="shared" si="7"/>
        <v>7.18</v>
      </c>
      <c r="N28" s="196" t="s">
        <v>239</v>
      </c>
    </row>
    <row r="29" spans="1:14" x14ac:dyDescent="0.2">
      <c r="A29" s="153">
        <v>5467</v>
      </c>
      <c r="B29" s="203">
        <f t="shared" si="8"/>
        <v>25.024999999999999</v>
      </c>
      <c r="C29" s="154">
        <f t="shared" si="9"/>
        <v>31.849999999999998</v>
      </c>
      <c r="D29" s="154">
        <v>45.5</v>
      </c>
      <c r="E29" s="154">
        <f t="shared" si="10"/>
        <v>68.25</v>
      </c>
      <c r="F29" s="154">
        <f t="shared" si="11"/>
        <v>136.5</v>
      </c>
      <c r="G29" s="196" t="s">
        <v>239</v>
      </c>
      <c r="H29" s="153">
        <v>415</v>
      </c>
      <c r="I29" s="154">
        <f t="shared" si="4"/>
        <v>3.8639999999999994</v>
      </c>
      <c r="J29" s="154">
        <f t="shared" si="5"/>
        <v>4.4159999999999995</v>
      </c>
      <c r="K29" s="154">
        <v>5.52</v>
      </c>
      <c r="L29" s="154">
        <f t="shared" si="6"/>
        <v>8.2799999999999994</v>
      </c>
      <c r="M29" s="154">
        <f t="shared" si="7"/>
        <v>11.04</v>
      </c>
      <c r="N29" s="196" t="s">
        <v>239</v>
      </c>
    </row>
    <row r="30" spans="1:14" x14ac:dyDescent="0.2">
      <c r="A30" s="153">
        <v>5487</v>
      </c>
      <c r="B30" s="203">
        <f t="shared" si="8"/>
        <v>28.875</v>
      </c>
      <c r="C30" s="154">
        <f t="shared" si="9"/>
        <v>36.75</v>
      </c>
      <c r="D30" s="154">
        <v>52.5</v>
      </c>
      <c r="E30" s="154">
        <f t="shared" si="10"/>
        <v>78.75</v>
      </c>
      <c r="F30" s="154">
        <f t="shared" si="11"/>
        <v>157.5</v>
      </c>
      <c r="G30" s="196" t="s">
        <v>239</v>
      </c>
    </row>
    <row r="34" spans="1:12" x14ac:dyDescent="0.2">
      <c r="A34" s="196" t="s">
        <v>248</v>
      </c>
    </row>
    <row r="36" spans="1:12" x14ac:dyDescent="0.2">
      <c r="A36" s="196" t="s">
        <v>249</v>
      </c>
      <c r="G36" s="200" t="s">
        <v>250</v>
      </c>
    </row>
    <row r="37" spans="1:12" ht="15" x14ac:dyDescent="0.2">
      <c r="A37" s="198" t="s">
        <v>232</v>
      </c>
      <c r="B37" s="198"/>
      <c r="C37" s="199"/>
      <c r="D37" s="199"/>
      <c r="G37" s="199"/>
      <c r="H37" s="199"/>
      <c r="I37" s="199"/>
      <c r="J37" s="199"/>
      <c r="K37" s="199"/>
      <c r="L37" s="199"/>
    </row>
    <row r="39" spans="1:12" x14ac:dyDescent="0.2">
      <c r="G39" s="196" t="s">
        <v>251</v>
      </c>
      <c r="H39" s="197" t="s">
        <v>234</v>
      </c>
      <c r="I39" s="197" t="s">
        <v>235</v>
      </c>
      <c r="J39" s="197" t="s">
        <v>231</v>
      </c>
      <c r="K39" s="197"/>
      <c r="L39" s="197"/>
    </row>
    <row r="40" spans="1:12" x14ac:dyDescent="0.2">
      <c r="A40" s="201" t="s">
        <v>233</v>
      </c>
      <c r="B40" s="197" t="s">
        <v>234</v>
      </c>
      <c r="C40" s="197" t="s">
        <v>235</v>
      </c>
      <c r="D40" s="197"/>
      <c r="E40" s="197"/>
      <c r="F40" s="197"/>
      <c r="K40" s="200"/>
      <c r="L40" s="200"/>
    </row>
    <row r="41" spans="1:12" x14ac:dyDescent="0.2">
      <c r="G41" s="153">
        <v>2256</v>
      </c>
      <c r="H41" s="154">
        <f>J41/10*5.5</f>
        <v>0.82499999999999996</v>
      </c>
      <c r="I41" s="154">
        <f>J41/10*7</f>
        <v>1.05</v>
      </c>
      <c r="J41" s="154">
        <v>1.5</v>
      </c>
      <c r="K41" s="206" t="s">
        <v>239</v>
      </c>
      <c r="L41" s="206"/>
    </row>
    <row r="42" spans="1:12" x14ac:dyDescent="0.2">
      <c r="A42" s="153">
        <v>3167</v>
      </c>
      <c r="B42" s="203">
        <f t="shared" ref="B42:B47" si="12">C42/10*5.5</f>
        <v>0.88</v>
      </c>
      <c r="C42" s="154">
        <v>1.6</v>
      </c>
      <c r="D42" s="196" t="s">
        <v>239</v>
      </c>
      <c r="E42" s="200"/>
      <c r="F42" s="200"/>
      <c r="G42" s="153">
        <v>2356</v>
      </c>
      <c r="H42" s="154">
        <f>J42/10*5.5</f>
        <v>1.2100000000000002</v>
      </c>
      <c r="I42" s="154">
        <f>J42/10*7</f>
        <v>1.5400000000000003</v>
      </c>
      <c r="J42" s="154">
        <v>2.2000000000000002</v>
      </c>
      <c r="K42" s="206" t="s">
        <v>239</v>
      </c>
      <c r="L42" s="206"/>
    </row>
    <row r="43" spans="1:12" x14ac:dyDescent="0.2">
      <c r="A43" s="153">
        <v>3267</v>
      </c>
      <c r="B43" s="203">
        <f t="shared" si="12"/>
        <v>1.76</v>
      </c>
      <c r="C43" s="154">
        <v>3.2</v>
      </c>
      <c r="D43" s="196" t="s">
        <v>239</v>
      </c>
      <c r="E43" s="200"/>
      <c r="F43" s="200"/>
    </row>
    <row r="44" spans="1:12" x14ac:dyDescent="0.2">
      <c r="A44" s="153">
        <v>3367</v>
      </c>
      <c r="B44" s="203">
        <f t="shared" si="12"/>
        <v>2.6950000000000003</v>
      </c>
      <c r="C44" s="154">
        <v>4.9000000000000004</v>
      </c>
      <c r="D44" s="196" t="s">
        <v>239</v>
      </c>
      <c r="E44" s="200"/>
      <c r="F44" s="200"/>
    </row>
    <row r="45" spans="1:12" x14ac:dyDescent="0.2">
      <c r="A45" s="153">
        <v>3467</v>
      </c>
      <c r="B45" s="203">
        <f t="shared" si="12"/>
        <v>3.6850000000000001</v>
      </c>
      <c r="C45" s="154">
        <v>6.7</v>
      </c>
      <c r="D45" s="196" t="s">
        <v>239</v>
      </c>
      <c r="E45" s="200"/>
      <c r="F45" s="200"/>
    </row>
    <row r="46" spans="1:12" x14ac:dyDescent="0.2">
      <c r="A46" s="153">
        <v>3567</v>
      </c>
      <c r="B46" s="203">
        <f t="shared" si="12"/>
        <v>4.4550000000000001</v>
      </c>
      <c r="C46" s="154">
        <v>8.1</v>
      </c>
      <c r="D46" s="196" t="s">
        <v>239</v>
      </c>
      <c r="E46" s="200"/>
      <c r="F46" s="200"/>
    </row>
    <row r="47" spans="1:12" x14ac:dyDescent="0.2">
      <c r="A47" s="153">
        <v>3667</v>
      </c>
      <c r="B47" s="203">
        <f t="shared" si="12"/>
        <v>5.2249999999999996</v>
      </c>
      <c r="C47" s="154">
        <v>9.5</v>
      </c>
      <c r="D47" s="196" t="s">
        <v>239</v>
      </c>
      <c r="E47" s="200"/>
      <c r="F47" s="200"/>
    </row>
    <row r="48" spans="1:12" x14ac:dyDescent="0.2">
      <c r="A48" s="204"/>
      <c r="B48" s="205"/>
      <c r="C48" s="206"/>
      <c r="E48" s="200"/>
      <c r="F48" s="200"/>
    </row>
    <row r="49" spans="1:13" x14ac:dyDescent="0.2">
      <c r="A49" s="153">
        <v>4167</v>
      </c>
      <c r="B49" s="203">
        <f>C49/10*5.5</f>
        <v>2.2549999999999999</v>
      </c>
      <c r="C49" s="154">
        <v>4.0999999999999996</v>
      </c>
      <c r="D49" s="196" t="s">
        <v>239</v>
      </c>
      <c r="E49" s="200"/>
      <c r="F49" s="200"/>
    </row>
    <row r="50" spans="1:13" x14ac:dyDescent="0.2">
      <c r="A50" s="153">
        <v>4247</v>
      </c>
      <c r="B50" s="203">
        <f>C50/10*5.5</f>
        <v>3.6299999999999994</v>
      </c>
      <c r="C50" s="154">
        <v>6.6</v>
      </c>
      <c r="D50" s="196" t="s">
        <v>239</v>
      </c>
      <c r="E50" s="200"/>
      <c r="F50" s="200"/>
    </row>
    <row r="51" spans="1:13" x14ac:dyDescent="0.2">
      <c r="A51" s="153">
        <v>4267</v>
      </c>
      <c r="B51" s="203">
        <f>C51/10*5.5</f>
        <v>4.7299999999999995</v>
      </c>
      <c r="C51" s="154">
        <v>8.6</v>
      </c>
      <c r="D51" s="196" t="s">
        <v>239</v>
      </c>
      <c r="E51" s="200"/>
      <c r="F51" s="200"/>
    </row>
    <row r="52" spans="1:13" x14ac:dyDescent="0.2">
      <c r="A52" s="153">
        <v>4367</v>
      </c>
      <c r="B52" s="203">
        <f>C52/10*5.5</f>
        <v>6.6549999999999994</v>
      </c>
      <c r="C52" s="154">
        <v>12.1</v>
      </c>
      <c r="D52" s="196" t="s">
        <v>239</v>
      </c>
      <c r="E52" s="200"/>
      <c r="F52" s="200"/>
    </row>
    <row r="53" spans="1:13" x14ac:dyDescent="0.2">
      <c r="A53" s="153">
        <v>4467</v>
      </c>
      <c r="B53" s="203">
        <f>C53/10*5.5</f>
        <v>9.02</v>
      </c>
      <c r="C53" s="154">
        <v>16.399999999999999</v>
      </c>
      <c r="D53" s="196" t="s">
        <v>239</v>
      </c>
      <c r="E53" s="200"/>
      <c r="F53" s="200"/>
    </row>
    <row r="54" spans="1:13" x14ac:dyDescent="0.2">
      <c r="A54" s="204"/>
      <c r="B54" s="205"/>
      <c r="C54" s="206"/>
      <c r="D54" s="200"/>
      <c r="E54" s="200"/>
      <c r="F54" s="200"/>
      <c r="G54" s="200"/>
    </row>
    <row r="55" spans="1:13" x14ac:dyDescent="0.2">
      <c r="A55" s="153">
        <v>5167</v>
      </c>
      <c r="B55" s="203">
        <f t="shared" ref="B55:B60" si="13">C55/10*5.5</f>
        <v>4.3450000000000006</v>
      </c>
      <c r="C55" s="154">
        <v>7.9</v>
      </c>
      <c r="D55" s="196" t="s">
        <v>239</v>
      </c>
      <c r="E55" s="200"/>
      <c r="F55" s="200"/>
    </row>
    <row r="56" spans="1:13" x14ac:dyDescent="0.2">
      <c r="A56" s="153">
        <v>5247</v>
      </c>
      <c r="B56" s="203">
        <f t="shared" si="13"/>
        <v>6.3249999999999993</v>
      </c>
      <c r="C56" s="154">
        <v>11.5</v>
      </c>
      <c r="D56" s="196" t="s">
        <v>239</v>
      </c>
      <c r="E56" s="200"/>
      <c r="F56" s="200"/>
    </row>
    <row r="57" spans="1:13" x14ac:dyDescent="0.2">
      <c r="A57" s="153">
        <v>5267</v>
      </c>
      <c r="B57" s="203">
        <f t="shared" si="13"/>
        <v>8.4150000000000009</v>
      </c>
      <c r="C57" s="154">
        <v>15.3</v>
      </c>
      <c r="D57" s="196" t="s">
        <v>239</v>
      </c>
      <c r="E57" s="200"/>
      <c r="F57" s="200"/>
    </row>
    <row r="58" spans="1:13" x14ac:dyDescent="0.2">
      <c r="A58" s="153">
        <v>5367</v>
      </c>
      <c r="B58" s="203">
        <f t="shared" si="13"/>
        <v>12.430000000000001</v>
      </c>
      <c r="C58" s="154">
        <v>22.6</v>
      </c>
      <c r="D58" s="196" t="s">
        <v>239</v>
      </c>
      <c r="E58" s="200"/>
      <c r="F58" s="200"/>
    </row>
    <row r="59" spans="1:13" x14ac:dyDescent="0.2">
      <c r="A59" s="153">
        <v>5467</v>
      </c>
      <c r="B59" s="203">
        <f t="shared" si="13"/>
        <v>16.994999999999997</v>
      </c>
      <c r="C59" s="154">
        <v>30.9</v>
      </c>
      <c r="D59" s="196" t="s">
        <v>239</v>
      </c>
      <c r="E59" s="200"/>
      <c r="F59" s="200"/>
      <c r="H59" s="204"/>
      <c r="I59" s="206"/>
      <c r="J59" s="206"/>
      <c r="K59" s="206"/>
      <c r="L59" s="206"/>
      <c r="M59" s="206"/>
    </row>
    <row r="60" spans="1:13" x14ac:dyDescent="0.2">
      <c r="A60" s="153">
        <v>5487</v>
      </c>
      <c r="B60" s="203">
        <f t="shared" si="13"/>
        <v>20.350000000000001</v>
      </c>
      <c r="C60" s="154">
        <v>37</v>
      </c>
      <c r="D60" s="196" t="s">
        <v>239</v>
      </c>
      <c r="E60" s="200"/>
      <c r="F60" s="200"/>
      <c r="H60" s="204"/>
      <c r="I60" s="206"/>
      <c r="J60" s="206"/>
      <c r="K60" s="206"/>
      <c r="L60" s="206"/>
      <c r="M60" s="206"/>
    </row>
    <row r="61" spans="1:13" x14ac:dyDescent="0.2">
      <c r="H61" s="204"/>
      <c r="I61" s="206"/>
      <c r="J61" s="206"/>
      <c r="K61" s="206"/>
      <c r="L61" s="206"/>
      <c r="M61" s="206"/>
    </row>
  </sheetData>
  <mergeCells count="1">
    <mergeCell ref="A1:N2"/>
  </mergeCells>
  <pageMargins left="0.7" right="0.7" top="0.75" bottom="0.75" header="0.51180555555555496" footer="0.51180555555555496"/>
  <pageSetup paperSize="9"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P48"/>
  <sheetViews>
    <sheetView topLeftCell="A19" workbookViewId="0">
      <selection activeCell="C6" sqref="C6"/>
    </sheetView>
    <sheetView workbookViewId="1"/>
  </sheetViews>
  <sheetFormatPr baseColWidth="10" defaultColWidth="10.85546875" defaultRowHeight="15" x14ac:dyDescent="0.25"/>
  <cols>
    <col min="1" max="1" width="10.85546875" style="248"/>
    <col min="2" max="2" width="13.140625" style="248" customWidth="1"/>
    <col min="3" max="16384" width="10.85546875" style="248"/>
  </cols>
  <sheetData>
    <row r="2" spans="1:16" ht="18.75" x14ac:dyDescent="0.3">
      <c r="A2" s="248" t="s">
        <v>255</v>
      </c>
      <c r="F2" s="328" t="s">
        <v>256</v>
      </c>
      <c r="G2" s="328"/>
    </row>
    <row r="4" spans="1:16" x14ac:dyDescent="0.25">
      <c r="A4" s="248" t="s">
        <v>257</v>
      </c>
      <c r="J4" s="248" t="s">
        <v>258</v>
      </c>
    </row>
    <row r="5" spans="1:16" x14ac:dyDescent="0.25">
      <c r="D5" s="329" t="s">
        <v>259</v>
      </c>
      <c r="E5" s="329"/>
      <c r="F5" s="329"/>
      <c r="G5" s="329"/>
      <c r="H5" s="329"/>
      <c r="L5" s="329" t="s">
        <v>260</v>
      </c>
      <c r="M5" s="329"/>
      <c r="N5" s="329"/>
      <c r="O5" s="329"/>
      <c r="P5" s="329"/>
    </row>
    <row r="6" spans="1:16" x14ac:dyDescent="0.25">
      <c r="B6" s="249" t="s">
        <v>261</v>
      </c>
      <c r="C6" s="249"/>
      <c r="D6" s="249">
        <v>5.5</v>
      </c>
      <c r="E6" s="249">
        <v>7</v>
      </c>
      <c r="F6" s="249">
        <v>8</v>
      </c>
      <c r="G6" s="249">
        <v>15</v>
      </c>
      <c r="H6" s="249">
        <v>25</v>
      </c>
      <c r="K6" s="249"/>
      <c r="L6" s="249">
        <v>5.5</v>
      </c>
      <c r="M6" s="249">
        <v>7</v>
      </c>
      <c r="N6" s="249">
        <v>8</v>
      </c>
      <c r="O6" s="249">
        <v>15</v>
      </c>
      <c r="P6" s="249">
        <v>25</v>
      </c>
    </row>
    <row r="7" spans="1:16" x14ac:dyDescent="0.25">
      <c r="B7" s="250" t="s">
        <v>263</v>
      </c>
      <c r="C7" s="251"/>
      <c r="D7" s="250">
        <f>F7/10*5.5</f>
        <v>1.2649999999999999</v>
      </c>
      <c r="E7" s="249">
        <f>F7/10*7</f>
        <v>1.6099999999999999</v>
      </c>
      <c r="F7" s="250">
        <v>2.2999999999999998</v>
      </c>
      <c r="G7" s="249">
        <f>F7/10*15</f>
        <v>3.4499999999999997</v>
      </c>
      <c r="H7" s="249">
        <f>F7/10*20</f>
        <v>4.5999999999999996</v>
      </c>
      <c r="J7" s="250" t="s">
        <v>264</v>
      </c>
      <c r="K7" s="250"/>
      <c r="L7" s="249">
        <f>N7/10*5.5</f>
        <v>1.2649999999999999</v>
      </c>
      <c r="M7" s="249">
        <f>N7/10*7</f>
        <v>1.6099999999999999</v>
      </c>
      <c r="N7" s="250">
        <v>2.2999999999999998</v>
      </c>
      <c r="O7" s="249">
        <f>N7/10*15</f>
        <v>3.4499999999999997</v>
      </c>
      <c r="P7" s="249">
        <f>N7/10*25</f>
        <v>5.75</v>
      </c>
    </row>
    <row r="8" spans="1:16" x14ac:dyDescent="0.25">
      <c r="B8" s="250" t="s">
        <v>265</v>
      </c>
      <c r="C8" s="251"/>
      <c r="D8" s="250">
        <f t="shared" ref="D8:D36" si="0">F8/10*5.5</f>
        <v>2.4750000000000001</v>
      </c>
      <c r="E8" s="249">
        <f t="shared" ref="E8:E36" si="1">F8/10*7</f>
        <v>3.15</v>
      </c>
      <c r="F8" s="250">
        <v>4.5</v>
      </c>
      <c r="G8" s="249">
        <f t="shared" ref="G8:G36" si="2">F8/10*15</f>
        <v>6.75</v>
      </c>
      <c r="H8" s="249">
        <f t="shared" ref="H8:H36" si="3">F8/10*20</f>
        <v>9</v>
      </c>
      <c r="J8" s="250" t="s">
        <v>266</v>
      </c>
      <c r="K8" s="250"/>
      <c r="L8" s="249">
        <f t="shared" ref="L8:L12" si="4">N8/10*5.5</f>
        <v>2.4750000000000001</v>
      </c>
      <c r="M8" s="249">
        <f t="shared" ref="M8:M12" si="5">N8/10*7</f>
        <v>3.15</v>
      </c>
      <c r="N8" s="250">
        <v>4.5</v>
      </c>
      <c r="O8" s="249">
        <f t="shared" ref="O8:O12" si="6">N8/10*15</f>
        <v>6.75</v>
      </c>
      <c r="P8" s="249">
        <f t="shared" ref="P8:P12" si="7">N8/10*25</f>
        <v>11.25</v>
      </c>
    </row>
    <row r="9" spans="1:16" x14ac:dyDescent="0.25">
      <c r="B9" s="250" t="s">
        <v>267</v>
      </c>
      <c r="C9" s="251"/>
      <c r="D9" s="250">
        <f t="shared" si="0"/>
        <v>3.6850000000000001</v>
      </c>
      <c r="E9" s="249">
        <f t="shared" si="1"/>
        <v>4.6900000000000004</v>
      </c>
      <c r="F9" s="250">
        <v>6.7</v>
      </c>
      <c r="G9" s="249">
        <f t="shared" si="2"/>
        <v>10.050000000000001</v>
      </c>
      <c r="H9" s="249">
        <f t="shared" si="3"/>
        <v>13.4</v>
      </c>
      <c r="J9" s="250" t="s">
        <v>268</v>
      </c>
      <c r="K9" s="250"/>
      <c r="L9" s="249">
        <f t="shared" si="4"/>
        <v>3.6850000000000001</v>
      </c>
      <c r="M9" s="249">
        <f t="shared" si="5"/>
        <v>4.6900000000000004</v>
      </c>
      <c r="N9" s="250">
        <v>6.7</v>
      </c>
      <c r="O9" s="249">
        <f t="shared" si="6"/>
        <v>10.050000000000001</v>
      </c>
      <c r="P9" s="249">
        <f t="shared" si="7"/>
        <v>16.75</v>
      </c>
    </row>
    <row r="10" spans="1:16" x14ac:dyDescent="0.25">
      <c r="B10" s="250" t="s">
        <v>269</v>
      </c>
      <c r="C10" s="251"/>
      <c r="D10" s="250">
        <f t="shared" si="0"/>
        <v>4.95</v>
      </c>
      <c r="E10" s="249">
        <f t="shared" si="1"/>
        <v>6.3</v>
      </c>
      <c r="F10" s="250">
        <v>9</v>
      </c>
      <c r="G10" s="249">
        <f t="shared" si="2"/>
        <v>13.5</v>
      </c>
      <c r="H10" s="249">
        <f t="shared" si="3"/>
        <v>18</v>
      </c>
      <c r="J10" s="250" t="s">
        <v>270</v>
      </c>
      <c r="K10" s="250"/>
      <c r="L10" s="249">
        <f t="shared" si="4"/>
        <v>4.95</v>
      </c>
      <c r="M10" s="249">
        <f t="shared" si="5"/>
        <v>6.3</v>
      </c>
      <c r="N10" s="250">
        <v>9</v>
      </c>
      <c r="O10" s="249">
        <f t="shared" si="6"/>
        <v>13.5</v>
      </c>
      <c r="P10" s="249">
        <f t="shared" si="7"/>
        <v>22.5</v>
      </c>
    </row>
    <row r="11" spans="1:16" x14ac:dyDescent="0.25">
      <c r="B11" s="250" t="s">
        <v>271</v>
      </c>
      <c r="C11" s="251"/>
      <c r="D11" s="250">
        <f t="shared" si="0"/>
        <v>6.1599999999999993</v>
      </c>
      <c r="E11" s="249">
        <f t="shared" si="1"/>
        <v>7.839999999999999</v>
      </c>
      <c r="F11" s="250">
        <v>11.2</v>
      </c>
      <c r="G11" s="249">
        <f t="shared" si="2"/>
        <v>16.799999999999997</v>
      </c>
      <c r="H11" s="249">
        <f t="shared" si="3"/>
        <v>22.4</v>
      </c>
      <c r="J11" s="250" t="s">
        <v>272</v>
      </c>
      <c r="K11" s="250"/>
      <c r="L11" s="249">
        <f t="shared" si="4"/>
        <v>6.1599999999999993</v>
      </c>
      <c r="M11" s="249">
        <f t="shared" si="5"/>
        <v>7.839999999999999</v>
      </c>
      <c r="N11" s="250">
        <v>11.2</v>
      </c>
      <c r="O11" s="249">
        <f t="shared" si="6"/>
        <v>16.799999999999997</v>
      </c>
      <c r="P11" s="249">
        <f t="shared" si="7"/>
        <v>27.999999999999996</v>
      </c>
    </row>
    <row r="12" spans="1:16" x14ac:dyDescent="0.25">
      <c r="B12" s="252" t="s">
        <v>273</v>
      </c>
      <c r="C12" s="251"/>
      <c r="D12" s="250">
        <f t="shared" si="0"/>
        <v>7.37</v>
      </c>
      <c r="E12" s="249">
        <f t="shared" si="1"/>
        <v>9.3800000000000008</v>
      </c>
      <c r="F12" s="252">
        <v>13.4</v>
      </c>
      <c r="G12" s="249">
        <f t="shared" si="2"/>
        <v>20.100000000000001</v>
      </c>
      <c r="H12" s="249">
        <f t="shared" si="3"/>
        <v>26.8</v>
      </c>
      <c r="J12" s="252" t="s">
        <v>274</v>
      </c>
      <c r="K12" s="250"/>
      <c r="L12" s="249">
        <f t="shared" si="4"/>
        <v>7.37</v>
      </c>
      <c r="M12" s="249">
        <f t="shared" si="5"/>
        <v>9.3800000000000008</v>
      </c>
      <c r="N12" s="252">
        <v>13.4</v>
      </c>
      <c r="O12" s="249">
        <f t="shared" si="6"/>
        <v>20.100000000000001</v>
      </c>
      <c r="P12" s="249">
        <f t="shared" si="7"/>
        <v>33.5</v>
      </c>
    </row>
    <row r="13" spans="1:16" x14ac:dyDescent="0.25">
      <c r="B13" s="253"/>
      <c r="C13" s="253"/>
      <c r="D13" s="254"/>
      <c r="E13" s="253"/>
      <c r="F13" s="253"/>
      <c r="G13" s="253"/>
      <c r="H13" s="253"/>
    </row>
    <row r="14" spans="1:16" x14ac:dyDescent="0.25">
      <c r="B14" s="250" t="s">
        <v>275</v>
      </c>
      <c r="C14" s="251"/>
      <c r="D14" s="250">
        <f t="shared" si="0"/>
        <v>1.4300000000000002</v>
      </c>
      <c r="E14" s="249">
        <f t="shared" si="1"/>
        <v>1.82</v>
      </c>
      <c r="F14" s="250">
        <v>2.6</v>
      </c>
      <c r="G14" s="249">
        <f t="shared" si="2"/>
        <v>3.9000000000000004</v>
      </c>
      <c r="H14" s="249">
        <f t="shared" si="3"/>
        <v>5.2</v>
      </c>
    </row>
    <row r="15" spans="1:16" x14ac:dyDescent="0.25">
      <c r="B15" s="250" t="s">
        <v>276</v>
      </c>
      <c r="C15" s="251"/>
      <c r="D15" s="250">
        <f t="shared" si="0"/>
        <v>2.97</v>
      </c>
      <c r="E15" s="249">
        <f t="shared" si="1"/>
        <v>3.7800000000000002</v>
      </c>
      <c r="F15" s="250">
        <v>5.4</v>
      </c>
      <c r="G15" s="249">
        <f t="shared" si="2"/>
        <v>8.1000000000000014</v>
      </c>
      <c r="H15" s="249">
        <f t="shared" si="3"/>
        <v>10.8</v>
      </c>
    </row>
    <row r="16" spans="1:16" x14ac:dyDescent="0.25">
      <c r="B16" s="250" t="s">
        <v>277</v>
      </c>
      <c r="C16" s="251"/>
      <c r="D16" s="250">
        <f t="shared" si="0"/>
        <v>4.51</v>
      </c>
      <c r="E16" s="249">
        <f t="shared" si="1"/>
        <v>5.7399999999999993</v>
      </c>
      <c r="F16" s="250">
        <v>8.1999999999999993</v>
      </c>
      <c r="G16" s="249">
        <f t="shared" si="2"/>
        <v>12.299999999999999</v>
      </c>
      <c r="H16" s="249">
        <f t="shared" si="3"/>
        <v>16.399999999999999</v>
      </c>
    </row>
    <row r="17" spans="2:10" x14ac:dyDescent="0.25">
      <c r="B17" s="250" t="s">
        <v>278</v>
      </c>
      <c r="C17" s="251"/>
      <c r="D17" s="250">
        <f t="shared" si="0"/>
        <v>5.9950000000000001</v>
      </c>
      <c r="E17" s="249">
        <f t="shared" si="1"/>
        <v>7.6300000000000008</v>
      </c>
      <c r="F17" s="250">
        <v>10.9</v>
      </c>
      <c r="G17" s="249">
        <f t="shared" si="2"/>
        <v>16.350000000000001</v>
      </c>
      <c r="H17" s="249">
        <f t="shared" si="3"/>
        <v>21.8</v>
      </c>
    </row>
    <row r="18" spans="2:10" x14ac:dyDescent="0.25">
      <c r="B18" s="250" t="s">
        <v>279</v>
      </c>
      <c r="C18" s="251"/>
      <c r="D18" s="250">
        <f t="shared" si="0"/>
        <v>7.5349999999999993</v>
      </c>
      <c r="E18" s="249">
        <f t="shared" si="1"/>
        <v>9.59</v>
      </c>
      <c r="F18" s="250">
        <v>13.7</v>
      </c>
      <c r="G18" s="249">
        <f t="shared" si="2"/>
        <v>20.549999999999997</v>
      </c>
      <c r="H18" s="249">
        <f t="shared" si="3"/>
        <v>27.4</v>
      </c>
    </row>
    <row r="19" spans="2:10" x14ac:dyDescent="0.25">
      <c r="B19" s="255"/>
      <c r="C19" s="256"/>
      <c r="D19" s="254"/>
      <c r="E19" s="253"/>
      <c r="F19" s="254"/>
      <c r="G19" s="253"/>
      <c r="H19" s="253"/>
      <c r="J19" s="294" t="s">
        <v>443</v>
      </c>
    </row>
    <row r="20" spans="2:10" x14ac:dyDescent="0.25">
      <c r="B20" s="252" t="s">
        <v>280</v>
      </c>
      <c r="C20" s="251"/>
      <c r="D20" s="250">
        <f t="shared" si="0"/>
        <v>1.65</v>
      </c>
      <c r="E20" s="249">
        <f t="shared" si="1"/>
        <v>2.1</v>
      </c>
      <c r="F20" s="250">
        <v>3</v>
      </c>
      <c r="G20" s="249">
        <f t="shared" si="2"/>
        <v>4.5</v>
      </c>
      <c r="H20" s="249">
        <f t="shared" si="3"/>
        <v>6</v>
      </c>
    </row>
    <row r="21" spans="2:10" x14ac:dyDescent="0.25">
      <c r="B21" s="252" t="s">
        <v>281</v>
      </c>
      <c r="C21" s="251"/>
      <c r="D21" s="250">
        <f t="shared" si="0"/>
        <v>3.41</v>
      </c>
      <c r="E21" s="249">
        <f t="shared" si="1"/>
        <v>4.34</v>
      </c>
      <c r="F21" s="250">
        <v>6.2</v>
      </c>
      <c r="G21" s="249">
        <f t="shared" si="2"/>
        <v>9.3000000000000007</v>
      </c>
      <c r="H21" s="249">
        <f t="shared" si="3"/>
        <v>12.4</v>
      </c>
    </row>
    <row r="22" spans="2:10" x14ac:dyDescent="0.25">
      <c r="B22" s="252" t="s">
        <v>282</v>
      </c>
      <c r="C22" s="251"/>
      <c r="D22" s="250">
        <f t="shared" si="0"/>
        <v>5.1150000000000002</v>
      </c>
      <c r="E22" s="249">
        <f t="shared" si="1"/>
        <v>6.5100000000000007</v>
      </c>
      <c r="F22" s="250">
        <v>9.3000000000000007</v>
      </c>
      <c r="G22" s="249">
        <f t="shared" si="2"/>
        <v>13.950000000000001</v>
      </c>
      <c r="H22" s="249">
        <f t="shared" si="3"/>
        <v>18.600000000000001</v>
      </c>
    </row>
    <row r="23" spans="2:10" x14ac:dyDescent="0.25">
      <c r="B23" s="252" t="s">
        <v>283</v>
      </c>
      <c r="C23" s="251"/>
      <c r="D23" s="250">
        <f t="shared" si="0"/>
        <v>6.875</v>
      </c>
      <c r="E23" s="249">
        <f t="shared" si="1"/>
        <v>8.75</v>
      </c>
      <c r="F23" s="250">
        <v>12.5</v>
      </c>
      <c r="G23" s="249">
        <f t="shared" si="2"/>
        <v>18.75</v>
      </c>
      <c r="H23" s="249">
        <f t="shared" si="3"/>
        <v>25</v>
      </c>
    </row>
    <row r="24" spans="2:10" x14ac:dyDescent="0.25">
      <c r="B24" s="252" t="s">
        <v>284</v>
      </c>
      <c r="C24" s="251"/>
      <c r="D24" s="250">
        <f t="shared" si="0"/>
        <v>8.5250000000000004</v>
      </c>
      <c r="E24" s="249">
        <f t="shared" si="1"/>
        <v>10.85</v>
      </c>
      <c r="F24" s="250">
        <v>15.5</v>
      </c>
      <c r="G24" s="249">
        <f t="shared" si="2"/>
        <v>23.25</v>
      </c>
      <c r="H24" s="249">
        <f t="shared" si="3"/>
        <v>31</v>
      </c>
    </row>
    <row r="25" spans="2:10" x14ac:dyDescent="0.25">
      <c r="B25" s="253"/>
      <c r="C25" s="253"/>
      <c r="D25" s="254"/>
      <c r="E25" s="253"/>
      <c r="F25" s="253"/>
      <c r="G25" s="253"/>
      <c r="H25" s="253"/>
    </row>
    <row r="26" spans="2:10" x14ac:dyDescent="0.25">
      <c r="B26" s="250" t="s">
        <v>285</v>
      </c>
      <c r="C26" s="257"/>
      <c r="D26" s="250">
        <f t="shared" si="0"/>
        <v>1.155</v>
      </c>
      <c r="E26" s="249">
        <f t="shared" si="1"/>
        <v>1.4700000000000002</v>
      </c>
      <c r="F26" s="250">
        <v>2.1</v>
      </c>
      <c r="G26" s="249">
        <f t="shared" si="2"/>
        <v>3.1500000000000004</v>
      </c>
      <c r="H26" s="249">
        <f t="shared" si="3"/>
        <v>4.2</v>
      </c>
    </row>
    <row r="27" spans="2:10" x14ac:dyDescent="0.25">
      <c r="B27" s="250" t="s">
        <v>286</v>
      </c>
      <c r="C27" s="257"/>
      <c r="D27" s="250">
        <f t="shared" si="0"/>
        <v>2.4200000000000004</v>
      </c>
      <c r="E27" s="249">
        <f t="shared" si="1"/>
        <v>3.0800000000000005</v>
      </c>
      <c r="F27" s="250">
        <v>4.4000000000000004</v>
      </c>
      <c r="G27" s="249">
        <f t="shared" si="2"/>
        <v>6.6000000000000005</v>
      </c>
      <c r="H27" s="249">
        <f t="shared" si="3"/>
        <v>8.8000000000000007</v>
      </c>
    </row>
    <row r="28" spans="2:10" x14ac:dyDescent="0.25">
      <c r="B28" s="250" t="s">
        <v>287</v>
      </c>
      <c r="C28" s="257"/>
      <c r="D28" s="250">
        <f t="shared" si="0"/>
        <v>3.6850000000000001</v>
      </c>
      <c r="E28" s="249">
        <f t="shared" si="1"/>
        <v>4.6900000000000004</v>
      </c>
      <c r="F28" s="250">
        <v>6.7</v>
      </c>
      <c r="G28" s="249">
        <f t="shared" si="2"/>
        <v>10.050000000000001</v>
      </c>
      <c r="H28" s="249">
        <f t="shared" si="3"/>
        <v>13.4</v>
      </c>
    </row>
    <row r="29" spans="2:10" x14ac:dyDescent="0.25">
      <c r="B29" s="250" t="s">
        <v>288</v>
      </c>
      <c r="C29" s="257"/>
      <c r="D29" s="250">
        <f t="shared" si="0"/>
        <v>4.8950000000000005</v>
      </c>
      <c r="E29" s="249">
        <f t="shared" si="1"/>
        <v>6.23</v>
      </c>
      <c r="F29" s="250">
        <v>8.9</v>
      </c>
      <c r="G29" s="249">
        <f t="shared" si="2"/>
        <v>13.35</v>
      </c>
      <c r="H29" s="249">
        <f t="shared" si="3"/>
        <v>17.8</v>
      </c>
    </row>
    <row r="30" spans="2:10" x14ac:dyDescent="0.25">
      <c r="B30" s="250" t="s">
        <v>289</v>
      </c>
      <c r="C30" s="257"/>
      <c r="D30" s="250">
        <f t="shared" si="0"/>
        <v>6.1599999999999993</v>
      </c>
      <c r="E30" s="249">
        <f t="shared" si="1"/>
        <v>7.839999999999999</v>
      </c>
      <c r="F30" s="250">
        <v>11.2</v>
      </c>
      <c r="G30" s="249">
        <f t="shared" si="2"/>
        <v>16.799999999999997</v>
      </c>
      <c r="H30" s="249">
        <f t="shared" si="3"/>
        <v>22.4</v>
      </c>
    </row>
    <row r="31" spans="2:10" x14ac:dyDescent="0.25">
      <c r="B31" s="255"/>
      <c r="C31" s="258"/>
      <c r="D31" s="254"/>
      <c r="E31" s="253"/>
      <c r="F31" s="254"/>
      <c r="G31" s="253"/>
      <c r="H31" s="253"/>
    </row>
    <row r="32" spans="2:10" x14ac:dyDescent="0.25">
      <c r="B32" s="252" t="s">
        <v>290</v>
      </c>
      <c r="C32" s="257"/>
      <c r="D32" s="250">
        <f t="shared" si="0"/>
        <v>1.4300000000000002</v>
      </c>
      <c r="E32" s="249">
        <f t="shared" si="1"/>
        <v>1.82</v>
      </c>
      <c r="F32" s="250">
        <v>2.6</v>
      </c>
      <c r="G32" s="249">
        <f t="shared" si="2"/>
        <v>3.9000000000000004</v>
      </c>
      <c r="H32" s="249">
        <f t="shared" si="3"/>
        <v>5.2</v>
      </c>
    </row>
    <row r="33" spans="1:8" x14ac:dyDescent="0.25">
      <c r="B33" s="252" t="s">
        <v>291</v>
      </c>
      <c r="C33" s="257"/>
      <c r="D33" s="250">
        <f t="shared" si="0"/>
        <v>3.0250000000000004</v>
      </c>
      <c r="E33" s="249">
        <f t="shared" si="1"/>
        <v>3.8500000000000005</v>
      </c>
      <c r="F33" s="250">
        <v>5.5</v>
      </c>
      <c r="G33" s="249">
        <f t="shared" si="2"/>
        <v>8.25</v>
      </c>
      <c r="H33" s="249">
        <f t="shared" si="3"/>
        <v>11</v>
      </c>
    </row>
    <row r="34" spans="1:8" x14ac:dyDescent="0.25">
      <c r="B34" s="252" t="s">
        <v>292</v>
      </c>
      <c r="C34" s="257"/>
      <c r="D34" s="250">
        <f t="shared" si="0"/>
        <v>4.51</v>
      </c>
      <c r="E34" s="249">
        <f t="shared" si="1"/>
        <v>5.7399999999999993</v>
      </c>
      <c r="F34" s="250">
        <v>8.1999999999999993</v>
      </c>
      <c r="G34" s="249">
        <f t="shared" si="2"/>
        <v>12.299999999999999</v>
      </c>
      <c r="H34" s="249">
        <f t="shared" si="3"/>
        <v>16.399999999999999</v>
      </c>
    </row>
    <row r="35" spans="1:8" x14ac:dyDescent="0.25">
      <c r="B35" s="252" t="s">
        <v>293</v>
      </c>
      <c r="C35" s="257"/>
      <c r="D35" s="250">
        <f t="shared" si="0"/>
        <v>6.0500000000000007</v>
      </c>
      <c r="E35" s="249">
        <f t="shared" si="1"/>
        <v>7.7000000000000011</v>
      </c>
      <c r="F35" s="250">
        <v>11</v>
      </c>
      <c r="G35" s="249">
        <f t="shared" si="2"/>
        <v>16.5</v>
      </c>
      <c r="H35" s="249">
        <f t="shared" si="3"/>
        <v>22</v>
      </c>
    </row>
    <row r="36" spans="1:8" x14ac:dyDescent="0.25">
      <c r="B36" s="252" t="s">
        <v>294</v>
      </c>
      <c r="C36" s="257"/>
      <c r="D36" s="250">
        <f t="shared" si="0"/>
        <v>7.5900000000000007</v>
      </c>
      <c r="E36" s="249">
        <f t="shared" si="1"/>
        <v>9.66</v>
      </c>
      <c r="F36" s="250">
        <v>13.8</v>
      </c>
      <c r="G36" s="249">
        <f t="shared" si="2"/>
        <v>20.700000000000003</v>
      </c>
      <c r="H36" s="249">
        <f t="shared" si="3"/>
        <v>27.6</v>
      </c>
    </row>
    <row r="37" spans="1:8" x14ac:dyDescent="0.25">
      <c r="B37" s="255"/>
      <c r="C37" s="259"/>
      <c r="D37" s="254"/>
      <c r="E37" s="253"/>
      <c r="F37" s="254"/>
      <c r="G37" s="253"/>
      <c r="H37" s="253"/>
    </row>
    <row r="39" spans="1:8" x14ac:dyDescent="0.25">
      <c r="A39" s="248" t="s">
        <v>295</v>
      </c>
    </row>
    <row r="41" spans="1:8" x14ac:dyDescent="0.25">
      <c r="D41" s="329" t="s">
        <v>259</v>
      </c>
      <c r="E41" s="329"/>
      <c r="F41" s="329"/>
      <c r="G41" s="329"/>
      <c r="H41" s="329"/>
    </row>
    <row r="42" spans="1:8" x14ac:dyDescent="0.25">
      <c r="C42" s="249" t="s">
        <v>262</v>
      </c>
      <c r="D42" s="249">
        <v>5.5</v>
      </c>
      <c r="E42" s="249">
        <v>7</v>
      </c>
      <c r="F42" s="249">
        <v>8</v>
      </c>
      <c r="G42" s="249">
        <v>15</v>
      </c>
      <c r="H42" s="249">
        <v>25</v>
      </c>
    </row>
    <row r="43" spans="1:8" x14ac:dyDescent="0.25">
      <c r="B43" s="249" t="s">
        <v>296</v>
      </c>
      <c r="C43" s="260">
        <v>1464.54</v>
      </c>
      <c r="D43" s="249">
        <f>F43/10*5.5</f>
        <v>0.88</v>
      </c>
      <c r="E43" s="249">
        <f>F43/10*7</f>
        <v>1.1200000000000001</v>
      </c>
      <c r="F43" s="249">
        <v>1.6</v>
      </c>
      <c r="G43" s="249">
        <f>F43/10*15</f>
        <v>2.4</v>
      </c>
      <c r="H43" s="249">
        <f>F43/10*25</f>
        <v>4</v>
      </c>
    </row>
    <row r="44" spans="1:8" x14ac:dyDescent="0.25">
      <c r="B44" s="249" t="s">
        <v>297</v>
      </c>
      <c r="C44" s="260">
        <v>1953</v>
      </c>
      <c r="D44" s="249">
        <f t="shared" ref="D44:D48" si="8">F44/10*5.5</f>
        <v>1.8149999999999997</v>
      </c>
      <c r="E44" s="249">
        <f t="shared" ref="E44:E48" si="9">F44/10*7</f>
        <v>2.3099999999999996</v>
      </c>
      <c r="F44" s="249">
        <v>3.3</v>
      </c>
      <c r="G44" s="249">
        <f t="shared" ref="G44:G48" si="10">F44/10*15</f>
        <v>4.9499999999999993</v>
      </c>
      <c r="H44" s="249">
        <f t="shared" ref="H44:H48" si="11">F44/10*25</f>
        <v>8.2499999999999982</v>
      </c>
    </row>
    <row r="45" spans="1:8" x14ac:dyDescent="0.25">
      <c r="B45" s="249" t="s">
        <v>298</v>
      </c>
      <c r="C45" s="260">
        <v>2307.9</v>
      </c>
      <c r="D45" s="249">
        <f t="shared" si="8"/>
        <v>2.6950000000000003</v>
      </c>
      <c r="E45" s="249">
        <f t="shared" si="9"/>
        <v>3.43</v>
      </c>
      <c r="F45" s="249">
        <v>4.9000000000000004</v>
      </c>
      <c r="G45" s="249">
        <f t="shared" si="10"/>
        <v>7.3500000000000005</v>
      </c>
      <c r="H45" s="249">
        <f t="shared" si="11"/>
        <v>12.250000000000002</v>
      </c>
    </row>
    <row r="46" spans="1:8" x14ac:dyDescent="0.25">
      <c r="B46" s="249" t="s">
        <v>299</v>
      </c>
      <c r="C46" s="260">
        <v>2716.56</v>
      </c>
      <c r="D46" s="249">
        <f t="shared" si="8"/>
        <v>3.6299999999999994</v>
      </c>
      <c r="E46" s="249">
        <f t="shared" si="9"/>
        <v>4.6199999999999992</v>
      </c>
      <c r="F46" s="249">
        <v>6.6</v>
      </c>
      <c r="G46" s="249">
        <f t="shared" si="10"/>
        <v>9.8999999999999986</v>
      </c>
      <c r="H46" s="249">
        <f t="shared" si="11"/>
        <v>16.499999999999996</v>
      </c>
    </row>
    <row r="47" spans="1:8" x14ac:dyDescent="0.25">
      <c r="B47" s="249" t="s">
        <v>300</v>
      </c>
      <c r="C47" s="260">
        <v>3143.7</v>
      </c>
      <c r="D47" s="249">
        <f t="shared" si="8"/>
        <v>4.4000000000000004</v>
      </c>
      <c r="E47" s="249">
        <f t="shared" si="9"/>
        <v>5.6000000000000005</v>
      </c>
      <c r="F47" s="249">
        <v>8</v>
      </c>
      <c r="G47" s="249">
        <f t="shared" si="10"/>
        <v>12</v>
      </c>
      <c r="H47" s="249">
        <f t="shared" si="11"/>
        <v>20</v>
      </c>
    </row>
    <row r="48" spans="1:8" x14ac:dyDescent="0.25">
      <c r="B48" s="249" t="s">
        <v>301</v>
      </c>
      <c r="C48" s="260">
        <v>3568.74</v>
      </c>
      <c r="D48" s="249">
        <f t="shared" si="8"/>
        <v>5.3900000000000006</v>
      </c>
      <c r="E48" s="249">
        <f t="shared" si="9"/>
        <v>6.86</v>
      </c>
      <c r="F48" s="249">
        <v>9.8000000000000007</v>
      </c>
      <c r="G48" s="249">
        <f t="shared" si="10"/>
        <v>14.700000000000001</v>
      </c>
      <c r="H48" s="249">
        <f t="shared" si="11"/>
        <v>24.500000000000004</v>
      </c>
    </row>
  </sheetData>
  <mergeCells count="4">
    <mergeCell ref="F2:G2"/>
    <mergeCell ref="D5:H5"/>
    <mergeCell ref="L5:P5"/>
    <mergeCell ref="D41:H4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130"/>
  <sheetViews>
    <sheetView topLeftCell="B1" workbookViewId="0">
      <selection activeCell="U2" sqref="U2:U130"/>
    </sheetView>
    <sheetView workbookViewId="1"/>
  </sheetViews>
  <sheetFormatPr baseColWidth="10" defaultRowHeight="12.75" x14ac:dyDescent="0.2"/>
  <cols>
    <col min="1" max="1" width="14" customWidth="1"/>
    <col min="9" max="9" width="11.42578125" style="208"/>
  </cols>
  <sheetData>
    <row r="1" spans="1:23" ht="15.75" thickBot="1" x14ac:dyDescent="0.3">
      <c r="B1" s="249">
        <v>5.5</v>
      </c>
      <c r="C1" s="249">
        <v>7</v>
      </c>
      <c r="D1" s="249">
        <v>8</v>
      </c>
      <c r="E1" s="249">
        <v>15</v>
      </c>
      <c r="F1" s="249">
        <v>20</v>
      </c>
      <c r="K1" s="272">
        <f>+Modèle!F90</f>
        <v>4.6578953728480084</v>
      </c>
      <c r="L1" t="str">
        <f>L2&amp;L3&amp;L4&amp;L5</f>
        <v>HPCR</v>
      </c>
      <c r="Q1" s="208" t="s">
        <v>246</v>
      </c>
    </row>
    <row r="2" spans="1:23" ht="15" x14ac:dyDescent="0.25">
      <c r="A2" s="207" t="s">
        <v>349</v>
      </c>
      <c r="B2" s="270">
        <f>D2/10*5.5</f>
        <v>1.2649999999999999</v>
      </c>
      <c r="C2" s="270">
        <f>D2/10*7</f>
        <v>1.6099999999999999</v>
      </c>
      <c r="D2" s="270">
        <v>2.2999999999999998</v>
      </c>
      <c r="E2" s="270">
        <f>D2/10*15</f>
        <v>3.4499999999999997</v>
      </c>
      <c r="F2" s="270">
        <f>D2/10*20</f>
        <v>4.5999999999999996</v>
      </c>
      <c r="G2" s="270" t="s">
        <v>263</v>
      </c>
      <c r="H2" s="267" t="str">
        <f ca="1">IF(AND(LEFT(A2,3)=$L$1,INDIRECT($L$6&amp;ROW())&gt;$K$1),ROW(),"")</f>
        <v/>
      </c>
      <c r="I2" s="275"/>
      <c r="J2" s="330" t="s">
        <v>256</v>
      </c>
      <c r="K2" t="str">
        <f>Modèle!C4</f>
        <v>HFC</v>
      </c>
      <c r="L2" t="str">
        <f>IF(K2="HFC","H","C")</f>
        <v>H</v>
      </c>
      <c r="Q2" s="208" t="s">
        <v>252</v>
      </c>
      <c r="S2" t="str">
        <f ca="1">INDIRECT("a"&amp;MIN(H2:H222))</f>
        <v>HPCR3167</v>
      </c>
      <c r="T2" s="286" t="s">
        <v>349</v>
      </c>
      <c r="U2" s="282"/>
    </row>
    <row r="3" spans="1:23" ht="15" x14ac:dyDescent="0.25">
      <c r="A3" s="207" t="s">
        <v>350</v>
      </c>
      <c r="B3" s="270">
        <f t="shared" ref="B3:B31" si="0">D3/10*5.5</f>
        <v>2.4750000000000001</v>
      </c>
      <c r="C3" s="270">
        <f t="shared" ref="C3:C31" si="1">D3/10*7</f>
        <v>3.15</v>
      </c>
      <c r="D3" s="270">
        <v>4.5</v>
      </c>
      <c r="E3" s="270">
        <f t="shared" ref="E3:E31" si="2">D3/10*15</f>
        <v>6.75</v>
      </c>
      <c r="F3" s="270">
        <f t="shared" ref="F3:F31" si="3">D3/10*20</f>
        <v>9</v>
      </c>
      <c r="G3" s="270" t="s">
        <v>265</v>
      </c>
      <c r="H3" s="267" t="str">
        <f ca="1">IF(AND(LEFT(A3,3)=$L$1,INDIRECT($L$6&amp;ROW())&gt;$K$1),ROW(),"")</f>
        <v/>
      </c>
      <c r="I3" s="275"/>
      <c r="J3" s="331"/>
      <c r="K3" t="str">
        <f>Modèle!D4</f>
        <v>Positif</v>
      </c>
      <c r="L3" t="str">
        <f>IF(K3="Positif","P","N")</f>
        <v>P</v>
      </c>
      <c r="Q3" s="208" t="s">
        <v>25</v>
      </c>
      <c r="S3" s="208">
        <f ca="1">VLOOKUP(S2,T2:U129,2,FALSE)</f>
        <v>0</v>
      </c>
      <c r="T3" s="286" t="s">
        <v>350</v>
      </c>
      <c r="U3" s="282"/>
    </row>
    <row r="4" spans="1:23" ht="15" x14ac:dyDescent="0.25">
      <c r="A4" s="207" t="s">
        <v>351</v>
      </c>
      <c r="B4" s="270">
        <f t="shared" si="0"/>
        <v>3.6850000000000001</v>
      </c>
      <c r="C4" s="270">
        <f t="shared" si="1"/>
        <v>4.6900000000000004</v>
      </c>
      <c r="D4" s="270">
        <v>6.7</v>
      </c>
      <c r="E4" s="270">
        <f t="shared" si="2"/>
        <v>10.050000000000001</v>
      </c>
      <c r="F4" s="270">
        <f t="shared" si="3"/>
        <v>13.4</v>
      </c>
      <c r="G4" s="270" t="s">
        <v>267</v>
      </c>
      <c r="H4" s="267" t="str">
        <f t="shared" ref="H4:H20" ca="1" si="4">IF(AND(LEFT(A4,3)=$L$1,INDIRECT($L$6&amp;ROW())&gt;$K$1),ROW(),"")</f>
        <v/>
      </c>
      <c r="I4" s="275"/>
      <c r="J4" s="331"/>
      <c r="K4" t="str">
        <f>Modèle!E4</f>
        <v>Cubique</v>
      </c>
      <c r="L4" s="271" t="str">
        <f>IF(K4=Q1,"B",IF(K4=Q2,"C",IF(K4=Q3,"D","")))</f>
        <v>C</v>
      </c>
      <c r="P4" t="s">
        <v>348</v>
      </c>
      <c r="Q4" t="s">
        <v>348</v>
      </c>
      <c r="S4" s="208"/>
      <c r="T4" s="286" t="s">
        <v>351</v>
      </c>
      <c r="U4" s="282"/>
    </row>
    <row r="5" spans="1:23" ht="15" x14ac:dyDescent="0.25">
      <c r="A5" s="207" t="s">
        <v>352</v>
      </c>
      <c r="B5" s="270">
        <f t="shared" si="0"/>
        <v>4.95</v>
      </c>
      <c r="C5" s="270">
        <f t="shared" si="1"/>
        <v>6.3</v>
      </c>
      <c r="D5" s="270">
        <v>9</v>
      </c>
      <c r="E5" s="270">
        <f t="shared" si="2"/>
        <v>13.5</v>
      </c>
      <c r="F5" s="270">
        <f t="shared" si="3"/>
        <v>18</v>
      </c>
      <c r="G5" s="270" t="s">
        <v>269</v>
      </c>
      <c r="H5" s="267" t="str">
        <f t="shared" ca="1" si="4"/>
        <v/>
      </c>
      <c r="I5" s="275"/>
      <c r="J5" s="331"/>
      <c r="K5" t="str">
        <f>Modèle!F4</f>
        <v>Electrique</v>
      </c>
      <c r="L5" s="267" t="str">
        <f>IF(K5=P4,"K",IF(K5=Q5,"R",""))</f>
        <v>R</v>
      </c>
      <c r="Q5" t="s">
        <v>342</v>
      </c>
      <c r="S5" s="208"/>
      <c r="T5" s="286" t="s">
        <v>352</v>
      </c>
      <c r="U5" s="282"/>
      <c r="W5" s="208">
        <f ca="1">LOOKUP(S2,T2:T129,U2:U129)</f>
        <v>0</v>
      </c>
    </row>
    <row r="6" spans="1:23" ht="15" x14ac:dyDescent="0.25">
      <c r="A6" s="207" t="s">
        <v>353</v>
      </c>
      <c r="B6" s="270">
        <f t="shared" si="0"/>
        <v>6.1599999999999993</v>
      </c>
      <c r="C6" s="270">
        <f t="shared" si="1"/>
        <v>7.839999999999999</v>
      </c>
      <c r="D6" s="270">
        <v>11.2</v>
      </c>
      <c r="E6" s="270">
        <f t="shared" si="2"/>
        <v>16.799999999999997</v>
      </c>
      <c r="F6" s="270">
        <f t="shared" si="3"/>
        <v>22.4</v>
      </c>
      <c r="G6" s="270" t="s">
        <v>271</v>
      </c>
      <c r="H6" s="267" t="str">
        <f t="shared" ca="1" si="4"/>
        <v/>
      </c>
      <c r="I6" s="275"/>
      <c r="J6" s="331"/>
      <c r="K6">
        <f>Modèle!G4</f>
        <v>20</v>
      </c>
      <c r="L6" t="str">
        <f>IF(K6=20,"F",IF(K6=15,"E",IF(K6=8,"D",IF(K6=7,"C",IF(K6=5.5,"B","")))))</f>
        <v>F</v>
      </c>
      <c r="S6" s="208"/>
      <c r="T6" s="286" t="s">
        <v>353</v>
      </c>
      <c r="U6" s="282"/>
    </row>
    <row r="7" spans="1:23" ht="15" x14ac:dyDescent="0.25">
      <c r="A7" s="207" t="s">
        <v>351</v>
      </c>
      <c r="B7" s="270">
        <f t="shared" si="0"/>
        <v>7.37</v>
      </c>
      <c r="C7" s="270">
        <f t="shared" si="1"/>
        <v>9.3800000000000008</v>
      </c>
      <c r="D7" s="252">
        <v>13.4</v>
      </c>
      <c r="E7" s="270">
        <f t="shared" si="2"/>
        <v>20.100000000000001</v>
      </c>
      <c r="F7" s="270">
        <f t="shared" si="3"/>
        <v>26.8</v>
      </c>
      <c r="G7" s="252" t="s">
        <v>273</v>
      </c>
      <c r="H7" s="267" t="str">
        <f t="shared" ca="1" si="4"/>
        <v/>
      </c>
      <c r="I7" s="275"/>
      <c r="J7" s="331"/>
      <c r="L7" t="str">
        <f>IF(K7=Q4,"Z",IF(K7=Q5,"R",""))</f>
        <v/>
      </c>
      <c r="S7" s="208"/>
      <c r="T7" s="286" t="s">
        <v>351</v>
      </c>
      <c r="U7" s="282"/>
    </row>
    <row r="8" spans="1:23" ht="15" x14ac:dyDescent="0.25">
      <c r="A8" s="207"/>
      <c r="B8" s="254"/>
      <c r="C8" s="254"/>
      <c r="D8" s="254"/>
      <c r="E8" s="254"/>
      <c r="F8" s="254"/>
      <c r="G8" s="254"/>
      <c r="H8" s="267" t="str">
        <f t="shared" ca="1" si="4"/>
        <v/>
      </c>
      <c r="I8" s="253"/>
      <c r="J8" s="331"/>
      <c r="L8" t="str">
        <f ca="1">CONCATENATE(L6,MIN(H2:H47))</f>
        <v>F0</v>
      </c>
      <c r="S8" s="208" t="str">
        <f t="shared" ref="S8:S66" ca="1" si="5">IF(AND(LEFT(A8,3)=$L$1,INDIRECT($L$6&amp;ROW())&gt;$K$1),ROW(),"")</f>
        <v/>
      </c>
      <c r="T8" s="286"/>
      <c r="U8" s="284"/>
    </row>
    <row r="9" spans="1:23" ht="15" x14ac:dyDescent="0.25">
      <c r="A9" s="207" t="s">
        <v>423</v>
      </c>
      <c r="B9" s="270">
        <f t="shared" si="0"/>
        <v>1.4300000000000002</v>
      </c>
      <c r="C9" s="270">
        <f t="shared" si="1"/>
        <v>1.82</v>
      </c>
      <c r="D9" s="270">
        <v>2.6</v>
      </c>
      <c r="E9" s="270">
        <f t="shared" si="2"/>
        <v>3.9000000000000004</v>
      </c>
      <c r="F9" s="270">
        <f t="shared" si="3"/>
        <v>5.2</v>
      </c>
      <c r="G9" s="270" t="s">
        <v>275</v>
      </c>
      <c r="H9" s="267" t="str">
        <f t="shared" ca="1" si="4"/>
        <v/>
      </c>
      <c r="I9" s="275"/>
      <c r="J9" s="331"/>
      <c r="L9" t="str">
        <f ca="1">CONCATENATE(L6,MAX(H2:H129))</f>
        <v>F112</v>
      </c>
      <c r="S9" s="208" t="str">
        <f t="shared" ca="1" si="5"/>
        <v/>
      </c>
      <c r="T9" s="286" t="s">
        <v>423</v>
      </c>
      <c r="U9" s="282"/>
    </row>
    <row r="10" spans="1:23" ht="15" x14ac:dyDescent="0.25">
      <c r="A10" s="207" t="s">
        <v>424</v>
      </c>
      <c r="B10" s="270">
        <f t="shared" si="0"/>
        <v>2.97</v>
      </c>
      <c r="C10" s="270">
        <f t="shared" si="1"/>
        <v>3.7800000000000002</v>
      </c>
      <c r="D10" s="270">
        <v>5.4</v>
      </c>
      <c r="E10" s="270">
        <f t="shared" si="2"/>
        <v>8.1000000000000014</v>
      </c>
      <c r="F10" s="270">
        <f t="shared" si="3"/>
        <v>10.8</v>
      </c>
      <c r="G10" s="270" t="s">
        <v>276</v>
      </c>
      <c r="H10" s="267" t="str">
        <f t="shared" ca="1" si="4"/>
        <v/>
      </c>
      <c r="I10" s="275"/>
      <c r="J10" s="331"/>
      <c r="L10" t="str">
        <f ca="1">CONCATENATE(L6,MIN(H2:H47),":",L6,MAX(H2:H47))</f>
        <v>F0:F0</v>
      </c>
      <c r="S10" s="208" t="str">
        <f t="shared" ca="1" si="5"/>
        <v/>
      </c>
      <c r="T10" s="286" t="s">
        <v>424</v>
      </c>
      <c r="U10" s="282"/>
    </row>
    <row r="11" spans="1:23" ht="15" x14ac:dyDescent="0.25">
      <c r="A11" s="207" t="s">
        <v>425</v>
      </c>
      <c r="B11" s="270">
        <f t="shared" si="0"/>
        <v>4.51</v>
      </c>
      <c r="C11" s="270">
        <f t="shared" si="1"/>
        <v>5.7399999999999993</v>
      </c>
      <c r="D11" s="270">
        <v>8.1999999999999993</v>
      </c>
      <c r="E11" s="270">
        <f t="shared" si="2"/>
        <v>12.299999999999999</v>
      </c>
      <c r="F11" s="270">
        <f t="shared" si="3"/>
        <v>16.399999999999999</v>
      </c>
      <c r="G11" s="270" t="s">
        <v>277</v>
      </c>
      <c r="H11" s="267" t="str">
        <f t="shared" ca="1" si="4"/>
        <v/>
      </c>
      <c r="I11" s="275"/>
      <c r="J11" s="331"/>
      <c r="K11" t="str">
        <f ca="1">INDIRECT("g"&amp;MIN(H2:H222))</f>
        <v>CAE3167</v>
      </c>
      <c r="S11" s="208" t="str">
        <f t="shared" ca="1" si="5"/>
        <v/>
      </c>
      <c r="T11" s="286" t="s">
        <v>425</v>
      </c>
      <c r="U11" s="282"/>
    </row>
    <row r="12" spans="1:23" ht="15" x14ac:dyDescent="0.25">
      <c r="A12" s="207" t="s">
        <v>426</v>
      </c>
      <c r="B12" s="270">
        <f t="shared" si="0"/>
        <v>5.9950000000000001</v>
      </c>
      <c r="C12" s="270">
        <f t="shared" si="1"/>
        <v>7.6300000000000008</v>
      </c>
      <c r="D12" s="270">
        <v>10.9</v>
      </c>
      <c r="E12" s="270">
        <f t="shared" si="2"/>
        <v>16.350000000000001</v>
      </c>
      <c r="F12" s="270">
        <f t="shared" si="3"/>
        <v>21.8</v>
      </c>
      <c r="G12" s="270" t="s">
        <v>278</v>
      </c>
      <c r="H12" s="267" t="str">
        <f t="shared" ca="1" si="4"/>
        <v/>
      </c>
      <c r="I12" s="275"/>
      <c r="J12" s="331"/>
      <c r="S12" s="208" t="str">
        <f t="shared" ca="1" si="5"/>
        <v/>
      </c>
      <c r="T12" s="286" t="s">
        <v>426</v>
      </c>
      <c r="U12" s="282"/>
    </row>
    <row r="13" spans="1:23" ht="15" x14ac:dyDescent="0.25">
      <c r="A13" s="207" t="s">
        <v>427</v>
      </c>
      <c r="B13" s="270">
        <f t="shared" si="0"/>
        <v>7.5349999999999993</v>
      </c>
      <c r="C13" s="270">
        <f t="shared" si="1"/>
        <v>9.59</v>
      </c>
      <c r="D13" s="270">
        <v>13.7</v>
      </c>
      <c r="E13" s="270">
        <f t="shared" si="2"/>
        <v>20.549999999999997</v>
      </c>
      <c r="F13" s="270">
        <f t="shared" si="3"/>
        <v>27.4</v>
      </c>
      <c r="G13" s="270" t="s">
        <v>279</v>
      </c>
      <c r="H13" s="267" t="str">
        <f t="shared" ca="1" si="4"/>
        <v/>
      </c>
      <c r="I13" s="275"/>
      <c r="J13" s="331"/>
      <c r="S13" s="208" t="str">
        <f t="shared" ca="1" si="5"/>
        <v/>
      </c>
      <c r="T13" s="286" t="s">
        <v>427</v>
      </c>
      <c r="U13" s="282"/>
    </row>
    <row r="14" spans="1:23" ht="15" x14ac:dyDescent="0.25">
      <c r="A14" s="207"/>
      <c r="B14" s="254"/>
      <c r="C14" s="254"/>
      <c r="D14" s="254"/>
      <c r="E14" s="254"/>
      <c r="F14" s="254"/>
      <c r="G14" s="255"/>
      <c r="H14" s="267" t="str">
        <f t="shared" ca="1" si="4"/>
        <v/>
      </c>
      <c r="I14" s="256"/>
      <c r="J14" s="331"/>
      <c r="S14" s="208" t="str">
        <f t="shared" ca="1" si="5"/>
        <v/>
      </c>
      <c r="T14" s="286"/>
      <c r="U14" s="283"/>
    </row>
    <row r="15" spans="1:23" ht="15" x14ac:dyDescent="0.25">
      <c r="A15" s="207" t="s">
        <v>428</v>
      </c>
      <c r="B15" s="270">
        <f t="shared" si="0"/>
        <v>1.65</v>
      </c>
      <c r="C15" s="270">
        <f t="shared" si="1"/>
        <v>2.1</v>
      </c>
      <c r="D15" s="270">
        <v>3</v>
      </c>
      <c r="E15" s="270">
        <f t="shared" si="2"/>
        <v>4.5</v>
      </c>
      <c r="F15" s="270">
        <f t="shared" si="3"/>
        <v>6</v>
      </c>
      <c r="G15" s="252" t="s">
        <v>280</v>
      </c>
      <c r="H15" s="267" t="str">
        <f t="shared" ca="1" si="4"/>
        <v/>
      </c>
      <c r="I15" s="275"/>
      <c r="J15" s="331"/>
      <c r="S15" s="208" t="str">
        <f t="shared" ca="1" si="5"/>
        <v/>
      </c>
      <c r="T15" s="286" t="s">
        <v>428</v>
      </c>
      <c r="U15" s="282"/>
    </row>
    <row r="16" spans="1:23" ht="15" x14ac:dyDescent="0.25">
      <c r="A16" s="207" t="s">
        <v>429</v>
      </c>
      <c r="B16" s="270">
        <f t="shared" si="0"/>
        <v>3.41</v>
      </c>
      <c r="C16" s="270">
        <f t="shared" si="1"/>
        <v>4.34</v>
      </c>
      <c r="D16" s="270">
        <v>6.2</v>
      </c>
      <c r="E16" s="270">
        <f t="shared" si="2"/>
        <v>9.3000000000000007</v>
      </c>
      <c r="F16" s="270">
        <f t="shared" si="3"/>
        <v>12.4</v>
      </c>
      <c r="G16" s="252" t="s">
        <v>281</v>
      </c>
      <c r="H16" s="267" t="str">
        <f t="shared" ca="1" si="4"/>
        <v/>
      </c>
      <c r="I16" s="275"/>
      <c r="J16" s="331"/>
      <c r="S16" s="208" t="str">
        <f t="shared" ca="1" si="5"/>
        <v/>
      </c>
      <c r="T16" s="286" t="s">
        <v>429</v>
      </c>
      <c r="U16" s="282"/>
    </row>
    <row r="17" spans="1:21" ht="15" x14ac:dyDescent="0.25">
      <c r="A17" s="207" t="s">
        <v>430</v>
      </c>
      <c r="B17" s="270">
        <f t="shared" si="0"/>
        <v>5.1150000000000002</v>
      </c>
      <c r="C17" s="270">
        <f t="shared" si="1"/>
        <v>6.5100000000000007</v>
      </c>
      <c r="D17" s="270">
        <v>9.3000000000000007</v>
      </c>
      <c r="E17" s="270">
        <f t="shared" si="2"/>
        <v>13.950000000000001</v>
      </c>
      <c r="F17" s="270">
        <f t="shared" si="3"/>
        <v>18.600000000000001</v>
      </c>
      <c r="G17" s="252" t="s">
        <v>282</v>
      </c>
      <c r="H17" s="267" t="str">
        <f t="shared" ca="1" si="4"/>
        <v/>
      </c>
      <c r="I17" s="275"/>
      <c r="J17" s="331"/>
      <c r="S17" s="208" t="str">
        <f t="shared" ca="1" si="5"/>
        <v/>
      </c>
      <c r="T17" s="286" t="s">
        <v>430</v>
      </c>
      <c r="U17" s="282"/>
    </row>
    <row r="18" spans="1:21" ht="15" x14ac:dyDescent="0.25">
      <c r="A18" s="207" t="s">
        <v>431</v>
      </c>
      <c r="B18" s="270">
        <f t="shared" si="0"/>
        <v>6.875</v>
      </c>
      <c r="C18" s="270">
        <f t="shared" si="1"/>
        <v>8.75</v>
      </c>
      <c r="D18" s="270">
        <v>12.5</v>
      </c>
      <c r="E18" s="270">
        <f t="shared" si="2"/>
        <v>18.75</v>
      </c>
      <c r="F18" s="270">
        <f t="shared" si="3"/>
        <v>25</v>
      </c>
      <c r="G18" s="252" t="s">
        <v>283</v>
      </c>
      <c r="H18" s="267" t="str">
        <f t="shared" ca="1" si="4"/>
        <v/>
      </c>
      <c r="I18" s="275"/>
      <c r="J18" s="331"/>
      <c r="S18" s="208" t="str">
        <f t="shared" ca="1" si="5"/>
        <v/>
      </c>
      <c r="T18" s="286" t="s">
        <v>431</v>
      </c>
      <c r="U18" s="282"/>
    </row>
    <row r="19" spans="1:21" ht="15" x14ac:dyDescent="0.25">
      <c r="A19" s="207" t="s">
        <v>432</v>
      </c>
      <c r="B19" s="270">
        <f t="shared" si="0"/>
        <v>8.5250000000000004</v>
      </c>
      <c r="C19" s="270">
        <f t="shared" si="1"/>
        <v>10.85</v>
      </c>
      <c r="D19" s="270">
        <v>15.5</v>
      </c>
      <c r="E19" s="270">
        <f t="shared" si="2"/>
        <v>23.25</v>
      </c>
      <c r="F19" s="270">
        <f t="shared" si="3"/>
        <v>31</v>
      </c>
      <c r="G19" s="252" t="s">
        <v>284</v>
      </c>
      <c r="H19" s="267" t="str">
        <f t="shared" ca="1" si="4"/>
        <v/>
      </c>
      <c r="I19" s="275"/>
      <c r="J19" s="331"/>
      <c r="S19" s="208" t="str">
        <f t="shared" ca="1" si="5"/>
        <v/>
      </c>
      <c r="T19" s="286" t="s">
        <v>432</v>
      </c>
      <c r="U19" s="282"/>
    </row>
    <row r="20" spans="1:21" ht="15" x14ac:dyDescent="0.25">
      <c r="A20" s="207"/>
      <c r="B20" s="254"/>
      <c r="C20" s="254"/>
      <c r="D20" s="254"/>
      <c r="E20" s="254"/>
      <c r="F20" s="254"/>
      <c r="G20" s="254"/>
      <c r="H20" s="267" t="str">
        <f t="shared" ca="1" si="4"/>
        <v/>
      </c>
      <c r="I20" s="253"/>
      <c r="J20" s="331"/>
      <c r="S20" s="208" t="str">
        <f t="shared" ca="1" si="5"/>
        <v/>
      </c>
      <c r="T20" s="286"/>
      <c r="U20" s="284"/>
    </row>
    <row r="21" spans="1:21" ht="15" x14ac:dyDescent="0.25">
      <c r="A21" s="207" t="s">
        <v>423</v>
      </c>
      <c r="B21" s="270">
        <f t="shared" si="0"/>
        <v>1.155</v>
      </c>
      <c r="C21" s="270">
        <f t="shared" si="1"/>
        <v>1.4700000000000002</v>
      </c>
      <c r="D21" s="270">
        <v>2.1</v>
      </c>
      <c r="E21" s="270">
        <f t="shared" si="2"/>
        <v>3.1500000000000004</v>
      </c>
      <c r="F21" s="270">
        <v>4.2</v>
      </c>
      <c r="G21" s="270" t="s">
        <v>285</v>
      </c>
      <c r="H21" s="267" t="str">
        <f ca="1">IF(AND(LEFT(A21,2)=$L$1,INDIRECT($L$6&amp;ROW())&gt;$K$1),ROW(),"")</f>
        <v/>
      </c>
      <c r="I21" s="276"/>
      <c r="J21" s="331"/>
      <c r="S21" s="208" t="str">
        <f t="shared" ca="1" si="5"/>
        <v/>
      </c>
      <c r="T21" s="286" t="s">
        <v>423</v>
      </c>
      <c r="U21" s="285"/>
    </row>
    <row r="22" spans="1:21" ht="15" x14ac:dyDescent="0.25">
      <c r="A22" s="207" t="s">
        <v>424</v>
      </c>
      <c r="B22" s="270">
        <f t="shared" si="0"/>
        <v>2.4200000000000004</v>
      </c>
      <c r="C22" s="270">
        <f t="shared" si="1"/>
        <v>3.0800000000000005</v>
      </c>
      <c r="D22" s="270">
        <v>4.4000000000000004</v>
      </c>
      <c r="E22" s="270">
        <f t="shared" si="2"/>
        <v>6.6000000000000005</v>
      </c>
      <c r="F22" s="270">
        <f t="shared" si="3"/>
        <v>8.8000000000000007</v>
      </c>
      <c r="G22" s="270" t="s">
        <v>286</v>
      </c>
      <c r="H22" s="267" t="str">
        <f t="shared" ref="H22:H31" ca="1" si="6">IF(AND(LEFT(A22,2)=$L$1,INDIRECT($L$6&amp;ROW())&gt;$K$1),ROW(),"")</f>
        <v/>
      </c>
      <c r="I22" s="276"/>
      <c r="J22" s="331"/>
      <c r="S22" s="208" t="str">
        <f t="shared" ca="1" si="5"/>
        <v/>
      </c>
      <c r="T22" s="286" t="s">
        <v>424</v>
      </c>
      <c r="U22" s="285"/>
    </row>
    <row r="23" spans="1:21" ht="15" x14ac:dyDescent="0.25">
      <c r="A23" s="207" t="s">
        <v>425</v>
      </c>
      <c r="B23" s="270">
        <f t="shared" si="0"/>
        <v>3.6850000000000001</v>
      </c>
      <c r="C23" s="270">
        <f t="shared" si="1"/>
        <v>4.6900000000000004</v>
      </c>
      <c r="D23" s="270">
        <v>6.7</v>
      </c>
      <c r="E23" s="270">
        <f t="shared" si="2"/>
        <v>10.050000000000001</v>
      </c>
      <c r="F23" s="270">
        <f t="shared" si="3"/>
        <v>13.4</v>
      </c>
      <c r="G23" s="270" t="s">
        <v>287</v>
      </c>
      <c r="H23" s="267" t="str">
        <f t="shared" ca="1" si="6"/>
        <v/>
      </c>
      <c r="I23" s="276"/>
      <c r="J23" s="331"/>
      <c r="S23" s="208" t="str">
        <f t="shared" ca="1" si="5"/>
        <v/>
      </c>
      <c r="T23" s="286" t="s">
        <v>425</v>
      </c>
      <c r="U23" s="285"/>
    </row>
    <row r="24" spans="1:21" ht="15" x14ac:dyDescent="0.25">
      <c r="A24" s="207" t="s">
        <v>426</v>
      </c>
      <c r="B24" s="270">
        <f t="shared" si="0"/>
        <v>4.8950000000000005</v>
      </c>
      <c r="C24" s="270">
        <f t="shared" si="1"/>
        <v>6.23</v>
      </c>
      <c r="D24" s="270">
        <v>8.9</v>
      </c>
      <c r="E24" s="270">
        <f t="shared" si="2"/>
        <v>13.35</v>
      </c>
      <c r="F24" s="270">
        <f t="shared" si="3"/>
        <v>17.8</v>
      </c>
      <c r="G24" s="270" t="s">
        <v>288</v>
      </c>
      <c r="H24" s="267" t="str">
        <f t="shared" ca="1" si="6"/>
        <v/>
      </c>
      <c r="I24" s="276"/>
      <c r="J24" s="331"/>
      <c r="S24" s="208" t="str">
        <f t="shared" ca="1" si="5"/>
        <v/>
      </c>
      <c r="T24" s="286" t="s">
        <v>426</v>
      </c>
      <c r="U24" s="285"/>
    </row>
    <row r="25" spans="1:21" ht="15" x14ac:dyDescent="0.25">
      <c r="A25" s="207" t="s">
        <v>427</v>
      </c>
      <c r="B25" s="270">
        <f t="shared" si="0"/>
        <v>6.1599999999999993</v>
      </c>
      <c r="C25" s="270">
        <f t="shared" si="1"/>
        <v>7.839999999999999</v>
      </c>
      <c r="D25" s="270">
        <v>11.2</v>
      </c>
      <c r="E25" s="270">
        <f t="shared" si="2"/>
        <v>16.799999999999997</v>
      </c>
      <c r="F25" s="270">
        <f t="shared" si="3"/>
        <v>22.4</v>
      </c>
      <c r="G25" s="270" t="s">
        <v>289</v>
      </c>
      <c r="H25" s="267" t="str">
        <f t="shared" ca="1" si="6"/>
        <v/>
      </c>
      <c r="I25" s="276"/>
      <c r="J25" s="331"/>
      <c r="S25" s="208" t="str">
        <f t="shared" ca="1" si="5"/>
        <v/>
      </c>
      <c r="T25" s="286" t="s">
        <v>427</v>
      </c>
      <c r="U25" s="285"/>
    </row>
    <row r="26" spans="1:21" ht="15" x14ac:dyDescent="0.25">
      <c r="A26" s="207"/>
      <c r="B26" s="254"/>
      <c r="C26" s="254"/>
      <c r="D26" s="254"/>
      <c r="E26" s="254"/>
      <c r="F26" s="254"/>
      <c r="G26" s="255"/>
      <c r="H26" s="267" t="str">
        <f t="shared" ca="1" si="6"/>
        <v/>
      </c>
      <c r="I26" s="258"/>
      <c r="J26" s="331"/>
      <c r="S26" s="208" t="str">
        <f t="shared" ca="1" si="5"/>
        <v/>
      </c>
      <c r="T26" s="286"/>
      <c r="U26" s="283"/>
    </row>
    <row r="27" spans="1:21" ht="15" x14ac:dyDescent="0.25">
      <c r="A27" s="207" t="s">
        <v>428</v>
      </c>
      <c r="B27" s="270">
        <f t="shared" si="0"/>
        <v>1.4300000000000002</v>
      </c>
      <c r="C27" s="270">
        <f t="shared" si="1"/>
        <v>1.82</v>
      </c>
      <c r="D27" s="270">
        <v>2.6</v>
      </c>
      <c r="E27" s="270">
        <f t="shared" si="2"/>
        <v>3.9000000000000004</v>
      </c>
      <c r="F27" s="270">
        <f t="shared" si="3"/>
        <v>5.2</v>
      </c>
      <c r="G27" s="252" t="s">
        <v>290</v>
      </c>
      <c r="H27" s="267" t="str">
        <f t="shared" ca="1" si="6"/>
        <v/>
      </c>
      <c r="I27" s="276"/>
      <c r="J27" s="331"/>
      <c r="S27" s="208" t="str">
        <f t="shared" ca="1" si="5"/>
        <v/>
      </c>
      <c r="T27" s="286" t="s">
        <v>428</v>
      </c>
      <c r="U27" s="285"/>
    </row>
    <row r="28" spans="1:21" ht="15" x14ac:dyDescent="0.25">
      <c r="A28" s="207" t="s">
        <v>429</v>
      </c>
      <c r="B28" s="270">
        <f t="shared" si="0"/>
        <v>3.0250000000000004</v>
      </c>
      <c r="C28" s="270">
        <f t="shared" si="1"/>
        <v>3.8500000000000005</v>
      </c>
      <c r="D28" s="270">
        <v>5.5</v>
      </c>
      <c r="E28" s="270">
        <f t="shared" si="2"/>
        <v>8.25</v>
      </c>
      <c r="F28" s="270">
        <f t="shared" si="3"/>
        <v>11</v>
      </c>
      <c r="G28" s="252" t="s">
        <v>291</v>
      </c>
      <c r="H28" s="267" t="str">
        <f t="shared" ca="1" si="6"/>
        <v/>
      </c>
      <c r="I28" s="276"/>
      <c r="J28" s="331"/>
      <c r="S28" s="208" t="str">
        <f t="shared" ca="1" si="5"/>
        <v/>
      </c>
      <c r="T28" s="286" t="s">
        <v>429</v>
      </c>
      <c r="U28" s="285"/>
    </row>
    <row r="29" spans="1:21" ht="15" x14ac:dyDescent="0.25">
      <c r="A29" s="207" t="s">
        <v>430</v>
      </c>
      <c r="B29" s="270">
        <f t="shared" si="0"/>
        <v>4.51</v>
      </c>
      <c r="C29" s="270">
        <f t="shared" si="1"/>
        <v>5.7399999999999993</v>
      </c>
      <c r="D29" s="270">
        <v>8.1999999999999993</v>
      </c>
      <c r="E29" s="270">
        <f t="shared" si="2"/>
        <v>12.299999999999999</v>
      </c>
      <c r="F29" s="270">
        <f t="shared" si="3"/>
        <v>16.399999999999999</v>
      </c>
      <c r="G29" s="252" t="s">
        <v>292</v>
      </c>
      <c r="H29" s="267" t="str">
        <f t="shared" ca="1" si="6"/>
        <v/>
      </c>
      <c r="I29" s="276"/>
      <c r="J29" s="331"/>
      <c r="S29" s="208" t="str">
        <f t="shared" ca="1" si="5"/>
        <v/>
      </c>
      <c r="T29" s="286" t="s">
        <v>430</v>
      </c>
      <c r="U29" s="285"/>
    </row>
    <row r="30" spans="1:21" ht="15" x14ac:dyDescent="0.25">
      <c r="A30" s="207" t="s">
        <v>431</v>
      </c>
      <c r="B30" s="270">
        <f t="shared" si="0"/>
        <v>6.0500000000000007</v>
      </c>
      <c r="C30" s="270">
        <f t="shared" si="1"/>
        <v>7.7000000000000011</v>
      </c>
      <c r="D30" s="270">
        <v>11</v>
      </c>
      <c r="E30" s="270">
        <f t="shared" si="2"/>
        <v>16.5</v>
      </c>
      <c r="F30" s="270">
        <f t="shared" si="3"/>
        <v>22</v>
      </c>
      <c r="G30" s="252" t="s">
        <v>293</v>
      </c>
      <c r="H30" s="267" t="str">
        <f t="shared" ca="1" si="6"/>
        <v/>
      </c>
      <c r="I30" s="276"/>
      <c r="J30" s="331"/>
      <c r="S30" s="208" t="str">
        <f t="shared" ca="1" si="5"/>
        <v/>
      </c>
      <c r="T30" s="286" t="s">
        <v>431</v>
      </c>
      <c r="U30" s="285"/>
    </row>
    <row r="31" spans="1:21" ht="15" x14ac:dyDescent="0.25">
      <c r="A31" s="207" t="s">
        <v>432</v>
      </c>
      <c r="B31" s="270">
        <f t="shared" si="0"/>
        <v>7.5900000000000007</v>
      </c>
      <c r="C31" s="270">
        <f t="shared" si="1"/>
        <v>9.66</v>
      </c>
      <c r="D31" s="270">
        <v>13.8</v>
      </c>
      <c r="E31" s="270">
        <f t="shared" si="2"/>
        <v>20.700000000000003</v>
      </c>
      <c r="F31" s="270">
        <f t="shared" si="3"/>
        <v>27.6</v>
      </c>
      <c r="G31" s="252" t="s">
        <v>294</v>
      </c>
      <c r="H31" s="267" t="str">
        <f t="shared" ca="1" si="6"/>
        <v/>
      </c>
      <c r="I31" s="276"/>
      <c r="J31" s="331"/>
      <c r="S31" s="208" t="str">
        <f t="shared" ca="1" si="5"/>
        <v/>
      </c>
      <c r="T31" s="286" t="s">
        <v>432</v>
      </c>
      <c r="U31" s="285"/>
    </row>
    <row r="32" spans="1:21" x14ac:dyDescent="0.2">
      <c r="A32" s="207"/>
      <c r="B32" s="207"/>
      <c r="C32" s="207"/>
      <c r="D32" s="207"/>
      <c r="E32" s="207"/>
      <c r="F32" s="207"/>
      <c r="G32" s="207"/>
      <c r="H32" s="267" t="str">
        <f t="shared" ref="H32:H46" ca="1" si="7">IF(AND(LEFT(A32,4)=$L$1,INDIRECT($L$6&amp;ROW())&gt;$K$1),ROW(),"")</f>
        <v/>
      </c>
      <c r="I32" s="267"/>
      <c r="J32" s="331"/>
      <c r="S32" s="208" t="str">
        <f t="shared" ca="1" si="5"/>
        <v/>
      </c>
      <c r="T32" s="286"/>
      <c r="U32" s="287"/>
    </row>
    <row r="33" spans="1:21" ht="15" x14ac:dyDescent="0.25">
      <c r="A33" s="207" t="s">
        <v>354</v>
      </c>
      <c r="B33" s="270">
        <f>D33/10*5.5</f>
        <v>1.2649999999999999</v>
      </c>
      <c r="C33" s="270">
        <f>D33/10*7</f>
        <v>1.6099999999999999</v>
      </c>
      <c r="D33" s="270">
        <v>2.2999999999999998</v>
      </c>
      <c r="E33" s="270">
        <f>D33/10*15</f>
        <v>3.4499999999999997</v>
      </c>
      <c r="F33" s="270">
        <f>D33/10*25</f>
        <v>5.75</v>
      </c>
      <c r="G33" s="270" t="s">
        <v>264</v>
      </c>
      <c r="H33" s="267" t="str">
        <f t="shared" ca="1" si="7"/>
        <v/>
      </c>
      <c r="I33" s="277"/>
      <c r="J33" s="331"/>
      <c r="S33" s="208" t="str">
        <f t="shared" ca="1" si="5"/>
        <v/>
      </c>
      <c r="T33" s="286" t="s">
        <v>354</v>
      </c>
      <c r="U33" s="282"/>
    </row>
    <row r="34" spans="1:21" ht="15" x14ac:dyDescent="0.25">
      <c r="A34" s="207" t="s">
        <v>355</v>
      </c>
      <c r="B34" s="270">
        <f t="shared" ref="B34:B38" si="8">D34/10*5.5</f>
        <v>2.4750000000000001</v>
      </c>
      <c r="C34" s="270">
        <f t="shared" ref="C34:C38" si="9">D34/10*7</f>
        <v>3.15</v>
      </c>
      <c r="D34" s="270">
        <v>4.5</v>
      </c>
      <c r="E34" s="270">
        <f t="shared" ref="E34:E38" si="10">D34/10*15</f>
        <v>6.75</v>
      </c>
      <c r="F34" s="270">
        <f t="shared" ref="F34:F38" si="11">D34/10*25</f>
        <v>11.25</v>
      </c>
      <c r="G34" s="270" t="s">
        <v>266</v>
      </c>
      <c r="H34" s="267" t="str">
        <f t="shared" ca="1" si="7"/>
        <v/>
      </c>
      <c r="I34" s="277"/>
      <c r="J34" s="331"/>
      <c r="S34" s="208" t="str">
        <f t="shared" ca="1" si="5"/>
        <v/>
      </c>
      <c r="T34" s="286" t="s">
        <v>355</v>
      </c>
      <c r="U34" s="282"/>
    </row>
    <row r="35" spans="1:21" ht="15" x14ac:dyDescent="0.25">
      <c r="A35" s="207" t="s">
        <v>356</v>
      </c>
      <c r="B35" s="270">
        <f t="shared" si="8"/>
        <v>3.6850000000000001</v>
      </c>
      <c r="C35" s="270">
        <f t="shared" si="9"/>
        <v>4.6900000000000004</v>
      </c>
      <c r="D35" s="270">
        <v>6.7</v>
      </c>
      <c r="E35" s="270">
        <f t="shared" si="10"/>
        <v>10.050000000000001</v>
      </c>
      <c r="F35" s="270">
        <f t="shared" si="11"/>
        <v>16.75</v>
      </c>
      <c r="G35" s="270" t="s">
        <v>268</v>
      </c>
      <c r="H35" s="267" t="str">
        <f t="shared" ca="1" si="7"/>
        <v/>
      </c>
      <c r="I35" s="277"/>
      <c r="J35" s="331"/>
      <c r="S35" s="208" t="str">
        <f t="shared" ca="1" si="5"/>
        <v/>
      </c>
      <c r="T35" s="286" t="s">
        <v>356</v>
      </c>
      <c r="U35" s="282"/>
    </row>
    <row r="36" spans="1:21" ht="15" x14ac:dyDescent="0.25">
      <c r="A36" s="207" t="s">
        <v>357</v>
      </c>
      <c r="B36" s="270">
        <f t="shared" si="8"/>
        <v>4.95</v>
      </c>
      <c r="C36" s="270">
        <f t="shared" si="9"/>
        <v>6.3</v>
      </c>
      <c r="D36" s="270">
        <v>9</v>
      </c>
      <c r="E36" s="270">
        <f t="shared" si="10"/>
        <v>13.5</v>
      </c>
      <c r="F36" s="270">
        <f t="shared" si="11"/>
        <v>22.5</v>
      </c>
      <c r="G36" s="270" t="s">
        <v>270</v>
      </c>
      <c r="H36" s="267" t="str">
        <f t="shared" ca="1" si="7"/>
        <v/>
      </c>
      <c r="I36" s="277"/>
      <c r="J36" s="331"/>
      <c r="S36" s="208" t="str">
        <f t="shared" ca="1" si="5"/>
        <v/>
      </c>
      <c r="T36" s="286" t="s">
        <v>357</v>
      </c>
      <c r="U36" s="282"/>
    </row>
    <row r="37" spans="1:21" ht="15" x14ac:dyDescent="0.25">
      <c r="A37" s="207" t="s">
        <v>358</v>
      </c>
      <c r="B37" s="270">
        <f t="shared" si="8"/>
        <v>6.1599999999999993</v>
      </c>
      <c r="C37" s="270">
        <f t="shared" si="9"/>
        <v>7.839999999999999</v>
      </c>
      <c r="D37" s="270">
        <v>11.2</v>
      </c>
      <c r="E37" s="270">
        <f t="shared" si="10"/>
        <v>16.799999999999997</v>
      </c>
      <c r="F37" s="270">
        <f t="shared" si="11"/>
        <v>27.999999999999996</v>
      </c>
      <c r="G37" s="270" t="s">
        <v>272</v>
      </c>
      <c r="H37" s="267" t="str">
        <f t="shared" ca="1" si="7"/>
        <v/>
      </c>
      <c r="I37" s="277"/>
      <c r="J37" s="331"/>
      <c r="S37" s="208" t="str">
        <f t="shared" ca="1" si="5"/>
        <v/>
      </c>
      <c r="T37" s="286" t="s">
        <v>358</v>
      </c>
      <c r="U37" s="282"/>
    </row>
    <row r="38" spans="1:21" ht="15" x14ac:dyDescent="0.25">
      <c r="A38" s="207" t="s">
        <v>359</v>
      </c>
      <c r="B38" s="270">
        <f t="shared" si="8"/>
        <v>7.37</v>
      </c>
      <c r="C38" s="270">
        <f t="shared" si="9"/>
        <v>9.3800000000000008</v>
      </c>
      <c r="D38" s="252">
        <v>13.4</v>
      </c>
      <c r="E38" s="270">
        <f t="shared" si="10"/>
        <v>20.100000000000001</v>
      </c>
      <c r="F38" s="270">
        <f t="shared" si="11"/>
        <v>33.5</v>
      </c>
      <c r="G38" s="252" t="s">
        <v>274</v>
      </c>
      <c r="H38" s="267" t="str">
        <f t="shared" ca="1" si="7"/>
        <v/>
      </c>
      <c r="I38" s="277"/>
      <c r="J38" s="331"/>
      <c r="S38" s="208" t="str">
        <f t="shared" ca="1" si="5"/>
        <v/>
      </c>
      <c r="T38" s="286" t="s">
        <v>359</v>
      </c>
      <c r="U38" s="282"/>
    </row>
    <row r="39" spans="1:21" x14ac:dyDescent="0.2">
      <c r="A39" s="207"/>
      <c r="B39" s="207"/>
      <c r="C39" s="207"/>
      <c r="D39" s="207"/>
      <c r="E39" s="207"/>
      <c r="F39" s="207"/>
      <c r="G39" s="207"/>
      <c r="H39" s="267" t="str">
        <f t="shared" ca="1" si="7"/>
        <v/>
      </c>
      <c r="I39" s="267"/>
      <c r="J39" s="331"/>
      <c r="S39" s="208" t="str">
        <f t="shared" ca="1" si="5"/>
        <v/>
      </c>
      <c r="T39" s="286"/>
      <c r="U39" s="287"/>
    </row>
    <row r="40" spans="1:21" ht="15" x14ac:dyDescent="0.25">
      <c r="A40" s="207" t="s">
        <v>360</v>
      </c>
      <c r="B40" s="270">
        <f>D40/10*5.5</f>
        <v>0.88</v>
      </c>
      <c r="C40" s="270">
        <f>D40/10*7</f>
        <v>1.1200000000000001</v>
      </c>
      <c r="D40" s="270">
        <v>1.6</v>
      </c>
      <c r="E40" s="270">
        <f>D40/10*15</f>
        <v>2.4</v>
      </c>
      <c r="F40" s="270">
        <f>D40/10*25</f>
        <v>4</v>
      </c>
      <c r="G40" s="270" t="s">
        <v>296</v>
      </c>
      <c r="H40" s="267" t="str">
        <f t="shared" ca="1" si="7"/>
        <v/>
      </c>
      <c r="I40" s="278"/>
      <c r="J40" s="331"/>
      <c r="S40" s="208" t="str">
        <f t="shared" ca="1" si="5"/>
        <v/>
      </c>
      <c r="T40" s="286" t="s">
        <v>360</v>
      </c>
      <c r="U40" s="285"/>
    </row>
    <row r="41" spans="1:21" ht="15" x14ac:dyDescent="0.25">
      <c r="A41" s="207" t="s">
        <v>361</v>
      </c>
      <c r="B41" s="270">
        <f t="shared" ref="B41:B45" si="12">D41/10*5.5</f>
        <v>1.8149999999999997</v>
      </c>
      <c r="C41" s="270">
        <f t="shared" ref="C41:C45" si="13">D41/10*7</f>
        <v>2.3099999999999996</v>
      </c>
      <c r="D41" s="270">
        <v>3.3</v>
      </c>
      <c r="E41" s="270">
        <f t="shared" ref="E41:E45" si="14">D41/10*15</f>
        <v>4.9499999999999993</v>
      </c>
      <c r="F41" s="270">
        <f t="shared" ref="F41:F45" si="15">D41/10*25</f>
        <v>8.2499999999999982</v>
      </c>
      <c r="G41" s="270" t="s">
        <v>297</v>
      </c>
      <c r="H41" s="267" t="str">
        <f t="shared" ca="1" si="7"/>
        <v/>
      </c>
      <c r="I41" s="278"/>
      <c r="J41" s="331"/>
      <c r="S41" s="208" t="str">
        <f t="shared" ca="1" si="5"/>
        <v/>
      </c>
      <c r="T41" s="286" t="s">
        <v>361</v>
      </c>
      <c r="U41" s="285"/>
    </row>
    <row r="42" spans="1:21" ht="15" x14ac:dyDescent="0.25">
      <c r="A42" s="207" t="s">
        <v>362</v>
      </c>
      <c r="B42" s="270">
        <f t="shared" si="12"/>
        <v>2.6950000000000003</v>
      </c>
      <c r="C42" s="270">
        <f t="shared" si="13"/>
        <v>3.43</v>
      </c>
      <c r="D42" s="270">
        <v>4.9000000000000004</v>
      </c>
      <c r="E42" s="270">
        <f t="shared" si="14"/>
        <v>7.3500000000000005</v>
      </c>
      <c r="F42" s="270">
        <f t="shared" si="15"/>
        <v>12.250000000000002</v>
      </c>
      <c r="G42" s="270" t="s">
        <v>298</v>
      </c>
      <c r="H42" s="267" t="str">
        <f t="shared" ca="1" si="7"/>
        <v/>
      </c>
      <c r="I42" s="278"/>
      <c r="J42" s="331"/>
      <c r="S42" s="208" t="str">
        <f t="shared" ca="1" si="5"/>
        <v/>
      </c>
      <c r="T42" s="286" t="s">
        <v>362</v>
      </c>
      <c r="U42" s="285"/>
    </row>
    <row r="43" spans="1:21" ht="15" x14ac:dyDescent="0.25">
      <c r="A43" s="207" t="s">
        <v>363</v>
      </c>
      <c r="B43" s="270">
        <f t="shared" si="12"/>
        <v>3.6299999999999994</v>
      </c>
      <c r="C43" s="270">
        <f t="shared" si="13"/>
        <v>4.6199999999999992</v>
      </c>
      <c r="D43" s="270">
        <v>6.6</v>
      </c>
      <c r="E43" s="270">
        <f t="shared" si="14"/>
        <v>9.8999999999999986</v>
      </c>
      <c r="F43" s="270">
        <f t="shared" si="15"/>
        <v>16.499999999999996</v>
      </c>
      <c r="G43" s="270" t="s">
        <v>299</v>
      </c>
      <c r="H43" s="267" t="str">
        <f t="shared" ca="1" si="7"/>
        <v/>
      </c>
      <c r="I43" s="278"/>
      <c r="J43" s="331"/>
      <c r="S43" s="208" t="str">
        <f t="shared" ca="1" si="5"/>
        <v/>
      </c>
      <c r="T43" s="286" t="s">
        <v>363</v>
      </c>
      <c r="U43" s="285"/>
    </row>
    <row r="44" spans="1:21" ht="15" x14ac:dyDescent="0.25">
      <c r="A44" s="207" t="s">
        <v>364</v>
      </c>
      <c r="B44" s="270">
        <f t="shared" si="12"/>
        <v>4.4000000000000004</v>
      </c>
      <c r="C44" s="270">
        <f t="shared" si="13"/>
        <v>5.6000000000000005</v>
      </c>
      <c r="D44" s="270">
        <v>8</v>
      </c>
      <c r="E44" s="270">
        <f t="shared" si="14"/>
        <v>12</v>
      </c>
      <c r="F44" s="270">
        <f t="shared" si="15"/>
        <v>20</v>
      </c>
      <c r="G44" s="270" t="s">
        <v>300</v>
      </c>
      <c r="H44" s="267" t="str">
        <f t="shared" ca="1" si="7"/>
        <v/>
      </c>
      <c r="I44" s="278"/>
      <c r="J44" s="331"/>
      <c r="S44" s="208" t="str">
        <f t="shared" ca="1" si="5"/>
        <v/>
      </c>
      <c r="T44" s="286" t="s">
        <v>364</v>
      </c>
      <c r="U44" s="285"/>
    </row>
    <row r="45" spans="1:21" ht="15.75" thickBot="1" x14ac:dyDescent="0.3">
      <c r="A45" s="207" t="s">
        <v>365</v>
      </c>
      <c r="B45" s="270">
        <f t="shared" si="12"/>
        <v>5.3900000000000006</v>
      </c>
      <c r="C45" s="270">
        <f t="shared" si="13"/>
        <v>6.86</v>
      </c>
      <c r="D45" s="270">
        <v>9.8000000000000007</v>
      </c>
      <c r="E45" s="270">
        <f t="shared" si="14"/>
        <v>14.700000000000001</v>
      </c>
      <c r="F45" s="270">
        <f t="shared" si="15"/>
        <v>24.500000000000004</v>
      </c>
      <c r="G45" s="270" t="s">
        <v>301</v>
      </c>
      <c r="H45" s="267" t="str">
        <f t="shared" ca="1" si="7"/>
        <v/>
      </c>
      <c r="I45" s="278"/>
      <c r="J45" s="332"/>
      <c r="S45" s="208" t="str">
        <f t="shared" ca="1" si="5"/>
        <v/>
      </c>
      <c r="T45" s="286" t="s">
        <v>365</v>
      </c>
      <c r="U45" s="285"/>
    </row>
    <row r="46" spans="1:21" ht="13.5" thickBot="1" x14ac:dyDescent="0.25">
      <c r="A46" s="274"/>
      <c r="B46" s="274"/>
      <c r="C46" s="274"/>
      <c r="D46" s="274"/>
      <c r="E46" s="274"/>
      <c r="F46" s="274"/>
      <c r="G46" s="274"/>
      <c r="H46" s="267" t="str">
        <f t="shared" ca="1" si="7"/>
        <v/>
      </c>
      <c r="I46" s="267"/>
      <c r="S46" s="208" t="str">
        <f t="shared" ca="1" si="5"/>
        <v/>
      </c>
      <c r="T46" s="288"/>
      <c r="U46" s="287"/>
    </row>
    <row r="47" spans="1:21" ht="15" x14ac:dyDescent="0.25">
      <c r="A47" s="268" t="s">
        <v>366</v>
      </c>
      <c r="B47" s="270">
        <f>D47/10*5.5</f>
        <v>1.2100000000000002</v>
      </c>
      <c r="C47" s="270">
        <f>D47/10*7</f>
        <v>1.5400000000000003</v>
      </c>
      <c r="D47" s="270">
        <v>2.2000000000000002</v>
      </c>
      <c r="E47" s="270">
        <f>D47/10*15</f>
        <v>3.3000000000000003</v>
      </c>
      <c r="F47" s="270">
        <f>D47/10*25</f>
        <v>5.5000000000000009</v>
      </c>
      <c r="G47" s="270" t="s">
        <v>263</v>
      </c>
      <c r="H47" s="267" t="str">
        <f ca="1">IF(AND(LEFT(A47,3)=$L$1,INDIRECT($L$6&amp;ROW())&gt;$K$1),ROW(),"")</f>
        <v/>
      </c>
      <c r="I47" s="261"/>
      <c r="J47" s="333" t="s">
        <v>302</v>
      </c>
      <c r="S47" s="208" t="str">
        <f t="shared" ca="1" si="5"/>
        <v/>
      </c>
      <c r="T47" s="292" t="s">
        <v>366</v>
      </c>
      <c r="U47" s="281"/>
    </row>
    <row r="48" spans="1:21" ht="15" x14ac:dyDescent="0.25">
      <c r="A48" s="268" t="s">
        <v>367</v>
      </c>
      <c r="B48" s="270">
        <f t="shared" ref="B48:B63" si="16">D48/10*5.5</f>
        <v>2.4750000000000001</v>
      </c>
      <c r="C48" s="270">
        <f t="shared" ref="C48:C63" si="17">D48/10*7</f>
        <v>3.15</v>
      </c>
      <c r="D48" s="270">
        <v>4.5</v>
      </c>
      <c r="E48" s="270">
        <f t="shared" ref="E48:E63" si="18">D48/10*15</f>
        <v>6.75</v>
      </c>
      <c r="F48" s="270">
        <f t="shared" ref="F48:F63" si="19">D48/10*25</f>
        <v>11.25</v>
      </c>
      <c r="G48" s="270" t="s">
        <v>265</v>
      </c>
      <c r="H48" s="267" t="str">
        <f t="shared" ref="H48:H63" ca="1" si="20">IF(AND(LEFT(A48,3)=$L$1,INDIRECT($L$6&amp;ROW())&gt;$K$1),ROW(),"")</f>
        <v/>
      </c>
      <c r="I48" s="261"/>
      <c r="J48" s="334"/>
      <c r="S48" s="208" t="str">
        <f t="shared" ca="1" si="5"/>
        <v/>
      </c>
      <c r="T48" s="292" t="s">
        <v>367</v>
      </c>
      <c r="U48" s="281"/>
    </row>
    <row r="49" spans="1:21" ht="15" x14ac:dyDescent="0.25">
      <c r="A49" s="268" t="s">
        <v>368</v>
      </c>
      <c r="B49" s="270">
        <f t="shared" si="16"/>
        <v>3.7399999999999998</v>
      </c>
      <c r="C49" s="270">
        <f t="shared" si="17"/>
        <v>4.76</v>
      </c>
      <c r="D49" s="270">
        <v>6.8</v>
      </c>
      <c r="E49" s="270">
        <f t="shared" si="18"/>
        <v>10.199999999999999</v>
      </c>
      <c r="F49" s="270">
        <f t="shared" si="19"/>
        <v>17</v>
      </c>
      <c r="G49" s="270" t="s">
        <v>267</v>
      </c>
      <c r="H49" s="267" t="str">
        <f t="shared" ca="1" si="20"/>
        <v/>
      </c>
      <c r="I49" s="261"/>
      <c r="J49" s="334"/>
      <c r="S49" s="208" t="str">
        <f t="shared" ca="1" si="5"/>
        <v/>
      </c>
      <c r="T49" s="292" t="s">
        <v>368</v>
      </c>
      <c r="U49" s="281"/>
    </row>
    <row r="50" spans="1:21" ht="15" x14ac:dyDescent="0.25">
      <c r="A50" s="268" t="s">
        <v>369</v>
      </c>
      <c r="B50" s="270">
        <f t="shared" si="16"/>
        <v>4.95</v>
      </c>
      <c r="C50" s="270">
        <f t="shared" si="17"/>
        <v>6.3</v>
      </c>
      <c r="D50" s="270">
        <v>9</v>
      </c>
      <c r="E50" s="270">
        <f t="shared" si="18"/>
        <v>13.5</v>
      </c>
      <c r="F50" s="270">
        <f t="shared" si="19"/>
        <v>22.5</v>
      </c>
      <c r="G50" s="270" t="s">
        <v>269</v>
      </c>
      <c r="H50" s="267" t="str">
        <f t="shared" ca="1" si="20"/>
        <v/>
      </c>
      <c r="I50" s="261"/>
      <c r="J50" s="334"/>
      <c r="S50" s="208" t="str">
        <f t="shared" ca="1" si="5"/>
        <v/>
      </c>
      <c r="T50" s="292" t="s">
        <v>369</v>
      </c>
      <c r="U50" s="281"/>
    </row>
    <row r="51" spans="1:21" ht="15" x14ac:dyDescent="0.25">
      <c r="A51" s="268" t="s">
        <v>370</v>
      </c>
      <c r="B51" s="270">
        <f t="shared" si="16"/>
        <v>6.3249999999999993</v>
      </c>
      <c r="C51" s="270">
        <f t="shared" si="17"/>
        <v>8.0499999999999989</v>
      </c>
      <c r="D51" s="270">
        <v>11.5</v>
      </c>
      <c r="E51" s="270">
        <f t="shared" si="18"/>
        <v>17.25</v>
      </c>
      <c r="F51" s="270">
        <f t="shared" si="19"/>
        <v>28.749999999999996</v>
      </c>
      <c r="G51" s="270" t="s">
        <v>271</v>
      </c>
      <c r="H51" s="267" t="str">
        <f t="shared" ca="1" si="20"/>
        <v/>
      </c>
      <c r="I51" s="261"/>
      <c r="J51" s="334"/>
      <c r="S51" s="208" t="str">
        <f t="shared" ca="1" si="5"/>
        <v/>
      </c>
      <c r="T51" s="292" t="s">
        <v>370</v>
      </c>
      <c r="U51" s="281"/>
    </row>
    <row r="52" spans="1:21" ht="15" x14ac:dyDescent="0.25">
      <c r="A52" s="269" t="s">
        <v>371</v>
      </c>
      <c r="B52" s="270">
        <f t="shared" si="16"/>
        <v>7.5349999999999993</v>
      </c>
      <c r="C52" s="270">
        <f t="shared" si="17"/>
        <v>9.59</v>
      </c>
      <c r="D52" s="252">
        <v>13.7</v>
      </c>
      <c r="E52" s="270">
        <f t="shared" si="18"/>
        <v>20.549999999999997</v>
      </c>
      <c r="F52" s="270">
        <f t="shared" si="19"/>
        <v>34.25</v>
      </c>
      <c r="G52" s="252" t="s">
        <v>273</v>
      </c>
      <c r="H52" s="267" t="str">
        <f t="shared" ca="1" si="20"/>
        <v/>
      </c>
      <c r="I52" s="261"/>
      <c r="J52" s="334"/>
      <c r="S52" s="208" t="str">
        <f t="shared" ca="1" si="5"/>
        <v/>
      </c>
      <c r="T52" s="293" t="s">
        <v>371</v>
      </c>
      <c r="U52" s="281"/>
    </row>
    <row r="53" spans="1:21" ht="15" x14ac:dyDescent="0.25">
      <c r="A53" s="269" t="s">
        <v>372</v>
      </c>
      <c r="B53" s="270">
        <f t="shared" si="16"/>
        <v>3.1350000000000002</v>
      </c>
      <c r="C53" s="270">
        <f t="shared" si="17"/>
        <v>3.99</v>
      </c>
      <c r="D53" s="252">
        <v>5.7</v>
      </c>
      <c r="E53" s="270">
        <f t="shared" si="18"/>
        <v>8.5500000000000007</v>
      </c>
      <c r="F53" s="270">
        <f t="shared" si="19"/>
        <v>14.250000000000002</v>
      </c>
      <c r="G53" s="252" t="s">
        <v>303</v>
      </c>
      <c r="H53" s="267" t="str">
        <f t="shared" ca="1" si="20"/>
        <v/>
      </c>
      <c r="I53" s="261"/>
      <c r="J53" s="334"/>
      <c r="S53" s="208" t="str">
        <f t="shared" ca="1" si="5"/>
        <v/>
      </c>
      <c r="T53" s="293" t="s">
        <v>372</v>
      </c>
      <c r="U53" s="281"/>
    </row>
    <row r="54" spans="1:21" ht="15" x14ac:dyDescent="0.25">
      <c r="A54" s="269" t="s">
        <v>373</v>
      </c>
      <c r="B54" s="270">
        <f t="shared" si="16"/>
        <v>5.1150000000000002</v>
      </c>
      <c r="C54" s="270">
        <f t="shared" si="17"/>
        <v>6.5100000000000007</v>
      </c>
      <c r="D54" s="252">
        <v>9.3000000000000007</v>
      </c>
      <c r="E54" s="270">
        <f t="shared" si="18"/>
        <v>13.950000000000001</v>
      </c>
      <c r="F54" s="270">
        <f t="shared" si="19"/>
        <v>23.25</v>
      </c>
      <c r="G54" s="252" t="s">
        <v>305</v>
      </c>
      <c r="H54" s="267" t="str">
        <f t="shared" ca="1" si="20"/>
        <v/>
      </c>
      <c r="I54" s="261"/>
      <c r="J54" s="334"/>
      <c r="S54" s="208" t="str">
        <f t="shared" ca="1" si="5"/>
        <v/>
      </c>
      <c r="T54" s="293" t="s">
        <v>373</v>
      </c>
      <c r="U54" s="281"/>
    </row>
    <row r="55" spans="1:21" ht="15" x14ac:dyDescent="0.25">
      <c r="A55" s="269" t="s">
        <v>374</v>
      </c>
      <c r="B55" s="270">
        <f t="shared" si="16"/>
        <v>6.2700000000000005</v>
      </c>
      <c r="C55" s="270">
        <f t="shared" si="17"/>
        <v>7.98</v>
      </c>
      <c r="D55" s="252">
        <v>11.4</v>
      </c>
      <c r="E55" s="270">
        <f t="shared" si="18"/>
        <v>17.100000000000001</v>
      </c>
      <c r="F55" s="270">
        <f t="shared" si="19"/>
        <v>28.500000000000004</v>
      </c>
      <c r="G55" s="252" t="s">
        <v>307</v>
      </c>
      <c r="H55" s="267" t="str">
        <f t="shared" ca="1" si="20"/>
        <v/>
      </c>
      <c r="I55" s="261"/>
      <c r="J55" s="334"/>
      <c r="S55" s="208" t="str">
        <f t="shared" ca="1" si="5"/>
        <v/>
      </c>
      <c r="T55" s="293" t="s">
        <v>374</v>
      </c>
      <c r="U55" s="281"/>
    </row>
    <row r="56" spans="1:21" ht="15" x14ac:dyDescent="0.25">
      <c r="A56" s="269" t="s">
        <v>375</v>
      </c>
      <c r="B56" s="270">
        <f t="shared" si="16"/>
        <v>6.9850000000000003</v>
      </c>
      <c r="C56" s="270">
        <f t="shared" si="17"/>
        <v>8.89</v>
      </c>
      <c r="D56" s="252">
        <v>12.7</v>
      </c>
      <c r="E56" s="270">
        <f t="shared" si="18"/>
        <v>19.05</v>
      </c>
      <c r="F56" s="270">
        <f t="shared" si="19"/>
        <v>31.75</v>
      </c>
      <c r="G56" s="252" t="s">
        <v>309</v>
      </c>
      <c r="H56" s="267" t="str">
        <f t="shared" ca="1" si="20"/>
        <v/>
      </c>
      <c r="I56" s="261"/>
      <c r="J56" s="334"/>
      <c r="S56" s="208" t="str">
        <f t="shared" ca="1" si="5"/>
        <v/>
      </c>
      <c r="T56" s="293" t="s">
        <v>375</v>
      </c>
      <c r="U56" s="281"/>
    </row>
    <row r="57" spans="1:21" ht="15" x14ac:dyDescent="0.25">
      <c r="A57" s="269" t="s">
        <v>376</v>
      </c>
      <c r="B57" s="270">
        <f t="shared" si="16"/>
        <v>9.8449999999999989</v>
      </c>
      <c r="C57" s="270">
        <f t="shared" si="17"/>
        <v>12.53</v>
      </c>
      <c r="D57" s="252">
        <v>17.899999999999999</v>
      </c>
      <c r="E57" s="270">
        <f t="shared" si="18"/>
        <v>26.849999999999998</v>
      </c>
      <c r="F57" s="270">
        <f t="shared" si="19"/>
        <v>44.749999999999993</v>
      </c>
      <c r="G57" s="252" t="s">
        <v>311</v>
      </c>
      <c r="H57" s="267" t="str">
        <f t="shared" ca="1" si="20"/>
        <v/>
      </c>
      <c r="I57" s="261"/>
      <c r="J57" s="334"/>
      <c r="S57" s="208" t="str">
        <f t="shared" ca="1" si="5"/>
        <v/>
      </c>
      <c r="T57" s="293" t="s">
        <v>376</v>
      </c>
      <c r="U57" s="281"/>
    </row>
    <row r="58" spans="1:21" ht="15" x14ac:dyDescent="0.25">
      <c r="A58" s="269" t="s">
        <v>377</v>
      </c>
      <c r="B58" s="270">
        <f t="shared" si="16"/>
        <v>12.705</v>
      </c>
      <c r="C58" s="270">
        <f t="shared" si="17"/>
        <v>16.170000000000002</v>
      </c>
      <c r="D58" s="252">
        <v>23.1</v>
      </c>
      <c r="E58" s="270">
        <f t="shared" si="18"/>
        <v>34.65</v>
      </c>
      <c r="F58" s="270">
        <f t="shared" si="19"/>
        <v>57.75</v>
      </c>
      <c r="G58" s="252" t="s">
        <v>313</v>
      </c>
      <c r="H58" s="267" t="str">
        <f t="shared" ca="1" si="20"/>
        <v/>
      </c>
      <c r="I58" s="261"/>
      <c r="J58" s="334"/>
      <c r="S58" s="208" t="str">
        <f t="shared" ca="1" si="5"/>
        <v/>
      </c>
      <c r="T58" s="293" t="s">
        <v>377</v>
      </c>
      <c r="U58" s="281"/>
    </row>
    <row r="59" spans="1:21" ht="15" x14ac:dyDescent="0.25">
      <c r="A59" s="269" t="s">
        <v>378</v>
      </c>
      <c r="B59" s="270">
        <f t="shared" si="16"/>
        <v>8.36</v>
      </c>
      <c r="C59" s="270">
        <f t="shared" si="17"/>
        <v>10.64</v>
      </c>
      <c r="D59" s="252">
        <v>15.2</v>
      </c>
      <c r="E59" s="270">
        <f t="shared" si="18"/>
        <v>22.8</v>
      </c>
      <c r="F59" s="270">
        <f t="shared" si="19"/>
        <v>38</v>
      </c>
      <c r="G59" s="252" t="s">
        <v>315</v>
      </c>
      <c r="H59" s="267" t="str">
        <f t="shared" ca="1" si="20"/>
        <v/>
      </c>
      <c r="I59" s="261"/>
      <c r="J59" s="334"/>
      <c r="S59" s="208" t="str">
        <f t="shared" ca="1" si="5"/>
        <v/>
      </c>
      <c r="T59" s="293" t="s">
        <v>378</v>
      </c>
      <c r="U59" s="281"/>
    </row>
    <row r="60" spans="1:21" ht="15" x14ac:dyDescent="0.25">
      <c r="A60" s="269" t="s">
        <v>379</v>
      </c>
      <c r="B60" s="270">
        <f t="shared" si="16"/>
        <v>13.53</v>
      </c>
      <c r="C60" s="270">
        <f t="shared" si="17"/>
        <v>17.22</v>
      </c>
      <c r="D60" s="252">
        <v>24.6</v>
      </c>
      <c r="E60" s="270">
        <f t="shared" si="18"/>
        <v>36.9</v>
      </c>
      <c r="F60" s="270">
        <f t="shared" si="19"/>
        <v>61.5</v>
      </c>
      <c r="G60" s="252" t="s">
        <v>317</v>
      </c>
      <c r="H60" s="267" t="str">
        <f t="shared" ca="1" si="20"/>
        <v/>
      </c>
      <c r="I60" s="261"/>
      <c r="J60" s="334"/>
      <c r="S60" s="208" t="str">
        <f t="shared" ca="1" si="5"/>
        <v/>
      </c>
      <c r="T60" s="293" t="s">
        <v>379</v>
      </c>
      <c r="U60" s="281"/>
    </row>
    <row r="61" spans="1:21" ht="15" x14ac:dyDescent="0.25">
      <c r="A61" s="269" t="s">
        <v>380</v>
      </c>
      <c r="B61" s="270">
        <f t="shared" si="16"/>
        <v>16.830000000000002</v>
      </c>
      <c r="C61" s="270">
        <f t="shared" si="17"/>
        <v>21.42</v>
      </c>
      <c r="D61" s="252">
        <v>30.6</v>
      </c>
      <c r="E61" s="270">
        <f t="shared" si="18"/>
        <v>45.9</v>
      </c>
      <c r="F61" s="270">
        <f t="shared" si="19"/>
        <v>76.5</v>
      </c>
      <c r="G61" s="252" t="s">
        <v>319</v>
      </c>
      <c r="H61" s="267" t="str">
        <f t="shared" ca="1" si="20"/>
        <v/>
      </c>
      <c r="I61" s="261"/>
      <c r="J61" s="334"/>
      <c r="S61" s="208" t="str">
        <f t="shared" ca="1" si="5"/>
        <v/>
      </c>
      <c r="T61" s="293" t="s">
        <v>380</v>
      </c>
      <c r="U61" s="281"/>
    </row>
    <row r="62" spans="1:21" ht="15" x14ac:dyDescent="0.25">
      <c r="A62" s="269" t="s">
        <v>381</v>
      </c>
      <c r="B62" s="270">
        <f t="shared" si="16"/>
        <v>19.965</v>
      </c>
      <c r="C62" s="270">
        <f t="shared" si="17"/>
        <v>25.41</v>
      </c>
      <c r="D62" s="252">
        <v>36.299999999999997</v>
      </c>
      <c r="E62" s="270">
        <f t="shared" si="18"/>
        <v>54.449999999999996</v>
      </c>
      <c r="F62" s="270">
        <f t="shared" si="19"/>
        <v>90.75</v>
      </c>
      <c r="G62" s="252" t="s">
        <v>321</v>
      </c>
      <c r="H62" s="267" t="str">
        <f t="shared" ca="1" si="20"/>
        <v/>
      </c>
      <c r="I62" s="261"/>
      <c r="J62" s="334"/>
      <c r="S62" s="208" t="str">
        <f t="shared" ca="1" si="5"/>
        <v/>
      </c>
      <c r="T62" s="293" t="s">
        <v>381</v>
      </c>
      <c r="U62" s="281"/>
    </row>
    <row r="63" spans="1:21" ht="15" x14ac:dyDescent="0.25">
      <c r="A63" s="269" t="s">
        <v>382</v>
      </c>
      <c r="B63" s="270">
        <f t="shared" si="16"/>
        <v>26.785</v>
      </c>
      <c r="C63" s="270">
        <f t="shared" si="17"/>
        <v>34.090000000000003</v>
      </c>
      <c r="D63" s="252">
        <v>48.7</v>
      </c>
      <c r="E63" s="270">
        <f t="shared" si="18"/>
        <v>73.05</v>
      </c>
      <c r="F63" s="270">
        <f t="shared" si="19"/>
        <v>121.75</v>
      </c>
      <c r="G63" s="252" t="s">
        <v>323</v>
      </c>
      <c r="H63" s="267" t="str">
        <f t="shared" ca="1" si="20"/>
        <v/>
      </c>
      <c r="I63" s="261"/>
      <c r="J63" s="334"/>
      <c r="S63" s="208" t="str">
        <f t="shared" ca="1" si="5"/>
        <v/>
      </c>
      <c r="T63" s="293" t="s">
        <v>382</v>
      </c>
      <c r="U63" s="281"/>
    </row>
    <row r="64" spans="1:21" ht="15" x14ac:dyDescent="0.25">
      <c r="A64" s="207"/>
      <c r="B64" s="207"/>
      <c r="C64" s="207"/>
      <c r="D64" s="207"/>
      <c r="E64" s="207"/>
      <c r="F64" s="207"/>
      <c r="G64" s="207"/>
      <c r="H64" s="267" t="str">
        <f ca="1">IF(AND(LEFT(A64,4)=$L$1,INDIRECT($L$6&amp;ROW())&gt;$K$1),ROW(),"")</f>
        <v/>
      </c>
      <c r="I64" s="248"/>
      <c r="J64" s="334"/>
      <c r="S64" s="208" t="str">
        <f t="shared" ca="1" si="5"/>
        <v/>
      </c>
      <c r="T64" s="286"/>
      <c r="U64" s="289"/>
    </row>
    <row r="65" spans="1:21" ht="15" x14ac:dyDescent="0.25">
      <c r="A65" s="207" t="s">
        <v>433</v>
      </c>
      <c r="B65" s="270">
        <f t="shared" ref="B65:B87" si="21">D65/10*5.5</f>
        <v>1.4850000000000001</v>
      </c>
      <c r="C65" s="270">
        <f t="shared" ref="C65:C87" si="22">D65/10*7</f>
        <v>1.8900000000000001</v>
      </c>
      <c r="D65" s="270">
        <v>2.7</v>
      </c>
      <c r="E65" s="270">
        <f t="shared" ref="E65:E87" si="23">D65/10*15</f>
        <v>4.0500000000000007</v>
      </c>
      <c r="F65" s="270">
        <f t="shared" ref="F65:F87" si="24">D65/10*25</f>
        <v>6.75</v>
      </c>
      <c r="G65" s="270" t="s">
        <v>275</v>
      </c>
      <c r="H65" s="267" t="str">
        <f ca="1">IF(AND(LEFT(A65,2)=$L$1,INDIRECT($L$6&amp;ROW())&gt;$K$1),ROW(),"")</f>
        <v/>
      </c>
      <c r="I65" s="257"/>
      <c r="J65" s="334"/>
      <c r="S65" s="208" t="str">
        <f t="shared" ca="1" si="5"/>
        <v/>
      </c>
      <c r="T65" s="286" t="s">
        <v>433</v>
      </c>
      <c r="U65" s="290"/>
    </row>
    <row r="66" spans="1:21" ht="15" x14ac:dyDescent="0.25">
      <c r="A66" s="207" t="s">
        <v>434</v>
      </c>
      <c r="B66" s="270">
        <f t="shared" si="21"/>
        <v>3.0250000000000004</v>
      </c>
      <c r="C66" s="270">
        <f t="shared" si="22"/>
        <v>3.8500000000000005</v>
      </c>
      <c r="D66" s="270">
        <v>5.5</v>
      </c>
      <c r="E66" s="270">
        <f t="shared" si="23"/>
        <v>8.25</v>
      </c>
      <c r="F66" s="270">
        <f t="shared" si="24"/>
        <v>13.750000000000002</v>
      </c>
      <c r="G66" s="270" t="s">
        <v>276</v>
      </c>
      <c r="H66" s="267" t="str">
        <f t="shared" ref="H66:H87" ca="1" si="25">IF(AND(LEFT(A66,2)=$L$1,INDIRECT($L$6&amp;ROW())&gt;$K$1),ROW(),"")</f>
        <v/>
      </c>
      <c r="I66" s="257"/>
      <c r="J66" s="334"/>
      <c r="S66" s="208" t="str">
        <f t="shared" ca="1" si="5"/>
        <v/>
      </c>
      <c r="T66" s="286" t="s">
        <v>434</v>
      </c>
      <c r="U66" s="290"/>
    </row>
    <row r="67" spans="1:21" ht="15" x14ac:dyDescent="0.25">
      <c r="A67" s="207" t="s">
        <v>435</v>
      </c>
      <c r="B67" s="270">
        <f t="shared" si="21"/>
        <v>4.51</v>
      </c>
      <c r="C67" s="270">
        <f t="shared" si="22"/>
        <v>5.7399999999999993</v>
      </c>
      <c r="D67" s="270">
        <v>8.1999999999999993</v>
      </c>
      <c r="E67" s="270">
        <f t="shared" si="23"/>
        <v>12.299999999999999</v>
      </c>
      <c r="F67" s="270">
        <f t="shared" si="24"/>
        <v>20.5</v>
      </c>
      <c r="G67" s="270" t="s">
        <v>277</v>
      </c>
      <c r="H67" s="267" t="str">
        <f t="shared" ca="1" si="25"/>
        <v/>
      </c>
      <c r="I67" s="257"/>
      <c r="J67" s="334"/>
      <c r="S67" s="208" t="str">
        <f t="shared" ref="S67:S129" ca="1" si="26">IF(AND(LEFT(A67,3)=$L$1,INDIRECT($L$6&amp;ROW())&gt;$K$1),ROW(),"")</f>
        <v/>
      </c>
      <c r="T67" s="286" t="s">
        <v>435</v>
      </c>
      <c r="U67" s="290"/>
    </row>
    <row r="68" spans="1:21" ht="15" x14ac:dyDescent="0.25">
      <c r="A68" s="207" t="s">
        <v>436</v>
      </c>
      <c r="B68" s="270">
        <f t="shared" si="21"/>
        <v>5.83</v>
      </c>
      <c r="C68" s="270">
        <f t="shared" si="22"/>
        <v>7.42</v>
      </c>
      <c r="D68" s="270">
        <v>10.6</v>
      </c>
      <c r="E68" s="270">
        <f t="shared" si="23"/>
        <v>15.9</v>
      </c>
      <c r="F68" s="270">
        <f t="shared" si="24"/>
        <v>26.5</v>
      </c>
      <c r="G68" s="270" t="s">
        <v>278</v>
      </c>
      <c r="H68" s="267" t="str">
        <f t="shared" ca="1" si="25"/>
        <v/>
      </c>
      <c r="I68" s="257"/>
      <c r="J68" s="334"/>
      <c r="S68" s="208" t="str">
        <f t="shared" ca="1" si="26"/>
        <v/>
      </c>
      <c r="T68" s="286" t="s">
        <v>436</v>
      </c>
      <c r="U68" s="290"/>
    </row>
    <row r="69" spans="1:21" ht="15" x14ac:dyDescent="0.25">
      <c r="A69" s="207" t="s">
        <v>437</v>
      </c>
      <c r="B69" s="270">
        <f t="shared" si="21"/>
        <v>7.6450000000000005</v>
      </c>
      <c r="C69" s="270">
        <f t="shared" si="22"/>
        <v>9.73</v>
      </c>
      <c r="D69" s="270">
        <v>13.9</v>
      </c>
      <c r="E69" s="270">
        <f t="shared" si="23"/>
        <v>20.85</v>
      </c>
      <c r="F69" s="270">
        <f t="shared" si="24"/>
        <v>34.75</v>
      </c>
      <c r="G69" s="270" t="s">
        <v>279</v>
      </c>
      <c r="H69" s="267" t="str">
        <f t="shared" ca="1" si="25"/>
        <v/>
      </c>
      <c r="I69" s="257"/>
      <c r="J69" s="334"/>
      <c r="S69" s="208" t="str">
        <f t="shared" ca="1" si="26"/>
        <v/>
      </c>
      <c r="T69" s="286" t="s">
        <v>437</v>
      </c>
      <c r="U69" s="290"/>
    </row>
    <row r="70" spans="1:21" ht="15" x14ac:dyDescent="0.25">
      <c r="A70" s="207"/>
      <c r="B70" s="263"/>
      <c r="C70" s="263"/>
      <c r="D70" s="263"/>
      <c r="E70" s="263"/>
      <c r="F70" s="263"/>
      <c r="G70" s="255"/>
      <c r="H70" s="267" t="str">
        <f t="shared" ca="1" si="25"/>
        <v/>
      </c>
      <c r="I70" s="262"/>
      <c r="J70" s="334"/>
      <c r="S70" s="208" t="str">
        <f t="shared" ca="1" si="26"/>
        <v/>
      </c>
      <c r="T70" s="286"/>
      <c r="U70" s="291"/>
    </row>
    <row r="71" spans="1:21" ht="15" x14ac:dyDescent="0.25">
      <c r="A71" s="207" t="s">
        <v>438</v>
      </c>
      <c r="B71" s="270">
        <f t="shared" si="21"/>
        <v>1.65</v>
      </c>
      <c r="C71" s="270">
        <f t="shared" si="22"/>
        <v>2.1</v>
      </c>
      <c r="D71" s="270">
        <v>3</v>
      </c>
      <c r="E71" s="270">
        <f t="shared" si="23"/>
        <v>4.5</v>
      </c>
      <c r="F71" s="270">
        <f t="shared" si="24"/>
        <v>7.5</v>
      </c>
      <c r="G71" s="252" t="s">
        <v>280</v>
      </c>
      <c r="H71" s="267" t="str">
        <f t="shared" ca="1" si="25"/>
        <v/>
      </c>
      <c r="I71" s="257"/>
      <c r="J71" s="334"/>
      <c r="S71" s="208" t="str">
        <f t="shared" ca="1" si="26"/>
        <v/>
      </c>
      <c r="T71" s="286" t="s">
        <v>438</v>
      </c>
      <c r="U71" s="290"/>
    </row>
    <row r="72" spans="1:21" ht="15" x14ac:dyDescent="0.25">
      <c r="A72" s="207" t="s">
        <v>439</v>
      </c>
      <c r="B72" s="270">
        <f t="shared" si="21"/>
        <v>3.41</v>
      </c>
      <c r="C72" s="270">
        <f t="shared" si="22"/>
        <v>4.34</v>
      </c>
      <c r="D72" s="270">
        <v>6.2</v>
      </c>
      <c r="E72" s="270">
        <f t="shared" si="23"/>
        <v>9.3000000000000007</v>
      </c>
      <c r="F72" s="270">
        <f t="shared" si="24"/>
        <v>15.5</v>
      </c>
      <c r="G72" s="252" t="s">
        <v>281</v>
      </c>
      <c r="H72" s="267" t="str">
        <f t="shared" ca="1" si="25"/>
        <v/>
      </c>
      <c r="I72" s="257"/>
      <c r="J72" s="334"/>
      <c r="S72" s="208" t="str">
        <f t="shared" ca="1" si="26"/>
        <v/>
      </c>
      <c r="T72" s="286" t="s">
        <v>439</v>
      </c>
      <c r="U72" s="290"/>
    </row>
    <row r="73" spans="1:21" ht="15" x14ac:dyDescent="0.25">
      <c r="A73" s="207" t="s">
        <v>440</v>
      </c>
      <c r="B73" s="270">
        <f t="shared" si="21"/>
        <v>5.1150000000000002</v>
      </c>
      <c r="C73" s="270">
        <f t="shared" si="22"/>
        <v>6.5100000000000007</v>
      </c>
      <c r="D73" s="270">
        <v>9.3000000000000007</v>
      </c>
      <c r="E73" s="270">
        <f t="shared" si="23"/>
        <v>13.950000000000001</v>
      </c>
      <c r="F73" s="270">
        <f t="shared" si="24"/>
        <v>23.25</v>
      </c>
      <c r="G73" s="252" t="s">
        <v>282</v>
      </c>
      <c r="H73" s="267" t="str">
        <f t="shared" ca="1" si="25"/>
        <v/>
      </c>
      <c r="I73" s="257"/>
      <c r="J73" s="334"/>
      <c r="S73" s="208" t="str">
        <f t="shared" ca="1" si="26"/>
        <v/>
      </c>
      <c r="T73" s="286" t="s">
        <v>440</v>
      </c>
      <c r="U73" s="290"/>
    </row>
    <row r="74" spans="1:21" ht="15" x14ac:dyDescent="0.25">
      <c r="A74" s="207" t="s">
        <v>441</v>
      </c>
      <c r="B74" s="270">
        <f t="shared" si="21"/>
        <v>6.5449999999999999</v>
      </c>
      <c r="C74" s="270">
        <f t="shared" si="22"/>
        <v>8.33</v>
      </c>
      <c r="D74" s="270">
        <v>11.9</v>
      </c>
      <c r="E74" s="270">
        <f t="shared" si="23"/>
        <v>17.849999999999998</v>
      </c>
      <c r="F74" s="270">
        <f t="shared" si="24"/>
        <v>29.75</v>
      </c>
      <c r="G74" s="252" t="s">
        <v>283</v>
      </c>
      <c r="H74" s="267" t="str">
        <f t="shared" ca="1" si="25"/>
        <v/>
      </c>
      <c r="I74" s="257"/>
      <c r="J74" s="334"/>
      <c r="S74" s="208" t="str">
        <f t="shared" ca="1" si="26"/>
        <v/>
      </c>
      <c r="T74" s="286" t="s">
        <v>441</v>
      </c>
      <c r="U74" s="290"/>
    </row>
    <row r="75" spans="1:21" ht="15" x14ac:dyDescent="0.25">
      <c r="A75" s="207" t="s">
        <v>442</v>
      </c>
      <c r="B75" s="270">
        <f t="shared" si="21"/>
        <v>8.745000000000001</v>
      </c>
      <c r="C75" s="270">
        <f t="shared" si="22"/>
        <v>11.13</v>
      </c>
      <c r="D75" s="270">
        <v>15.9</v>
      </c>
      <c r="E75" s="270">
        <f t="shared" si="23"/>
        <v>23.85</v>
      </c>
      <c r="F75" s="270">
        <f t="shared" si="24"/>
        <v>39.75</v>
      </c>
      <c r="G75" s="252" t="s">
        <v>284</v>
      </c>
      <c r="H75" s="267" t="str">
        <f t="shared" ca="1" si="25"/>
        <v/>
      </c>
      <c r="I75" s="257"/>
      <c r="J75" s="334"/>
      <c r="S75" s="208" t="str">
        <f t="shared" ca="1" si="26"/>
        <v/>
      </c>
      <c r="T75" s="286" t="s">
        <v>442</v>
      </c>
      <c r="U75" s="290"/>
    </row>
    <row r="76" spans="1:21" ht="15" x14ac:dyDescent="0.25">
      <c r="A76" s="207"/>
      <c r="B76" s="263"/>
      <c r="C76" s="263"/>
      <c r="D76" s="263"/>
      <c r="E76" s="263"/>
      <c r="F76" s="263"/>
      <c r="G76" s="254"/>
      <c r="H76" s="267" t="str">
        <f t="shared" ca="1" si="25"/>
        <v/>
      </c>
      <c r="I76" s="248"/>
      <c r="J76" s="334"/>
      <c r="S76" s="208" t="str">
        <f t="shared" ca="1" si="26"/>
        <v/>
      </c>
      <c r="T76" s="286"/>
      <c r="U76" s="289"/>
    </row>
    <row r="77" spans="1:21" ht="15" x14ac:dyDescent="0.25">
      <c r="A77" s="207" t="s">
        <v>433</v>
      </c>
      <c r="B77" s="270">
        <f t="shared" si="21"/>
        <v>1.2649999999999999</v>
      </c>
      <c r="C77" s="270">
        <f t="shared" si="22"/>
        <v>1.6099999999999999</v>
      </c>
      <c r="D77" s="270">
        <v>2.2999999999999998</v>
      </c>
      <c r="E77" s="270">
        <f t="shared" si="23"/>
        <v>3.4499999999999997</v>
      </c>
      <c r="F77" s="270">
        <f t="shared" si="24"/>
        <v>5.75</v>
      </c>
      <c r="G77" s="270" t="s">
        <v>285</v>
      </c>
      <c r="H77" s="267" t="str">
        <f t="shared" ca="1" si="25"/>
        <v/>
      </c>
      <c r="I77" s="257"/>
      <c r="J77" s="334"/>
      <c r="S77" s="208" t="str">
        <f t="shared" ca="1" si="26"/>
        <v/>
      </c>
      <c r="T77" s="286" t="s">
        <v>433</v>
      </c>
      <c r="U77" s="290"/>
    </row>
    <row r="78" spans="1:21" ht="15" x14ac:dyDescent="0.25">
      <c r="A78" s="207" t="s">
        <v>434</v>
      </c>
      <c r="B78" s="270">
        <f t="shared" si="21"/>
        <v>2.5299999999999998</v>
      </c>
      <c r="C78" s="270">
        <f t="shared" si="22"/>
        <v>3.2199999999999998</v>
      </c>
      <c r="D78" s="270">
        <v>4.5999999999999996</v>
      </c>
      <c r="E78" s="270">
        <f t="shared" si="23"/>
        <v>6.8999999999999995</v>
      </c>
      <c r="F78" s="270">
        <f t="shared" si="24"/>
        <v>11.5</v>
      </c>
      <c r="G78" s="270" t="s">
        <v>286</v>
      </c>
      <c r="H78" s="267" t="str">
        <f t="shared" ca="1" si="25"/>
        <v/>
      </c>
      <c r="I78" s="257"/>
      <c r="J78" s="334"/>
      <c r="S78" s="208" t="str">
        <f t="shared" ca="1" si="26"/>
        <v/>
      </c>
      <c r="T78" s="286" t="s">
        <v>434</v>
      </c>
      <c r="U78" s="290"/>
    </row>
    <row r="79" spans="1:21" ht="15" x14ac:dyDescent="0.25">
      <c r="A79" s="207" t="s">
        <v>435</v>
      </c>
      <c r="B79" s="270">
        <f t="shared" si="21"/>
        <v>3.7950000000000004</v>
      </c>
      <c r="C79" s="270">
        <f t="shared" si="22"/>
        <v>4.83</v>
      </c>
      <c r="D79" s="270">
        <v>6.9</v>
      </c>
      <c r="E79" s="270">
        <f t="shared" si="23"/>
        <v>10.350000000000001</v>
      </c>
      <c r="F79" s="270">
        <f t="shared" si="24"/>
        <v>17.25</v>
      </c>
      <c r="G79" s="270" t="s">
        <v>287</v>
      </c>
      <c r="H79" s="267" t="str">
        <f t="shared" ca="1" si="25"/>
        <v/>
      </c>
      <c r="I79" s="257"/>
      <c r="J79" s="334"/>
      <c r="S79" s="208" t="str">
        <f t="shared" ca="1" si="26"/>
        <v/>
      </c>
      <c r="T79" s="286" t="s">
        <v>435</v>
      </c>
      <c r="U79" s="290"/>
    </row>
    <row r="80" spans="1:21" ht="15" x14ac:dyDescent="0.25">
      <c r="A80" s="207" t="s">
        <v>436</v>
      </c>
      <c r="B80" s="270">
        <f t="shared" si="21"/>
        <v>4.8950000000000005</v>
      </c>
      <c r="C80" s="270">
        <f t="shared" si="22"/>
        <v>6.23</v>
      </c>
      <c r="D80" s="270">
        <v>8.9</v>
      </c>
      <c r="E80" s="270">
        <f t="shared" si="23"/>
        <v>13.35</v>
      </c>
      <c r="F80" s="270">
        <f t="shared" si="24"/>
        <v>22.25</v>
      </c>
      <c r="G80" s="270" t="s">
        <v>288</v>
      </c>
      <c r="H80" s="267" t="str">
        <f t="shared" ca="1" si="25"/>
        <v/>
      </c>
      <c r="I80" s="257"/>
      <c r="J80" s="334"/>
      <c r="S80" s="208" t="str">
        <f t="shared" ca="1" si="26"/>
        <v/>
      </c>
      <c r="T80" s="286" t="s">
        <v>436</v>
      </c>
      <c r="U80" s="290"/>
    </row>
    <row r="81" spans="1:21" ht="15" x14ac:dyDescent="0.25">
      <c r="A81" s="207" t="s">
        <v>437</v>
      </c>
      <c r="B81" s="270">
        <f t="shared" si="21"/>
        <v>6.38</v>
      </c>
      <c r="C81" s="270">
        <f t="shared" si="22"/>
        <v>8.1199999999999992</v>
      </c>
      <c r="D81" s="270">
        <v>11.6</v>
      </c>
      <c r="E81" s="270">
        <f t="shared" si="23"/>
        <v>17.399999999999999</v>
      </c>
      <c r="F81" s="270">
        <f t="shared" si="24"/>
        <v>28.999999999999996</v>
      </c>
      <c r="G81" s="270" t="s">
        <v>289</v>
      </c>
      <c r="H81" s="267" t="str">
        <f t="shared" ca="1" si="25"/>
        <v/>
      </c>
      <c r="I81" s="257"/>
      <c r="J81" s="334"/>
      <c r="S81" s="208" t="str">
        <f t="shared" ca="1" si="26"/>
        <v/>
      </c>
      <c r="T81" s="286" t="s">
        <v>437</v>
      </c>
      <c r="U81" s="290"/>
    </row>
    <row r="82" spans="1:21" ht="15" x14ac:dyDescent="0.25">
      <c r="A82" s="207"/>
      <c r="B82" s="263"/>
      <c r="C82" s="263"/>
      <c r="D82" s="263"/>
      <c r="E82" s="263"/>
      <c r="F82" s="263"/>
      <c r="G82" s="255"/>
      <c r="H82" s="267" t="str">
        <f t="shared" ca="1" si="25"/>
        <v/>
      </c>
      <c r="I82" s="264"/>
      <c r="J82" s="334"/>
      <c r="S82" s="208" t="str">
        <f t="shared" ca="1" si="26"/>
        <v/>
      </c>
      <c r="T82" s="286"/>
      <c r="U82" s="291"/>
    </row>
    <row r="83" spans="1:21" ht="15" x14ac:dyDescent="0.25">
      <c r="A83" s="207" t="s">
        <v>438</v>
      </c>
      <c r="B83" s="270">
        <f t="shared" si="21"/>
        <v>1.4850000000000001</v>
      </c>
      <c r="C83" s="270">
        <f t="shared" si="22"/>
        <v>1.8900000000000001</v>
      </c>
      <c r="D83" s="270">
        <v>2.7</v>
      </c>
      <c r="E83" s="270">
        <f t="shared" si="23"/>
        <v>4.0500000000000007</v>
      </c>
      <c r="F83" s="270">
        <f t="shared" si="24"/>
        <v>6.75</v>
      </c>
      <c r="G83" s="252" t="s">
        <v>290</v>
      </c>
      <c r="H83" s="267" t="str">
        <f t="shared" ca="1" si="25"/>
        <v/>
      </c>
      <c r="I83" s="257"/>
      <c r="J83" s="334"/>
      <c r="S83" s="208" t="str">
        <f t="shared" ca="1" si="26"/>
        <v/>
      </c>
      <c r="T83" s="286" t="s">
        <v>438</v>
      </c>
      <c r="U83" s="290"/>
    </row>
    <row r="84" spans="1:21" ht="15" x14ac:dyDescent="0.25">
      <c r="A84" s="207" t="s">
        <v>439</v>
      </c>
      <c r="B84" s="270">
        <f t="shared" si="21"/>
        <v>3.0250000000000004</v>
      </c>
      <c r="C84" s="270">
        <f t="shared" si="22"/>
        <v>3.8500000000000005</v>
      </c>
      <c r="D84" s="270">
        <v>5.5</v>
      </c>
      <c r="E84" s="270">
        <f t="shared" si="23"/>
        <v>8.25</v>
      </c>
      <c r="F84" s="270">
        <f t="shared" si="24"/>
        <v>13.750000000000002</v>
      </c>
      <c r="G84" s="252" t="s">
        <v>291</v>
      </c>
      <c r="H84" s="267" t="str">
        <f t="shared" ca="1" si="25"/>
        <v/>
      </c>
      <c r="I84" s="257"/>
      <c r="J84" s="334"/>
      <c r="S84" s="208" t="str">
        <f t="shared" ca="1" si="26"/>
        <v/>
      </c>
      <c r="T84" s="286" t="s">
        <v>439</v>
      </c>
      <c r="U84" s="290"/>
    </row>
    <row r="85" spans="1:21" ht="15" x14ac:dyDescent="0.25">
      <c r="A85" s="207" t="s">
        <v>440</v>
      </c>
      <c r="B85" s="270">
        <f t="shared" si="21"/>
        <v>4.5650000000000004</v>
      </c>
      <c r="C85" s="270">
        <f t="shared" si="22"/>
        <v>5.8100000000000005</v>
      </c>
      <c r="D85" s="270">
        <v>8.3000000000000007</v>
      </c>
      <c r="E85" s="270">
        <f t="shared" si="23"/>
        <v>12.450000000000001</v>
      </c>
      <c r="F85" s="270">
        <f t="shared" si="24"/>
        <v>20.75</v>
      </c>
      <c r="G85" s="252" t="s">
        <v>292</v>
      </c>
      <c r="H85" s="267" t="str">
        <f t="shared" ca="1" si="25"/>
        <v/>
      </c>
      <c r="I85" s="257"/>
      <c r="J85" s="334"/>
      <c r="S85" s="208" t="str">
        <f t="shared" ca="1" si="26"/>
        <v/>
      </c>
      <c r="T85" s="286" t="s">
        <v>440</v>
      </c>
      <c r="U85" s="290"/>
    </row>
    <row r="86" spans="1:21" ht="15" x14ac:dyDescent="0.25">
      <c r="A86" s="207" t="s">
        <v>441</v>
      </c>
      <c r="B86" s="270">
        <f t="shared" si="21"/>
        <v>6.2700000000000005</v>
      </c>
      <c r="C86" s="270">
        <f t="shared" si="22"/>
        <v>7.98</v>
      </c>
      <c r="D86" s="270">
        <v>11.4</v>
      </c>
      <c r="E86" s="270">
        <f t="shared" si="23"/>
        <v>17.100000000000001</v>
      </c>
      <c r="F86" s="270">
        <f t="shared" si="24"/>
        <v>28.500000000000004</v>
      </c>
      <c r="G86" s="252" t="s">
        <v>293</v>
      </c>
      <c r="H86" s="267" t="str">
        <f t="shared" ca="1" si="25"/>
        <v/>
      </c>
      <c r="I86" s="257"/>
      <c r="J86" s="334"/>
      <c r="S86" s="208" t="str">
        <f t="shared" ca="1" si="26"/>
        <v/>
      </c>
      <c r="T86" s="286" t="s">
        <v>441</v>
      </c>
      <c r="U86" s="290"/>
    </row>
    <row r="87" spans="1:21" ht="15" x14ac:dyDescent="0.25">
      <c r="A87" s="207" t="s">
        <v>442</v>
      </c>
      <c r="B87" s="270">
        <f t="shared" si="21"/>
        <v>7.7549999999999999</v>
      </c>
      <c r="C87" s="270">
        <f t="shared" si="22"/>
        <v>9.8699999999999992</v>
      </c>
      <c r="D87" s="270">
        <v>14.1</v>
      </c>
      <c r="E87" s="270">
        <f t="shared" si="23"/>
        <v>21.15</v>
      </c>
      <c r="F87" s="270">
        <f t="shared" si="24"/>
        <v>35.25</v>
      </c>
      <c r="G87" s="252" t="s">
        <v>294</v>
      </c>
      <c r="H87" s="267" t="str">
        <f t="shared" ca="1" si="25"/>
        <v/>
      </c>
      <c r="I87" s="257"/>
      <c r="J87" s="334"/>
      <c r="S87" s="208" t="str">
        <f t="shared" ca="1" si="26"/>
        <v/>
      </c>
      <c r="T87" s="286" t="s">
        <v>442</v>
      </c>
      <c r="U87" s="290"/>
    </row>
    <row r="88" spans="1:21" ht="15" x14ac:dyDescent="0.25">
      <c r="A88" s="207"/>
      <c r="B88" s="207"/>
      <c r="C88" s="207"/>
      <c r="D88" s="207"/>
      <c r="E88" s="207"/>
      <c r="F88" s="207"/>
      <c r="G88" s="207"/>
      <c r="H88" s="267" t="str">
        <f t="shared" ref="H88:H94" ca="1" si="27">IF(AND(LEFT(A88,3)=$L$1,INDIRECT($L$6&amp;ROW())&gt;$K$1),ROW(),"")</f>
        <v/>
      </c>
      <c r="I88" s="253"/>
      <c r="J88" s="334"/>
      <c r="S88" s="208" t="str">
        <f t="shared" ca="1" si="26"/>
        <v/>
      </c>
      <c r="T88" s="286"/>
      <c r="U88" s="284"/>
    </row>
    <row r="89" spans="1:21" ht="15" x14ac:dyDescent="0.25">
      <c r="A89" s="207" t="s">
        <v>383</v>
      </c>
      <c r="B89" s="270">
        <f t="shared" ref="B89:B94" si="28">D89/10*5.5</f>
        <v>0.37949999999999995</v>
      </c>
      <c r="C89" s="270">
        <f t="shared" ref="C89:C94" si="29">D89/10*7</f>
        <v>0.48299999999999993</v>
      </c>
      <c r="D89" s="270">
        <v>0.69</v>
      </c>
      <c r="E89" s="270">
        <f t="shared" ref="E89:E94" si="30">D89/10*15</f>
        <v>1.0349999999999999</v>
      </c>
      <c r="F89" s="270">
        <f t="shared" ref="F89:F94" si="31">D89/10*25</f>
        <v>1.7249999999999999</v>
      </c>
      <c r="G89" s="279" t="s">
        <v>422</v>
      </c>
      <c r="H89" s="267" t="str">
        <f t="shared" ca="1" si="27"/>
        <v/>
      </c>
      <c r="I89" s="257"/>
      <c r="J89" s="334"/>
      <c r="S89" s="208" t="str">
        <f t="shared" ca="1" si="26"/>
        <v/>
      </c>
      <c r="T89" s="286" t="s">
        <v>383</v>
      </c>
      <c r="U89" s="290"/>
    </row>
    <row r="90" spans="1:21" ht="15" x14ac:dyDescent="0.25">
      <c r="A90" s="207" t="s">
        <v>384</v>
      </c>
      <c r="B90" s="270">
        <f t="shared" si="28"/>
        <v>0.58850000000000002</v>
      </c>
      <c r="C90" s="270">
        <f t="shared" si="29"/>
        <v>0.74900000000000011</v>
      </c>
      <c r="D90" s="270">
        <v>1.07</v>
      </c>
      <c r="E90" s="270">
        <f t="shared" si="30"/>
        <v>1.6050000000000002</v>
      </c>
      <c r="F90" s="270">
        <f t="shared" si="31"/>
        <v>2.6750000000000003</v>
      </c>
      <c r="G90" s="270" t="s">
        <v>326</v>
      </c>
      <c r="H90" s="267" t="str">
        <f t="shared" ca="1" si="27"/>
        <v/>
      </c>
      <c r="I90" s="257"/>
      <c r="J90" s="334"/>
      <c r="S90" s="208" t="str">
        <f t="shared" ca="1" si="26"/>
        <v/>
      </c>
      <c r="T90" s="286" t="s">
        <v>384</v>
      </c>
      <c r="U90" s="290"/>
    </row>
    <row r="91" spans="1:21" ht="15" x14ac:dyDescent="0.25">
      <c r="A91" s="207" t="s">
        <v>385</v>
      </c>
      <c r="B91" s="270">
        <f t="shared" si="28"/>
        <v>0.77549999999999997</v>
      </c>
      <c r="C91" s="270">
        <f t="shared" si="29"/>
        <v>0.98699999999999988</v>
      </c>
      <c r="D91" s="270">
        <v>1.41</v>
      </c>
      <c r="E91" s="270">
        <f t="shared" si="30"/>
        <v>2.1149999999999998</v>
      </c>
      <c r="F91" s="270">
        <f t="shared" si="31"/>
        <v>3.5249999999999995</v>
      </c>
      <c r="G91" s="270" t="s">
        <v>327</v>
      </c>
      <c r="H91" s="267" t="str">
        <f t="shared" ca="1" si="27"/>
        <v/>
      </c>
      <c r="I91" s="257"/>
      <c r="J91" s="334"/>
      <c r="S91" s="208" t="str">
        <f t="shared" ca="1" si="26"/>
        <v/>
      </c>
      <c r="T91" s="286" t="s">
        <v>385</v>
      </c>
      <c r="U91" s="290"/>
    </row>
    <row r="92" spans="1:21" ht="15" x14ac:dyDescent="0.25">
      <c r="A92" s="207" t="s">
        <v>386</v>
      </c>
      <c r="B92" s="270">
        <f t="shared" si="28"/>
        <v>1.2155</v>
      </c>
      <c r="C92" s="270">
        <f t="shared" si="29"/>
        <v>1.5469999999999999</v>
      </c>
      <c r="D92" s="270">
        <v>2.21</v>
      </c>
      <c r="E92" s="270">
        <f t="shared" si="30"/>
        <v>3.3149999999999999</v>
      </c>
      <c r="F92" s="270">
        <f t="shared" si="31"/>
        <v>5.5250000000000004</v>
      </c>
      <c r="G92" s="270" t="s">
        <v>328</v>
      </c>
      <c r="H92" s="267" t="str">
        <f t="shared" ca="1" si="27"/>
        <v/>
      </c>
      <c r="I92" s="257"/>
      <c r="J92" s="334"/>
      <c r="S92" s="208" t="str">
        <f t="shared" ca="1" si="26"/>
        <v/>
      </c>
      <c r="T92" s="286" t="s">
        <v>386</v>
      </c>
      <c r="U92" s="290"/>
    </row>
    <row r="93" spans="1:21" ht="15" x14ac:dyDescent="0.25">
      <c r="A93" s="207" t="s">
        <v>387</v>
      </c>
      <c r="B93" s="270">
        <f t="shared" si="28"/>
        <v>1.6279999999999999</v>
      </c>
      <c r="C93" s="270">
        <f t="shared" si="29"/>
        <v>2.0720000000000001</v>
      </c>
      <c r="D93" s="270">
        <v>2.96</v>
      </c>
      <c r="E93" s="270">
        <f t="shared" si="30"/>
        <v>4.4399999999999995</v>
      </c>
      <c r="F93" s="270">
        <f t="shared" si="31"/>
        <v>7.3999999999999995</v>
      </c>
      <c r="G93" s="270" t="s">
        <v>329</v>
      </c>
      <c r="H93" s="267" t="str">
        <f t="shared" ca="1" si="27"/>
        <v/>
      </c>
      <c r="I93" s="257"/>
      <c r="J93" s="334"/>
      <c r="S93" s="208" t="str">
        <f t="shared" ca="1" si="26"/>
        <v/>
      </c>
      <c r="T93" s="286" t="s">
        <v>387</v>
      </c>
      <c r="U93" s="290"/>
    </row>
    <row r="94" spans="1:21" ht="15" x14ac:dyDescent="0.25">
      <c r="A94" s="207" t="s">
        <v>388</v>
      </c>
      <c r="B94" s="270">
        <f t="shared" si="28"/>
        <v>23.924999999999997</v>
      </c>
      <c r="C94" s="270">
        <f t="shared" si="29"/>
        <v>30.449999999999996</v>
      </c>
      <c r="D94" s="270">
        <v>43.5</v>
      </c>
      <c r="E94" s="270">
        <f t="shared" si="30"/>
        <v>65.25</v>
      </c>
      <c r="F94" s="270">
        <f t="shared" si="31"/>
        <v>108.74999999999999</v>
      </c>
      <c r="G94" s="270" t="s">
        <v>330</v>
      </c>
      <c r="H94" s="267" t="str">
        <f t="shared" ca="1" si="27"/>
        <v/>
      </c>
      <c r="I94" s="257"/>
      <c r="J94" s="334"/>
      <c r="S94" s="208" t="str">
        <f t="shared" ca="1" si="26"/>
        <v/>
      </c>
      <c r="T94" s="286" t="s">
        <v>388</v>
      </c>
      <c r="U94" s="290"/>
    </row>
    <row r="95" spans="1:21" x14ac:dyDescent="0.2">
      <c r="A95" s="207"/>
      <c r="B95" s="207"/>
      <c r="C95" s="207"/>
      <c r="D95" s="207"/>
      <c r="E95" s="207"/>
      <c r="F95" s="207"/>
      <c r="G95" s="207"/>
      <c r="H95" s="267" t="str">
        <f ca="1">IF(AND(LEFT(A95,4)=$L$1,INDIRECT($L$6&amp;ROW())&gt;$K$1),ROW(),"")</f>
        <v/>
      </c>
      <c r="I95" s="267"/>
      <c r="J95" s="334"/>
      <c r="S95" s="208" t="str">
        <f t="shared" ca="1" si="26"/>
        <v/>
      </c>
      <c r="T95" s="286"/>
      <c r="U95" s="287"/>
    </row>
    <row r="96" spans="1:21" ht="15" x14ac:dyDescent="0.25">
      <c r="A96" s="268" t="s">
        <v>389</v>
      </c>
      <c r="B96" s="270">
        <f>D96/10*5.5</f>
        <v>1.2100000000000002</v>
      </c>
      <c r="C96" s="270">
        <f>D96/10*7</f>
        <v>1.5400000000000003</v>
      </c>
      <c r="D96" s="270">
        <v>2.2000000000000002</v>
      </c>
      <c r="E96" s="270">
        <f>D96/10*15</f>
        <v>3.3000000000000003</v>
      </c>
      <c r="F96" s="270">
        <f>D96/10*25</f>
        <v>5.5000000000000009</v>
      </c>
      <c r="G96" s="270" t="s">
        <v>264</v>
      </c>
      <c r="H96" s="267">
        <f ca="1">IF(AND(LEFT(A96,4)=$L$1,INDIRECT($L$6&amp;ROW())&gt;$K$1),ROW(),"")</f>
        <v>96</v>
      </c>
      <c r="I96" s="261"/>
      <c r="J96" s="334"/>
      <c r="S96" s="208" t="str">
        <f t="shared" ca="1" si="26"/>
        <v/>
      </c>
      <c r="T96" s="292" t="s">
        <v>389</v>
      </c>
      <c r="U96" s="281"/>
    </row>
    <row r="97" spans="1:21" ht="15" x14ac:dyDescent="0.25">
      <c r="A97" s="268" t="s">
        <v>390</v>
      </c>
      <c r="B97" s="270">
        <f t="shared" ref="B97:B112" si="32">D97/10*5.5</f>
        <v>1.76</v>
      </c>
      <c r="C97" s="270">
        <f t="shared" ref="C97:C112" si="33">D97/10*7</f>
        <v>2.2400000000000002</v>
      </c>
      <c r="D97" s="270">
        <v>3.2</v>
      </c>
      <c r="E97" s="270">
        <f t="shared" ref="E97:E112" si="34">D97/10*15</f>
        <v>4.8</v>
      </c>
      <c r="F97" s="270">
        <f t="shared" ref="F97:F112" si="35">D97/10*25</f>
        <v>8</v>
      </c>
      <c r="G97" s="270" t="s">
        <v>266</v>
      </c>
      <c r="H97" s="267">
        <f t="shared" ref="H97:H129" ca="1" si="36">IF(AND(LEFT(A97,4)=$L$1,INDIRECT($L$6&amp;ROW())&gt;$K$1),ROW(),"")</f>
        <v>97</v>
      </c>
      <c r="I97" s="261"/>
      <c r="J97" s="334"/>
      <c r="S97" s="208" t="str">
        <f t="shared" ca="1" si="26"/>
        <v/>
      </c>
      <c r="T97" s="292" t="s">
        <v>390</v>
      </c>
      <c r="U97" s="281"/>
    </row>
    <row r="98" spans="1:21" ht="15" x14ac:dyDescent="0.25">
      <c r="A98" s="268" t="s">
        <v>391</v>
      </c>
      <c r="B98" s="270">
        <f t="shared" si="32"/>
        <v>2.31</v>
      </c>
      <c r="C98" s="270">
        <f t="shared" si="33"/>
        <v>2.9400000000000004</v>
      </c>
      <c r="D98" s="270">
        <v>4.2</v>
      </c>
      <c r="E98" s="270">
        <f t="shared" si="34"/>
        <v>6.3000000000000007</v>
      </c>
      <c r="F98" s="270">
        <f t="shared" si="35"/>
        <v>10.500000000000002</v>
      </c>
      <c r="G98" s="270" t="s">
        <v>268</v>
      </c>
      <c r="H98" s="267">
        <f t="shared" ca="1" si="36"/>
        <v>98</v>
      </c>
      <c r="I98" s="261"/>
      <c r="J98" s="334"/>
      <c r="S98" s="208" t="str">
        <f t="shared" ca="1" si="26"/>
        <v/>
      </c>
      <c r="T98" s="292" t="s">
        <v>391</v>
      </c>
      <c r="U98" s="281"/>
    </row>
    <row r="99" spans="1:21" ht="15" x14ac:dyDescent="0.25">
      <c r="A99" s="268" t="s">
        <v>392</v>
      </c>
      <c r="B99" s="270">
        <f t="shared" si="32"/>
        <v>2.8600000000000003</v>
      </c>
      <c r="C99" s="270">
        <f t="shared" si="33"/>
        <v>3.64</v>
      </c>
      <c r="D99" s="270">
        <v>5.2</v>
      </c>
      <c r="E99" s="270">
        <f t="shared" si="34"/>
        <v>7.8000000000000007</v>
      </c>
      <c r="F99" s="270">
        <f t="shared" si="35"/>
        <v>13</v>
      </c>
      <c r="G99" s="270" t="s">
        <v>270</v>
      </c>
      <c r="H99" s="267">
        <f t="shared" ca="1" si="36"/>
        <v>99</v>
      </c>
      <c r="I99" s="261"/>
      <c r="J99" s="334"/>
      <c r="S99" s="208" t="str">
        <f t="shared" ca="1" si="26"/>
        <v/>
      </c>
      <c r="T99" s="292" t="s">
        <v>392</v>
      </c>
      <c r="U99" s="281"/>
    </row>
    <row r="100" spans="1:21" ht="15" x14ac:dyDescent="0.25">
      <c r="A100" s="268" t="s">
        <v>393</v>
      </c>
      <c r="B100" s="270">
        <f t="shared" si="32"/>
        <v>3.41</v>
      </c>
      <c r="C100" s="270">
        <f t="shared" si="33"/>
        <v>4.34</v>
      </c>
      <c r="D100" s="270">
        <v>6.2</v>
      </c>
      <c r="E100" s="270">
        <f t="shared" si="34"/>
        <v>9.3000000000000007</v>
      </c>
      <c r="F100" s="270">
        <f t="shared" si="35"/>
        <v>15.5</v>
      </c>
      <c r="G100" s="270" t="s">
        <v>272</v>
      </c>
      <c r="H100" s="267">
        <f t="shared" ca="1" si="36"/>
        <v>100</v>
      </c>
      <c r="I100" s="261"/>
      <c r="J100" s="334"/>
      <c r="S100" s="208" t="str">
        <f t="shared" ca="1" si="26"/>
        <v/>
      </c>
      <c r="T100" s="292" t="s">
        <v>393</v>
      </c>
      <c r="U100" s="281"/>
    </row>
    <row r="101" spans="1:21" ht="15" x14ac:dyDescent="0.25">
      <c r="A101" s="269" t="s">
        <v>394</v>
      </c>
      <c r="B101" s="270">
        <f t="shared" si="32"/>
        <v>3.96</v>
      </c>
      <c r="C101" s="270">
        <f t="shared" si="33"/>
        <v>5.04</v>
      </c>
      <c r="D101" s="270">
        <v>7.2</v>
      </c>
      <c r="E101" s="270">
        <f t="shared" si="34"/>
        <v>10.799999999999999</v>
      </c>
      <c r="F101" s="270">
        <f t="shared" si="35"/>
        <v>18</v>
      </c>
      <c r="G101" s="252" t="s">
        <v>274</v>
      </c>
      <c r="H101" s="267">
        <f t="shared" ca="1" si="36"/>
        <v>101</v>
      </c>
      <c r="I101" s="261"/>
      <c r="J101" s="334"/>
      <c r="S101" s="208" t="str">
        <f t="shared" ca="1" si="26"/>
        <v/>
      </c>
      <c r="T101" s="293" t="s">
        <v>394</v>
      </c>
      <c r="U101" s="281"/>
    </row>
    <row r="102" spans="1:21" ht="15" x14ac:dyDescent="0.25">
      <c r="A102" s="269" t="s">
        <v>395</v>
      </c>
      <c r="B102" s="270">
        <f t="shared" si="32"/>
        <v>4.51</v>
      </c>
      <c r="C102" s="270">
        <f t="shared" si="33"/>
        <v>5.7399999999999993</v>
      </c>
      <c r="D102" s="270">
        <v>8.1999999999999993</v>
      </c>
      <c r="E102" s="270">
        <f t="shared" si="34"/>
        <v>12.299999999999999</v>
      </c>
      <c r="F102" s="270">
        <f t="shared" si="35"/>
        <v>20.5</v>
      </c>
      <c r="G102" s="252" t="s">
        <v>304</v>
      </c>
      <c r="H102" s="267">
        <f t="shared" ca="1" si="36"/>
        <v>102</v>
      </c>
      <c r="I102" s="261"/>
      <c r="J102" s="334"/>
      <c r="S102" s="208" t="str">
        <f t="shared" ca="1" si="26"/>
        <v/>
      </c>
      <c r="T102" s="293" t="s">
        <v>395</v>
      </c>
      <c r="U102" s="281"/>
    </row>
    <row r="103" spans="1:21" ht="15" x14ac:dyDescent="0.25">
      <c r="A103" s="269" t="s">
        <v>396</v>
      </c>
      <c r="B103" s="270">
        <f t="shared" si="32"/>
        <v>5.0599999999999996</v>
      </c>
      <c r="C103" s="270">
        <f t="shared" si="33"/>
        <v>6.4399999999999995</v>
      </c>
      <c r="D103" s="270">
        <v>9.1999999999999993</v>
      </c>
      <c r="E103" s="270">
        <f t="shared" si="34"/>
        <v>13.799999999999999</v>
      </c>
      <c r="F103" s="270">
        <f t="shared" si="35"/>
        <v>23</v>
      </c>
      <c r="G103" s="252" t="s">
        <v>306</v>
      </c>
      <c r="H103" s="267">
        <f t="shared" ca="1" si="36"/>
        <v>103</v>
      </c>
      <c r="I103" s="261"/>
      <c r="J103" s="334"/>
      <c r="S103" s="208" t="str">
        <f t="shared" ca="1" si="26"/>
        <v/>
      </c>
      <c r="T103" s="293" t="s">
        <v>396</v>
      </c>
      <c r="U103" s="281"/>
    </row>
    <row r="104" spans="1:21" ht="15" x14ac:dyDescent="0.25">
      <c r="A104" s="269" t="s">
        <v>397</v>
      </c>
      <c r="B104" s="270">
        <f t="shared" si="32"/>
        <v>5.61</v>
      </c>
      <c r="C104" s="270">
        <f t="shared" si="33"/>
        <v>7.1400000000000006</v>
      </c>
      <c r="D104" s="270">
        <v>10.199999999999999</v>
      </c>
      <c r="E104" s="270">
        <f t="shared" si="34"/>
        <v>15.3</v>
      </c>
      <c r="F104" s="270">
        <f t="shared" si="35"/>
        <v>25.5</v>
      </c>
      <c r="G104" s="252" t="s">
        <v>308</v>
      </c>
      <c r="H104" s="267">
        <f t="shared" ca="1" si="36"/>
        <v>104</v>
      </c>
      <c r="I104" s="261"/>
      <c r="J104" s="334"/>
      <c r="S104" s="208" t="str">
        <f t="shared" ca="1" si="26"/>
        <v/>
      </c>
      <c r="T104" s="293" t="s">
        <v>397</v>
      </c>
      <c r="U104" s="281"/>
    </row>
    <row r="105" spans="1:21" ht="15" x14ac:dyDescent="0.25">
      <c r="A105" s="269" t="s">
        <v>398</v>
      </c>
      <c r="B105" s="270">
        <f t="shared" si="32"/>
        <v>6.1599999999999993</v>
      </c>
      <c r="C105" s="270">
        <f t="shared" si="33"/>
        <v>7.839999999999999</v>
      </c>
      <c r="D105" s="270">
        <v>11.2</v>
      </c>
      <c r="E105" s="270">
        <f t="shared" si="34"/>
        <v>16.799999999999997</v>
      </c>
      <c r="F105" s="270">
        <f t="shared" si="35"/>
        <v>27.999999999999996</v>
      </c>
      <c r="G105" s="252" t="s">
        <v>310</v>
      </c>
      <c r="H105" s="267">
        <f t="shared" ca="1" si="36"/>
        <v>105</v>
      </c>
      <c r="I105" s="261"/>
      <c r="J105" s="334"/>
      <c r="S105" s="208" t="str">
        <f t="shared" ca="1" si="26"/>
        <v/>
      </c>
      <c r="T105" s="293" t="s">
        <v>398</v>
      </c>
      <c r="U105" s="281"/>
    </row>
    <row r="106" spans="1:21" ht="15" x14ac:dyDescent="0.25">
      <c r="A106" s="269" t="s">
        <v>399</v>
      </c>
      <c r="B106" s="270">
        <f t="shared" si="32"/>
        <v>6.71</v>
      </c>
      <c r="C106" s="270">
        <f t="shared" si="33"/>
        <v>8.5399999999999991</v>
      </c>
      <c r="D106" s="270">
        <v>12.2</v>
      </c>
      <c r="E106" s="270">
        <f t="shared" si="34"/>
        <v>18.3</v>
      </c>
      <c r="F106" s="270">
        <f t="shared" si="35"/>
        <v>30.5</v>
      </c>
      <c r="G106" s="252" t="s">
        <v>312</v>
      </c>
      <c r="H106" s="267">
        <f t="shared" ca="1" si="36"/>
        <v>106</v>
      </c>
      <c r="I106" s="261"/>
      <c r="J106" s="334"/>
      <c r="S106" s="208" t="str">
        <f t="shared" ca="1" si="26"/>
        <v/>
      </c>
      <c r="T106" s="293" t="s">
        <v>399</v>
      </c>
      <c r="U106" s="281"/>
    </row>
    <row r="107" spans="1:21" ht="15" x14ac:dyDescent="0.25">
      <c r="A107" s="269" t="s">
        <v>400</v>
      </c>
      <c r="B107" s="270">
        <f t="shared" si="32"/>
        <v>7.2599999999999989</v>
      </c>
      <c r="C107" s="270">
        <f t="shared" si="33"/>
        <v>9.2399999999999984</v>
      </c>
      <c r="D107" s="270">
        <v>13.2</v>
      </c>
      <c r="E107" s="270">
        <f t="shared" si="34"/>
        <v>19.799999999999997</v>
      </c>
      <c r="F107" s="270">
        <f t="shared" si="35"/>
        <v>32.999999999999993</v>
      </c>
      <c r="G107" s="252" t="s">
        <v>314</v>
      </c>
      <c r="H107" s="267">
        <f t="shared" ca="1" si="36"/>
        <v>107</v>
      </c>
      <c r="I107" s="261"/>
      <c r="J107" s="334"/>
      <c r="S107" s="208" t="str">
        <f t="shared" ca="1" si="26"/>
        <v/>
      </c>
      <c r="T107" s="293" t="s">
        <v>400</v>
      </c>
      <c r="U107" s="281"/>
    </row>
    <row r="108" spans="1:21" ht="15" x14ac:dyDescent="0.25">
      <c r="A108" s="269" t="s">
        <v>401</v>
      </c>
      <c r="B108" s="270">
        <f t="shared" si="32"/>
        <v>7.81</v>
      </c>
      <c r="C108" s="270">
        <f t="shared" si="33"/>
        <v>9.94</v>
      </c>
      <c r="D108" s="270">
        <v>14.2</v>
      </c>
      <c r="E108" s="270">
        <f t="shared" si="34"/>
        <v>21.299999999999997</v>
      </c>
      <c r="F108" s="270">
        <f t="shared" si="35"/>
        <v>35.5</v>
      </c>
      <c r="G108" s="252" t="s">
        <v>316</v>
      </c>
      <c r="H108" s="267">
        <f t="shared" ca="1" si="36"/>
        <v>108</v>
      </c>
      <c r="I108" s="261"/>
      <c r="J108" s="334"/>
      <c r="S108" s="208" t="str">
        <f t="shared" ca="1" si="26"/>
        <v/>
      </c>
      <c r="T108" s="293" t="s">
        <v>401</v>
      </c>
      <c r="U108" s="281"/>
    </row>
    <row r="109" spans="1:21" ht="15" x14ac:dyDescent="0.25">
      <c r="A109" s="269" t="s">
        <v>402</v>
      </c>
      <c r="B109" s="270">
        <f t="shared" si="32"/>
        <v>8.36</v>
      </c>
      <c r="C109" s="270">
        <f t="shared" si="33"/>
        <v>10.64</v>
      </c>
      <c r="D109" s="270">
        <v>15.2</v>
      </c>
      <c r="E109" s="270">
        <f t="shared" si="34"/>
        <v>22.8</v>
      </c>
      <c r="F109" s="270">
        <f t="shared" si="35"/>
        <v>38</v>
      </c>
      <c r="G109" s="252" t="s">
        <v>318</v>
      </c>
      <c r="H109" s="267">
        <f t="shared" ca="1" si="36"/>
        <v>109</v>
      </c>
      <c r="I109" s="261"/>
      <c r="J109" s="334"/>
      <c r="S109" s="208" t="str">
        <f t="shared" ca="1" si="26"/>
        <v/>
      </c>
      <c r="T109" s="293" t="s">
        <v>402</v>
      </c>
      <c r="U109" s="281"/>
    </row>
    <row r="110" spans="1:21" ht="15" x14ac:dyDescent="0.25">
      <c r="A110" s="269" t="s">
        <v>403</v>
      </c>
      <c r="B110" s="270">
        <f t="shared" si="32"/>
        <v>8.91</v>
      </c>
      <c r="C110" s="270">
        <f t="shared" si="33"/>
        <v>11.34</v>
      </c>
      <c r="D110" s="270">
        <v>16.2</v>
      </c>
      <c r="E110" s="270">
        <f t="shared" si="34"/>
        <v>24.299999999999997</v>
      </c>
      <c r="F110" s="270">
        <f t="shared" si="35"/>
        <v>40.5</v>
      </c>
      <c r="G110" s="252" t="s">
        <v>320</v>
      </c>
      <c r="H110" s="267">
        <f t="shared" ca="1" si="36"/>
        <v>110</v>
      </c>
      <c r="I110" s="261"/>
      <c r="J110" s="334"/>
      <c r="S110" s="208" t="str">
        <f t="shared" ca="1" si="26"/>
        <v/>
      </c>
      <c r="T110" s="293" t="s">
        <v>403</v>
      </c>
      <c r="U110" s="281"/>
    </row>
    <row r="111" spans="1:21" ht="15" x14ac:dyDescent="0.25">
      <c r="A111" s="269" t="s">
        <v>404</v>
      </c>
      <c r="B111" s="270">
        <f t="shared" si="32"/>
        <v>9.4599999999999991</v>
      </c>
      <c r="C111" s="270">
        <f t="shared" si="33"/>
        <v>12.04</v>
      </c>
      <c r="D111" s="270">
        <v>17.2</v>
      </c>
      <c r="E111" s="270">
        <f t="shared" si="34"/>
        <v>25.8</v>
      </c>
      <c r="F111" s="270">
        <f t="shared" si="35"/>
        <v>43</v>
      </c>
      <c r="G111" s="252" t="s">
        <v>322</v>
      </c>
      <c r="H111" s="267">
        <f t="shared" ca="1" si="36"/>
        <v>111</v>
      </c>
      <c r="I111" s="261"/>
      <c r="J111" s="334"/>
      <c r="S111" s="208" t="str">
        <f t="shared" ca="1" si="26"/>
        <v/>
      </c>
      <c r="T111" s="293" t="s">
        <v>404</v>
      </c>
      <c r="U111" s="281"/>
    </row>
    <row r="112" spans="1:21" ht="15" x14ac:dyDescent="0.25">
      <c r="A112" s="269" t="s">
        <v>405</v>
      </c>
      <c r="B112" s="270">
        <f t="shared" si="32"/>
        <v>10.01</v>
      </c>
      <c r="C112" s="270">
        <f t="shared" si="33"/>
        <v>12.739999999999998</v>
      </c>
      <c r="D112" s="270">
        <v>18.2</v>
      </c>
      <c r="E112" s="270">
        <f t="shared" si="34"/>
        <v>27.299999999999997</v>
      </c>
      <c r="F112" s="270">
        <f t="shared" si="35"/>
        <v>45.499999999999993</v>
      </c>
      <c r="G112" s="252" t="s">
        <v>324</v>
      </c>
      <c r="H112" s="267">
        <f t="shared" ca="1" si="36"/>
        <v>112</v>
      </c>
      <c r="I112" s="261"/>
      <c r="J112" s="334"/>
      <c r="S112" s="208" t="str">
        <f t="shared" ca="1" si="26"/>
        <v/>
      </c>
      <c r="T112" s="293" t="s">
        <v>405</v>
      </c>
      <c r="U112" s="281"/>
    </row>
    <row r="113" spans="1:21" x14ac:dyDescent="0.2">
      <c r="A113" s="207"/>
      <c r="B113" s="207"/>
      <c r="C113" s="207"/>
      <c r="D113" s="207"/>
      <c r="E113" s="207"/>
      <c r="F113" s="207"/>
      <c r="G113" s="207"/>
      <c r="H113" s="267" t="str">
        <f t="shared" ca="1" si="36"/>
        <v/>
      </c>
      <c r="I113" s="267"/>
      <c r="J113" s="334"/>
      <c r="S113" s="208" t="str">
        <f t="shared" ca="1" si="26"/>
        <v/>
      </c>
      <c r="T113" s="286"/>
      <c r="U113" s="287"/>
    </row>
    <row r="114" spans="1:21" ht="15" x14ac:dyDescent="0.25">
      <c r="A114" s="268" t="s">
        <v>406</v>
      </c>
      <c r="B114" s="270">
        <f>D114/10*5.5</f>
        <v>0.93499999999999994</v>
      </c>
      <c r="C114" s="270">
        <f>D114/10*7</f>
        <v>1.19</v>
      </c>
      <c r="D114" s="270">
        <v>1.7</v>
      </c>
      <c r="E114" s="270">
        <f>D114/10*15</f>
        <v>2.5499999999999998</v>
      </c>
      <c r="F114" s="270">
        <f>D114/10*25</f>
        <v>4.25</v>
      </c>
      <c r="G114" s="270" t="s">
        <v>296</v>
      </c>
      <c r="H114" s="267" t="str">
        <f t="shared" ca="1" si="36"/>
        <v/>
      </c>
      <c r="I114" s="260"/>
      <c r="J114" s="334"/>
      <c r="S114" s="208" t="str">
        <f t="shared" ca="1" si="26"/>
        <v/>
      </c>
      <c r="T114" s="292" t="s">
        <v>406</v>
      </c>
      <c r="U114" s="290"/>
    </row>
    <row r="115" spans="1:21" ht="15" x14ac:dyDescent="0.25">
      <c r="A115" s="268" t="s">
        <v>407</v>
      </c>
      <c r="B115" s="270">
        <f t="shared" ref="B115:B129" si="37">D115/10*5.5</f>
        <v>1.9249999999999998</v>
      </c>
      <c r="C115" s="270">
        <f t="shared" ref="C115:C129" si="38">D115/10*7</f>
        <v>2.4499999999999997</v>
      </c>
      <c r="D115" s="270">
        <v>3.5</v>
      </c>
      <c r="E115" s="270">
        <f t="shared" ref="E115:E129" si="39">D115/10*15</f>
        <v>5.25</v>
      </c>
      <c r="F115" s="270">
        <f t="shared" ref="F115:F129" si="40">D115/10*25</f>
        <v>8.75</v>
      </c>
      <c r="G115" s="270" t="s">
        <v>297</v>
      </c>
      <c r="H115" s="267" t="str">
        <f t="shared" ca="1" si="36"/>
        <v/>
      </c>
      <c r="I115" s="260"/>
      <c r="J115" s="334"/>
      <c r="S115" s="208" t="str">
        <f t="shared" ca="1" si="26"/>
        <v/>
      </c>
      <c r="T115" s="292" t="s">
        <v>407</v>
      </c>
      <c r="U115" s="290"/>
    </row>
    <row r="116" spans="1:21" ht="15" x14ac:dyDescent="0.25">
      <c r="A116" s="268" t="s">
        <v>408</v>
      </c>
      <c r="B116" s="270">
        <f t="shared" si="37"/>
        <v>2.8050000000000002</v>
      </c>
      <c r="C116" s="270">
        <f t="shared" si="38"/>
        <v>3.5700000000000003</v>
      </c>
      <c r="D116" s="270">
        <v>5.0999999999999996</v>
      </c>
      <c r="E116" s="270">
        <f t="shared" si="39"/>
        <v>7.65</v>
      </c>
      <c r="F116" s="270">
        <f t="shared" si="40"/>
        <v>12.75</v>
      </c>
      <c r="G116" s="270" t="s">
        <v>267</v>
      </c>
      <c r="H116" s="267" t="str">
        <f t="shared" ca="1" si="36"/>
        <v/>
      </c>
      <c r="I116" s="260"/>
      <c r="J116" s="334"/>
      <c r="S116" s="208" t="str">
        <f t="shared" ca="1" si="26"/>
        <v/>
      </c>
      <c r="T116" s="292" t="s">
        <v>408</v>
      </c>
      <c r="U116" s="290"/>
    </row>
    <row r="117" spans="1:21" ht="15" x14ac:dyDescent="0.25">
      <c r="A117" s="268" t="s">
        <v>409</v>
      </c>
      <c r="B117" s="270">
        <f t="shared" si="37"/>
        <v>3.8499999999999996</v>
      </c>
      <c r="C117" s="270">
        <f t="shared" si="38"/>
        <v>4.8999999999999995</v>
      </c>
      <c r="D117" s="270">
        <v>7</v>
      </c>
      <c r="E117" s="270">
        <f t="shared" si="39"/>
        <v>10.5</v>
      </c>
      <c r="F117" s="270">
        <f t="shared" si="40"/>
        <v>17.5</v>
      </c>
      <c r="G117" s="270" t="s">
        <v>299</v>
      </c>
      <c r="H117" s="267" t="str">
        <f t="shared" ca="1" si="36"/>
        <v/>
      </c>
      <c r="I117" s="260"/>
      <c r="J117" s="334"/>
      <c r="S117" s="208" t="str">
        <f t="shared" ca="1" si="26"/>
        <v/>
      </c>
      <c r="T117" s="292" t="s">
        <v>409</v>
      </c>
      <c r="U117" s="290"/>
    </row>
    <row r="118" spans="1:21" ht="15" x14ac:dyDescent="0.25">
      <c r="A118" s="268" t="s">
        <v>410</v>
      </c>
      <c r="B118" s="270">
        <f t="shared" si="37"/>
        <v>4.7299999999999995</v>
      </c>
      <c r="C118" s="270">
        <f t="shared" si="38"/>
        <v>6.02</v>
      </c>
      <c r="D118" s="270">
        <v>8.6</v>
      </c>
      <c r="E118" s="270">
        <f t="shared" si="39"/>
        <v>12.9</v>
      </c>
      <c r="F118" s="270">
        <f t="shared" si="40"/>
        <v>21.5</v>
      </c>
      <c r="G118" s="270" t="s">
        <v>300</v>
      </c>
      <c r="H118" s="267" t="str">
        <f t="shared" ca="1" si="36"/>
        <v/>
      </c>
      <c r="I118" s="260"/>
      <c r="J118" s="334"/>
      <c r="S118" s="208" t="str">
        <f t="shared" ca="1" si="26"/>
        <v/>
      </c>
      <c r="T118" s="292" t="s">
        <v>410</v>
      </c>
      <c r="U118" s="290"/>
    </row>
    <row r="119" spans="1:21" ht="15" x14ac:dyDescent="0.25">
      <c r="A119" s="269" t="s">
        <v>411</v>
      </c>
      <c r="B119" s="270">
        <f t="shared" si="37"/>
        <v>5.665</v>
      </c>
      <c r="C119" s="270">
        <f t="shared" si="38"/>
        <v>7.21</v>
      </c>
      <c r="D119" s="270">
        <v>10.3</v>
      </c>
      <c r="E119" s="270">
        <f t="shared" si="39"/>
        <v>15.450000000000001</v>
      </c>
      <c r="F119" s="270">
        <f t="shared" si="40"/>
        <v>25.75</v>
      </c>
      <c r="G119" s="252" t="s">
        <v>301</v>
      </c>
      <c r="H119" s="267" t="str">
        <f t="shared" ca="1" si="36"/>
        <v/>
      </c>
      <c r="I119" s="260"/>
      <c r="J119" s="334"/>
      <c r="S119" s="208" t="str">
        <f t="shared" ca="1" si="26"/>
        <v/>
      </c>
      <c r="T119" s="293" t="s">
        <v>411</v>
      </c>
      <c r="U119" s="290"/>
    </row>
    <row r="120" spans="1:21" ht="15" x14ac:dyDescent="0.25">
      <c r="A120" s="269" t="s">
        <v>412</v>
      </c>
      <c r="B120" s="270">
        <f t="shared" si="37"/>
        <v>2.4200000000000004</v>
      </c>
      <c r="C120" s="270">
        <f t="shared" si="38"/>
        <v>3.0800000000000005</v>
      </c>
      <c r="D120" s="252">
        <v>4.4000000000000004</v>
      </c>
      <c r="E120" s="270">
        <f t="shared" si="39"/>
        <v>6.6000000000000005</v>
      </c>
      <c r="F120" s="270">
        <f t="shared" si="40"/>
        <v>11.000000000000002</v>
      </c>
      <c r="G120" s="252" t="s">
        <v>331</v>
      </c>
      <c r="H120" s="267" t="str">
        <f t="shared" ca="1" si="36"/>
        <v/>
      </c>
      <c r="I120" s="260"/>
      <c r="J120" s="334"/>
      <c r="S120" s="208" t="str">
        <f t="shared" ca="1" si="26"/>
        <v/>
      </c>
      <c r="T120" s="293" t="s">
        <v>412</v>
      </c>
      <c r="U120" s="290"/>
    </row>
    <row r="121" spans="1:21" ht="15" x14ac:dyDescent="0.25">
      <c r="A121" s="269" t="s">
        <v>413</v>
      </c>
      <c r="B121" s="270">
        <f t="shared" si="37"/>
        <v>3.6850000000000001</v>
      </c>
      <c r="C121" s="270">
        <f t="shared" si="38"/>
        <v>4.6900000000000004</v>
      </c>
      <c r="D121" s="252">
        <v>6.7</v>
      </c>
      <c r="E121" s="270">
        <f t="shared" si="39"/>
        <v>10.050000000000001</v>
      </c>
      <c r="F121" s="270">
        <f t="shared" si="40"/>
        <v>16.75</v>
      </c>
      <c r="G121" s="252" t="s">
        <v>332</v>
      </c>
      <c r="H121" s="267" t="str">
        <f t="shared" ca="1" si="36"/>
        <v/>
      </c>
      <c r="I121" s="260"/>
      <c r="J121" s="334"/>
      <c r="S121" s="208" t="str">
        <f t="shared" ca="1" si="26"/>
        <v/>
      </c>
      <c r="T121" s="293" t="s">
        <v>413</v>
      </c>
      <c r="U121" s="290"/>
    </row>
    <row r="122" spans="1:21" ht="15" x14ac:dyDescent="0.25">
      <c r="A122" s="269" t="s">
        <v>414</v>
      </c>
      <c r="B122" s="270">
        <f t="shared" si="37"/>
        <v>4.8400000000000007</v>
      </c>
      <c r="C122" s="270">
        <f t="shared" si="38"/>
        <v>6.160000000000001</v>
      </c>
      <c r="D122" s="252">
        <v>8.8000000000000007</v>
      </c>
      <c r="E122" s="270">
        <f t="shared" si="39"/>
        <v>13.200000000000001</v>
      </c>
      <c r="F122" s="270">
        <f t="shared" si="40"/>
        <v>22.000000000000004</v>
      </c>
      <c r="G122" s="252" t="s">
        <v>333</v>
      </c>
      <c r="H122" s="267" t="str">
        <f t="shared" ca="1" si="36"/>
        <v/>
      </c>
      <c r="I122" s="260"/>
      <c r="J122" s="334"/>
      <c r="S122" s="208" t="str">
        <f t="shared" ca="1" si="26"/>
        <v/>
      </c>
      <c r="T122" s="293" t="s">
        <v>414</v>
      </c>
      <c r="U122" s="290"/>
    </row>
    <row r="123" spans="1:21" ht="15" x14ac:dyDescent="0.25">
      <c r="A123" s="269" t="s">
        <v>415</v>
      </c>
      <c r="B123" s="270">
        <f t="shared" si="37"/>
        <v>7.2599999999999989</v>
      </c>
      <c r="C123" s="270">
        <f t="shared" si="38"/>
        <v>9.2399999999999984</v>
      </c>
      <c r="D123" s="252">
        <v>13.2</v>
      </c>
      <c r="E123" s="270">
        <f t="shared" si="39"/>
        <v>19.799999999999997</v>
      </c>
      <c r="F123" s="270">
        <f t="shared" si="40"/>
        <v>32.999999999999993</v>
      </c>
      <c r="G123" s="252" t="s">
        <v>334</v>
      </c>
      <c r="H123" s="267" t="str">
        <f t="shared" ca="1" si="36"/>
        <v/>
      </c>
      <c r="I123" s="260"/>
      <c r="J123" s="334"/>
      <c r="S123" s="208" t="str">
        <f t="shared" ca="1" si="26"/>
        <v/>
      </c>
      <c r="T123" s="293" t="s">
        <v>415</v>
      </c>
      <c r="U123" s="290"/>
    </row>
    <row r="124" spans="1:21" ht="15" x14ac:dyDescent="0.25">
      <c r="A124" s="269" t="s">
        <v>416</v>
      </c>
      <c r="B124" s="270">
        <f t="shared" si="37"/>
        <v>9.4050000000000011</v>
      </c>
      <c r="C124" s="270">
        <f t="shared" si="38"/>
        <v>11.97</v>
      </c>
      <c r="D124" s="252">
        <v>17.100000000000001</v>
      </c>
      <c r="E124" s="270">
        <f t="shared" si="39"/>
        <v>25.650000000000002</v>
      </c>
      <c r="F124" s="270">
        <f t="shared" si="40"/>
        <v>42.750000000000007</v>
      </c>
      <c r="G124" s="252" t="s">
        <v>335</v>
      </c>
      <c r="H124" s="267" t="str">
        <f t="shared" ca="1" si="36"/>
        <v/>
      </c>
      <c r="I124" s="260"/>
      <c r="J124" s="334"/>
      <c r="S124" s="208" t="str">
        <f t="shared" ca="1" si="26"/>
        <v/>
      </c>
      <c r="T124" s="293" t="s">
        <v>416</v>
      </c>
      <c r="U124" s="290"/>
    </row>
    <row r="125" spans="1:21" ht="15" x14ac:dyDescent="0.25">
      <c r="A125" s="296" t="s">
        <v>452</v>
      </c>
      <c r="B125" s="270">
        <f t="shared" si="37"/>
        <v>9.0749999999999993</v>
      </c>
      <c r="C125" s="270">
        <f t="shared" si="38"/>
        <v>11.549999999999999</v>
      </c>
      <c r="D125" s="252">
        <v>16.5</v>
      </c>
      <c r="E125" s="270">
        <f t="shared" si="39"/>
        <v>24.75</v>
      </c>
      <c r="F125" s="270">
        <f t="shared" si="40"/>
        <v>41.25</v>
      </c>
      <c r="G125" s="252" t="s">
        <v>336</v>
      </c>
      <c r="H125" s="267" t="str">
        <f t="shared" ca="1" si="36"/>
        <v/>
      </c>
      <c r="I125" s="260"/>
      <c r="J125" s="334"/>
      <c r="S125" s="208" t="str">
        <f t="shared" ca="1" si="26"/>
        <v/>
      </c>
      <c r="T125" s="293" t="s">
        <v>417</v>
      </c>
      <c r="U125" s="290"/>
    </row>
    <row r="126" spans="1:21" ht="15" x14ac:dyDescent="0.25">
      <c r="A126" s="269" t="s">
        <v>418</v>
      </c>
      <c r="B126" s="270">
        <f t="shared" si="37"/>
        <v>10.89</v>
      </c>
      <c r="C126" s="270">
        <f t="shared" si="38"/>
        <v>13.86</v>
      </c>
      <c r="D126" s="252">
        <v>19.8</v>
      </c>
      <c r="E126" s="270">
        <f t="shared" si="39"/>
        <v>29.7</v>
      </c>
      <c r="F126" s="270">
        <f t="shared" si="40"/>
        <v>49.5</v>
      </c>
      <c r="G126" s="252" t="s">
        <v>337</v>
      </c>
      <c r="H126" s="267" t="str">
        <f t="shared" ca="1" si="36"/>
        <v/>
      </c>
      <c r="I126" s="260"/>
      <c r="J126" s="334"/>
      <c r="S126" s="208" t="str">
        <f t="shared" ca="1" si="26"/>
        <v/>
      </c>
      <c r="T126" s="293" t="s">
        <v>418</v>
      </c>
      <c r="U126" s="290"/>
    </row>
    <row r="127" spans="1:21" ht="15" x14ac:dyDescent="0.25">
      <c r="A127" s="269" t="s">
        <v>419</v>
      </c>
      <c r="B127" s="270">
        <f t="shared" si="37"/>
        <v>13.365</v>
      </c>
      <c r="C127" s="270">
        <f t="shared" si="38"/>
        <v>17.010000000000002</v>
      </c>
      <c r="D127" s="252">
        <v>24.3</v>
      </c>
      <c r="E127" s="270">
        <f t="shared" si="39"/>
        <v>36.450000000000003</v>
      </c>
      <c r="F127" s="270">
        <f t="shared" si="40"/>
        <v>60.750000000000007</v>
      </c>
      <c r="G127" s="252" t="s">
        <v>338</v>
      </c>
      <c r="H127" s="267" t="str">
        <f t="shared" ca="1" si="36"/>
        <v/>
      </c>
      <c r="I127" s="260"/>
      <c r="J127" s="334"/>
      <c r="S127" s="208" t="str">
        <f t="shared" ca="1" si="26"/>
        <v/>
      </c>
      <c r="T127" s="293" t="s">
        <v>419</v>
      </c>
      <c r="U127" s="290"/>
    </row>
    <row r="128" spans="1:21" ht="15" x14ac:dyDescent="0.25">
      <c r="A128" s="269" t="s">
        <v>420</v>
      </c>
      <c r="B128" s="270">
        <f t="shared" si="37"/>
        <v>16.39</v>
      </c>
      <c r="C128" s="270">
        <f t="shared" si="38"/>
        <v>20.86</v>
      </c>
      <c r="D128" s="252">
        <v>29.8</v>
      </c>
      <c r="E128" s="270">
        <f t="shared" si="39"/>
        <v>44.7</v>
      </c>
      <c r="F128" s="270">
        <f t="shared" si="40"/>
        <v>74.5</v>
      </c>
      <c r="G128" s="252" t="s">
        <v>339</v>
      </c>
      <c r="H128" s="267" t="str">
        <f t="shared" ca="1" si="36"/>
        <v/>
      </c>
      <c r="I128" s="260"/>
      <c r="J128" s="334"/>
      <c r="S128" s="208" t="str">
        <f t="shared" ca="1" si="26"/>
        <v/>
      </c>
      <c r="T128" s="293" t="s">
        <v>420</v>
      </c>
      <c r="U128" s="290"/>
    </row>
    <row r="129" spans="1:21" ht="15.75" thickBot="1" x14ac:dyDescent="0.3">
      <c r="A129" s="269" t="s">
        <v>421</v>
      </c>
      <c r="B129" s="270">
        <f t="shared" si="37"/>
        <v>21.725000000000001</v>
      </c>
      <c r="C129" s="270">
        <f t="shared" si="38"/>
        <v>27.650000000000002</v>
      </c>
      <c r="D129" s="252">
        <v>39.5</v>
      </c>
      <c r="E129" s="270">
        <f t="shared" si="39"/>
        <v>59.25</v>
      </c>
      <c r="F129" s="270">
        <f t="shared" si="40"/>
        <v>98.75</v>
      </c>
      <c r="G129" s="252" t="s">
        <v>340</v>
      </c>
      <c r="H129" s="267" t="str">
        <f t="shared" ca="1" si="36"/>
        <v/>
      </c>
      <c r="I129" s="260"/>
      <c r="J129" s="335"/>
      <c r="S129" s="208" t="str">
        <f t="shared" ca="1" si="26"/>
        <v/>
      </c>
      <c r="T129" s="293" t="s">
        <v>421</v>
      </c>
      <c r="U129" s="290"/>
    </row>
    <row r="130" spans="1:21" ht="15" x14ac:dyDescent="0.25">
      <c r="A130" s="269"/>
      <c r="S130" s="208" t="str">
        <f ca="1">IF(AND(LEFT(A130,4)=$L$1,INDIRECT($L$6&amp;ROW())&gt;$K$1),ROW(),"")</f>
        <v/>
      </c>
      <c r="T130" s="269"/>
    </row>
  </sheetData>
  <mergeCells count="2">
    <mergeCell ref="J2:J45"/>
    <mergeCell ref="J47:J129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P77"/>
  <sheetViews>
    <sheetView workbookViewId="0">
      <selection activeCell="F4" sqref="F4"/>
    </sheetView>
    <sheetView workbookViewId="1"/>
  </sheetViews>
  <sheetFormatPr baseColWidth="10" defaultColWidth="10.85546875" defaultRowHeight="15" x14ac:dyDescent="0.25"/>
  <cols>
    <col min="1" max="16384" width="10.85546875" style="248"/>
  </cols>
  <sheetData>
    <row r="2" spans="1:16" ht="21" x14ac:dyDescent="0.35">
      <c r="A2" s="248" t="s">
        <v>255</v>
      </c>
      <c r="F2" s="336" t="s">
        <v>302</v>
      </c>
      <c r="G2" s="336"/>
    </row>
    <row r="4" spans="1:16" x14ac:dyDescent="0.25">
      <c r="A4" s="248" t="s">
        <v>257</v>
      </c>
      <c r="J4" s="248" t="s">
        <v>258</v>
      </c>
    </row>
    <row r="6" spans="1:16" x14ac:dyDescent="0.25">
      <c r="D6" s="329" t="s">
        <v>259</v>
      </c>
      <c r="E6" s="329"/>
      <c r="F6" s="329"/>
      <c r="G6" s="329"/>
      <c r="H6" s="329"/>
      <c r="L6" s="329" t="s">
        <v>259</v>
      </c>
      <c r="M6" s="329"/>
      <c r="N6" s="329"/>
      <c r="O6" s="329"/>
      <c r="P6" s="329"/>
    </row>
    <row r="7" spans="1:16" x14ac:dyDescent="0.25">
      <c r="B7" s="249" t="s">
        <v>261</v>
      </c>
      <c r="C7" s="249"/>
      <c r="D7" s="249">
        <v>5.5</v>
      </c>
      <c r="E7" s="249">
        <v>7</v>
      </c>
      <c r="F7" s="249">
        <v>8</v>
      </c>
      <c r="G7" s="249">
        <v>15</v>
      </c>
      <c r="H7" s="249">
        <v>25</v>
      </c>
      <c r="K7" s="249" t="s">
        <v>262</v>
      </c>
      <c r="L7" s="249">
        <v>5.5</v>
      </c>
      <c r="M7" s="249">
        <v>7</v>
      </c>
      <c r="N7" s="249">
        <v>8</v>
      </c>
      <c r="O7" s="249">
        <v>15</v>
      </c>
      <c r="P7" s="249">
        <v>25</v>
      </c>
    </row>
    <row r="8" spans="1:16" x14ac:dyDescent="0.25">
      <c r="B8" s="250" t="s">
        <v>263</v>
      </c>
      <c r="C8" s="261"/>
      <c r="D8" s="249">
        <f>F8/10*5.5</f>
        <v>1.2100000000000002</v>
      </c>
      <c r="E8" s="249">
        <f>F8/10*7</f>
        <v>1.5400000000000003</v>
      </c>
      <c r="F8" s="250">
        <v>2.2000000000000002</v>
      </c>
      <c r="G8" s="249">
        <f>F8/10*15</f>
        <v>3.3000000000000003</v>
      </c>
      <c r="H8" s="249">
        <f>F8/10*25</f>
        <v>5.5000000000000009</v>
      </c>
      <c r="J8" s="250" t="s">
        <v>264</v>
      </c>
      <c r="K8" s="261"/>
      <c r="L8" s="249">
        <f>N8/10*5.5</f>
        <v>1.2100000000000002</v>
      </c>
      <c r="M8" s="249">
        <f>N8/10*7</f>
        <v>1.5400000000000003</v>
      </c>
      <c r="N8" s="250">
        <v>2.2000000000000002</v>
      </c>
      <c r="O8" s="249">
        <f>N8/10*15</f>
        <v>3.3000000000000003</v>
      </c>
      <c r="P8" s="249">
        <f>N8/10*25</f>
        <v>5.5000000000000009</v>
      </c>
    </row>
    <row r="9" spans="1:16" x14ac:dyDescent="0.25">
      <c r="B9" s="250" t="s">
        <v>265</v>
      </c>
      <c r="C9" s="261"/>
      <c r="D9" s="249">
        <f t="shared" ref="D9:D48" si="0">F9/10*5.5</f>
        <v>2.4750000000000001</v>
      </c>
      <c r="E9" s="249">
        <f t="shared" ref="E9:E55" si="1">F9/10*7</f>
        <v>3.15</v>
      </c>
      <c r="F9" s="250">
        <v>4.5</v>
      </c>
      <c r="G9" s="249">
        <f t="shared" ref="G9:G55" si="2">F9/10*15</f>
        <v>6.75</v>
      </c>
      <c r="H9" s="249">
        <f t="shared" ref="H9:H24" si="3">F9/10*25</f>
        <v>11.25</v>
      </c>
      <c r="J9" s="250" t="s">
        <v>266</v>
      </c>
      <c r="K9" s="261"/>
      <c r="L9" s="249">
        <f t="shared" ref="L9:L24" si="4">N9/10*5.5</f>
        <v>1.76</v>
      </c>
      <c r="M9" s="249">
        <f t="shared" ref="M9:M24" si="5">N9/10*7</f>
        <v>2.2400000000000002</v>
      </c>
      <c r="N9" s="250">
        <v>3.2</v>
      </c>
      <c r="O9" s="249">
        <f t="shared" ref="O9:O24" si="6">N9/10*15</f>
        <v>4.8</v>
      </c>
      <c r="P9" s="249">
        <f t="shared" ref="P9:P24" si="7">N9/10*25</f>
        <v>8</v>
      </c>
    </row>
    <row r="10" spans="1:16" x14ac:dyDescent="0.25">
      <c r="B10" s="250" t="s">
        <v>267</v>
      </c>
      <c r="C10" s="261"/>
      <c r="D10" s="249">
        <f t="shared" si="0"/>
        <v>3.7399999999999998</v>
      </c>
      <c r="E10" s="249">
        <f t="shared" si="1"/>
        <v>4.76</v>
      </c>
      <c r="F10" s="250">
        <v>6.8</v>
      </c>
      <c r="G10" s="249">
        <f t="shared" si="2"/>
        <v>10.199999999999999</v>
      </c>
      <c r="H10" s="249">
        <f t="shared" si="3"/>
        <v>17</v>
      </c>
      <c r="J10" s="250" t="s">
        <v>268</v>
      </c>
      <c r="K10" s="261"/>
      <c r="L10" s="249">
        <f t="shared" si="4"/>
        <v>2.31</v>
      </c>
      <c r="M10" s="249">
        <f t="shared" si="5"/>
        <v>2.9400000000000004</v>
      </c>
      <c r="N10" s="250">
        <v>4.2</v>
      </c>
      <c r="O10" s="249">
        <f t="shared" si="6"/>
        <v>6.3000000000000007</v>
      </c>
      <c r="P10" s="249">
        <f t="shared" si="7"/>
        <v>10.500000000000002</v>
      </c>
    </row>
    <row r="11" spans="1:16" x14ac:dyDescent="0.25">
      <c r="B11" s="250" t="s">
        <v>269</v>
      </c>
      <c r="C11" s="261"/>
      <c r="D11" s="249">
        <f t="shared" si="0"/>
        <v>4.95</v>
      </c>
      <c r="E11" s="249">
        <f t="shared" si="1"/>
        <v>6.3</v>
      </c>
      <c r="F11" s="250">
        <v>9</v>
      </c>
      <c r="G11" s="249">
        <f t="shared" si="2"/>
        <v>13.5</v>
      </c>
      <c r="H11" s="249">
        <f t="shared" si="3"/>
        <v>22.5</v>
      </c>
      <c r="J11" s="250" t="s">
        <v>270</v>
      </c>
      <c r="K11" s="261"/>
      <c r="L11" s="249">
        <f t="shared" si="4"/>
        <v>2.8600000000000003</v>
      </c>
      <c r="M11" s="249">
        <f t="shared" si="5"/>
        <v>3.64</v>
      </c>
      <c r="N11" s="250">
        <v>5.2</v>
      </c>
      <c r="O11" s="249">
        <f t="shared" si="6"/>
        <v>7.8000000000000007</v>
      </c>
      <c r="P11" s="249">
        <f t="shared" si="7"/>
        <v>13</v>
      </c>
    </row>
    <row r="12" spans="1:16" x14ac:dyDescent="0.25">
      <c r="B12" s="250" t="s">
        <v>271</v>
      </c>
      <c r="C12" s="261"/>
      <c r="D12" s="249">
        <f t="shared" si="0"/>
        <v>6.3249999999999993</v>
      </c>
      <c r="E12" s="249">
        <f t="shared" si="1"/>
        <v>8.0499999999999989</v>
      </c>
      <c r="F12" s="250">
        <v>11.5</v>
      </c>
      <c r="G12" s="249">
        <f t="shared" si="2"/>
        <v>17.25</v>
      </c>
      <c r="H12" s="249">
        <f t="shared" si="3"/>
        <v>28.749999999999996</v>
      </c>
      <c r="J12" s="250" t="s">
        <v>272</v>
      </c>
      <c r="K12" s="261"/>
      <c r="L12" s="249">
        <f t="shared" si="4"/>
        <v>3.41</v>
      </c>
      <c r="M12" s="249">
        <f t="shared" si="5"/>
        <v>4.34</v>
      </c>
      <c r="N12" s="250">
        <v>6.2</v>
      </c>
      <c r="O12" s="249">
        <f t="shared" si="6"/>
        <v>9.3000000000000007</v>
      </c>
      <c r="P12" s="249">
        <f t="shared" si="7"/>
        <v>15.5</v>
      </c>
    </row>
    <row r="13" spans="1:16" x14ac:dyDescent="0.25">
      <c r="B13" s="252" t="s">
        <v>273</v>
      </c>
      <c r="C13" s="261"/>
      <c r="D13" s="249">
        <f t="shared" si="0"/>
        <v>7.5349999999999993</v>
      </c>
      <c r="E13" s="249">
        <f t="shared" si="1"/>
        <v>9.59</v>
      </c>
      <c r="F13" s="252">
        <v>13.7</v>
      </c>
      <c r="G13" s="249">
        <f t="shared" si="2"/>
        <v>20.549999999999997</v>
      </c>
      <c r="H13" s="249">
        <f t="shared" si="3"/>
        <v>34.25</v>
      </c>
      <c r="J13" s="252" t="s">
        <v>274</v>
      </c>
      <c r="K13" s="261"/>
      <c r="L13" s="249">
        <f t="shared" si="4"/>
        <v>3.96</v>
      </c>
      <c r="M13" s="249">
        <f t="shared" si="5"/>
        <v>5.04</v>
      </c>
      <c r="N13" s="250">
        <v>7.2</v>
      </c>
      <c r="O13" s="249">
        <f t="shared" si="6"/>
        <v>10.799999999999999</v>
      </c>
      <c r="P13" s="249">
        <f t="shared" si="7"/>
        <v>18</v>
      </c>
    </row>
    <row r="14" spans="1:16" x14ac:dyDescent="0.25">
      <c r="B14" s="252" t="s">
        <v>303</v>
      </c>
      <c r="C14" s="261"/>
      <c r="D14" s="249">
        <f t="shared" si="0"/>
        <v>3.1350000000000002</v>
      </c>
      <c r="E14" s="249">
        <f t="shared" si="1"/>
        <v>3.99</v>
      </c>
      <c r="F14" s="252">
        <v>5.7</v>
      </c>
      <c r="G14" s="249">
        <f t="shared" si="2"/>
        <v>8.5500000000000007</v>
      </c>
      <c r="H14" s="249">
        <f t="shared" si="3"/>
        <v>14.250000000000002</v>
      </c>
      <c r="J14" s="252" t="s">
        <v>304</v>
      </c>
      <c r="K14" s="261"/>
      <c r="L14" s="249">
        <f t="shared" si="4"/>
        <v>4.51</v>
      </c>
      <c r="M14" s="249">
        <f t="shared" si="5"/>
        <v>5.7399999999999993</v>
      </c>
      <c r="N14" s="250">
        <v>8.1999999999999993</v>
      </c>
      <c r="O14" s="249">
        <f t="shared" si="6"/>
        <v>12.299999999999999</v>
      </c>
      <c r="P14" s="249">
        <f t="shared" si="7"/>
        <v>20.5</v>
      </c>
    </row>
    <row r="15" spans="1:16" x14ac:dyDescent="0.25">
      <c r="B15" s="252" t="s">
        <v>305</v>
      </c>
      <c r="C15" s="261"/>
      <c r="D15" s="249">
        <f t="shared" si="0"/>
        <v>5.1150000000000002</v>
      </c>
      <c r="E15" s="249">
        <f t="shared" si="1"/>
        <v>6.5100000000000007</v>
      </c>
      <c r="F15" s="252">
        <v>9.3000000000000007</v>
      </c>
      <c r="G15" s="249">
        <f t="shared" si="2"/>
        <v>13.950000000000001</v>
      </c>
      <c r="H15" s="249">
        <f t="shared" si="3"/>
        <v>23.25</v>
      </c>
      <c r="J15" s="252" t="s">
        <v>306</v>
      </c>
      <c r="K15" s="261"/>
      <c r="L15" s="249">
        <f t="shared" si="4"/>
        <v>5.0599999999999996</v>
      </c>
      <c r="M15" s="249">
        <f t="shared" si="5"/>
        <v>6.4399999999999995</v>
      </c>
      <c r="N15" s="250">
        <v>9.1999999999999993</v>
      </c>
      <c r="O15" s="249">
        <f t="shared" si="6"/>
        <v>13.799999999999999</v>
      </c>
      <c r="P15" s="249">
        <f t="shared" si="7"/>
        <v>23</v>
      </c>
    </row>
    <row r="16" spans="1:16" x14ac:dyDescent="0.25">
      <c r="B16" s="252" t="s">
        <v>307</v>
      </c>
      <c r="C16" s="261"/>
      <c r="D16" s="249">
        <f t="shared" si="0"/>
        <v>6.2700000000000005</v>
      </c>
      <c r="E16" s="249">
        <f t="shared" si="1"/>
        <v>7.98</v>
      </c>
      <c r="F16" s="252">
        <v>11.4</v>
      </c>
      <c r="G16" s="249">
        <f t="shared" si="2"/>
        <v>17.100000000000001</v>
      </c>
      <c r="H16" s="249">
        <f t="shared" si="3"/>
        <v>28.500000000000004</v>
      </c>
      <c r="J16" s="252" t="s">
        <v>308</v>
      </c>
      <c r="K16" s="261"/>
      <c r="L16" s="249">
        <f t="shared" si="4"/>
        <v>5.61</v>
      </c>
      <c r="M16" s="249">
        <f t="shared" si="5"/>
        <v>7.1400000000000006</v>
      </c>
      <c r="N16" s="250">
        <v>10.199999999999999</v>
      </c>
      <c r="O16" s="249">
        <f t="shared" si="6"/>
        <v>15.3</v>
      </c>
      <c r="P16" s="249">
        <f t="shared" si="7"/>
        <v>25.5</v>
      </c>
    </row>
    <row r="17" spans="2:16" x14ac:dyDescent="0.25">
      <c r="B17" s="252" t="s">
        <v>309</v>
      </c>
      <c r="C17" s="261"/>
      <c r="D17" s="249">
        <f t="shared" si="0"/>
        <v>6.9850000000000003</v>
      </c>
      <c r="E17" s="249">
        <f t="shared" si="1"/>
        <v>8.89</v>
      </c>
      <c r="F17" s="252">
        <v>12.7</v>
      </c>
      <c r="G17" s="249">
        <f t="shared" si="2"/>
        <v>19.05</v>
      </c>
      <c r="H17" s="249">
        <f t="shared" si="3"/>
        <v>31.75</v>
      </c>
      <c r="J17" s="252" t="s">
        <v>310</v>
      </c>
      <c r="K17" s="261"/>
      <c r="L17" s="249">
        <f t="shared" si="4"/>
        <v>6.1599999999999993</v>
      </c>
      <c r="M17" s="249">
        <f t="shared" si="5"/>
        <v>7.839999999999999</v>
      </c>
      <c r="N17" s="250">
        <v>11.2</v>
      </c>
      <c r="O17" s="249">
        <f t="shared" si="6"/>
        <v>16.799999999999997</v>
      </c>
      <c r="P17" s="249">
        <f t="shared" si="7"/>
        <v>27.999999999999996</v>
      </c>
    </row>
    <row r="18" spans="2:16" x14ac:dyDescent="0.25">
      <c r="B18" s="252" t="s">
        <v>311</v>
      </c>
      <c r="C18" s="261"/>
      <c r="D18" s="249">
        <f t="shared" si="0"/>
        <v>9.8449999999999989</v>
      </c>
      <c r="E18" s="249">
        <f t="shared" si="1"/>
        <v>12.53</v>
      </c>
      <c r="F18" s="252">
        <v>17.899999999999999</v>
      </c>
      <c r="G18" s="249">
        <f t="shared" si="2"/>
        <v>26.849999999999998</v>
      </c>
      <c r="H18" s="249">
        <f t="shared" si="3"/>
        <v>44.749999999999993</v>
      </c>
      <c r="J18" s="252" t="s">
        <v>312</v>
      </c>
      <c r="K18" s="261"/>
      <c r="L18" s="249">
        <f t="shared" si="4"/>
        <v>6.71</v>
      </c>
      <c r="M18" s="249">
        <f t="shared" si="5"/>
        <v>8.5399999999999991</v>
      </c>
      <c r="N18" s="250">
        <v>12.2</v>
      </c>
      <c r="O18" s="249">
        <f t="shared" si="6"/>
        <v>18.3</v>
      </c>
      <c r="P18" s="249">
        <f t="shared" si="7"/>
        <v>30.5</v>
      </c>
    </row>
    <row r="19" spans="2:16" x14ac:dyDescent="0.25">
      <c r="B19" s="252" t="s">
        <v>313</v>
      </c>
      <c r="C19" s="261"/>
      <c r="D19" s="249">
        <f t="shared" si="0"/>
        <v>12.705</v>
      </c>
      <c r="E19" s="249">
        <f t="shared" si="1"/>
        <v>16.170000000000002</v>
      </c>
      <c r="F19" s="252">
        <v>23.1</v>
      </c>
      <c r="G19" s="249">
        <f t="shared" si="2"/>
        <v>34.65</v>
      </c>
      <c r="H19" s="249">
        <f t="shared" si="3"/>
        <v>57.75</v>
      </c>
      <c r="J19" s="252" t="s">
        <v>314</v>
      </c>
      <c r="K19" s="261"/>
      <c r="L19" s="249">
        <f t="shared" si="4"/>
        <v>7.2599999999999989</v>
      </c>
      <c r="M19" s="249">
        <f t="shared" si="5"/>
        <v>9.2399999999999984</v>
      </c>
      <c r="N19" s="250">
        <v>13.2</v>
      </c>
      <c r="O19" s="249">
        <f t="shared" si="6"/>
        <v>19.799999999999997</v>
      </c>
      <c r="P19" s="249">
        <f t="shared" si="7"/>
        <v>32.999999999999993</v>
      </c>
    </row>
    <row r="20" spans="2:16" x14ac:dyDescent="0.25">
      <c r="B20" s="252" t="s">
        <v>315</v>
      </c>
      <c r="C20" s="261"/>
      <c r="D20" s="249">
        <f t="shared" si="0"/>
        <v>8.36</v>
      </c>
      <c r="E20" s="249">
        <f t="shared" si="1"/>
        <v>10.64</v>
      </c>
      <c r="F20" s="252">
        <v>15.2</v>
      </c>
      <c r="G20" s="249">
        <f t="shared" si="2"/>
        <v>22.8</v>
      </c>
      <c r="H20" s="249">
        <f t="shared" si="3"/>
        <v>38</v>
      </c>
      <c r="J20" s="252" t="s">
        <v>316</v>
      </c>
      <c r="K20" s="261"/>
      <c r="L20" s="249">
        <f t="shared" si="4"/>
        <v>7.81</v>
      </c>
      <c r="M20" s="249">
        <f t="shared" si="5"/>
        <v>9.94</v>
      </c>
      <c r="N20" s="250">
        <v>14.2</v>
      </c>
      <c r="O20" s="249">
        <f t="shared" si="6"/>
        <v>21.299999999999997</v>
      </c>
      <c r="P20" s="249">
        <f t="shared" si="7"/>
        <v>35.5</v>
      </c>
    </row>
    <row r="21" spans="2:16" x14ac:dyDescent="0.25">
      <c r="B21" s="252" t="s">
        <v>317</v>
      </c>
      <c r="C21" s="261"/>
      <c r="D21" s="249">
        <f t="shared" si="0"/>
        <v>13.53</v>
      </c>
      <c r="E21" s="249">
        <f t="shared" si="1"/>
        <v>17.22</v>
      </c>
      <c r="F21" s="252">
        <v>24.6</v>
      </c>
      <c r="G21" s="249">
        <f t="shared" si="2"/>
        <v>36.9</v>
      </c>
      <c r="H21" s="249">
        <f t="shared" si="3"/>
        <v>61.5</v>
      </c>
      <c r="J21" s="252" t="s">
        <v>318</v>
      </c>
      <c r="K21" s="261"/>
      <c r="L21" s="249">
        <f t="shared" si="4"/>
        <v>8.36</v>
      </c>
      <c r="M21" s="249">
        <f t="shared" si="5"/>
        <v>10.64</v>
      </c>
      <c r="N21" s="250">
        <v>15.2</v>
      </c>
      <c r="O21" s="249">
        <f t="shared" si="6"/>
        <v>22.8</v>
      </c>
      <c r="P21" s="249">
        <f t="shared" si="7"/>
        <v>38</v>
      </c>
    </row>
    <row r="22" spans="2:16" x14ac:dyDescent="0.25">
      <c r="B22" s="252" t="s">
        <v>319</v>
      </c>
      <c r="C22" s="261"/>
      <c r="D22" s="249">
        <f t="shared" si="0"/>
        <v>16.830000000000002</v>
      </c>
      <c r="E22" s="249">
        <f t="shared" si="1"/>
        <v>21.42</v>
      </c>
      <c r="F22" s="252">
        <v>30.6</v>
      </c>
      <c r="G22" s="249">
        <f t="shared" si="2"/>
        <v>45.9</v>
      </c>
      <c r="H22" s="249">
        <f t="shared" si="3"/>
        <v>76.5</v>
      </c>
      <c r="J22" s="252" t="s">
        <v>320</v>
      </c>
      <c r="K22" s="261"/>
      <c r="L22" s="249">
        <f t="shared" si="4"/>
        <v>8.91</v>
      </c>
      <c r="M22" s="249">
        <f t="shared" si="5"/>
        <v>11.34</v>
      </c>
      <c r="N22" s="250">
        <v>16.2</v>
      </c>
      <c r="O22" s="249">
        <f t="shared" si="6"/>
        <v>24.299999999999997</v>
      </c>
      <c r="P22" s="249">
        <f t="shared" si="7"/>
        <v>40.5</v>
      </c>
    </row>
    <row r="23" spans="2:16" x14ac:dyDescent="0.25">
      <c r="B23" s="252" t="s">
        <v>321</v>
      </c>
      <c r="C23" s="261"/>
      <c r="D23" s="249">
        <f t="shared" si="0"/>
        <v>19.965</v>
      </c>
      <c r="E23" s="249">
        <f t="shared" si="1"/>
        <v>25.41</v>
      </c>
      <c r="F23" s="252">
        <v>36.299999999999997</v>
      </c>
      <c r="G23" s="249">
        <f t="shared" si="2"/>
        <v>54.449999999999996</v>
      </c>
      <c r="H23" s="249">
        <f t="shared" si="3"/>
        <v>90.75</v>
      </c>
      <c r="J23" s="252" t="s">
        <v>322</v>
      </c>
      <c r="K23" s="261"/>
      <c r="L23" s="249">
        <f t="shared" si="4"/>
        <v>9.4599999999999991</v>
      </c>
      <c r="M23" s="249">
        <f t="shared" si="5"/>
        <v>12.04</v>
      </c>
      <c r="N23" s="250">
        <v>17.2</v>
      </c>
      <c r="O23" s="249">
        <f t="shared" si="6"/>
        <v>25.8</v>
      </c>
      <c r="P23" s="249">
        <f t="shared" si="7"/>
        <v>43</v>
      </c>
    </row>
    <row r="24" spans="2:16" x14ac:dyDescent="0.25">
      <c r="B24" s="252" t="s">
        <v>323</v>
      </c>
      <c r="C24" s="261"/>
      <c r="D24" s="249">
        <f t="shared" si="0"/>
        <v>26.785</v>
      </c>
      <c r="E24" s="249">
        <f t="shared" si="1"/>
        <v>34.090000000000003</v>
      </c>
      <c r="F24" s="252">
        <v>48.7</v>
      </c>
      <c r="G24" s="249">
        <f t="shared" si="2"/>
        <v>73.05</v>
      </c>
      <c r="H24" s="249">
        <f t="shared" si="3"/>
        <v>121.75</v>
      </c>
      <c r="J24" s="252" t="s">
        <v>324</v>
      </c>
      <c r="K24" s="261"/>
      <c r="L24" s="249">
        <f t="shared" si="4"/>
        <v>10.01</v>
      </c>
      <c r="M24" s="249">
        <f t="shared" si="5"/>
        <v>12.739999999999998</v>
      </c>
      <c r="N24" s="250">
        <v>18.2</v>
      </c>
      <c r="O24" s="249">
        <f t="shared" si="6"/>
        <v>27.299999999999997</v>
      </c>
      <c r="P24" s="249">
        <f t="shared" si="7"/>
        <v>45.499999999999993</v>
      </c>
    </row>
    <row r="26" spans="2:16" x14ac:dyDescent="0.25">
      <c r="B26" s="250" t="s">
        <v>275</v>
      </c>
      <c r="C26" s="257"/>
      <c r="D26" s="249">
        <f t="shared" si="0"/>
        <v>1.4850000000000001</v>
      </c>
      <c r="E26" s="249">
        <f t="shared" si="1"/>
        <v>1.8900000000000001</v>
      </c>
      <c r="F26" s="250">
        <v>2.7</v>
      </c>
      <c r="G26" s="249">
        <f t="shared" si="2"/>
        <v>4.0500000000000007</v>
      </c>
      <c r="H26" s="249">
        <f t="shared" ref="H26:H48" si="8">F26/10*25</f>
        <v>6.75</v>
      </c>
    </row>
    <row r="27" spans="2:16" x14ac:dyDescent="0.25">
      <c r="B27" s="250" t="s">
        <v>276</v>
      </c>
      <c r="C27" s="257"/>
      <c r="D27" s="249">
        <f t="shared" si="0"/>
        <v>3.0250000000000004</v>
      </c>
      <c r="E27" s="249">
        <f t="shared" si="1"/>
        <v>3.8500000000000005</v>
      </c>
      <c r="F27" s="250">
        <v>5.5</v>
      </c>
      <c r="G27" s="249">
        <f t="shared" si="2"/>
        <v>8.25</v>
      </c>
      <c r="H27" s="249">
        <f t="shared" si="8"/>
        <v>13.750000000000002</v>
      </c>
    </row>
    <row r="28" spans="2:16" x14ac:dyDescent="0.25">
      <c r="B28" s="250" t="s">
        <v>277</v>
      </c>
      <c r="C28" s="257"/>
      <c r="D28" s="249">
        <f t="shared" si="0"/>
        <v>4.51</v>
      </c>
      <c r="E28" s="249">
        <f t="shared" si="1"/>
        <v>5.7399999999999993</v>
      </c>
      <c r="F28" s="250">
        <v>8.1999999999999993</v>
      </c>
      <c r="G28" s="249">
        <f t="shared" si="2"/>
        <v>12.299999999999999</v>
      </c>
      <c r="H28" s="249">
        <f t="shared" si="8"/>
        <v>20.5</v>
      </c>
    </row>
    <row r="29" spans="2:16" x14ac:dyDescent="0.25">
      <c r="B29" s="250" t="s">
        <v>278</v>
      </c>
      <c r="C29" s="257"/>
      <c r="D29" s="249">
        <f t="shared" si="0"/>
        <v>5.83</v>
      </c>
      <c r="E29" s="249">
        <f t="shared" si="1"/>
        <v>7.42</v>
      </c>
      <c r="F29" s="250">
        <v>10.6</v>
      </c>
      <c r="G29" s="249">
        <f t="shared" si="2"/>
        <v>15.9</v>
      </c>
      <c r="H29" s="249">
        <f t="shared" si="8"/>
        <v>26.5</v>
      </c>
    </row>
    <row r="30" spans="2:16" x14ac:dyDescent="0.25">
      <c r="B30" s="250" t="s">
        <v>279</v>
      </c>
      <c r="C30" s="257"/>
      <c r="D30" s="249">
        <f t="shared" si="0"/>
        <v>7.6450000000000005</v>
      </c>
      <c r="E30" s="249">
        <f t="shared" si="1"/>
        <v>9.73</v>
      </c>
      <c r="F30" s="250">
        <v>13.9</v>
      </c>
      <c r="G30" s="249">
        <f t="shared" si="2"/>
        <v>20.85</v>
      </c>
      <c r="H30" s="249">
        <f t="shared" si="8"/>
        <v>34.75</v>
      </c>
    </row>
    <row r="31" spans="2:16" x14ac:dyDescent="0.25">
      <c r="B31" s="255"/>
      <c r="C31" s="262"/>
      <c r="F31" s="263"/>
    </row>
    <row r="32" spans="2:16" x14ac:dyDescent="0.25">
      <c r="B32" s="252" t="s">
        <v>280</v>
      </c>
      <c r="C32" s="257"/>
      <c r="D32" s="249">
        <f t="shared" si="0"/>
        <v>1.65</v>
      </c>
      <c r="E32" s="249">
        <f t="shared" si="1"/>
        <v>2.1</v>
      </c>
      <c r="F32" s="250">
        <v>3</v>
      </c>
      <c r="G32" s="249">
        <f t="shared" si="2"/>
        <v>4.5</v>
      </c>
      <c r="H32" s="249">
        <f t="shared" si="8"/>
        <v>7.5</v>
      </c>
    </row>
    <row r="33" spans="2:8" x14ac:dyDescent="0.25">
      <c r="B33" s="252" t="s">
        <v>281</v>
      </c>
      <c r="C33" s="257"/>
      <c r="D33" s="249">
        <f t="shared" si="0"/>
        <v>3.41</v>
      </c>
      <c r="E33" s="249">
        <f t="shared" si="1"/>
        <v>4.34</v>
      </c>
      <c r="F33" s="250">
        <v>6.2</v>
      </c>
      <c r="G33" s="249">
        <f t="shared" si="2"/>
        <v>9.3000000000000007</v>
      </c>
      <c r="H33" s="249">
        <f t="shared" si="8"/>
        <v>15.5</v>
      </c>
    </row>
    <row r="34" spans="2:8" x14ac:dyDescent="0.25">
      <c r="B34" s="252" t="s">
        <v>282</v>
      </c>
      <c r="C34" s="257"/>
      <c r="D34" s="249">
        <f t="shared" si="0"/>
        <v>5.1150000000000002</v>
      </c>
      <c r="E34" s="249">
        <f t="shared" si="1"/>
        <v>6.5100000000000007</v>
      </c>
      <c r="F34" s="250">
        <v>9.3000000000000007</v>
      </c>
      <c r="G34" s="249">
        <f t="shared" si="2"/>
        <v>13.950000000000001</v>
      </c>
      <c r="H34" s="249">
        <f t="shared" si="8"/>
        <v>23.25</v>
      </c>
    </row>
    <row r="35" spans="2:8" x14ac:dyDescent="0.25">
      <c r="B35" s="252" t="s">
        <v>283</v>
      </c>
      <c r="C35" s="257"/>
      <c r="D35" s="249">
        <f t="shared" si="0"/>
        <v>6.5449999999999999</v>
      </c>
      <c r="E35" s="249">
        <f t="shared" si="1"/>
        <v>8.33</v>
      </c>
      <c r="F35" s="250">
        <v>11.9</v>
      </c>
      <c r="G35" s="249">
        <f t="shared" si="2"/>
        <v>17.849999999999998</v>
      </c>
      <c r="H35" s="249">
        <f t="shared" si="8"/>
        <v>29.75</v>
      </c>
    </row>
    <row r="36" spans="2:8" x14ac:dyDescent="0.25">
      <c r="B36" s="252" t="s">
        <v>284</v>
      </c>
      <c r="C36" s="257"/>
      <c r="D36" s="249">
        <f t="shared" si="0"/>
        <v>8.745000000000001</v>
      </c>
      <c r="E36" s="249">
        <f t="shared" si="1"/>
        <v>11.13</v>
      </c>
      <c r="F36" s="250">
        <v>15.9</v>
      </c>
      <c r="G36" s="249">
        <f t="shared" si="2"/>
        <v>23.85</v>
      </c>
      <c r="H36" s="249">
        <f t="shared" si="8"/>
        <v>39.75</v>
      </c>
    </row>
    <row r="37" spans="2:8" x14ac:dyDescent="0.25">
      <c r="B37" s="253"/>
    </row>
    <row r="38" spans="2:8" x14ac:dyDescent="0.25">
      <c r="B38" s="250" t="s">
        <v>285</v>
      </c>
      <c r="C38" s="257"/>
      <c r="D38" s="249">
        <f t="shared" si="0"/>
        <v>1.2649999999999999</v>
      </c>
      <c r="E38" s="249">
        <f t="shared" si="1"/>
        <v>1.6099999999999999</v>
      </c>
      <c r="F38" s="250">
        <v>2.2999999999999998</v>
      </c>
      <c r="G38" s="249">
        <f t="shared" si="2"/>
        <v>3.4499999999999997</v>
      </c>
      <c r="H38" s="249">
        <f t="shared" si="8"/>
        <v>5.75</v>
      </c>
    </row>
    <row r="39" spans="2:8" x14ac:dyDescent="0.25">
      <c r="B39" s="250" t="s">
        <v>286</v>
      </c>
      <c r="C39" s="257"/>
      <c r="D39" s="249">
        <f t="shared" si="0"/>
        <v>2.5299999999999998</v>
      </c>
      <c r="E39" s="249">
        <f t="shared" si="1"/>
        <v>3.2199999999999998</v>
      </c>
      <c r="F39" s="250">
        <v>4.5999999999999996</v>
      </c>
      <c r="G39" s="249">
        <f t="shared" si="2"/>
        <v>6.8999999999999995</v>
      </c>
      <c r="H39" s="249">
        <f t="shared" si="8"/>
        <v>11.5</v>
      </c>
    </row>
    <row r="40" spans="2:8" x14ac:dyDescent="0.25">
      <c r="B40" s="250" t="s">
        <v>287</v>
      </c>
      <c r="C40" s="257"/>
      <c r="D40" s="249">
        <f t="shared" si="0"/>
        <v>3.7950000000000004</v>
      </c>
      <c r="E40" s="249">
        <f t="shared" si="1"/>
        <v>4.83</v>
      </c>
      <c r="F40" s="250">
        <v>6.9</v>
      </c>
      <c r="G40" s="249">
        <f t="shared" si="2"/>
        <v>10.350000000000001</v>
      </c>
      <c r="H40" s="249">
        <f t="shared" si="8"/>
        <v>17.25</v>
      </c>
    </row>
    <row r="41" spans="2:8" x14ac:dyDescent="0.25">
      <c r="B41" s="250" t="s">
        <v>288</v>
      </c>
      <c r="C41" s="257"/>
      <c r="D41" s="249">
        <f t="shared" si="0"/>
        <v>4.8950000000000005</v>
      </c>
      <c r="E41" s="249">
        <f t="shared" si="1"/>
        <v>6.23</v>
      </c>
      <c r="F41" s="250">
        <v>8.9</v>
      </c>
      <c r="G41" s="249">
        <f t="shared" si="2"/>
        <v>13.35</v>
      </c>
      <c r="H41" s="249">
        <f t="shared" si="8"/>
        <v>22.25</v>
      </c>
    </row>
    <row r="42" spans="2:8" x14ac:dyDescent="0.25">
      <c r="B42" s="250" t="s">
        <v>289</v>
      </c>
      <c r="C42" s="257"/>
      <c r="D42" s="249">
        <f t="shared" si="0"/>
        <v>6.38</v>
      </c>
      <c r="E42" s="249">
        <f t="shared" si="1"/>
        <v>8.1199999999999992</v>
      </c>
      <c r="F42" s="250">
        <v>11.6</v>
      </c>
      <c r="G42" s="249">
        <f t="shared" si="2"/>
        <v>17.399999999999999</v>
      </c>
      <c r="H42" s="249">
        <f t="shared" si="8"/>
        <v>28.999999999999996</v>
      </c>
    </row>
    <row r="43" spans="2:8" x14ac:dyDescent="0.25">
      <c r="B43" s="255"/>
      <c r="C43" s="264"/>
      <c r="F43" s="263"/>
    </row>
    <row r="44" spans="2:8" x14ac:dyDescent="0.25">
      <c r="B44" s="252" t="s">
        <v>290</v>
      </c>
      <c r="C44" s="257"/>
      <c r="D44" s="249">
        <f t="shared" si="0"/>
        <v>1.4850000000000001</v>
      </c>
      <c r="E44" s="249">
        <f t="shared" si="1"/>
        <v>1.8900000000000001</v>
      </c>
      <c r="F44" s="250">
        <v>2.7</v>
      </c>
      <c r="G44" s="249">
        <f t="shared" si="2"/>
        <v>4.0500000000000007</v>
      </c>
      <c r="H44" s="249">
        <f t="shared" si="8"/>
        <v>6.75</v>
      </c>
    </row>
    <row r="45" spans="2:8" x14ac:dyDescent="0.25">
      <c r="B45" s="252" t="s">
        <v>291</v>
      </c>
      <c r="C45" s="257"/>
      <c r="D45" s="249">
        <f t="shared" si="0"/>
        <v>3.0250000000000004</v>
      </c>
      <c r="E45" s="249">
        <f t="shared" si="1"/>
        <v>3.8500000000000005</v>
      </c>
      <c r="F45" s="250">
        <v>5.5</v>
      </c>
      <c r="G45" s="249">
        <f t="shared" si="2"/>
        <v>8.25</v>
      </c>
      <c r="H45" s="249">
        <f t="shared" si="8"/>
        <v>13.750000000000002</v>
      </c>
    </row>
    <row r="46" spans="2:8" x14ac:dyDescent="0.25">
      <c r="B46" s="252" t="s">
        <v>292</v>
      </c>
      <c r="C46" s="257"/>
      <c r="D46" s="249">
        <f t="shared" si="0"/>
        <v>4.5650000000000004</v>
      </c>
      <c r="E46" s="249">
        <f t="shared" si="1"/>
        <v>5.8100000000000005</v>
      </c>
      <c r="F46" s="250">
        <v>8.3000000000000007</v>
      </c>
      <c r="G46" s="249">
        <f t="shared" si="2"/>
        <v>12.450000000000001</v>
      </c>
      <c r="H46" s="249">
        <f t="shared" si="8"/>
        <v>20.75</v>
      </c>
    </row>
    <row r="47" spans="2:8" x14ac:dyDescent="0.25">
      <c r="B47" s="252" t="s">
        <v>293</v>
      </c>
      <c r="C47" s="257"/>
      <c r="D47" s="249">
        <f t="shared" si="0"/>
        <v>6.2700000000000005</v>
      </c>
      <c r="E47" s="249">
        <f t="shared" si="1"/>
        <v>7.98</v>
      </c>
      <c r="F47" s="250">
        <v>11.4</v>
      </c>
      <c r="G47" s="249">
        <f t="shared" si="2"/>
        <v>17.100000000000001</v>
      </c>
      <c r="H47" s="249">
        <f t="shared" si="8"/>
        <v>28.500000000000004</v>
      </c>
    </row>
    <row r="48" spans="2:8" x14ac:dyDescent="0.25">
      <c r="B48" s="252" t="s">
        <v>294</v>
      </c>
      <c r="C48" s="257"/>
      <c r="D48" s="249">
        <f t="shared" si="0"/>
        <v>7.7549999999999999</v>
      </c>
      <c r="E48" s="249">
        <f t="shared" si="1"/>
        <v>9.8699999999999992</v>
      </c>
      <c r="F48" s="250">
        <v>14.1</v>
      </c>
      <c r="G48" s="249">
        <f t="shared" si="2"/>
        <v>21.15</v>
      </c>
      <c r="H48" s="249">
        <f t="shared" si="8"/>
        <v>35.25</v>
      </c>
    </row>
    <row r="49" spans="1:8" x14ac:dyDescent="0.25">
      <c r="B49" s="253"/>
      <c r="C49" s="253"/>
      <c r="D49" s="253"/>
      <c r="E49" s="253"/>
      <c r="F49" s="253"/>
      <c r="G49" s="253"/>
      <c r="H49" s="253"/>
    </row>
    <row r="50" spans="1:8" x14ac:dyDescent="0.25">
      <c r="B50" s="250" t="s">
        <v>325</v>
      </c>
      <c r="C50" s="257"/>
      <c r="D50" s="249">
        <f t="shared" ref="D50:D55" si="9">F50/10*5.5</f>
        <v>0.37949999999999995</v>
      </c>
      <c r="E50" s="249">
        <f t="shared" si="1"/>
        <v>0.48299999999999993</v>
      </c>
      <c r="F50" s="250">
        <v>0.69</v>
      </c>
      <c r="G50" s="249">
        <f t="shared" si="2"/>
        <v>1.0349999999999999</v>
      </c>
      <c r="H50" s="249">
        <f t="shared" ref="H50:H55" si="10">F50/10*25</f>
        <v>1.7249999999999999</v>
      </c>
    </row>
    <row r="51" spans="1:8" x14ac:dyDescent="0.25">
      <c r="B51" s="250" t="s">
        <v>326</v>
      </c>
      <c r="C51" s="257"/>
      <c r="D51" s="249">
        <f t="shared" si="9"/>
        <v>0.58850000000000002</v>
      </c>
      <c r="E51" s="249">
        <f t="shared" si="1"/>
        <v>0.74900000000000011</v>
      </c>
      <c r="F51" s="250">
        <v>1.07</v>
      </c>
      <c r="G51" s="249">
        <f t="shared" si="2"/>
        <v>1.6050000000000002</v>
      </c>
      <c r="H51" s="249">
        <f t="shared" si="10"/>
        <v>2.6750000000000003</v>
      </c>
    </row>
    <row r="52" spans="1:8" x14ac:dyDescent="0.25">
      <c r="B52" s="250" t="s">
        <v>327</v>
      </c>
      <c r="C52" s="257"/>
      <c r="D52" s="249">
        <f t="shared" si="9"/>
        <v>0.77549999999999997</v>
      </c>
      <c r="E52" s="249">
        <f t="shared" si="1"/>
        <v>0.98699999999999988</v>
      </c>
      <c r="F52" s="250">
        <v>1.41</v>
      </c>
      <c r="G52" s="249">
        <f t="shared" si="2"/>
        <v>2.1149999999999998</v>
      </c>
      <c r="H52" s="249">
        <f t="shared" si="10"/>
        <v>3.5249999999999995</v>
      </c>
    </row>
    <row r="53" spans="1:8" x14ac:dyDescent="0.25">
      <c r="B53" s="250" t="s">
        <v>328</v>
      </c>
      <c r="C53" s="257"/>
      <c r="D53" s="249">
        <f t="shared" si="9"/>
        <v>1.2155</v>
      </c>
      <c r="E53" s="249">
        <f t="shared" si="1"/>
        <v>1.5469999999999999</v>
      </c>
      <c r="F53" s="250">
        <v>2.21</v>
      </c>
      <c r="G53" s="249">
        <f t="shared" si="2"/>
        <v>3.3149999999999999</v>
      </c>
      <c r="H53" s="249">
        <f t="shared" si="10"/>
        <v>5.5250000000000004</v>
      </c>
    </row>
    <row r="54" spans="1:8" x14ac:dyDescent="0.25">
      <c r="B54" s="250" t="s">
        <v>329</v>
      </c>
      <c r="C54" s="257"/>
      <c r="D54" s="249">
        <f t="shared" si="9"/>
        <v>1.6279999999999999</v>
      </c>
      <c r="E54" s="249">
        <f t="shared" si="1"/>
        <v>2.0720000000000001</v>
      </c>
      <c r="F54" s="250">
        <v>2.96</v>
      </c>
      <c r="G54" s="249">
        <f t="shared" si="2"/>
        <v>4.4399999999999995</v>
      </c>
      <c r="H54" s="249">
        <f t="shared" si="10"/>
        <v>7.3999999999999995</v>
      </c>
    </row>
    <row r="55" spans="1:8" x14ac:dyDescent="0.25">
      <c r="B55" s="250" t="s">
        <v>330</v>
      </c>
      <c r="C55" s="257"/>
      <c r="D55" s="249">
        <f t="shared" si="9"/>
        <v>23.924999999999997</v>
      </c>
      <c r="E55" s="249">
        <f t="shared" si="1"/>
        <v>30.449999999999996</v>
      </c>
      <c r="F55" s="250">
        <v>43.5</v>
      </c>
      <c r="G55" s="249">
        <f t="shared" si="2"/>
        <v>65.25</v>
      </c>
      <c r="H55" s="249">
        <f t="shared" si="10"/>
        <v>108.74999999999999</v>
      </c>
    </row>
    <row r="58" spans="1:8" x14ac:dyDescent="0.25">
      <c r="A58" s="248" t="s">
        <v>295</v>
      </c>
    </row>
    <row r="60" spans="1:8" x14ac:dyDescent="0.25">
      <c r="D60" s="329" t="s">
        <v>259</v>
      </c>
      <c r="E60" s="329"/>
      <c r="F60" s="329"/>
      <c r="G60" s="329"/>
      <c r="H60" s="329"/>
    </row>
    <row r="61" spans="1:8" x14ac:dyDescent="0.25">
      <c r="C61" s="249"/>
      <c r="D61" s="249">
        <v>5.5</v>
      </c>
      <c r="E61" s="249">
        <v>7</v>
      </c>
      <c r="F61" s="249">
        <v>8</v>
      </c>
      <c r="G61" s="249">
        <v>15</v>
      </c>
      <c r="H61" s="249">
        <v>25</v>
      </c>
    </row>
    <row r="62" spans="1:8" x14ac:dyDescent="0.25">
      <c r="B62" s="250" t="s">
        <v>296</v>
      </c>
      <c r="C62" s="260"/>
      <c r="D62" s="249">
        <f>F62/10*5.5</f>
        <v>0.93499999999999994</v>
      </c>
      <c r="E62" s="249">
        <f>F62/10*7</f>
        <v>1.19</v>
      </c>
      <c r="F62" s="250">
        <v>1.7</v>
      </c>
      <c r="G62" s="249">
        <f>F62/10*15</f>
        <v>2.5499999999999998</v>
      </c>
      <c r="H62" s="249">
        <f>F62/10*25</f>
        <v>4.25</v>
      </c>
    </row>
    <row r="63" spans="1:8" x14ac:dyDescent="0.25">
      <c r="B63" s="250" t="s">
        <v>297</v>
      </c>
      <c r="C63" s="260"/>
      <c r="D63" s="249">
        <f t="shared" ref="D63:D77" si="11">F63/10*5.5</f>
        <v>1.9249999999999998</v>
      </c>
      <c r="E63" s="249">
        <f t="shared" ref="E63:E77" si="12">F63/10*7</f>
        <v>2.4499999999999997</v>
      </c>
      <c r="F63" s="250">
        <v>3.5</v>
      </c>
      <c r="G63" s="249">
        <f t="shared" ref="G63:G77" si="13">F63/10*15</f>
        <v>5.25</v>
      </c>
      <c r="H63" s="249">
        <f t="shared" ref="H63:H77" si="14">F63/10*25</f>
        <v>8.75</v>
      </c>
    </row>
    <row r="64" spans="1:8" x14ac:dyDescent="0.25">
      <c r="B64" s="250" t="s">
        <v>267</v>
      </c>
      <c r="C64" s="260"/>
      <c r="D64" s="249">
        <f t="shared" si="11"/>
        <v>2.8050000000000002</v>
      </c>
      <c r="E64" s="249">
        <f t="shared" si="12"/>
        <v>3.5700000000000003</v>
      </c>
      <c r="F64" s="250">
        <v>5.0999999999999996</v>
      </c>
      <c r="G64" s="249">
        <f t="shared" si="13"/>
        <v>7.65</v>
      </c>
      <c r="H64" s="249">
        <f t="shared" si="14"/>
        <v>12.75</v>
      </c>
    </row>
    <row r="65" spans="2:8" x14ac:dyDescent="0.25">
      <c r="B65" s="250" t="s">
        <v>299</v>
      </c>
      <c r="C65" s="260"/>
      <c r="D65" s="249">
        <f t="shared" si="11"/>
        <v>3.8499999999999996</v>
      </c>
      <c r="E65" s="249">
        <f t="shared" si="12"/>
        <v>4.8999999999999995</v>
      </c>
      <c r="F65" s="250">
        <v>7</v>
      </c>
      <c r="G65" s="249">
        <f t="shared" si="13"/>
        <v>10.5</v>
      </c>
      <c r="H65" s="249">
        <f t="shared" si="14"/>
        <v>17.5</v>
      </c>
    </row>
    <row r="66" spans="2:8" x14ac:dyDescent="0.25">
      <c r="B66" s="250" t="s">
        <v>300</v>
      </c>
      <c r="C66" s="260"/>
      <c r="D66" s="249">
        <f t="shared" si="11"/>
        <v>4.7299999999999995</v>
      </c>
      <c r="E66" s="249">
        <f t="shared" si="12"/>
        <v>6.02</v>
      </c>
      <c r="F66" s="250">
        <v>8.6</v>
      </c>
      <c r="G66" s="249">
        <f t="shared" si="13"/>
        <v>12.9</v>
      </c>
      <c r="H66" s="249">
        <f t="shared" si="14"/>
        <v>21.5</v>
      </c>
    </row>
    <row r="67" spans="2:8" x14ac:dyDescent="0.25">
      <c r="B67" s="252" t="s">
        <v>301</v>
      </c>
      <c r="C67" s="260"/>
      <c r="D67" s="249">
        <f t="shared" si="11"/>
        <v>5.665</v>
      </c>
      <c r="E67" s="249">
        <f t="shared" si="12"/>
        <v>7.21</v>
      </c>
      <c r="F67" s="250">
        <v>10.3</v>
      </c>
      <c r="G67" s="249">
        <f t="shared" si="13"/>
        <v>15.450000000000001</v>
      </c>
      <c r="H67" s="249">
        <f t="shared" si="14"/>
        <v>25.75</v>
      </c>
    </row>
    <row r="68" spans="2:8" x14ac:dyDescent="0.25">
      <c r="B68" s="252" t="s">
        <v>331</v>
      </c>
      <c r="C68" s="260"/>
      <c r="D68" s="249">
        <f t="shared" si="11"/>
        <v>2.4200000000000004</v>
      </c>
      <c r="E68" s="249">
        <f t="shared" si="12"/>
        <v>3.0800000000000005</v>
      </c>
      <c r="F68" s="252">
        <v>4.4000000000000004</v>
      </c>
      <c r="G68" s="249">
        <f t="shared" si="13"/>
        <v>6.6000000000000005</v>
      </c>
      <c r="H68" s="249">
        <f t="shared" si="14"/>
        <v>11.000000000000002</v>
      </c>
    </row>
    <row r="69" spans="2:8" x14ac:dyDescent="0.25">
      <c r="B69" s="252" t="s">
        <v>332</v>
      </c>
      <c r="C69" s="260"/>
      <c r="D69" s="249">
        <f t="shared" si="11"/>
        <v>3.6850000000000001</v>
      </c>
      <c r="E69" s="249">
        <f t="shared" si="12"/>
        <v>4.6900000000000004</v>
      </c>
      <c r="F69" s="252">
        <v>6.7</v>
      </c>
      <c r="G69" s="249">
        <f t="shared" si="13"/>
        <v>10.050000000000001</v>
      </c>
      <c r="H69" s="249">
        <f t="shared" si="14"/>
        <v>16.75</v>
      </c>
    </row>
    <row r="70" spans="2:8" x14ac:dyDescent="0.25">
      <c r="B70" s="252" t="s">
        <v>333</v>
      </c>
      <c r="C70" s="260"/>
      <c r="D70" s="249">
        <f t="shared" si="11"/>
        <v>4.8400000000000007</v>
      </c>
      <c r="E70" s="249">
        <f t="shared" si="12"/>
        <v>6.160000000000001</v>
      </c>
      <c r="F70" s="252">
        <v>8.8000000000000007</v>
      </c>
      <c r="G70" s="249">
        <f t="shared" si="13"/>
        <v>13.200000000000001</v>
      </c>
      <c r="H70" s="249">
        <f t="shared" si="14"/>
        <v>22.000000000000004</v>
      </c>
    </row>
    <row r="71" spans="2:8" x14ac:dyDescent="0.25">
      <c r="B71" s="252" t="s">
        <v>334</v>
      </c>
      <c r="C71" s="260"/>
      <c r="D71" s="249">
        <f t="shared" si="11"/>
        <v>7.2599999999999989</v>
      </c>
      <c r="E71" s="249">
        <f t="shared" si="12"/>
        <v>9.2399999999999984</v>
      </c>
      <c r="F71" s="252">
        <v>13.2</v>
      </c>
      <c r="G71" s="249">
        <f t="shared" si="13"/>
        <v>19.799999999999997</v>
      </c>
      <c r="H71" s="249">
        <f t="shared" si="14"/>
        <v>32.999999999999993</v>
      </c>
    </row>
    <row r="72" spans="2:8" x14ac:dyDescent="0.25">
      <c r="B72" s="252" t="s">
        <v>335</v>
      </c>
      <c r="C72" s="260"/>
      <c r="D72" s="249">
        <f t="shared" si="11"/>
        <v>9.4050000000000011</v>
      </c>
      <c r="E72" s="249">
        <f t="shared" si="12"/>
        <v>11.97</v>
      </c>
      <c r="F72" s="252">
        <v>17.100000000000001</v>
      </c>
      <c r="G72" s="249">
        <f t="shared" si="13"/>
        <v>25.650000000000002</v>
      </c>
      <c r="H72" s="249">
        <f t="shared" si="14"/>
        <v>42.750000000000007</v>
      </c>
    </row>
    <row r="73" spans="2:8" x14ac:dyDescent="0.25">
      <c r="B73" s="252" t="s">
        <v>336</v>
      </c>
      <c r="C73" s="260"/>
      <c r="D73" s="249">
        <f t="shared" si="11"/>
        <v>9.0749999999999993</v>
      </c>
      <c r="E73" s="249">
        <f t="shared" si="12"/>
        <v>11.549999999999999</v>
      </c>
      <c r="F73" s="252">
        <v>16.5</v>
      </c>
      <c r="G73" s="249">
        <f t="shared" si="13"/>
        <v>24.75</v>
      </c>
      <c r="H73" s="249">
        <f t="shared" si="14"/>
        <v>41.25</v>
      </c>
    </row>
    <row r="74" spans="2:8" x14ac:dyDescent="0.25">
      <c r="B74" s="252" t="s">
        <v>337</v>
      </c>
      <c r="C74" s="260"/>
      <c r="D74" s="249">
        <f t="shared" si="11"/>
        <v>10.89</v>
      </c>
      <c r="E74" s="249">
        <f t="shared" si="12"/>
        <v>13.86</v>
      </c>
      <c r="F74" s="252">
        <v>19.8</v>
      </c>
      <c r="G74" s="249">
        <f t="shared" si="13"/>
        <v>29.7</v>
      </c>
      <c r="H74" s="249">
        <f t="shared" si="14"/>
        <v>49.5</v>
      </c>
    </row>
    <row r="75" spans="2:8" x14ac:dyDescent="0.25">
      <c r="B75" s="252" t="s">
        <v>338</v>
      </c>
      <c r="C75" s="260"/>
      <c r="D75" s="249">
        <f t="shared" si="11"/>
        <v>13.365</v>
      </c>
      <c r="E75" s="249">
        <f t="shared" si="12"/>
        <v>17.010000000000002</v>
      </c>
      <c r="F75" s="252">
        <v>24.3</v>
      </c>
      <c r="G75" s="249">
        <f t="shared" si="13"/>
        <v>36.450000000000003</v>
      </c>
      <c r="H75" s="249">
        <f t="shared" si="14"/>
        <v>60.750000000000007</v>
      </c>
    </row>
    <row r="76" spans="2:8" x14ac:dyDescent="0.25">
      <c r="B76" s="252" t="s">
        <v>339</v>
      </c>
      <c r="C76" s="260"/>
      <c r="D76" s="249">
        <f t="shared" si="11"/>
        <v>16.39</v>
      </c>
      <c r="E76" s="249">
        <f t="shared" si="12"/>
        <v>20.86</v>
      </c>
      <c r="F76" s="252">
        <v>29.8</v>
      </c>
      <c r="G76" s="249">
        <f t="shared" si="13"/>
        <v>44.7</v>
      </c>
      <c r="H76" s="249">
        <f t="shared" si="14"/>
        <v>74.5</v>
      </c>
    </row>
    <row r="77" spans="2:8" x14ac:dyDescent="0.25">
      <c r="B77" s="252" t="s">
        <v>340</v>
      </c>
      <c r="C77" s="260"/>
      <c r="D77" s="249">
        <f t="shared" si="11"/>
        <v>21.725000000000001</v>
      </c>
      <c r="E77" s="249">
        <f t="shared" si="12"/>
        <v>27.650000000000002</v>
      </c>
      <c r="F77" s="252">
        <v>39.5</v>
      </c>
      <c r="G77" s="249">
        <f t="shared" si="13"/>
        <v>59.25</v>
      </c>
      <c r="H77" s="249">
        <f t="shared" si="14"/>
        <v>98.75</v>
      </c>
    </row>
  </sheetData>
  <mergeCells count="4">
    <mergeCell ref="F2:G2"/>
    <mergeCell ref="D6:H6"/>
    <mergeCell ref="L6:P6"/>
    <mergeCell ref="D60:H60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134"/>
  <sheetViews>
    <sheetView workbookViewId="0">
      <pane ySplit="3" topLeftCell="A4" activePane="bottomLeft" state="frozen"/>
      <selection pane="bottomLeft" activeCell="Q9" sqref="Q9"/>
    </sheetView>
    <sheetView workbookViewId="1"/>
  </sheetViews>
  <sheetFormatPr baseColWidth="10" defaultRowHeight="12.75" x14ac:dyDescent="0.2"/>
  <cols>
    <col min="4" max="4" width="11.42578125" style="208"/>
    <col min="6" max="6" width="18.7109375" customWidth="1"/>
    <col min="7" max="7" width="15.28515625" customWidth="1"/>
  </cols>
  <sheetData>
    <row r="1" spans="1:17" x14ac:dyDescent="0.2">
      <c r="J1">
        <v>0.42</v>
      </c>
    </row>
    <row r="2" spans="1:17" x14ac:dyDescent="0.2">
      <c r="C2" s="322" t="s">
        <v>443</v>
      </c>
      <c r="D2" s="322"/>
      <c r="E2" s="322"/>
      <c r="F2" s="322"/>
      <c r="G2" s="322"/>
      <c r="H2" s="322"/>
      <c r="I2" s="322"/>
      <c r="L2">
        <v>0.42</v>
      </c>
    </row>
    <row r="3" spans="1:17" x14ac:dyDescent="0.2">
      <c r="C3" t="s">
        <v>447</v>
      </c>
      <c r="D3" s="208" t="s">
        <v>450</v>
      </c>
      <c r="E3" t="s">
        <v>448</v>
      </c>
      <c r="F3" t="s">
        <v>449</v>
      </c>
      <c r="G3" t="s">
        <v>451</v>
      </c>
      <c r="H3" t="s">
        <v>454</v>
      </c>
    </row>
    <row r="4" spans="1:17" x14ac:dyDescent="0.2">
      <c r="O4" t="s">
        <v>445</v>
      </c>
    </row>
    <row r="5" spans="1:17" ht="15" x14ac:dyDescent="0.25">
      <c r="A5" s="268" t="s">
        <v>366</v>
      </c>
      <c r="B5" s="273" t="s">
        <v>263</v>
      </c>
      <c r="C5" s="295"/>
      <c r="D5" s="295"/>
      <c r="E5" s="295"/>
      <c r="F5" s="295"/>
      <c r="O5" t="s">
        <v>446</v>
      </c>
    </row>
    <row r="6" spans="1:17" ht="15" x14ac:dyDescent="0.25">
      <c r="A6" s="268" t="s">
        <v>367</v>
      </c>
      <c r="B6" s="273" t="s">
        <v>265</v>
      </c>
      <c r="C6" s="295"/>
      <c r="D6" s="295"/>
      <c r="E6" s="295"/>
      <c r="F6" s="295"/>
    </row>
    <row r="7" spans="1:17" ht="15" x14ac:dyDescent="0.25">
      <c r="A7" s="268" t="s">
        <v>368</v>
      </c>
      <c r="B7" s="273" t="s">
        <v>267</v>
      </c>
      <c r="C7" s="295"/>
      <c r="D7" s="295"/>
      <c r="E7" s="295"/>
      <c r="F7" s="295"/>
      <c r="O7" t="s">
        <v>444</v>
      </c>
      <c r="Q7">
        <v>437</v>
      </c>
    </row>
    <row r="8" spans="1:17" ht="15" x14ac:dyDescent="0.25">
      <c r="A8" s="268" t="s">
        <v>369</v>
      </c>
      <c r="B8" s="273" t="s">
        <v>269</v>
      </c>
      <c r="C8" s="295"/>
      <c r="D8" s="295"/>
      <c r="E8" s="295"/>
      <c r="F8" s="295"/>
    </row>
    <row r="9" spans="1:17" ht="15" x14ac:dyDescent="0.25">
      <c r="A9" s="268" t="s">
        <v>370</v>
      </c>
      <c r="B9" s="273" t="s">
        <v>271</v>
      </c>
      <c r="C9" s="295"/>
      <c r="D9" s="295"/>
      <c r="E9" s="295"/>
      <c r="F9" s="295"/>
    </row>
    <row r="10" spans="1:17" ht="15" x14ac:dyDescent="0.25">
      <c r="A10" s="269" t="s">
        <v>371</v>
      </c>
      <c r="B10" s="252" t="s">
        <v>273</v>
      </c>
      <c r="C10" s="295"/>
      <c r="D10" s="295"/>
      <c r="E10" s="295"/>
      <c r="F10" s="295"/>
    </row>
    <row r="11" spans="1:17" ht="15" x14ac:dyDescent="0.25">
      <c r="A11" s="269" t="s">
        <v>372</v>
      </c>
      <c r="B11" s="252" t="s">
        <v>303</v>
      </c>
      <c r="C11" s="295"/>
      <c r="D11" s="295"/>
      <c r="E11" s="295"/>
      <c r="F11" s="295"/>
    </row>
    <row r="12" spans="1:17" ht="15" x14ac:dyDescent="0.25">
      <c r="A12" s="269" t="s">
        <v>373</v>
      </c>
      <c r="B12" s="252" t="s">
        <v>305</v>
      </c>
      <c r="C12" s="295"/>
      <c r="D12" s="295"/>
      <c r="E12" s="295"/>
      <c r="F12" s="295"/>
    </row>
    <row r="13" spans="1:17" ht="15" x14ac:dyDescent="0.25">
      <c r="A13" s="269" t="s">
        <v>374</v>
      </c>
      <c r="B13" s="252" t="s">
        <v>307</v>
      </c>
      <c r="C13" s="295"/>
      <c r="D13" s="295"/>
      <c r="E13" s="295"/>
      <c r="F13" s="295"/>
    </row>
    <row r="14" spans="1:17" ht="15" x14ac:dyDescent="0.25">
      <c r="A14" s="269" t="s">
        <v>375</v>
      </c>
      <c r="B14" s="252" t="s">
        <v>309</v>
      </c>
      <c r="C14" s="295"/>
      <c r="D14" s="295"/>
      <c r="E14" s="295"/>
      <c r="F14" s="295"/>
    </row>
    <row r="15" spans="1:17" ht="15" x14ac:dyDescent="0.25">
      <c r="A15" s="269" t="s">
        <v>376</v>
      </c>
      <c r="B15" s="252" t="s">
        <v>311</v>
      </c>
      <c r="C15" s="295"/>
      <c r="D15" s="295"/>
      <c r="E15" s="295"/>
      <c r="F15" s="295"/>
    </row>
    <row r="16" spans="1:17" ht="15" x14ac:dyDescent="0.25">
      <c r="A16" s="269" t="s">
        <v>377</v>
      </c>
      <c r="B16" s="252" t="s">
        <v>313</v>
      </c>
      <c r="C16" s="295"/>
      <c r="D16" s="295"/>
      <c r="E16" s="295"/>
      <c r="F16" s="295"/>
    </row>
    <row r="17" spans="1:7" ht="15" x14ac:dyDescent="0.25">
      <c r="A17" s="269" t="s">
        <v>378</v>
      </c>
      <c r="B17" s="252" t="s">
        <v>315</v>
      </c>
      <c r="C17" s="295"/>
      <c r="D17" s="295"/>
      <c r="E17" s="295"/>
      <c r="F17" s="295"/>
    </row>
    <row r="18" spans="1:7" ht="15" x14ac:dyDescent="0.25">
      <c r="A18" s="269" t="s">
        <v>379</v>
      </c>
      <c r="B18" s="252" t="s">
        <v>317</v>
      </c>
      <c r="C18" s="295"/>
      <c r="D18" s="295"/>
      <c r="E18" s="295"/>
      <c r="F18" s="295"/>
    </row>
    <row r="19" spans="1:7" ht="15" x14ac:dyDescent="0.25">
      <c r="A19" s="269" t="s">
        <v>380</v>
      </c>
      <c r="B19" s="252" t="s">
        <v>319</v>
      </c>
      <c r="C19" s="295"/>
      <c r="D19" s="295"/>
      <c r="E19" s="295"/>
      <c r="F19" s="295"/>
    </row>
    <row r="20" spans="1:7" ht="15" x14ac:dyDescent="0.25">
      <c r="A20" s="269" t="s">
        <v>381</v>
      </c>
      <c r="B20" s="252" t="s">
        <v>321</v>
      </c>
      <c r="C20" s="295"/>
      <c r="D20" s="295"/>
      <c r="E20" s="295"/>
      <c r="F20" s="295"/>
    </row>
    <row r="21" spans="1:7" ht="15" x14ac:dyDescent="0.25">
      <c r="A21" s="269" t="s">
        <v>382</v>
      </c>
      <c r="B21" s="252" t="s">
        <v>323</v>
      </c>
      <c r="C21" s="295"/>
      <c r="D21" s="295"/>
      <c r="E21" s="295"/>
      <c r="F21" s="295"/>
    </row>
    <row r="22" spans="1:7" ht="15" x14ac:dyDescent="0.25">
      <c r="A22" s="207"/>
      <c r="B22" s="248"/>
    </row>
    <row r="23" spans="1:7" ht="15" x14ac:dyDescent="0.25">
      <c r="A23" s="207" t="s">
        <v>433</v>
      </c>
      <c r="B23" s="273" t="s">
        <v>275</v>
      </c>
      <c r="C23" s="208"/>
      <c r="D23" s="295"/>
      <c r="E23" s="208"/>
      <c r="F23" s="208"/>
      <c r="G23" s="208"/>
    </row>
    <row r="24" spans="1:7" ht="15" x14ac:dyDescent="0.25">
      <c r="A24" s="207" t="s">
        <v>434</v>
      </c>
      <c r="B24" s="273" t="s">
        <v>276</v>
      </c>
      <c r="C24" s="208"/>
      <c r="D24" s="295"/>
      <c r="E24" s="208"/>
      <c r="F24" s="208"/>
      <c r="G24" s="208"/>
    </row>
    <row r="25" spans="1:7" ht="15" x14ac:dyDescent="0.25">
      <c r="A25" s="207" t="s">
        <v>435</v>
      </c>
      <c r="B25" s="273" t="s">
        <v>277</v>
      </c>
      <c r="C25" s="208"/>
      <c r="D25" s="295"/>
      <c r="E25" s="208"/>
      <c r="F25" s="208"/>
      <c r="G25" s="208"/>
    </row>
    <row r="26" spans="1:7" ht="15" x14ac:dyDescent="0.25">
      <c r="A26" s="207" t="s">
        <v>436</v>
      </c>
      <c r="B26" s="273" t="s">
        <v>278</v>
      </c>
      <c r="C26" s="208"/>
      <c r="D26" s="295"/>
      <c r="E26" s="208"/>
      <c r="F26" s="208"/>
      <c r="G26" s="208"/>
    </row>
    <row r="27" spans="1:7" ht="15" x14ac:dyDescent="0.25">
      <c r="A27" s="207" t="s">
        <v>437</v>
      </c>
      <c r="B27" s="273" t="s">
        <v>279</v>
      </c>
      <c r="C27" s="208"/>
      <c r="D27" s="295"/>
      <c r="E27" s="208"/>
      <c r="F27" s="208"/>
      <c r="G27" s="208"/>
    </row>
    <row r="28" spans="1:7" ht="15" x14ac:dyDescent="0.25">
      <c r="A28" s="207"/>
      <c r="B28" s="255"/>
      <c r="C28" s="208"/>
      <c r="E28" s="208"/>
      <c r="F28" s="208"/>
      <c r="G28" s="208"/>
    </row>
    <row r="29" spans="1:7" ht="15" x14ac:dyDescent="0.25">
      <c r="A29" s="207" t="s">
        <v>438</v>
      </c>
      <c r="B29" s="252" t="s">
        <v>280</v>
      </c>
      <c r="C29" s="208"/>
      <c r="D29" s="295"/>
      <c r="E29" s="208"/>
      <c r="F29" s="208"/>
      <c r="G29" s="208"/>
    </row>
    <row r="30" spans="1:7" ht="15" x14ac:dyDescent="0.25">
      <c r="A30" s="207" t="s">
        <v>439</v>
      </c>
      <c r="B30" s="252" t="s">
        <v>281</v>
      </c>
      <c r="C30" s="208"/>
      <c r="D30" s="295"/>
      <c r="E30" s="208"/>
      <c r="F30" s="208"/>
      <c r="G30" s="208"/>
    </row>
    <row r="31" spans="1:7" ht="15" x14ac:dyDescent="0.25">
      <c r="A31" s="207" t="s">
        <v>440</v>
      </c>
      <c r="B31" s="252" t="s">
        <v>282</v>
      </c>
      <c r="C31" s="208"/>
      <c r="D31" s="295"/>
      <c r="E31" s="208"/>
      <c r="F31" s="208"/>
      <c r="G31" s="208"/>
    </row>
    <row r="32" spans="1:7" ht="15" x14ac:dyDescent="0.25">
      <c r="A32" s="207" t="s">
        <v>441</v>
      </c>
      <c r="B32" s="252" t="s">
        <v>283</v>
      </c>
      <c r="C32" s="208"/>
      <c r="D32" s="295"/>
      <c r="E32" s="208"/>
      <c r="F32" s="208"/>
      <c r="G32" s="208"/>
    </row>
    <row r="33" spans="1:7" ht="15" x14ac:dyDescent="0.25">
      <c r="A33" s="207" t="s">
        <v>442</v>
      </c>
      <c r="B33" s="252" t="s">
        <v>284</v>
      </c>
      <c r="C33" s="208"/>
      <c r="D33" s="295"/>
      <c r="E33" s="208"/>
      <c r="F33" s="208"/>
      <c r="G33" s="208"/>
    </row>
    <row r="34" spans="1:7" ht="15" x14ac:dyDescent="0.25">
      <c r="A34" s="207"/>
      <c r="B34" s="253"/>
      <c r="C34" s="208"/>
      <c r="E34" s="208"/>
      <c r="F34" s="208"/>
      <c r="G34" s="208"/>
    </row>
    <row r="35" spans="1:7" ht="15" x14ac:dyDescent="0.25">
      <c r="A35" s="207" t="s">
        <v>433</v>
      </c>
      <c r="B35" s="273" t="s">
        <v>285</v>
      </c>
      <c r="C35" s="208"/>
      <c r="D35" s="295"/>
      <c r="E35" s="208"/>
      <c r="F35" s="208"/>
      <c r="G35" s="208"/>
    </row>
    <row r="36" spans="1:7" ht="15" x14ac:dyDescent="0.25">
      <c r="A36" s="207" t="s">
        <v>434</v>
      </c>
      <c r="B36" s="273" t="s">
        <v>286</v>
      </c>
      <c r="C36" s="208"/>
      <c r="D36" s="295"/>
      <c r="E36" s="208"/>
      <c r="F36" s="208"/>
      <c r="G36" s="208"/>
    </row>
    <row r="37" spans="1:7" ht="15" x14ac:dyDescent="0.25">
      <c r="A37" s="207" t="s">
        <v>435</v>
      </c>
      <c r="B37" s="273" t="s">
        <v>287</v>
      </c>
      <c r="C37" s="208"/>
      <c r="D37" s="295"/>
      <c r="E37" s="208"/>
      <c r="F37" s="208"/>
      <c r="G37" s="208"/>
    </row>
    <row r="38" spans="1:7" ht="15" x14ac:dyDescent="0.25">
      <c r="A38" s="207" t="s">
        <v>436</v>
      </c>
      <c r="B38" s="273" t="s">
        <v>288</v>
      </c>
      <c r="C38" s="208"/>
      <c r="D38" s="295"/>
      <c r="E38" s="208"/>
      <c r="F38" s="208"/>
      <c r="G38" s="208"/>
    </row>
    <row r="39" spans="1:7" ht="15" x14ac:dyDescent="0.25">
      <c r="A39" s="207" t="s">
        <v>437</v>
      </c>
      <c r="B39" s="273" t="s">
        <v>289</v>
      </c>
      <c r="C39" s="208"/>
      <c r="D39" s="295"/>
      <c r="E39" s="208"/>
      <c r="F39" s="208"/>
      <c r="G39" s="208"/>
    </row>
    <row r="40" spans="1:7" ht="15" x14ac:dyDescent="0.25">
      <c r="A40" s="207"/>
      <c r="B40" s="255"/>
      <c r="C40" s="208"/>
      <c r="E40" s="208"/>
      <c r="F40" s="208"/>
      <c r="G40" s="208"/>
    </row>
    <row r="41" spans="1:7" ht="15" x14ac:dyDescent="0.25">
      <c r="A41" s="207" t="s">
        <v>438</v>
      </c>
      <c r="B41" s="252" t="s">
        <v>290</v>
      </c>
      <c r="C41" s="208"/>
      <c r="D41" s="295"/>
      <c r="E41" s="208"/>
      <c r="F41" s="208"/>
      <c r="G41" s="208"/>
    </row>
    <row r="42" spans="1:7" ht="15" x14ac:dyDescent="0.25">
      <c r="A42" s="207" t="s">
        <v>439</v>
      </c>
      <c r="B42" s="252" t="s">
        <v>291</v>
      </c>
      <c r="C42" s="208"/>
      <c r="D42" s="295"/>
      <c r="E42" s="208"/>
      <c r="F42" s="208"/>
      <c r="G42" s="208"/>
    </row>
    <row r="43" spans="1:7" ht="15" x14ac:dyDescent="0.25">
      <c r="A43" s="207" t="s">
        <v>440</v>
      </c>
      <c r="B43" s="252" t="s">
        <v>292</v>
      </c>
      <c r="C43" s="208"/>
      <c r="D43" s="295"/>
      <c r="E43" s="208"/>
      <c r="F43" s="208"/>
      <c r="G43" s="208"/>
    </row>
    <row r="44" spans="1:7" ht="15" x14ac:dyDescent="0.25">
      <c r="A44" s="207" t="s">
        <v>441</v>
      </c>
      <c r="B44" s="252" t="s">
        <v>293</v>
      </c>
      <c r="C44" s="208"/>
      <c r="D44" s="295"/>
      <c r="E44" s="208"/>
      <c r="F44" s="208"/>
      <c r="G44" s="208"/>
    </row>
    <row r="45" spans="1:7" ht="15" x14ac:dyDescent="0.25">
      <c r="A45" s="207" t="s">
        <v>442</v>
      </c>
      <c r="B45" s="252" t="s">
        <v>294</v>
      </c>
      <c r="C45" s="208"/>
      <c r="D45" s="295"/>
      <c r="E45" s="208"/>
      <c r="F45" s="208"/>
      <c r="G45" s="208"/>
    </row>
    <row r="46" spans="1:7" ht="15" x14ac:dyDescent="0.25">
      <c r="A46" s="207"/>
      <c r="B46" s="253"/>
    </row>
    <row r="47" spans="1:7" ht="15" x14ac:dyDescent="0.25">
      <c r="A47" s="207" t="s">
        <v>383</v>
      </c>
      <c r="B47" s="273" t="s">
        <v>325</v>
      </c>
      <c r="D47" s="295"/>
    </row>
    <row r="48" spans="1:7" ht="15" x14ac:dyDescent="0.25">
      <c r="A48" s="207" t="s">
        <v>384</v>
      </c>
      <c r="B48" s="273" t="s">
        <v>326</v>
      </c>
      <c r="C48" s="208"/>
      <c r="D48" s="295"/>
    </row>
    <row r="49" spans="1:6" ht="15" x14ac:dyDescent="0.25">
      <c r="A49" s="207" t="s">
        <v>385</v>
      </c>
      <c r="B49" s="273" t="s">
        <v>327</v>
      </c>
      <c r="C49" s="208"/>
      <c r="D49" s="295"/>
    </row>
    <row r="50" spans="1:6" ht="15" x14ac:dyDescent="0.25">
      <c r="A50" s="207" t="s">
        <v>386</v>
      </c>
      <c r="B50" s="273" t="s">
        <v>328</v>
      </c>
      <c r="C50" s="208"/>
      <c r="D50" s="295"/>
    </row>
    <row r="51" spans="1:6" ht="15" x14ac:dyDescent="0.25">
      <c r="A51" s="207" t="s">
        <v>387</v>
      </c>
      <c r="B51" s="273" t="s">
        <v>329</v>
      </c>
      <c r="C51" s="208"/>
      <c r="D51" s="295"/>
    </row>
    <row r="52" spans="1:6" ht="15" x14ac:dyDescent="0.25">
      <c r="A52" s="207" t="s">
        <v>388</v>
      </c>
      <c r="B52" s="273" t="s">
        <v>330</v>
      </c>
      <c r="C52" s="208"/>
      <c r="D52" s="295"/>
    </row>
    <row r="54" spans="1:6" ht="15" x14ac:dyDescent="0.25">
      <c r="A54" s="268" t="s">
        <v>389</v>
      </c>
      <c r="B54" s="273" t="s">
        <v>264</v>
      </c>
      <c r="C54" s="208"/>
      <c r="D54" s="295"/>
      <c r="E54" s="295"/>
      <c r="F54" s="295"/>
    </row>
    <row r="55" spans="1:6" ht="15" x14ac:dyDescent="0.25">
      <c r="A55" s="268" t="s">
        <v>390</v>
      </c>
      <c r="B55" s="273" t="s">
        <v>266</v>
      </c>
      <c r="C55" s="208"/>
      <c r="D55" s="295"/>
      <c r="E55" s="295"/>
      <c r="F55" s="295"/>
    </row>
    <row r="56" spans="1:6" ht="15" x14ac:dyDescent="0.25">
      <c r="A56" s="268" t="s">
        <v>391</v>
      </c>
      <c r="B56" s="273" t="s">
        <v>268</v>
      </c>
      <c r="C56" s="208"/>
      <c r="D56" s="295"/>
      <c r="E56" s="295"/>
      <c r="F56" s="295"/>
    </row>
    <row r="57" spans="1:6" ht="15" x14ac:dyDescent="0.25">
      <c r="A57" s="268" t="s">
        <v>392</v>
      </c>
      <c r="B57" s="273" t="s">
        <v>270</v>
      </c>
      <c r="C57" s="208"/>
      <c r="D57" s="295"/>
      <c r="E57" s="295"/>
      <c r="F57" s="295"/>
    </row>
    <row r="58" spans="1:6" ht="15" x14ac:dyDescent="0.25">
      <c r="A58" s="268" t="s">
        <v>393</v>
      </c>
      <c r="B58" s="273" t="s">
        <v>272</v>
      </c>
      <c r="C58" s="208"/>
      <c r="D58" s="295"/>
      <c r="E58" s="295"/>
      <c r="F58" s="295"/>
    </row>
    <row r="59" spans="1:6" ht="15" x14ac:dyDescent="0.25">
      <c r="A59" s="269" t="s">
        <v>394</v>
      </c>
      <c r="B59" s="252" t="s">
        <v>274</v>
      </c>
      <c r="C59" s="208"/>
      <c r="D59" s="295"/>
      <c r="E59" s="295"/>
      <c r="F59" s="295"/>
    </row>
    <row r="60" spans="1:6" ht="15" x14ac:dyDescent="0.25">
      <c r="A60" s="269" t="s">
        <v>395</v>
      </c>
      <c r="B60" s="252" t="s">
        <v>304</v>
      </c>
      <c r="C60" s="208"/>
      <c r="D60" s="295"/>
      <c r="E60" s="295"/>
      <c r="F60" s="295"/>
    </row>
    <row r="61" spans="1:6" ht="15" x14ac:dyDescent="0.25">
      <c r="A61" s="269" t="s">
        <v>396</v>
      </c>
      <c r="B61" s="252" t="s">
        <v>306</v>
      </c>
      <c r="C61" s="208"/>
      <c r="D61" s="295"/>
      <c r="E61" s="295"/>
      <c r="F61" s="295"/>
    </row>
    <row r="62" spans="1:6" ht="15" x14ac:dyDescent="0.25">
      <c r="A62" s="269" t="s">
        <v>397</v>
      </c>
      <c r="B62" s="252" t="s">
        <v>308</v>
      </c>
      <c r="C62" s="208"/>
      <c r="D62" s="295"/>
      <c r="E62" s="295"/>
      <c r="F62" s="295"/>
    </row>
    <row r="63" spans="1:6" ht="15" x14ac:dyDescent="0.25">
      <c r="A63" s="269" t="s">
        <v>398</v>
      </c>
      <c r="B63" s="252" t="s">
        <v>310</v>
      </c>
      <c r="C63" s="208"/>
      <c r="D63" s="295"/>
      <c r="E63" s="295"/>
      <c r="F63" s="295"/>
    </row>
    <row r="64" spans="1:6" ht="15" x14ac:dyDescent="0.25">
      <c r="A64" s="269" t="s">
        <v>399</v>
      </c>
      <c r="B64" s="252" t="s">
        <v>312</v>
      </c>
      <c r="C64" s="208"/>
      <c r="D64" s="295"/>
      <c r="E64" s="295"/>
      <c r="F64" s="295"/>
    </row>
    <row r="65" spans="1:6" ht="15" x14ac:dyDescent="0.25">
      <c r="A65" s="269" t="s">
        <v>400</v>
      </c>
      <c r="B65" s="252" t="s">
        <v>314</v>
      </c>
      <c r="C65" s="208"/>
      <c r="D65" s="295"/>
      <c r="E65" s="295"/>
      <c r="F65" s="295"/>
    </row>
    <row r="66" spans="1:6" ht="15" x14ac:dyDescent="0.25">
      <c r="A66" s="269" t="s">
        <v>401</v>
      </c>
      <c r="B66" s="252" t="s">
        <v>316</v>
      </c>
      <c r="C66" s="208"/>
      <c r="D66" s="295"/>
      <c r="E66" s="295"/>
      <c r="F66" s="295"/>
    </row>
    <row r="67" spans="1:6" ht="15" x14ac:dyDescent="0.25">
      <c r="A67" s="269" t="s">
        <v>402</v>
      </c>
      <c r="B67" s="252" t="s">
        <v>318</v>
      </c>
      <c r="C67" s="208"/>
      <c r="D67" s="295"/>
      <c r="E67" s="295"/>
      <c r="F67" s="295"/>
    </row>
    <row r="68" spans="1:6" ht="15" x14ac:dyDescent="0.25">
      <c r="A68" s="269" t="s">
        <v>403</v>
      </c>
      <c r="B68" s="252" t="s">
        <v>320</v>
      </c>
      <c r="C68" s="208"/>
      <c r="D68" s="295"/>
      <c r="E68" s="295"/>
      <c r="F68" s="295"/>
    </row>
    <row r="69" spans="1:6" ht="15" x14ac:dyDescent="0.25">
      <c r="A69" s="269" t="s">
        <v>404</v>
      </c>
      <c r="B69" s="252" t="s">
        <v>322</v>
      </c>
      <c r="C69" s="208"/>
      <c r="D69" s="295"/>
      <c r="E69" s="295"/>
      <c r="F69" s="295"/>
    </row>
    <row r="70" spans="1:6" ht="15" x14ac:dyDescent="0.25">
      <c r="A70" s="269" t="s">
        <v>405</v>
      </c>
      <c r="B70" s="252" t="s">
        <v>324</v>
      </c>
      <c r="C70" s="208"/>
      <c r="D70" s="295"/>
      <c r="E70" s="295"/>
      <c r="F70" s="295"/>
    </row>
    <row r="72" spans="1:6" ht="15" x14ac:dyDescent="0.25">
      <c r="A72" s="268" t="s">
        <v>406</v>
      </c>
      <c r="B72" s="273" t="s">
        <v>296</v>
      </c>
      <c r="C72" s="208"/>
      <c r="D72" s="295"/>
      <c r="E72" s="208"/>
      <c r="F72" s="295"/>
    </row>
    <row r="73" spans="1:6" ht="15" x14ac:dyDescent="0.25">
      <c r="A73" s="268" t="s">
        <v>407</v>
      </c>
      <c r="B73" s="273" t="s">
        <v>297</v>
      </c>
      <c r="C73" s="208"/>
      <c r="D73" s="295"/>
      <c r="E73" s="208"/>
      <c r="F73" s="295"/>
    </row>
    <row r="74" spans="1:6" ht="15" x14ac:dyDescent="0.25">
      <c r="A74" s="268" t="s">
        <v>408</v>
      </c>
      <c r="B74" s="273" t="s">
        <v>267</v>
      </c>
      <c r="C74" s="208"/>
      <c r="D74" s="295"/>
      <c r="E74" s="208"/>
      <c r="F74" s="295"/>
    </row>
    <row r="75" spans="1:6" ht="15" x14ac:dyDescent="0.25">
      <c r="A75" s="268" t="s">
        <v>409</v>
      </c>
      <c r="B75" s="273" t="s">
        <v>299</v>
      </c>
      <c r="C75" s="208"/>
      <c r="D75" s="295"/>
      <c r="E75" s="208"/>
      <c r="F75" s="295"/>
    </row>
    <row r="76" spans="1:6" ht="15" x14ac:dyDescent="0.25">
      <c r="A76" s="268" t="s">
        <v>410</v>
      </c>
      <c r="B76" s="273" t="s">
        <v>300</v>
      </c>
      <c r="C76" s="208"/>
      <c r="D76" s="295"/>
      <c r="E76" s="208"/>
      <c r="F76" s="295"/>
    </row>
    <row r="77" spans="1:6" ht="15" x14ac:dyDescent="0.25">
      <c r="A77" s="269" t="s">
        <v>411</v>
      </c>
      <c r="B77" s="252" t="s">
        <v>301</v>
      </c>
      <c r="C77" s="208"/>
      <c r="D77" s="295"/>
      <c r="E77" s="208"/>
      <c r="F77" s="295"/>
    </row>
    <row r="78" spans="1:6" ht="15" x14ac:dyDescent="0.25">
      <c r="A78" s="269" t="s">
        <v>412</v>
      </c>
      <c r="B78" s="252" t="s">
        <v>331</v>
      </c>
      <c r="C78" s="208"/>
      <c r="D78" s="295"/>
      <c r="E78" s="208"/>
      <c r="F78" s="295"/>
    </row>
    <row r="79" spans="1:6" ht="15" x14ac:dyDescent="0.25">
      <c r="A79" s="269" t="s">
        <v>413</v>
      </c>
      <c r="B79" s="252" t="s">
        <v>332</v>
      </c>
      <c r="C79" s="208"/>
      <c r="D79" s="295"/>
      <c r="E79" s="208"/>
      <c r="F79" s="295"/>
    </row>
    <row r="80" spans="1:6" ht="15" x14ac:dyDescent="0.25">
      <c r="A80" s="269" t="s">
        <v>414</v>
      </c>
      <c r="B80" s="252" t="s">
        <v>333</v>
      </c>
      <c r="C80" s="208"/>
      <c r="D80" s="295"/>
      <c r="E80" s="208"/>
      <c r="F80" s="295"/>
    </row>
    <row r="81" spans="1:6" ht="15" x14ac:dyDescent="0.25">
      <c r="A81" s="269" t="s">
        <v>415</v>
      </c>
      <c r="B81" s="252" t="s">
        <v>334</v>
      </c>
      <c r="C81" s="208"/>
      <c r="D81" s="295"/>
      <c r="E81" s="208"/>
      <c r="F81" s="295"/>
    </row>
    <row r="82" spans="1:6" ht="15" x14ac:dyDescent="0.25">
      <c r="A82" s="269" t="s">
        <v>416</v>
      </c>
      <c r="B82" s="252" t="s">
        <v>335</v>
      </c>
      <c r="C82" s="208"/>
      <c r="D82" s="295"/>
      <c r="E82" s="208"/>
      <c r="F82" s="295"/>
    </row>
    <row r="83" spans="1:6" ht="15" x14ac:dyDescent="0.25">
      <c r="A83" s="296" t="s">
        <v>452</v>
      </c>
      <c r="B83" s="252" t="s">
        <v>336</v>
      </c>
      <c r="C83" s="208"/>
      <c r="D83" s="295"/>
      <c r="E83" s="208"/>
      <c r="F83" s="295"/>
    </row>
    <row r="84" spans="1:6" ht="15" x14ac:dyDescent="0.25">
      <c r="A84" s="269" t="s">
        <v>418</v>
      </c>
      <c r="B84" s="252" t="s">
        <v>337</v>
      </c>
      <c r="C84" s="208"/>
      <c r="D84" s="295"/>
      <c r="E84" s="208"/>
      <c r="F84" s="295"/>
    </row>
    <row r="85" spans="1:6" ht="15" x14ac:dyDescent="0.25">
      <c r="A85" s="269" t="s">
        <v>419</v>
      </c>
      <c r="B85" s="252" t="s">
        <v>338</v>
      </c>
      <c r="C85" s="208"/>
      <c r="D85" s="295"/>
      <c r="E85" s="208"/>
      <c r="F85" s="295"/>
    </row>
    <row r="86" spans="1:6" ht="15" x14ac:dyDescent="0.25">
      <c r="A86" s="269" t="s">
        <v>420</v>
      </c>
      <c r="B86" s="252" t="s">
        <v>339</v>
      </c>
      <c r="C86" s="208"/>
      <c r="D86" s="295"/>
      <c r="E86" s="208"/>
      <c r="F86" s="295"/>
    </row>
    <row r="87" spans="1:6" ht="15" x14ac:dyDescent="0.25">
      <c r="A87" s="269" t="s">
        <v>421</v>
      </c>
      <c r="B87" s="252" t="s">
        <v>340</v>
      </c>
      <c r="C87" s="208"/>
      <c r="D87" s="295"/>
      <c r="E87" s="208"/>
      <c r="F87" s="295"/>
    </row>
    <row r="88" spans="1:6" x14ac:dyDescent="0.2">
      <c r="D88" s="295"/>
      <c r="F88" s="295"/>
    </row>
    <row r="91" spans="1:6" ht="15" x14ac:dyDescent="0.25">
      <c r="A91" s="207" t="s">
        <v>349</v>
      </c>
      <c r="B91" s="273" t="s">
        <v>263</v>
      </c>
      <c r="E91" s="208"/>
    </row>
    <row r="92" spans="1:6" ht="15" x14ac:dyDescent="0.25">
      <c r="A92" s="207" t="s">
        <v>350</v>
      </c>
      <c r="B92" s="273" t="s">
        <v>265</v>
      </c>
      <c r="E92" s="208"/>
    </row>
    <row r="93" spans="1:6" ht="15" x14ac:dyDescent="0.25">
      <c r="A93" s="207" t="s">
        <v>351</v>
      </c>
      <c r="B93" s="273" t="s">
        <v>267</v>
      </c>
      <c r="E93" s="208"/>
    </row>
    <row r="94" spans="1:6" ht="15" x14ac:dyDescent="0.25">
      <c r="A94" s="207" t="s">
        <v>352</v>
      </c>
      <c r="B94" s="273" t="s">
        <v>269</v>
      </c>
      <c r="E94" s="208"/>
    </row>
    <row r="95" spans="1:6" ht="15" x14ac:dyDescent="0.25">
      <c r="A95" s="207" t="s">
        <v>353</v>
      </c>
      <c r="B95" s="273" t="s">
        <v>271</v>
      </c>
      <c r="E95" s="208"/>
    </row>
    <row r="96" spans="1:6" ht="15" x14ac:dyDescent="0.25">
      <c r="A96" s="207" t="s">
        <v>453</v>
      </c>
      <c r="B96" s="252" t="s">
        <v>273</v>
      </c>
      <c r="E96" s="208"/>
    </row>
    <row r="97" spans="1:5" ht="15" x14ac:dyDescent="0.25">
      <c r="A97" s="207"/>
      <c r="B97" s="253"/>
    </row>
    <row r="98" spans="1:5" ht="15" x14ac:dyDescent="0.25">
      <c r="A98" s="207" t="s">
        <v>423</v>
      </c>
      <c r="B98" s="273" t="s">
        <v>275</v>
      </c>
      <c r="E98" s="208"/>
    </row>
    <row r="99" spans="1:5" ht="15" x14ac:dyDescent="0.25">
      <c r="A99" s="207" t="s">
        <v>424</v>
      </c>
      <c r="B99" s="273" t="s">
        <v>276</v>
      </c>
      <c r="E99" s="208"/>
    </row>
    <row r="100" spans="1:5" ht="15" x14ac:dyDescent="0.25">
      <c r="A100" s="207" t="s">
        <v>425</v>
      </c>
      <c r="B100" s="273" t="s">
        <v>277</v>
      </c>
      <c r="E100" s="208"/>
    </row>
    <row r="101" spans="1:5" ht="15" x14ac:dyDescent="0.25">
      <c r="A101" s="207" t="s">
        <v>426</v>
      </c>
      <c r="B101" s="273" t="s">
        <v>278</v>
      </c>
      <c r="E101" s="208"/>
    </row>
    <row r="102" spans="1:5" ht="15" x14ac:dyDescent="0.25">
      <c r="A102" s="207" t="s">
        <v>427</v>
      </c>
      <c r="B102" s="273" t="s">
        <v>279</v>
      </c>
      <c r="E102" s="208"/>
    </row>
    <row r="103" spans="1:5" ht="15" x14ac:dyDescent="0.25">
      <c r="A103" s="207"/>
      <c r="B103" s="255"/>
      <c r="E103" s="208"/>
    </row>
    <row r="104" spans="1:5" ht="15" x14ac:dyDescent="0.25">
      <c r="A104" s="207" t="s">
        <v>428</v>
      </c>
      <c r="B104" s="252" t="s">
        <v>280</v>
      </c>
      <c r="E104" s="208"/>
    </row>
    <row r="105" spans="1:5" ht="15" x14ac:dyDescent="0.25">
      <c r="A105" s="207" t="s">
        <v>429</v>
      </c>
      <c r="B105" s="252" t="s">
        <v>281</v>
      </c>
      <c r="E105" s="208"/>
    </row>
    <row r="106" spans="1:5" ht="15" x14ac:dyDescent="0.25">
      <c r="A106" s="207" t="s">
        <v>430</v>
      </c>
      <c r="B106" s="252" t="s">
        <v>282</v>
      </c>
      <c r="E106" s="208"/>
    </row>
    <row r="107" spans="1:5" ht="15" x14ac:dyDescent="0.25">
      <c r="A107" s="207" t="s">
        <v>431</v>
      </c>
      <c r="B107" s="252" t="s">
        <v>283</v>
      </c>
      <c r="E107" s="208"/>
    </row>
    <row r="108" spans="1:5" ht="15" x14ac:dyDescent="0.25">
      <c r="A108" s="207" t="s">
        <v>432</v>
      </c>
      <c r="B108" s="252" t="s">
        <v>284</v>
      </c>
      <c r="E108" s="208"/>
    </row>
    <row r="109" spans="1:5" ht="15" x14ac:dyDescent="0.25">
      <c r="A109" s="207"/>
      <c r="B109" s="253"/>
      <c r="E109" s="208"/>
    </row>
    <row r="110" spans="1:5" ht="15" x14ac:dyDescent="0.25">
      <c r="A110" s="207" t="s">
        <v>423</v>
      </c>
      <c r="B110" s="273" t="s">
        <v>285</v>
      </c>
      <c r="E110" s="208"/>
    </row>
    <row r="111" spans="1:5" ht="15" x14ac:dyDescent="0.25">
      <c r="A111" s="207" t="s">
        <v>424</v>
      </c>
      <c r="B111" s="273" t="s">
        <v>286</v>
      </c>
      <c r="E111" s="208"/>
    </row>
    <row r="112" spans="1:5" ht="15" x14ac:dyDescent="0.25">
      <c r="A112" s="207" t="s">
        <v>425</v>
      </c>
      <c r="B112" s="273" t="s">
        <v>287</v>
      </c>
      <c r="E112" s="208"/>
    </row>
    <row r="113" spans="1:5" ht="15" x14ac:dyDescent="0.25">
      <c r="A113" s="207" t="s">
        <v>426</v>
      </c>
      <c r="B113" s="273" t="s">
        <v>288</v>
      </c>
      <c r="E113" s="208"/>
    </row>
    <row r="114" spans="1:5" ht="15" x14ac:dyDescent="0.25">
      <c r="A114" s="207" t="s">
        <v>427</v>
      </c>
      <c r="B114" s="273" t="s">
        <v>289</v>
      </c>
      <c r="E114" s="208"/>
    </row>
    <row r="115" spans="1:5" ht="15" x14ac:dyDescent="0.25">
      <c r="A115" s="207"/>
      <c r="B115" s="255"/>
      <c r="E115" s="208"/>
    </row>
    <row r="116" spans="1:5" ht="15" x14ac:dyDescent="0.25">
      <c r="A116" s="207" t="s">
        <v>428</v>
      </c>
      <c r="B116" s="252" t="s">
        <v>290</v>
      </c>
      <c r="E116" s="208"/>
    </row>
    <row r="117" spans="1:5" ht="15" x14ac:dyDescent="0.25">
      <c r="A117" s="207" t="s">
        <v>429</v>
      </c>
      <c r="B117" s="252" t="s">
        <v>291</v>
      </c>
      <c r="E117" s="208"/>
    </row>
    <row r="118" spans="1:5" ht="15" x14ac:dyDescent="0.25">
      <c r="A118" s="207" t="s">
        <v>430</v>
      </c>
      <c r="B118" s="252" t="s">
        <v>292</v>
      </c>
      <c r="E118" s="208"/>
    </row>
    <row r="119" spans="1:5" ht="15" x14ac:dyDescent="0.25">
      <c r="A119" s="207" t="s">
        <v>431</v>
      </c>
      <c r="B119" s="252" t="s">
        <v>293</v>
      </c>
      <c r="E119" s="208"/>
    </row>
    <row r="120" spans="1:5" ht="15" x14ac:dyDescent="0.25">
      <c r="A120" s="207" t="s">
        <v>432</v>
      </c>
      <c r="B120" s="252" t="s">
        <v>294</v>
      </c>
      <c r="E120" s="208"/>
    </row>
    <row r="121" spans="1:5" x14ac:dyDescent="0.2">
      <c r="A121" s="207"/>
    </row>
    <row r="122" spans="1:5" ht="15" x14ac:dyDescent="0.25">
      <c r="A122" s="207" t="s">
        <v>354</v>
      </c>
      <c r="B122" s="273" t="s">
        <v>264</v>
      </c>
      <c r="E122" s="208"/>
    </row>
    <row r="123" spans="1:5" ht="15" x14ac:dyDescent="0.25">
      <c r="A123" s="207" t="s">
        <v>355</v>
      </c>
      <c r="B123" s="273" t="s">
        <v>266</v>
      </c>
      <c r="E123" s="208"/>
    </row>
    <row r="124" spans="1:5" ht="15" x14ac:dyDescent="0.25">
      <c r="A124" s="207" t="s">
        <v>356</v>
      </c>
      <c r="B124" s="273" t="s">
        <v>268</v>
      </c>
      <c r="E124" s="208"/>
    </row>
    <row r="125" spans="1:5" ht="15" x14ac:dyDescent="0.25">
      <c r="A125" s="207" t="s">
        <v>357</v>
      </c>
      <c r="B125" s="273" t="s">
        <v>270</v>
      </c>
      <c r="E125" s="208"/>
    </row>
    <row r="126" spans="1:5" ht="15" x14ac:dyDescent="0.25">
      <c r="A126" s="207" t="s">
        <v>358</v>
      </c>
      <c r="B126" s="273" t="s">
        <v>272</v>
      </c>
      <c r="E126" s="208"/>
    </row>
    <row r="127" spans="1:5" ht="15" x14ac:dyDescent="0.25">
      <c r="A127" s="207" t="s">
        <v>359</v>
      </c>
      <c r="B127" s="252" t="s">
        <v>274</v>
      </c>
      <c r="E127" s="208"/>
    </row>
    <row r="128" spans="1:5" x14ac:dyDescent="0.2">
      <c r="A128" s="207"/>
    </row>
    <row r="129" spans="1:8" ht="15" x14ac:dyDescent="0.25">
      <c r="A129" s="207" t="s">
        <v>360</v>
      </c>
      <c r="B129" s="249" t="s">
        <v>296</v>
      </c>
      <c r="E129" s="208"/>
      <c r="F129" s="208"/>
      <c r="H129" s="208"/>
    </row>
    <row r="130" spans="1:8" ht="15" x14ac:dyDescent="0.25">
      <c r="A130" s="207" t="s">
        <v>361</v>
      </c>
      <c r="B130" s="249" t="s">
        <v>297</v>
      </c>
      <c r="E130" s="208"/>
      <c r="F130" s="208"/>
      <c r="H130" s="208"/>
    </row>
    <row r="131" spans="1:8" ht="15" x14ac:dyDescent="0.25">
      <c r="A131" s="207" t="s">
        <v>362</v>
      </c>
      <c r="B131" s="249" t="s">
        <v>298</v>
      </c>
      <c r="E131" s="208"/>
      <c r="F131" s="208"/>
      <c r="H131" s="208"/>
    </row>
    <row r="132" spans="1:8" ht="15" x14ac:dyDescent="0.25">
      <c r="A132" s="207" t="s">
        <v>363</v>
      </c>
      <c r="B132" s="249" t="s">
        <v>299</v>
      </c>
      <c r="E132" s="208"/>
      <c r="F132" s="208"/>
      <c r="H132" s="208"/>
    </row>
    <row r="133" spans="1:8" ht="15" x14ac:dyDescent="0.25">
      <c r="A133" s="207" t="s">
        <v>364</v>
      </c>
      <c r="B133" s="249" t="s">
        <v>300</v>
      </c>
      <c r="E133" s="208"/>
      <c r="F133" s="208"/>
      <c r="H133" s="208"/>
    </row>
    <row r="134" spans="1:8" ht="15" x14ac:dyDescent="0.25">
      <c r="A134" s="207" t="s">
        <v>365</v>
      </c>
      <c r="B134" s="249" t="s">
        <v>301</v>
      </c>
      <c r="E134" s="208"/>
      <c r="F134" s="208"/>
      <c r="H134" s="208"/>
    </row>
  </sheetData>
  <mergeCells count="1">
    <mergeCell ref="C2:I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Modèle</vt:lpstr>
      <vt:lpstr>RECAP BILAN</vt:lpstr>
      <vt:lpstr>Evap profroid</vt:lpstr>
      <vt:lpstr>RECAP CO2</vt:lpstr>
      <vt:lpstr>Feuil3</vt:lpstr>
      <vt:lpstr>RECAP HFC</vt:lpstr>
      <vt:lpstr>OPTION</vt:lpstr>
      <vt:lpstr>Modèle!Excel_BuiltIn__FilterDatabase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Bilan thermique de chambre froide</dc:title>
  <dc:subject>Thermodynamique</dc:subject>
  <dc:creator>louisbelle</dc:creator>
  <cp:keywords>bilan thermique de chambre froide</cp:keywords>
  <dc:description/>
  <cp:lastModifiedBy>gmb</cp:lastModifiedBy>
  <cp:revision>28</cp:revision>
  <cp:lastPrinted>2014-12-16T15:18:39Z</cp:lastPrinted>
  <dcterms:created xsi:type="dcterms:W3CDTF">2009-08-28T14:02:05Z</dcterms:created>
  <dcterms:modified xsi:type="dcterms:W3CDTF">2017-09-28T21:56:19Z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URL">
    <vt:lpwstr>www.phpage.fr</vt:lpwstr>
  </property>
</Properties>
</file>