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drawings/drawing5.xml" ContentType="application/vnd.openxmlformats-officedocument.drawing+xml"/>
  <Override PartName="/xl/tables/table2.xml" ContentType="application/vnd.openxmlformats-officedocument.spreadsheetml.table+xml"/>
  <Override PartName="/xl/drawings/drawing6.xml" ContentType="application/vnd.openxmlformats-officedocument.drawing+xml"/>
  <Override PartName="/xl/tables/table3.xml" ContentType="application/vnd.openxmlformats-officedocument.spreadsheetml.table+xml"/>
  <Override PartName="/xl/drawings/drawing7.xml" ContentType="application/vnd.openxmlformats-officedocument.drawing+xml"/>
  <Override PartName="/xl/tables/table4.xml" ContentType="application/vnd.openxmlformats-officedocument.spreadsheetml.table+xml"/>
  <Override PartName="/xl/drawings/drawing8.xml" ContentType="application/vnd.openxmlformats-officedocument.drawing+xml"/>
  <Override PartName="/xl/tables/table5.xml" ContentType="application/vnd.openxmlformats-officedocument.spreadsheetml.table+xml"/>
  <Override PartName="/xl/drawings/drawing9.xml" ContentType="application/vnd.openxmlformats-officedocument.drawing+xml"/>
  <Override PartName="/xl/tables/table6.xml" ContentType="application/vnd.openxmlformats-officedocument.spreadsheetml.table+xml"/>
  <Override PartName="/xl/drawings/drawing10.xml" ContentType="application/vnd.openxmlformats-officedocument.drawing+xml"/>
  <Override PartName="/xl/tables/table7.xml" ContentType="application/vnd.openxmlformats-officedocument.spreadsheetml.table+xml"/>
  <Override PartName="/xl/drawings/drawing11.xml" ContentType="application/vnd.openxmlformats-officedocument.drawing+xml"/>
  <Override PartName="/xl/tables/table8.xml" ContentType="application/vnd.openxmlformats-officedocument.spreadsheetml.table+xml"/>
  <Override PartName="/xl/drawings/drawing12.xml" ContentType="application/vnd.openxmlformats-officedocument.drawing+xml"/>
  <Override PartName="/xl/tables/table9.xml" ContentType="application/vnd.openxmlformats-officedocument.spreadsheetml.table+xml"/>
  <Override PartName="/xl/drawings/drawing13.xml" ContentType="application/vnd.openxmlformats-officedocument.drawing+xml"/>
  <Override PartName="/xl/tables/table10.xml" ContentType="application/vnd.openxmlformats-officedocument.spreadsheetml.table+xml"/>
  <Override PartName="/xl/drawings/drawing14.xml" ContentType="application/vnd.openxmlformats-officedocument.drawing+xml"/>
  <Override PartName="/xl/tables/table11.xml" ContentType="application/vnd.openxmlformats-officedocument.spreadsheetml.table+xml"/>
  <Override PartName="/xl/drawings/drawing15.xml" ContentType="application/vnd.openxmlformats-officedocument.drawing+xml"/>
  <Override PartName="/xl/tables/table1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975" windowHeight="8280" tabRatio="686"/>
  </bookViews>
  <sheets>
    <sheet name="Accueil" sheetId="26" r:id="rId1"/>
    <sheet name="Statistique" sheetId="28" state="hidden" r:id="rId2"/>
    <sheet name="Paramètre" sheetId="27" state="hidden" r:id="rId3"/>
    <sheet name="Janvier" sheetId="4" state="hidden" r:id="rId4"/>
    <sheet name="Février" sheetId="5" state="hidden" r:id="rId5"/>
    <sheet name="Mars" sheetId="17" state="hidden" r:id="rId6"/>
    <sheet name="Avril" sheetId="18" state="hidden" r:id="rId7"/>
    <sheet name="Mai" sheetId="19" state="hidden" r:id="rId8"/>
    <sheet name="Juin" sheetId="20" state="hidden" r:id="rId9"/>
    <sheet name="Juillet" sheetId="21" state="hidden" r:id="rId10"/>
    <sheet name="Août" sheetId="22" state="hidden" r:id="rId11"/>
    <sheet name="Septembre" sheetId="23" state="hidden" r:id="rId12"/>
    <sheet name="Octobre" sheetId="24" state="hidden" r:id="rId13"/>
    <sheet name="Novembre" sheetId="25" state="hidden" r:id="rId14"/>
    <sheet name="Décembre" sheetId="15" state="hidden" r:id="rId15"/>
  </sheets>
  <definedNames>
    <definedName name="AnnéeCalendrier">Janvier!$AH$4</definedName>
    <definedName name="CléCongé">Janvier!$C$2</definedName>
    <definedName name="CléMaladie">Janvier!$J$2</definedName>
    <definedName name="CléPersonnalisée1">Janvier!$M$2</definedName>
    <definedName name="CléPersonnalisée2">Janvier!$R$2</definedName>
    <definedName name="CléPersonnalisée3">Janvier!$W$2</definedName>
    <definedName name="CléPersonnel">Janvier!$F$2</definedName>
    <definedName name="ÉtiquetteCléAutorisé">Janvier!$S$2</definedName>
    <definedName name="ÉtiquetteCléCongé">Janvier!$D$2</definedName>
    <definedName name="ÉtiquetteCléFormation">Janvier!$X$2</definedName>
    <definedName name="ÉtiquetteCléIrrégulière">Janvier!$N$2</definedName>
    <definedName name="ÉtiquetteCléMaladie">Janvier!$K$2</definedName>
    <definedName name="ÉtiquetteCléPersonnalisée1">Janvier!$N$2</definedName>
    <definedName name="ÉtiquetteCléPersonnalisée2">Janvier!$S$2</definedName>
    <definedName name="ÉtiquetteCléPersonnel">Janvier!$G$2</definedName>
    <definedName name="ÉtiquetteCléRécupération">Janvier!$G$2</definedName>
    <definedName name="_xlnm.Print_Titles" localSheetId="10">Août!$4:$6</definedName>
    <definedName name="_xlnm.Print_Titles" localSheetId="6">Avril!$4:$6</definedName>
    <definedName name="_xlnm.Print_Titles" localSheetId="14">Décembre!$4:$6</definedName>
    <definedName name="_xlnm.Print_Titles" localSheetId="4">Février!$4:$6</definedName>
    <definedName name="_xlnm.Print_Titles" localSheetId="3">Janvier!$4:$6</definedName>
    <definedName name="_xlnm.Print_Titles" localSheetId="9">Juillet!$4:$6</definedName>
    <definedName name="_xlnm.Print_Titles" localSheetId="8">Juin!$4:$6</definedName>
    <definedName name="_xlnm.Print_Titles" localSheetId="7">Mai!$4:$6</definedName>
    <definedName name="_xlnm.Print_Titles" localSheetId="5">Mars!$4:$6</definedName>
    <definedName name="_xlnm.Print_Titles" localSheetId="13">Novembre!$4:$6</definedName>
    <definedName name="_xlnm.Print_Titles" localSheetId="12">Octobre!$4:$6</definedName>
    <definedName name="_xlnm.Print_Titles" localSheetId="11">Septembre!$4:$6</definedName>
    <definedName name="liste">Janvier[Nom de l’employé]</definedName>
    <definedName name="Nom_clé">Janvier!$B$2</definedName>
    <definedName name="NomMois" localSheetId="10">Août!$B$4</definedName>
    <definedName name="NomMois" localSheetId="6">Avril!$B$4</definedName>
    <definedName name="NomMois" localSheetId="14">Décembre!$B$4</definedName>
    <definedName name="NomMois" localSheetId="4">Février!$B$4</definedName>
    <definedName name="NomMois" localSheetId="3">Janvier!$B$4</definedName>
    <definedName name="NomMois" localSheetId="9">Juillet!$B$4</definedName>
    <definedName name="NomMois" localSheetId="8">Juin!$B$4</definedName>
    <definedName name="NomMois" localSheetId="7">Mai!$B$4</definedName>
    <definedName name="NomMois" localSheetId="5">Mars!$B$4</definedName>
    <definedName name="NomMois" localSheetId="13">Novembre!$B$4</definedName>
    <definedName name="NomMois" localSheetId="12">Octobre!$B$4</definedName>
    <definedName name="NomMois" localSheetId="11">Septembre!$B$4</definedName>
    <definedName name="Titre_Absence_Employé">Janvier!$B$1</definedName>
    <definedName name="Titre1">Janvier[[#Headers],[Nom de l’employé]]</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#REF!</definedName>
  </definedNames>
  <calcPr calcId="162913"/>
</workbook>
</file>

<file path=xl/calcChain.xml><?xml version="1.0" encoding="utf-8"?>
<calcChain xmlns="http://schemas.openxmlformats.org/spreadsheetml/2006/main">
  <c r="B1" i="4" l="1"/>
  <c r="AH4" i="4"/>
  <c r="B8" i="15" l="1"/>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5" i="15"/>
  <c r="B36" i="15"/>
  <c r="B7" i="15"/>
  <c r="B8" i="25"/>
  <c r="B9" i="25"/>
  <c r="B10" i="25"/>
  <c r="B11" i="25"/>
  <c r="B12" i="25"/>
  <c r="B13" i="25"/>
  <c r="B14" i="25"/>
  <c r="B15" i="25"/>
  <c r="B16" i="25"/>
  <c r="B17" i="25"/>
  <c r="B18" i="25"/>
  <c r="B19" i="25"/>
  <c r="B20" i="25"/>
  <c r="B21" i="25"/>
  <c r="B22" i="25"/>
  <c r="B23" i="25"/>
  <c r="B24" i="25"/>
  <c r="B25" i="25"/>
  <c r="B26" i="25"/>
  <c r="B27" i="25"/>
  <c r="B28" i="25"/>
  <c r="B29" i="25"/>
  <c r="B30" i="25"/>
  <c r="B31" i="25"/>
  <c r="B32" i="25"/>
  <c r="B33" i="25"/>
  <c r="B34" i="25"/>
  <c r="B35" i="25"/>
  <c r="B36" i="25"/>
  <c r="B7" i="25"/>
  <c r="B8" i="24"/>
  <c r="B9" i="24"/>
  <c r="B10" i="24"/>
  <c r="B11" i="24"/>
  <c r="B12" i="24"/>
  <c r="B13" i="24"/>
  <c r="B14" i="24"/>
  <c r="B15" i="24"/>
  <c r="B16" i="24"/>
  <c r="B17" i="24"/>
  <c r="B18" i="24"/>
  <c r="B19" i="24"/>
  <c r="B20" i="24"/>
  <c r="B21" i="24"/>
  <c r="B22" i="24"/>
  <c r="B23" i="24"/>
  <c r="B24" i="24"/>
  <c r="B25" i="24"/>
  <c r="B26" i="24"/>
  <c r="B27" i="24"/>
  <c r="B28" i="24"/>
  <c r="B29" i="24"/>
  <c r="B30" i="24"/>
  <c r="B31" i="24"/>
  <c r="B32" i="24"/>
  <c r="B33" i="24"/>
  <c r="B34" i="24"/>
  <c r="B35" i="24"/>
  <c r="B36" i="24"/>
  <c r="B7" i="24"/>
  <c r="B8" i="23"/>
  <c r="B9" i="23"/>
  <c r="B10" i="23"/>
  <c r="B11" i="23"/>
  <c r="B12" i="23"/>
  <c r="B13" i="23"/>
  <c r="B14" i="23"/>
  <c r="B15" i="23"/>
  <c r="B16" i="23"/>
  <c r="B17" i="23"/>
  <c r="B18" i="23"/>
  <c r="B19" i="23"/>
  <c r="B20" i="23"/>
  <c r="B21" i="23"/>
  <c r="B22" i="23"/>
  <c r="B23" i="23"/>
  <c r="B24" i="23"/>
  <c r="B25" i="23"/>
  <c r="B26" i="23"/>
  <c r="B27" i="23"/>
  <c r="B28" i="23"/>
  <c r="B29" i="23"/>
  <c r="B30" i="23"/>
  <c r="B31" i="23"/>
  <c r="B32" i="23"/>
  <c r="B33" i="23"/>
  <c r="B34" i="23"/>
  <c r="B35" i="23"/>
  <c r="B36" i="23"/>
  <c r="B7" i="23"/>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7" i="22"/>
  <c r="B8" i="21"/>
  <c r="B9" i="21"/>
  <c r="B10" i="21"/>
  <c r="B11" i="21"/>
  <c r="B12" i="21"/>
  <c r="B13" i="21"/>
  <c r="B14" i="21"/>
  <c r="B15" i="21"/>
  <c r="B16" i="21"/>
  <c r="B17" i="21"/>
  <c r="B18" i="21"/>
  <c r="B19" i="21"/>
  <c r="B20" i="21"/>
  <c r="B21" i="21"/>
  <c r="B22" i="21"/>
  <c r="B23" i="21"/>
  <c r="B24" i="21"/>
  <c r="B25" i="21"/>
  <c r="B26" i="21"/>
  <c r="B27" i="21"/>
  <c r="B28" i="21"/>
  <c r="B29" i="21"/>
  <c r="B30" i="21"/>
  <c r="B31" i="21"/>
  <c r="B32" i="21"/>
  <c r="B33" i="21"/>
  <c r="B34" i="21"/>
  <c r="B35" i="21"/>
  <c r="B36" i="21"/>
  <c r="B7" i="21"/>
  <c r="B8" i="20"/>
  <c r="B9" i="20"/>
  <c r="B10" i="20"/>
  <c r="B11" i="20"/>
  <c r="B12" i="20"/>
  <c r="B13" i="20"/>
  <c r="B14" i="20"/>
  <c r="B15" i="20"/>
  <c r="B16" i="20"/>
  <c r="B17" i="20"/>
  <c r="B18" i="20"/>
  <c r="B19" i="20"/>
  <c r="B20" i="20"/>
  <c r="B21" i="20"/>
  <c r="B22" i="20"/>
  <c r="B23" i="20"/>
  <c r="B24" i="20"/>
  <c r="B25" i="20"/>
  <c r="B26" i="20"/>
  <c r="B27" i="20"/>
  <c r="B28" i="20"/>
  <c r="B29" i="20"/>
  <c r="B30" i="20"/>
  <c r="B31" i="20"/>
  <c r="B32" i="20"/>
  <c r="B33" i="20"/>
  <c r="B34" i="20"/>
  <c r="B35" i="20"/>
  <c r="B36" i="20"/>
  <c r="B7" i="20"/>
  <c r="B8" i="19"/>
  <c r="B9" i="19"/>
  <c r="B10" i="19"/>
  <c r="B11" i="19"/>
  <c r="B12" i="19"/>
  <c r="B13" i="19"/>
  <c r="B14" i="19"/>
  <c r="B15" i="19"/>
  <c r="B16" i="19"/>
  <c r="B17" i="19"/>
  <c r="B18" i="19"/>
  <c r="B19" i="19"/>
  <c r="B20" i="19"/>
  <c r="B21" i="19"/>
  <c r="B22" i="19"/>
  <c r="B23" i="19"/>
  <c r="B24" i="19"/>
  <c r="B25" i="19"/>
  <c r="B26" i="19"/>
  <c r="B27" i="19"/>
  <c r="B28" i="19"/>
  <c r="B29" i="19"/>
  <c r="B30" i="19"/>
  <c r="B31" i="19"/>
  <c r="B32" i="19"/>
  <c r="B33" i="19"/>
  <c r="B34" i="19"/>
  <c r="B35" i="19"/>
  <c r="B36" i="19"/>
  <c r="B7" i="19"/>
  <c r="B8" i="18"/>
  <c r="B9" i="18"/>
  <c r="B10" i="18"/>
  <c r="B11" i="18"/>
  <c r="B12" i="18"/>
  <c r="B13" i="18"/>
  <c r="B14" i="18"/>
  <c r="B15" i="18"/>
  <c r="B16" i="18"/>
  <c r="B17" i="18"/>
  <c r="B18" i="18"/>
  <c r="B19" i="18"/>
  <c r="B20" i="18"/>
  <c r="B21" i="18"/>
  <c r="B22" i="18"/>
  <c r="B23" i="18"/>
  <c r="B24" i="18"/>
  <c r="B25" i="18"/>
  <c r="B26" i="18"/>
  <c r="B27" i="18"/>
  <c r="B28" i="18"/>
  <c r="B29" i="18"/>
  <c r="B30" i="18"/>
  <c r="B31" i="18"/>
  <c r="B32" i="18"/>
  <c r="B33" i="18"/>
  <c r="B34" i="18"/>
  <c r="B35" i="18"/>
  <c r="B36" i="18"/>
  <c r="B7" i="18"/>
  <c r="B8" i="17"/>
  <c r="B9" i="17"/>
  <c r="B10" i="17"/>
  <c r="B11" i="17"/>
  <c r="B12" i="17"/>
  <c r="B13" i="17"/>
  <c r="B14" i="17"/>
  <c r="B15" i="17"/>
  <c r="B16" i="17"/>
  <c r="B17" i="17"/>
  <c r="B18" i="17"/>
  <c r="B19" i="17"/>
  <c r="B20" i="17"/>
  <c r="B21" i="17"/>
  <c r="B22" i="17"/>
  <c r="B23" i="17"/>
  <c r="B24" i="17"/>
  <c r="B25" i="17"/>
  <c r="B26" i="17"/>
  <c r="B27" i="17"/>
  <c r="B28" i="17"/>
  <c r="B29" i="17"/>
  <c r="B30" i="17"/>
  <c r="B31" i="17"/>
  <c r="B32" i="17"/>
  <c r="B33" i="17"/>
  <c r="B34" i="17"/>
  <c r="B35" i="17"/>
  <c r="B36" i="17"/>
  <c r="B7" i="17"/>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7" i="5"/>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7" i="4"/>
  <c r="F4" i="26" l="1"/>
  <c r="F3" i="26" l="1"/>
  <c r="F2" i="26"/>
  <c r="C37" i="15" l="1"/>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AF37" i="15"/>
  <c r="AG37" i="15"/>
  <c r="C37" i="25"/>
  <c r="D37" i="25"/>
  <c r="E37" i="25"/>
  <c r="F37" i="25"/>
  <c r="G37" i="25"/>
  <c r="H37" i="25"/>
  <c r="I37" i="25"/>
  <c r="J37" i="25"/>
  <c r="K37" i="25"/>
  <c r="L37" i="25"/>
  <c r="M37" i="25"/>
  <c r="N37" i="25"/>
  <c r="O37" i="25"/>
  <c r="P37" i="25"/>
  <c r="Q37" i="25"/>
  <c r="R37" i="25"/>
  <c r="S37" i="25"/>
  <c r="T37" i="25"/>
  <c r="U37" i="25"/>
  <c r="V37" i="25"/>
  <c r="W37" i="25"/>
  <c r="X37" i="25"/>
  <c r="Y37" i="25"/>
  <c r="Z37" i="25"/>
  <c r="AA37" i="25"/>
  <c r="AB37" i="25"/>
  <c r="AC37" i="25"/>
  <c r="AD37" i="25"/>
  <c r="AE37" i="25"/>
  <c r="AF37" i="25"/>
  <c r="AG37" i="25"/>
  <c r="C37" i="24"/>
  <c r="D37" i="24"/>
  <c r="E37" i="24"/>
  <c r="F37" i="24"/>
  <c r="G37" i="24"/>
  <c r="H37" i="24"/>
  <c r="I37" i="24"/>
  <c r="J37" i="24"/>
  <c r="K37" i="24"/>
  <c r="L37" i="24"/>
  <c r="M37" i="24"/>
  <c r="N37" i="24"/>
  <c r="O37" i="24"/>
  <c r="P37" i="24"/>
  <c r="Q37" i="24"/>
  <c r="R37" i="24"/>
  <c r="S37" i="24"/>
  <c r="T37" i="24"/>
  <c r="U37" i="24"/>
  <c r="V37" i="24"/>
  <c r="W37" i="24"/>
  <c r="X37" i="24"/>
  <c r="Y37" i="24"/>
  <c r="Z37" i="24"/>
  <c r="AA37" i="24"/>
  <c r="AB37" i="24"/>
  <c r="AC37" i="24"/>
  <c r="AD37" i="24"/>
  <c r="AE37" i="24"/>
  <c r="AF37" i="24"/>
  <c r="AG37" i="24"/>
  <c r="C37" i="23"/>
  <c r="D37" i="23"/>
  <c r="E37" i="23"/>
  <c r="F37" i="23"/>
  <c r="G37" i="23"/>
  <c r="H37" i="23"/>
  <c r="I37" i="23"/>
  <c r="J37" i="23"/>
  <c r="K37" i="23"/>
  <c r="L37" i="23"/>
  <c r="M37" i="23"/>
  <c r="N37" i="23"/>
  <c r="O37" i="23"/>
  <c r="P37" i="23"/>
  <c r="Q37" i="23"/>
  <c r="R37" i="23"/>
  <c r="S37" i="23"/>
  <c r="T37" i="23"/>
  <c r="U37" i="23"/>
  <c r="V37" i="23"/>
  <c r="W37" i="23"/>
  <c r="X37" i="23"/>
  <c r="Y37" i="23"/>
  <c r="Z37" i="23"/>
  <c r="AA37" i="23"/>
  <c r="AB37" i="23"/>
  <c r="AC37" i="23"/>
  <c r="AD37" i="23"/>
  <c r="AE37" i="23"/>
  <c r="AF37" i="23"/>
  <c r="AG37" i="23"/>
  <c r="C37" i="22"/>
  <c r="D37" i="22"/>
  <c r="E37" i="22"/>
  <c r="F37" i="22"/>
  <c r="G37" i="22"/>
  <c r="H37" i="22"/>
  <c r="I37" i="22"/>
  <c r="J37" i="22"/>
  <c r="K37" i="22"/>
  <c r="L37" i="22"/>
  <c r="M37" i="22"/>
  <c r="N37" i="22"/>
  <c r="O37" i="22"/>
  <c r="P37" i="22"/>
  <c r="Q37" i="22"/>
  <c r="R37" i="22"/>
  <c r="S37" i="22"/>
  <c r="T37" i="22"/>
  <c r="U37" i="22"/>
  <c r="V37" i="22"/>
  <c r="W37" i="22"/>
  <c r="X37" i="22"/>
  <c r="Y37" i="22"/>
  <c r="Z37" i="22"/>
  <c r="AA37" i="22"/>
  <c r="AB37" i="22"/>
  <c r="AC37" i="22"/>
  <c r="AD37" i="22"/>
  <c r="AE37" i="22"/>
  <c r="AF37" i="22"/>
  <c r="AG37" i="22"/>
  <c r="C37" i="21"/>
  <c r="D37" i="21"/>
  <c r="E37" i="21"/>
  <c r="F37" i="21"/>
  <c r="G37" i="21"/>
  <c r="H37" i="21"/>
  <c r="I37" i="21"/>
  <c r="J37" i="21"/>
  <c r="K37" i="21"/>
  <c r="L37" i="21"/>
  <c r="M37" i="21"/>
  <c r="N37" i="21"/>
  <c r="O37" i="21"/>
  <c r="P37" i="21"/>
  <c r="Q37" i="21"/>
  <c r="R37" i="21"/>
  <c r="S37" i="21"/>
  <c r="T37" i="21"/>
  <c r="U37" i="21"/>
  <c r="V37" i="21"/>
  <c r="W37" i="21"/>
  <c r="X37" i="21"/>
  <c r="Y37" i="21"/>
  <c r="Z37" i="21"/>
  <c r="AA37" i="21"/>
  <c r="AB37" i="21"/>
  <c r="AC37" i="21"/>
  <c r="AD37" i="21"/>
  <c r="AE37" i="21"/>
  <c r="AF37" i="21"/>
  <c r="AG37" i="21"/>
  <c r="C37" i="20"/>
  <c r="D37" i="20"/>
  <c r="E37" i="20"/>
  <c r="F37" i="20"/>
  <c r="G37" i="20"/>
  <c r="H37" i="20"/>
  <c r="I37" i="20"/>
  <c r="J37" i="20"/>
  <c r="K37" i="20"/>
  <c r="L37" i="20"/>
  <c r="M37" i="20"/>
  <c r="N37" i="20"/>
  <c r="O37" i="20"/>
  <c r="P37" i="20"/>
  <c r="Q37" i="20"/>
  <c r="R37" i="20"/>
  <c r="S37" i="20"/>
  <c r="T37" i="20"/>
  <c r="U37" i="20"/>
  <c r="V37" i="20"/>
  <c r="W37" i="20"/>
  <c r="X37" i="20"/>
  <c r="Y37" i="20"/>
  <c r="Z37" i="20"/>
  <c r="AA37" i="20"/>
  <c r="AB37" i="20"/>
  <c r="AC37" i="20"/>
  <c r="AD37" i="20"/>
  <c r="AE37" i="20"/>
  <c r="AF37" i="20"/>
  <c r="AG37" i="20"/>
  <c r="C37" i="19"/>
  <c r="D37" i="19"/>
  <c r="E37" i="19"/>
  <c r="F37" i="19"/>
  <c r="G37" i="19"/>
  <c r="H37" i="19"/>
  <c r="I37" i="19"/>
  <c r="J37" i="19"/>
  <c r="K37" i="19"/>
  <c r="L37" i="19"/>
  <c r="M37" i="19"/>
  <c r="N37" i="19"/>
  <c r="O37" i="19"/>
  <c r="P37" i="19"/>
  <c r="Q37" i="19"/>
  <c r="R37" i="19"/>
  <c r="S37" i="19"/>
  <c r="T37" i="19"/>
  <c r="U37" i="19"/>
  <c r="V37" i="19"/>
  <c r="W37" i="19"/>
  <c r="X37" i="19"/>
  <c r="Y37" i="19"/>
  <c r="Z37" i="19"/>
  <c r="AA37" i="19"/>
  <c r="AB37" i="19"/>
  <c r="AC37" i="19"/>
  <c r="AD37" i="19"/>
  <c r="AE37" i="19"/>
  <c r="AF37" i="19"/>
  <c r="AG37" i="19"/>
  <c r="C37" i="18"/>
  <c r="D37" i="18"/>
  <c r="E37" i="18"/>
  <c r="F37" i="18"/>
  <c r="G37" i="18"/>
  <c r="H37" i="18"/>
  <c r="I37" i="18"/>
  <c r="J37" i="18"/>
  <c r="K37" i="18"/>
  <c r="L37" i="18"/>
  <c r="M37" i="18"/>
  <c r="N37" i="18"/>
  <c r="O37" i="18"/>
  <c r="P37" i="18"/>
  <c r="Q37" i="18"/>
  <c r="R37" i="18"/>
  <c r="S37" i="18"/>
  <c r="T37" i="18"/>
  <c r="U37" i="18"/>
  <c r="V37" i="18"/>
  <c r="W37" i="18"/>
  <c r="X37" i="18"/>
  <c r="Y37" i="18"/>
  <c r="Z37" i="18"/>
  <c r="AA37" i="18"/>
  <c r="AB37" i="18"/>
  <c r="AC37" i="18"/>
  <c r="AD37" i="18"/>
  <c r="AE37" i="18"/>
  <c r="AF37" i="18"/>
  <c r="AG37" i="18"/>
  <c r="C37" i="17"/>
  <c r="D37" i="17"/>
  <c r="E37" i="17"/>
  <c r="F37" i="17"/>
  <c r="G37" i="17"/>
  <c r="H37" i="17"/>
  <c r="I37" i="17"/>
  <c r="J37" i="17"/>
  <c r="K37" i="17"/>
  <c r="L37" i="17"/>
  <c r="M37" i="17"/>
  <c r="N37" i="17"/>
  <c r="O37" i="17"/>
  <c r="P37" i="17"/>
  <c r="Q37" i="17"/>
  <c r="R37" i="17"/>
  <c r="S37" i="17"/>
  <c r="T37" i="17"/>
  <c r="U37" i="17"/>
  <c r="V37" i="17"/>
  <c r="W37" i="17"/>
  <c r="X37" i="17"/>
  <c r="Y37" i="17"/>
  <c r="Z37" i="17"/>
  <c r="AA37" i="17"/>
  <c r="AB37" i="17"/>
  <c r="AC37" i="17"/>
  <c r="AD37" i="17"/>
  <c r="AE37" i="17"/>
  <c r="AF37" i="17"/>
  <c r="AG37" i="17"/>
  <c r="C37" i="5"/>
  <c r="D37" i="5"/>
  <c r="E37" i="5"/>
  <c r="F37" i="5"/>
  <c r="G37" i="5"/>
  <c r="H37" i="5"/>
  <c r="I37" i="5"/>
  <c r="J37" i="5"/>
  <c r="K37" i="5"/>
  <c r="L37" i="5"/>
  <c r="M37" i="5"/>
  <c r="N37" i="5"/>
  <c r="O37" i="5"/>
  <c r="P37" i="5"/>
  <c r="Q37" i="5"/>
  <c r="R37" i="5"/>
  <c r="S37" i="5"/>
  <c r="T37" i="5"/>
  <c r="U37" i="5"/>
  <c r="V37" i="5"/>
  <c r="W37" i="5"/>
  <c r="X37" i="5"/>
  <c r="Y37" i="5"/>
  <c r="Z37" i="5"/>
  <c r="AA37" i="5"/>
  <c r="AB37" i="5"/>
  <c r="AC37" i="5"/>
  <c r="AD37" i="5"/>
  <c r="AE37" i="5"/>
  <c r="D37" i="4" l="1"/>
  <c r="E37" i="4"/>
  <c r="F37" i="4"/>
  <c r="G37" i="4"/>
  <c r="H37" i="4"/>
  <c r="I37" i="4"/>
  <c r="J37" i="4"/>
  <c r="K37" i="4"/>
  <c r="L37" i="4"/>
  <c r="M37" i="4"/>
  <c r="N37" i="4"/>
  <c r="O37" i="4"/>
  <c r="P37" i="4"/>
  <c r="Q37" i="4"/>
  <c r="R37" i="4"/>
  <c r="S37" i="4"/>
  <c r="T37" i="4"/>
  <c r="U37" i="4"/>
  <c r="V37" i="4"/>
  <c r="W37" i="4"/>
  <c r="X37" i="4"/>
  <c r="Y37" i="4"/>
  <c r="Z37" i="4"/>
  <c r="AA37" i="4"/>
  <c r="AB37" i="4"/>
  <c r="AC37" i="4"/>
  <c r="AD37" i="4"/>
  <c r="AE37" i="4"/>
  <c r="AF37" i="4"/>
  <c r="AG37" i="4"/>
  <c r="C37" i="4"/>
  <c r="B37" i="4"/>
  <c r="AH14" i="15"/>
  <c r="AH15" i="25"/>
  <c r="AH14" i="24"/>
  <c r="AH13" i="23"/>
  <c r="AH13" i="22"/>
  <c r="AH13" i="21"/>
  <c r="AH12" i="20"/>
  <c r="AH12" i="19"/>
  <c r="AH11" i="18"/>
  <c r="AH14" i="17"/>
  <c r="AH12" i="5"/>
  <c r="AH13" i="4"/>
  <c r="AH8" i="25"/>
  <c r="AH9" i="25"/>
  <c r="AH10" i="25"/>
  <c r="AH11" i="25"/>
  <c r="AH12" i="25"/>
  <c r="AH13" i="25"/>
  <c r="AH14" i="25"/>
  <c r="AH16" i="25"/>
  <c r="AH17" i="25"/>
  <c r="AH18" i="25"/>
  <c r="AH19" i="25"/>
  <c r="AH20" i="25"/>
  <c r="AH21" i="25"/>
  <c r="AH22" i="25"/>
  <c r="AH23" i="25"/>
  <c r="AH24" i="25"/>
  <c r="AH25" i="25"/>
  <c r="AH26" i="25"/>
  <c r="AH27" i="25"/>
  <c r="AH28" i="25"/>
  <c r="AH29" i="25"/>
  <c r="AH30" i="25"/>
  <c r="AH31" i="25"/>
  <c r="AH32" i="25"/>
  <c r="AH33" i="25"/>
  <c r="AH34" i="25"/>
  <c r="AH35" i="25"/>
  <c r="AH32" i="24"/>
  <c r="AH33" i="24"/>
  <c r="AH26" i="24"/>
  <c r="AH27" i="24"/>
  <c r="AH28" i="24"/>
  <c r="AH29" i="24"/>
  <c r="AH8" i="24"/>
  <c r="AH9" i="24"/>
  <c r="AH10" i="24"/>
  <c r="AH11" i="24"/>
  <c r="AH12" i="24"/>
  <c r="AH13" i="24"/>
  <c r="AH15" i="24"/>
  <c r="AH16" i="24"/>
  <c r="AH17" i="24"/>
  <c r="AH18" i="24"/>
  <c r="AH19" i="24"/>
  <c r="AH20" i="24"/>
  <c r="AH21" i="24"/>
  <c r="AH22" i="24"/>
  <c r="AH23" i="24"/>
  <c r="AH24" i="24"/>
  <c r="AH25" i="24"/>
  <c r="AH30" i="24"/>
  <c r="AH33" i="23"/>
  <c r="AH8" i="23"/>
  <c r="AH9" i="23"/>
  <c r="AH10" i="23"/>
  <c r="AH11" i="23"/>
  <c r="AH12" i="23"/>
  <c r="AH14" i="23"/>
  <c r="AH15" i="23"/>
  <c r="AH16" i="23"/>
  <c r="AH17" i="23"/>
  <c r="AH18" i="23"/>
  <c r="AH19" i="23"/>
  <c r="AH20" i="23"/>
  <c r="AH21" i="23"/>
  <c r="AH22" i="23"/>
  <c r="AH23" i="23"/>
  <c r="AH24" i="23"/>
  <c r="AH25" i="23"/>
  <c r="AH26" i="23"/>
  <c r="AH27" i="23"/>
  <c r="AH28" i="23"/>
  <c r="AH29" i="23"/>
  <c r="AH30" i="23"/>
  <c r="AH31" i="23"/>
  <c r="AH31" i="22"/>
  <c r="AH32" i="22"/>
  <c r="AH33" i="22"/>
  <c r="AH8" i="22"/>
  <c r="AH9" i="22"/>
  <c r="AH10" i="22"/>
  <c r="AH11" i="22"/>
  <c r="AH12" i="22"/>
  <c r="AH14" i="22"/>
  <c r="AH15" i="22"/>
  <c r="AH16" i="22"/>
  <c r="AH17" i="22"/>
  <c r="AH18" i="22"/>
  <c r="AH19" i="22"/>
  <c r="AH20" i="22"/>
  <c r="AH21" i="22"/>
  <c r="AH22" i="22"/>
  <c r="AH23" i="22"/>
  <c r="AH24" i="22"/>
  <c r="AH25" i="22"/>
  <c r="AH26" i="22"/>
  <c r="AH27" i="22"/>
  <c r="AH28" i="22"/>
  <c r="AH29" i="22"/>
  <c r="AH8" i="21"/>
  <c r="AH9" i="21"/>
  <c r="AH10" i="21"/>
  <c r="AH11" i="21"/>
  <c r="AH12" i="21"/>
  <c r="AH14" i="21"/>
  <c r="AH15" i="21"/>
  <c r="AH16" i="21"/>
  <c r="AH17" i="21"/>
  <c r="AH18" i="21"/>
  <c r="AH19" i="21"/>
  <c r="AH20" i="21"/>
  <c r="AH21" i="21"/>
  <c r="AH22" i="21"/>
  <c r="AH23" i="21"/>
  <c r="AH24" i="21"/>
  <c r="AH25" i="21"/>
  <c r="AH26" i="21"/>
  <c r="AH27" i="21"/>
  <c r="AH28" i="21"/>
  <c r="AH29" i="21"/>
  <c r="AH30" i="21"/>
  <c r="AH31" i="21"/>
  <c r="AH32" i="21"/>
  <c r="AH33" i="21"/>
  <c r="AH33" i="20"/>
  <c r="AH31" i="20"/>
  <c r="AH32" i="20"/>
  <c r="AH8" i="20"/>
  <c r="AH9" i="20"/>
  <c r="AH10" i="20"/>
  <c r="AH11" i="20"/>
  <c r="AH13" i="20"/>
  <c r="AH14" i="20"/>
  <c r="AH15" i="20"/>
  <c r="AH16" i="20"/>
  <c r="AH17" i="20"/>
  <c r="AH18" i="20"/>
  <c r="AH19" i="20"/>
  <c r="AH20" i="20"/>
  <c r="AH21" i="20"/>
  <c r="AH22" i="20"/>
  <c r="AH23" i="20"/>
  <c r="AH24" i="20"/>
  <c r="AH25" i="20"/>
  <c r="AH26" i="20"/>
  <c r="AH27" i="20"/>
  <c r="AH28" i="20"/>
  <c r="AH29" i="20"/>
  <c r="AH33" i="19"/>
  <c r="AH30" i="19"/>
  <c r="AH31" i="19"/>
  <c r="AH8" i="19"/>
  <c r="AH9" i="19"/>
  <c r="AH10" i="19"/>
  <c r="AH11" i="19"/>
  <c r="AH13" i="19"/>
  <c r="AH14" i="19"/>
  <c r="AH15" i="19"/>
  <c r="AH16" i="19"/>
  <c r="AH17" i="19"/>
  <c r="AH18" i="19"/>
  <c r="AH19" i="19"/>
  <c r="AH20" i="19"/>
  <c r="AH21" i="19"/>
  <c r="AH22" i="19"/>
  <c r="AH23" i="19"/>
  <c r="AH24" i="19"/>
  <c r="AH25" i="19"/>
  <c r="AH26" i="19"/>
  <c r="AH27" i="19"/>
  <c r="AH28" i="19"/>
  <c r="AH29" i="19"/>
  <c r="AH30" i="18"/>
  <c r="AH31" i="18"/>
  <c r="AH32" i="18"/>
  <c r="AH24" i="18"/>
  <c r="AH25" i="18"/>
  <c r="AH26" i="18"/>
  <c r="AH27" i="18"/>
  <c r="AH29" i="18"/>
  <c r="AH33" i="18"/>
  <c r="AH8" i="18"/>
  <c r="AH9" i="18"/>
  <c r="AH10" i="18"/>
  <c r="AH12" i="18"/>
  <c r="AH13" i="18"/>
  <c r="AH14" i="18"/>
  <c r="AH15" i="18"/>
  <c r="AH16" i="18"/>
  <c r="AH17" i="18"/>
  <c r="AH18" i="18"/>
  <c r="AH19" i="18"/>
  <c r="AH20" i="18"/>
  <c r="AH21" i="18"/>
  <c r="AH22" i="18"/>
  <c r="AH23" i="18"/>
  <c r="AH32" i="17"/>
  <c r="AH33" i="17"/>
  <c r="AH34" i="17"/>
  <c r="AH31" i="17"/>
  <c r="AH28" i="17"/>
  <c r="AH26" i="17"/>
  <c r="AH27" i="17"/>
  <c r="AH8" i="17"/>
  <c r="AH9" i="17"/>
  <c r="AH10" i="17"/>
  <c r="AH11" i="17"/>
  <c r="AH12" i="17"/>
  <c r="AH13" i="17"/>
  <c r="AH15" i="17"/>
  <c r="AH16" i="17"/>
  <c r="AH17" i="17"/>
  <c r="AH18" i="17"/>
  <c r="AH19" i="17"/>
  <c r="AH20" i="17"/>
  <c r="AH21" i="17"/>
  <c r="AH22" i="17"/>
  <c r="AH23" i="17"/>
  <c r="AH24" i="17"/>
  <c r="AH25" i="17"/>
  <c r="AH34" i="5"/>
  <c r="AH33" i="5"/>
  <c r="AH21" i="5"/>
  <c r="AH22" i="5"/>
  <c r="AH23" i="5"/>
  <c r="AH24" i="5"/>
  <c r="AH8" i="5"/>
  <c r="AH9" i="5"/>
  <c r="AH10" i="5"/>
  <c r="AH11" i="5"/>
  <c r="AH13" i="5"/>
  <c r="AH14" i="5"/>
  <c r="AH15" i="5"/>
  <c r="AH16" i="5"/>
  <c r="AH17" i="5"/>
  <c r="AH18" i="5"/>
  <c r="AH19" i="5"/>
  <c r="AH20" i="5"/>
  <c r="AH25" i="5"/>
  <c r="AH26" i="5"/>
  <c r="AH27" i="5"/>
  <c r="AH28" i="5"/>
  <c r="AH29" i="5"/>
  <c r="AH30" i="5"/>
  <c r="AH33" i="4"/>
  <c r="AH34" i="4"/>
  <c r="AH35" i="4"/>
  <c r="AH36" i="4"/>
  <c r="AH8" i="4"/>
  <c r="AH9" i="4"/>
  <c r="AH10" i="4"/>
  <c r="AH11" i="4"/>
  <c r="AH12" i="4"/>
  <c r="AH14" i="4"/>
  <c r="AH15" i="4"/>
  <c r="AH16" i="4"/>
  <c r="AH17" i="4"/>
  <c r="AH18" i="4"/>
  <c r="AH19" i="4"/>
  <c r="AH20" i="4"/>
  <c r="AH21" i="4"/>
  <c r="AH22" i="4"/>
  <c r="AH23" i="4"/>
  <c r="AH24" i="4"/>
  <c r="AH25" i="4"/>
  <c r="AH26" i="4"/>
  <c r="AH27" i="4"/>
  <c r="AH28" i="4"/>
  <c r="AH29" i="4"/>
  <c r="AH30" i="4"/>
  <c r="AH31" i="4"/>
  <c r="AH32" i="4"/>
  <c r="AH33" i="15"/>
  <c r="AH34" i="15"/>
  <c r="AH8" i="15"/>
  <c r="AH9" i="15"/>
  <c r="AH10" i="15"/>
  <c r="AH11" i="15"/>
  <c r="AH12" i="15"/>
  <c r="AH13" i="15"/>
  <c r="AH15" i="15"/>
  <c r="AH16" i="15"/>
  <c r="AH17" i="15"/>
  <c r="AH18" i="15"/>
  <c r="AH19" i="15"/>
  <c r="AH20" i="15"/>
  <c r="AH21" i="15"/>
  <c r="AH22" i="15"/>
  <c r="AH23" i="15"/>
  <c r="AH24" i="15"/>
  <c r="AH25" i="15"/>
  <c r="AH26" i="15"/>
  <c r="AH27" i="15"/>
  <c r="AH28" i="15"/>
  <c r="AH29" i="15"/>
  <c r="AH30" i="15"/>
  <c r="AH31" i="15"/>
  <c r="AH32" i="15"/>
  <c r="B37" i="15" l="1"/>
  <c r="B37" i="25"/>
  <c r="B37" i="24"/>
  <c r="B37" i="23"/>
  <c r="B37" i="22"/>
  <c r="B37" i="21"/>
  <c r="B37" i="20"/>
  <c r="B37" i="19"/>
  <c r="B37" i="18"/>
  <c r="B37" i="17"/>
  <c r="B37" i="5"/>
  <c r="B1" i="17"/>
  <c r="B1" i="18"/>
  <c r="B1" i="19"/>
  <c r="B1" i="20"/>
  <c r="B1" i="21"/>
  <c r="B1" i="22"/>
  <c r="B1" i="23"/>
  <c r="B1" i="24"/>
  <c r="B1" i="25"/>
  <c r="B1" i="15"/>
  <c r="B1" i="5"/>
  <c r="AH7" i="4"/>
  <c r="AH35" i="15"/>
  <c r="AH36" i="15"/>
  <c r="AH7" i="15"/>
  <c r="AH36" i="25"/>
  <c r="AH7" i="25"/>
  <c r="AH31" i="24"/>
  <c r="AH34" i="24"/>
  <c r="AH35" i="24"/>
  <c r="AH36" i="24"/>
  <c r="AH7" i="24"/>
  <c r="AH32" i="23"/>
  <c r="AH34" i="23"/>
  <c r="AH35" i="23"/>
  <c r="AH36" i="23"/>
  <c r="AH7" i="23"/>
  <c r="AH30" i="22"/>
  <c r="AH34" i="22"/>
  <c r="AH35" i="22"/>
  <c r="AH36" i="22"/>
  <c r="AH7" i="22"/>
  <c r="AH34" i="21"/>
  <c r="AH35" i="21"/>
  <c r="AH36" i="21"/>
  <c r="AH7" i="21"/>
  <c r="AH30" i="20"/>
  <c r="AH34" i="20"/>
  <c r="AH35" i="20"/>
  <c r="AH36" i="20"/>
  <c r="AH7" i="20"/>
  <c r="AH32" i="19"/>
  <c r="AH34" i="19"/>
  <c r="AH35" i="19"/>
  <c r="AH36" i="19"/>
  <c r="AH7" i="19"/>
  <c r="AH28" i="18"/>
  <c r="AH34" i="18"/>
  <c r="AH35" i="18"/>
  <c r="AH36" i="18"/>
  <c r="AH7" i="18"/>
  <c r="AH29" i="17"/>
  <c r="AH30" i="17"/>
  <c r="AH35" i="17"/>
  <c r="AH36" i="17"/>
  <c r="AH7" i="17"/>
  <c r="AH31" i="5"/>
  <c r="AH32" i="5"/>
  <c r="AH35" i="5"/>
  <c r="AH36" i="5"/>
  <c r="AH7" i="5"/>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H4" i="17"/>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H4" i="18"/>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H4" i="19"/>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H4" i="20"/>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H4" i="21"/>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H4" i="22"/>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H4" i="23"/>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H4" i="24"/>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H4" i="2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H4" i="15"/>
  <c r="AE5" i="5"/>
  <c r="AD5" i="5"/>
  <c r="AC5" i="5"/>
  <c r="AB5" i="5"/>
  <c r="AA5" i="5"/>
  <c r="Z5" i="5"/>
  <c r="Y5" i="5"/>
  <c r="X5" i="5"/>
  <c r="W5" i="5"/>
  <c r="V5" i="5"/>
  <c r="U5" i="5"/>
  <c r="T5" i="5"/>
  <c r="S5" i="5"/>
  <c r="R5" i="5"/>
  <c r="Q5" i="5"/>
  <c r="P5" i="5"/>
  <c r="O5" i="5"/>
  <c r="N5" i="5"/>
  <c r="M5" i="5"/>
  <c r="L5" i="5"/>
  <c r="K5" i="5"/>
  <c r="J5" i="5"/>
  <c r="I5" i="5"/>
  <c r="H5" i="5"/>
  <c r="G5" i="5"/>
  <c r="F5" i="5"/>
  <c r="E5" i="5"/>
  <c r="D5" i="5"/>
  <c r="C5" i="5"/>
  <c r="AH4" i="5"/>
  <c r="AG5" i="4"/>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AH37" i="23" l="1"/>
  <c r="AH37" i="21"/>
  <c r="AH37" i="18"/>
  <c r="AH37" i="17"/>
  <c r="AH37" i="22" l="1"/>
  <c r="AH37" i="25"/>
  <c r="AH37" i="20"/>
  <c r="AH37" i="19"/>
  <c r="AH37" i="24"/>
  <c r="AH37" i="15" l="1"/>
  <c r="AH37" i="5" l="1"/>
  <c r="AH37" i="4" l="1"/>
</calcChain>
</file>

<file path=xl/sharedStrings.xml><?xml version="1.0" encoding="utf-8"?>
<sst xmlns="http://schemas.openxmlformats.org/spreadsheetml/2006/main" count="637" uniqueCount="106">
  <si>
    <t>Clé de motif d’absence</t>
  </si>
  <si>
    <t>Janvier</t>
  </si>
  <si>
    <t>Nom de l’employé</t>
  </si>
  <si>
    <t>C</t>
  </si>
  <si>
    <t>Dates d’absence</t>
  </si>
  <si>
    <t>1</t>
  </si>
  <si>
    <t>Congé</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</si>
  <si>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</si>
  <si>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</si>
  <si>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</si>
  <si>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</si>
  <si>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</si>
  <si>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</si>
  <si>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</si>
  <si>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</si>
  <si>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</si>
  <si>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</si>
  <si>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</si>
  <si>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</si>
  <si>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</si>
  <si>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</si>
  <si>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</si>
  <si>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</si>
  <si>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</si>
  <si>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</si>
  <si>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</si>
  <si>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</si>
  <si>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</si>
  <si>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</si>
  <si>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</si>
  <si>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</si>
  <si>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</si>
  <si>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</si>
  <si>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</si>
  <si>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</si>
  <si>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</si>
  <si>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</si>
  <si>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</si>
  <si>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</si>
  <si>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</si>
  <si>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</si>
  <si>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</si>
  <si>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</si>
  <si>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</si>
  <si>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</si>
  <si>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</si>
  <si>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</si>
  <si>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</si>
  <si>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</si>
  <si>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</si>
  <si>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</si>
  <si>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</si>
  <si>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</si>
  <si>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</si>
  <si>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Noms des employés</t>
  </si>
  <si>
    <t>AA</t>
  </si>
  <si>
    <t>A,Autorisé</t>
  </si>
  <si>
    <t>R</t>
  </si>
  <si>
    <t>Récupération</t>
  </si>
  <si>
    <t>AI</t>
  </si>
  <si>
    <t>A,Irrégulière</t>
  </si>
  <si>
    <t>Calendrier des absences des employés EQ B</t>
  </si>
  <si>
    <t>BEKHADRA Youcef</t>
  </si>
  <si>
    <t>BELARBI Ikrame</t>
  </si>
  <si>
    <t>BELKIHEL Mohamed</t>
  </si>
  <si>
    <t>BENALI Hichem</t>
  </si>
  <si>
    <t>BENAMAR Mohamed</t>
  </si>
  <si>
    <t>BENZEMOUR Hamid</t>
  </si>
  <si>
    <t>BOUDERBALA Karima</t>
  </si>
  <si>
    <t>BOUDJEZIRIA AHMED Mohammed</t>
  </si>
  <si>
    <t>BOUGHOURBAL Boudjelal</t>
  </si>
  <si>
    <t>CHETITAH Hamza</t>
  </si>
  <si>
    <t>DJIRAOUI Noredine</t>
  </si>
  <si>
    <t>DORBANE Ilyes</t>
  </si>
  <si>
    <t>FEGHOUL Ghoulem Allah</t>
  </si>
  <si>
    <t>HACHEMI Lamia</t>
  </si>
  <si>
    <t>KHADDAR Abdelkader</t>
  </si>
  <si>
    <t>KHATIR Mohamed</t>
  </si>
  <si>
    <t>LAHMAR Ikram</t>
  </si>
  <si>
    <t>LAZREG ISMAIL</t>
  </si>
  <si>
    <t>MALEK CHELIH Belkheir</t>
  </si>
  <si>
    <t>MOKADEM Soumia</t>
  </si>
  <si>
    <t>SOLTANI Amel</t>
  </si>
  <si>
    <t>YESSAD Mustapha</t>
  </si>
  <si>
    <t>ZARAT Samir</t>
  </si>
  <si>
    <t xml:space="preserve">ZIANI HAMZA </t>
  </si>
  <si>
    <t>ZIANI Rachid</t>
  </si>
  <si>
    <t>F</t>
  </si>
  <si>
    <t>Formation</t>
  </si>
  <si>
    <t>BERRACHED Ilyes Cherif</t>
  </si>
  <si>
    <t>MOHAMED AGGAD Youcef</t>
  </si>
  <si>
    <t>Raison sociale</t>
  </si>
  <si>
    <t>RENAULT ALGERIE PRODUCTION</t>
  </si>
  <si>
    <t>Titre</t>
  </si>
  <si>
    <t>UET :</t>
  </si>
  <si>
    <t>QUALITE</t>
  </si>
  <si>
    <t>CU</t>
  </si>
  <si>
    <t>AZZAZ</t>
  </si>
  <si>
    <t>GUERBOUZ</t>
  </si>
  <si>
    <t>HASSANI</t>
  </si>
  <si>
    <t>KAMEL</t>
  </si>
  <si>
    <t>MERAD</t>
  </si>
  <si>
    <t>El FRIH Abdelhamid</t>
  </si>
  <si>
    <t>AnnéeCalendrier</t>
  </si>
  <si>
    <t xml:space="preserve">RAOUHANE Nour Islem Mazouza </t>
  </si>
  <si>
    <t>SID EL HADJ Mohammed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</si>
</sst>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b/>
      <sz val="11"/>
      <name val="Arial"/>
      <family val="2"/>
    </font>
    <font>
      <sz val="11"/>
      <color theme="1"/>
      <name val="Arial"/>
      <family val="2"/>
    </font>
    <font>
      <b/>
      <sz val="10"/>
      <name val="Arial"/>
      <family val="2"/>
    </font>
    <font>
      <sz val="10"/>
      <color theme="1"/>
      <name val="Arial"/>
      <family val="2"/>
    </font>
    <font>
      <i/>
      <sz val="11"/>
      <color rgb="FF7F7F7F"/>
      <name val="Calibri"/>
      <family val="2"/>
      <scheme val="minor"/>
    </font>
    <font>
      <b/>
      <i/>
      <sz val="11"/>
      <color rgb="FF7F7F7F"/>
      <name val="Calibri"/>
      <family val="2"/>
      <scheme val="minor"/>
    </font>
    <font>
      <b/>
      <i/>
      <sz val="14"/>
      <name val="Calibri"/>
      <family val="2"/>
      <scheme val="minor"/>
    </font>
  </fonts>
  <fills count="23">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00B0F0"/>
        <bgColor indexed="64"/>
      </patternFill>
    </fill>
    <fill>
      <patternFill patternType="solid">
        <fgColor theme="0"/>
        <bgColor indexed="64"/>
      </patternFill>
    </fill>
  </fills>
  <borders count="3">
    <border>
      <left/>
      <right/>
      <top/>
      <bottom/>
      <diagonal/>
    </border>
    <border>
      <left/>
      <right/>
      <top style="thin">
        <color theme="2" tint="-9.9917600024414813E-2"/>
      </top>
      <bottom style="thin">
        <color theme="2" tint="-9.9917600024414813E-2"/>
      </bottom>
      <diagonal/>
    </border>
    <border>
      <left/>
      <right/>
      <top style="thin">
        <color theme="2" tint="-9.9917600024414813E-2"/>
      </top>
      <bottom style="thin">
        <color theme="2" tint="-9.9948118533890809E-2"/>
      </bottom>
      <diagonal/>
    </border>
  </borders>
  <cellStyleXfs count="29">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xf numFmtId="0" fontId="13" fillId="0" borderId="0" applyNumberFormat="0" applyFill="0" applyBorder="0" applyAlignment="0" applyProtection="0"/>
  </cellStyleXfs>
  <cellXfs count="40">
    <xf numFmtId="0" fontId="0" fillId="0" borderId="0" xfId="0">
      <alignment horizontal="left" vertical="center"/>
    </xf>
    <xf numFmtId="0" fontId="0" fillId="0" borderId="0" xfId="0" applyAlignment="1" applyProtection="1">
      <alignment horizontal="center" vertical="center"/>
    </xf>
    <xf numFmtId="0" fontId="0" fillId="0" borderId="0" xfId="0" applyFont="1" applyFill="1" applyBorder="1" applyAlignment="1" applyProtection="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Font="1" applyAlignment="1" applyProtection="1">
      <alignment horizontal="center" vertical="center"/>
    </xf>
    <xf numFmtId="164" fontId="2" fillId="9" borderId="0" xfId="8" applyNumberFormat="1" applyFont="1" applyAlignment="1" applyProtection="1">
      <alignment horizontal="center" vertical="center"/>
    </xf>
    <xf numFmtId="164" fontId="2" fillId="14" borderId="0" xfId="24" applyNumberFormat="1" applyFont="1" applyAlignment="1" applyProtection="1">
      <alignment horizontal="center" vertical="center"/>
    </xf>
    <xf numFmtId="1" fontId="1" fillId="0" borderId="0" xfId="25" applyFill="1" applyBorder="1" applyProtection="1">
      <alignment horizontal="center" vertical="center"/>
    </xf>
    <xf numFmtId="0" fontId="0" fillId="0" borderId="0" xfId="0" applyProtection="1">
      <alignment horizontal="left" vertical="center"/>
    </xf>
    <xf numFmtId="0" fontId="6" fillId="2" borderId="0" xfId="3" applyProtection="1">
      <alignment horizontal="center" vertical="center"/>
    </xf>
    <xf numFmtId="164" fontId="0" fillId="0" borderId="0" xfId="0" applyNumberFormat="1" applyFont="1" applyFill="1" applyBorder="1" applyAlignment="1" applyProtection="1">
      <alignment horizontal="center" vertical="center"/>
    </xf>
    <xf numFmtId="0" fontId="7" fillId="0" borderId="0" xfId="1" applyAlignment="1" applyProtection="1">
      <alignment vertical="top"/>
    </xf>
    <xf numFmtId="0" fontId="0" fillId="0" borderId="0" xfId="21" applyFont="1" applyFill="1" applyBorder="1" applyAlignment="1" applyProtection="1">
      <alignment horizontal="center" vertical="center"/>
    </xf>
    <xf numFmtId="0" fontId="0" fillId="0" borderId="0" xfId="0" applyAlignment="1" applyProtection="1">
      <alignment horizontal="left" vertical="center" wrapText="1"/>
    </xf>
    <xf numFmtId="0" fontId="2" fillId="20" borderId="0" xfId="4" applyProtection="1">
      <alignment horizontal="right" vertical="center" indent="1"/>
    </xf>
    <xf numFmtId="0" fontId="8" fillId="0" borderId="0" xfId="27" applyProtection="1">
      <alignment horizontal="center"/>
    </xf>
    <xf numFmtId="0" fontId="0" fillId="0" borderId="0" xfId="0" applyFont="1" applyFill="1" applyBorder="1" applyAlignment="1" applyProtection="1">
      <alignment horizontal="left" vertical="center" indent="1"/>
    </xf>
    <xf numFmtId="0" fontId="2" fillId="2" borderId="0" xfId="21" applyFont="1" applyBorder="1" applyAlignment="1" applyProtection="1">
      <alignment horizontal="left" vertical="center" indent="1"/>
    </xf>
    <xf numFmtId="0" fontId="0" fillId="0" borderId="0" xfId="0" applyAlignment="1"/>
    <xf numFmtId="1" fontId="1" fillId="0" borderId="0" xfId="25" applyNumberFormat="1" applyFill="1" applyBorder="1" applyProtection="1">
      <alignment horizontal="center" vertical="center"/>
    </xf>
    <xf numFmtId="1" fontId="0" fillId="0" borderId="0" xfId="25" applyFont="1" applyFill="1" applyBorder="1" applyProtection="1">
      <alignment horizontal="center" vertical="center"/>
    </xf>
    <xf numFmtId="164" fontId="2" fillId="21" borderId="0" xfId="24" applyNumberFormat="1" applyFont="1" applyFill="1" applyAlignment="1" applyProtection="1">
      <alignment horizontal="center" vertical="center"/>
    </xf>
    <xf numFmtId="0" fontId="10" fillId="0" borderId="0" xfId="0" applyFont="1" applyAlignment="1" applyProtection="1">
      <protection locked="0"/>
    </xf>
    <xf numFmtId="0" fontId="10" fillId="0" borderId="0" xfId="0" applyFont="1" applyAlignment="1" applyProtection="1"/>
    <xf numFmtId="0" fontId="12" fillId="0" borderId="0" xfId="0" applyFont="1" applyAlignment="1" applyProtection="1"/>
    <xf numFmtId="0" fontId="12" fillId="0" borderId="0" xfId="0" applyFont="1" applyAlignment="1" applyProtection="1">
      <alignment horizontal="left"/>
      <protection locked="0"/>
    </xf>
    <xf numFmtId="0" fontId="0" fillId="0" borderId="0" xfId="0" applyBorder="1" applyAlignment="1" applyProtection="1">
      <protection locked="0"/>
    </xf>
    <xf numFmtId="0" fontId="0" fillId="0" borderId="0" xfId="0" applyFill="1" applyBorder="1" applyAlignment="1" applyProtection="1">
      <protection locked="0"/>
    </xf>
    <xf numFmtId="0" fontId="11" fillId="21" borderId="0" xfId="0" applyFont="1" applyFill="1" applyAlignment="1" applyProtection="1"/>
    <xf numFmtId="0" fontId="9" fillId="21" borderId="0" xfId="0" applyFont="1" applyFill="1" applyAlignment="1" applyProtection="1"/>
    <xf numFmtId="0" fontId="0" fillId="22" borderId="0" xfId="0" applyFill="1">
      <alignment horizontal="left" vertical="center"/>
    </xf>
    <xf numFmtId="0" fontId="14" fillId="22" borderId="0" xfId="28" applyFont="1" applyFill="1" applyAlignment="1">
      <alignment horizontal="left" vertical="center"/>
    </xf>
    <xf numFmtId="0" fontId="15" fillId="22" borderId="0" xfId="28" applyFont="1" applyFill="1" applyAlignment="1">
      <alignment horizontal="left" vertical="center"/>
    </xf>
    <xf numFmtId="0" fontId="0" fillId="0" borderId="1" xfId="0" applyFont="1" applyFill="1" applyBorder="1" applyAlignment="1"/>
    <xf numFmtId="0" fontId="0" fillId="0" borderId="2" xfId="0" applyFont="1" applyFill="1" applyBorder="1" applyAlignment="1"/>
    <xf numFmtId="14" fontId="0" fillId="22" borderId="0" xfId="0" applyNumberFormat="1" applyFill="1">
      <alignment horizontal="left" vertical="center"/>
    </xf>
    <xf numFmtId="0" fontId="6" fillId="2" borderId="0" xfId="3" applyProtection="1">
      <alignment horizontal="center" vertical="center"/>
    </xf>
    <xf numFmtId="0" fontId="1" fillId="2" borderId="0" xfId="21" applyAlignment="1" applyProtection="1">
      <alignment horizontal="left" vertical="center"/>
    </xf>
    <xf numFmtId="0" fontId="0" fillId="2" borderId="0" xfId="21" applyFont="1" applyAlignment="1" applyProtection="1">
      <alignment horizontal="left" vertical="center"/>
    </xf>
  </cellXfs>
  <cellStyles count="29">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cellStyle name="Étiquette" xfId="27"/>
    <cellStyle name="Normal" xfId="0" builtinId="0" customBuiltin="1"/>
    <cellStyle name="Texte explicatif" xfId="28" builtinId="53"/>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927">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i/>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protection locked="1" hidden="0"/>
    </dxf>
    <dxf>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0"/>
      </font>
      <border>
        <vertical/>
        <horizontal/>
      </border>
    </dxf>
    <dxf>
      <font>
        <b val="0"/>
        <i val="0"/>
        <color theme="3"/>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general" vertical="bottom" textRotation="0" wrapText="0" indent="0" justifyLastLine="0" shrinkToFit="0" readingOrder="0"/>
    </dxf>
    <dxf>
      <protection locked="1" hidden="0"/>
    </dxf>
    <dxf>
      <protection locked="1" hidden="0"/>
    </dxf>
    <dxf>
      <protection locked="1" hidden="0"/>
    </dxf>
    <dxf>
      <fill>
        <patternFill>
          <bgColor rgb="FFFF000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tableStyleElement type="wholeTable" dxfId="926"/>
      <tableStyleElement type="headerRow" dxfId="925"/>
      <tableStyleElement type="totalRow" dxfId="924"/>
      <tableStyleElement type="firstColumn" dxfId="923"/>
      <tableStyleElement type="lastColumn" dxfId="922"/>
      <tableStyleElement type="firstRowStripe" dxfId="921"/>
      <tableStyleElement type="secondRowStripe" dxfId="920"/>
      <tableStyleElement type="firstColumnStripe" dxfId="919"/>
      <tableStyleElement type="secondColumnStripe" dxfId="918"/>
      <tableStyleElement type="firstHeaderCell" dxfId="917"/>
      <tableStyleElement type="lastHeaderCell" dxfId="916"/>
      <tableStyleElement type="firstTotalCell" dxfId="915"/>
      <tableStyleElement type="lastTotalCell" dxfId="9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114299</xdr:rowOff>
    </xdr:from>
    <xdr:to>
      <xdr:col>3</xdr:col>
      <xdr:colOff>276225</xdr:colOff>
      <xdr:row>14</xdr:row>
      <xdr:rowOff>142875</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 y="114299"/>
          <a:ext cx="2495550" cy="2838451"/>
        </a:xfrm>
        <a:prstGeom prst="rect">
          <a:avLst/>
        </a:prstGeom>
      </xdr:spPr>
    </xdr:pic>
    <xdr:clientData/>
  </xdr:twoCellAnchor>
  <xdr:twoCellAnchor editAs="oneCell">
    <xdr:from>
      <xdr:col>12</xdr:col>
      <xdr:colOff>9525</xdr:colOff>
      <xdr:row>0</xdr:row>
      <xdr:rowOff>0</xdr:rowOff>
    </xdr:from>
    <xdr:to>
      <xdr:col>13</xdr:col>
      <xdr:colOff>381000</xdr:colOff>
      <xdr:row>5</xdr:row>
      <xdr:rowOff>38100</xdr:rowOff>
    </xdr:to>
    <xdr:pic>
      <xdr:nvPicPr>
        <xdr:cNvPr id="3" name="Imag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153525" y="0"/>
          <a:ext cx="1133475" cy="1133475"/>
        </a:xfrm>
        <a:prstGeom prst="rect">
          <a:avLst/>
        </a:prstGeom>
      </xdr:spPr>
    </xdr:pic>
    <xdr:clientData/>
  </xdr:twoCellAnchor>
  <xdr:twoCellAnchor>
    <xdr:from>
      <xdr:col>3</xdr:col>
      <xdr:colOff>514350</xdr:colOff>
      <xdr:row>7</xdr:row>
      <xdr:rowOff>9525</xdr:rowOff>
    </xdr:from>
    <xdr:to>
      <xdr:col>6</xdr:col>
      <xdr:colOff>9525</xdr:colOff>
      <xdr:row>9</xdr:row>
      <xdr:rowOff>142875</xdr:rowOff>
    </xdr:to>
    <xdr:sp macro="[0]!Calendrier" textlink="">
      <xdr:nvSpPr>
        <xdr:cNvPr id="5" name="Rectangle à coins arrondis 4"/>
        <xdr:cNvSpPr/>
      </xdr:nvSpPr>
      <xdr:spPr>
        <a:xfrm>
          <a:off x="2800350" y="1485900"/>
          <a:ext cx="1781175" cy="51435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2000" b="1" i="1"/>
            <a:t>Calendrier</a:t>
          </a:r>
        </a:p>
      </xdr:txBody>
    </xdr:sp>
    <xdr:clientData/>
  </xdr:twoCellAnchor>
  <xdr:twoCellAnchor>
    <xdr:from>
      <xdr:col>5</xdr:col>
      <xdr:colOff>342900</xdr:colOff>
      <xdr:row>10</xdr:row>
      <xdr:rowOff>123825</xdr:rowOff>
    </xdr:from>
    <xdr:to>
      <xdr:col>7</xdr:col>
      <xdr:colOff>600075</xdr:colOff>
      <xdr:row>13</xdr:row>
      <xdr:rowOff>66675</xdr:rowOff>
    </xdr:to>
    <xdr:sp macro="[0]!Statistique" textlink="">
      <xdr:nvSpPr>
        <xdr:cNvPr id="18" name="Rectangle à coins arrondis 17"/>
        <xdr:cNvSpPr/>
      </xdr:nvSpPr>
      <xdr:spPr>
        <a:xfrm>
          <a:off x="4152900" y="2171700"/>
          <a:ext cx="1781175" cy="51435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2000" b="1" i="1"/>
            <a:t>Statistique</a:t>
          </a:r>
        </a:p>
      </xdr:txBody>
    </xdr:sp>
    <xdr:clientData/>
  </xdr:twoCellAnchor>
  <xdr:twoCellAnchor>
    <xdr:from>
      <xdr:col>7</xdr:col>
      <xdr:colOff>133350</xdr:colOff>
      <xdr:row>14</xdr:row>
      <xdr:rowOff>57150</xdr:rowOff>
    </xdr:from>
    <xdr:to>
      <xdr:col>9</xdr:col>
      <xdr:colOff>390525</xdr:colOff>
      <xdr:row>17</xdr:row>
      <xdr:rowOff>0</xdr:rowOff>
    </xdr:to>
    <xdr:sp macro="[0]!Paramètre" textlink="">
      <xdr:nvSpPr>
        <xdr:cNvPr id="19" name="Rectangle à coins arrondis 18"/>
        <xdr:cNvSpPr/>
      </xdr:nvSpPr>
      <xdr:spPr>
        <a:xfrm>
          <a:off x="5467350" y="2867025"/>
          <a:ext cx="1781175" cy="514350"/>
        </a:xfrm>
        <a:prstGeom prst="roundRect">
          <a:avLst/>
        </a:prstGeom>
        <a:ln/>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2000" b="1" i="1"/>
            <a:t>Paramètre</a:t>
          </a:r>
        </a:p>
      </xdr:txBody>
    </xdr:sp>
    <xdr:clientData/>
  </xdr:twoCellAnchor>
  <xdr:twoCellAnchor editAs="oneCell">
    <xdr:from>
      <xdr:col>10</xdr:col>
      <xdr:colOff>523875</xdr:colOff>
      <xdr:row>12</xdr:row>
      <xdr:rowOff>123825</xdr:rowOff>
    </xdr:from>
    <xdr:to>
      <xdr:col>11</xdr:col>
      <xdr:colOff>638175</xdr:colOff>
      <xdr:row>17</xdr:row>
      <xdr:rowOff>75381</xdr:rowOff>
    </xdr:to>
    <xdr:pic macro="[0]!enregistrer">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143875" y="2552700"/>
          <a:ext cx="876300" cy="9040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570633</xdr:colOff>
      <xdr:row>0</xdr:row>
      <xdr:rowOff>171450</xdr:rowOff>
    </xdr:from>
    <xdr:to>
      <xdr:col>9</xdr:col>
      <xdr:colOff>361949</xdr:colOff>
      <xdr:row>3</xdr:row>
      <xdr:rowOff>114300</xdr:rowOff>
    </xdr:to>
    <xdr:pic macro="[0]!Accueil_Statistique">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6633" y="171450"/>
          <a:ext cx="553316" cy="514350"/>
        </a:xfrm>
        <a:prstGeom prst="rect">
          <a:avLst/>
        </a:prstGeom>
      </xdr:spPr>
    </xdr:pic>
    <xdr:clientData/>
  </xdr:twoCellAnchor>
  <xdr:twoCellAnchor editAs="oneCell">
    <xdr:from>
      <xdr:col>8</xdr:col>
      <xdr:colOff>38100</xdr:colOff>
      <xdr:row>0</xdr:row>
      <xdr:rowOff>152400</xdr:rowOff>
    </xdr:from>
    <xdr:to>
      <xdr:col>8</xdr:col>
      <xdr:colOff>514350</xdr:colOff>
      <xdr:row>3</xdr:row>
      <xdr:rowOff>72235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34100" y="152400"/>
          <a:ext cx="476250" cy="491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285750</xdr:colOff>
      <xdr:row>0</xdr:row>
      <xdr:rowOff>0</xdr:rowOff>
    </xdr:from>
    <xdr:to>
      <xdr:col>4</xdr:col>
      <xdr:colOff>200025</xdr:colOff>
      <xdr:row>3</xdr:row>
      <xdr:rowOff>104775</xdr:rowOff>
    </xdr:to>
    <xdr:pic macro="[0]!Accueil_Paramètre">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10150" y="0"/>
          <a:ext cx="676275" cy="685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218209</xdr:colOff>
      <xdr:row>0</xdr:row>
      <xdr:rowOff>19050</xdr:rowOff>
    </xdr:from>
    <xdr:to>
      <xdr:col>32</xdr:col>
      <xdr:colOff>142875</xdr:colOff>
      <xdr:row>0</xdr:row>
      <xdr:rowOff>533400</xdr:rowOff>
    </xdr:to>
    <xdr:pic macro="[0]!Accueil">
      <xdr:nvPicPr>
        <xdr:cNvPr id="3" name="Image 2">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4784" y="19050"/>
          <a:ext cx="553316" cy="514350"/>
        </a:xfrm>
        <a:prstGeom prst="rect">
          <a:avLst/>
        </a:prstGeom>
      </xdr:spPr>
    </xdr:pic>
    <xdr:clientData/>
  </xdr:twoCellAnchor>
  <xdr:twoCellAnchor editAs="oneCell">
    <xdr:from>
      <xdr:col>29</xdr:col>
      <xdr:colOff>1</xdr:colOff>
      <xdr:row>0</xdr:row>
      <xdr:rowOff>0</xdr:rowOff>
    </xdr:from>
    <xdr:to>
      <xdr:col>30</xdr:col>
      <xdr:colOff>161926</xdr:colOff>
      <xdr:row>0</xdr:row>
      <xdr:rowOff>491335</xdr:rowOff>
    </xdr:to>
    <xdr:pic macro="[0]!enregistrer">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1" y="0"/>
          <a:ext cx="476250" cy="491335"/>
        </a:xfrm>
        <a:prstGeom prst="rect">
          <a:avLst/>
        </a:prstGeom>
      </xdr:spPr>
    </xdr:pic>
    <xdr:clientData/>
  </xdr:twoCellAnchor>
  <xdr:twoCellAnchor>
    <xdr:from>
      <xdr:col>29</xdr:col>
      <xdr:colOff>9525</xdr:colOff>
      <xdr:row>0</xdr:row>
      <xdr:rowOff>533401</xdr:rowOff>
    </xdr:from>
    <xdr:to>
      <xdr:col>32</xdr:col>
      <xdr:colOff>161925</xdr:colOff>
      <xdr:row>2</xdr:row>
      <xdr:rowOff>104775</xdr:rowOff>
    </xdr:to>
    <xdr:sp macro="[0]!R0_01" textlink="">
      <xdr:nvSpPr>
        <xdr:cNvPr id="5" name="Rectangle à coins arrondis 4"/>
        <xdr:cNvSpPr/>
      </xdr:nvSpPr>
      <xdr:spPr>
        <a:xfrm>
          <a:off x="10391775" y="533401"/>
          <a:ext cx="1095375" cy="3905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237258</xdr:colOff>
      <xdr:row>0</xdr:row>
      <xdr:rowOff>28575</xdr:rowOff>
    </xdr:from>
    <xdr:to>
      <xdr:col>32</xdr:col>
      <xdr:colOff>161924</xdr:colOff>
      <xdr:row>0</xdr:row>
      <xdr:rowOff>542925</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33833" y="28575"/>
          <a:ext cx="553316" cy="514350"/>
        </a:xfrm>
        <a:prstGeom prst="rect">
          <a:avLst/>
        </a:prstGeom>
      </xdr:spPr>
    </xdr:pic>
    <xdr:clientData/>
  </xdr:twoCellAnchor>
  <xdr:twoCellAnchor editAs="oneCell">
    <xdr:from>
      <xdr:col>29</xdr:col>
      <xdr:colOff>19050</xdr:colOff>
      <xdr:row>0</xdr:row>
      <xdr:rowOff>9525</xdr:rowOff>
    </xdr:from>
    <xdr:to>
      <xdr:col>30</xdr:col>
      <xdr:colOff>180975</xdr:colOff>
      <xdr:row>0</xdr:row>
      <xdr:rowOff>500860</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01300" y="9525"/>
          <a:ext cx="476250" cy="491335"/>
        </a:xfrm>
        <a:prstGeom prst="rect">
          <a:avLst/>
        </a:prstGeom>
      </xdr:spPr>
    </xdr:pic>
    <xdr:clientData/>
  </xdr:twoCellAnchor>
  <xdr:twoCellAnchor>
    <xdr:from>
      <xdr:col>29</xdr:col>
      <xdr:colOff>28574</xdr:colOff>
      <xdr:row>0</xdr:row>
      <xdr:rowOff>542926</xdr:rowOff>
    </xdr:from>
    <xdr:to>
      <xdr:col>32</xdr:col>
      <xdr:colOff>180974</xdr:colOff>
      <xdr:row>2</xdr:row>
      <xdr:rowOff>114300</xdr:rowOff>
    </xdr:to>
    <xdr:sp macro="[0]!R0_02" textlink="">
      <xdr:nvSpPr>
        <xdr:cNvPr id="4" name="Rectangle à coins arrondis 3"/>
        <xdr:cNvSpPr/>
      </xdr:nvSpPr>
      <xdr:spPr>
        <a:xfrm>
          <a:off x="10410824" y="542926"/>
          <a:ext cx="1095375" cy="3905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299700</xdr:colOff>
      <xdr:row>0</xdr:row>
      <xdr:rowOff>29633</xdr:rowOff>
    </xdr:from>
    <xdr:to>
      <xdr:col>32</xdr:col>
      <xdr:colOff>218016</xdr:colOff>
      <xdr:row>0</xdr:row>
      <xdr:rowOff>543983</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84117" y="29633"/>
          <a:ext cx="553316" cy="514350"/>
        </a:xfrm>
        <a:prstGeom prst="rect">
          <a:avLst/>
        </a:prstGeom>
      </xdr:spPr>
    </xdr:pic>
    <xdr:clientData/>
  </xdr:twoCellAnchor>
  <xdr:twoCellAnchor editAs="oneCell">
    <xdr:from>
      <xdr:col>29</xdr:col>
      <xdr:colOff>84667</xdr:colOff>
      <xdr:row>0</xdr:row>
      <xdr:rowOff>10583</xdr:rowOff>
    </xdr:from>
    <xdr:to>
      <xdr:col>30</xdr:col>
      <xdr:colOff>243417</xdr:colOff>
      <xdr:row>0</xdr:row>
      <xdr:rowOff>501918</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51584" y="10583"/>
          <a:ext cx="476250" cy="491335"/>
        </a:xfrm>
        <a:prstGeom prst="rect">
          <a:avLst/>
        </a:prstGeom>
      </xdr:spPr>
    </xdr:pic>
    <xdr:clientData/>
  </xdr:twoCellAnchor>
  <xdr:twoCellAnchor>
    <xdr:from>
      <xdr:col>29</xdr:col>
      <xdr:colOff>94191</xdr:colOff>
      <xdr:row>0</xdr:row>
      <xdr:rowOff>543984</xdr:rowOff>
    </xdr:from>
    <xdr:to>
      <xdr:col>32</xdr:col>
      <xdr:colOff>237066</xdr:colOff>
      <xdr:row>2</xdr:row>
      <xdr:rowOff>119591</xdr:rowOff>
    </xdr:to>
    <xdr:sp macro="[0]!R0_03" textlink="">
      <xdr:nvSpPr>
        <xdr:cNvPr id="4" name="Rectangle à coins arrondis 3"/>
        <xdr:cNvSpPr/>
      </xdr:nvSpPr>
      <xdr:spPr>
        <a:xfrm>
          <a:off x="10561108" y="543984"/>
          <a:ext cx="1095375" cy="3905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219572</xdr:colOff>
      <xdr:row>0</xdr:row>
      <xdr:rowOff>40217</xdr:rowOff>
    </xdr:from>
    <xdr:to>
      <xdr:col>32</xdr:col>
      <xdr:colOff>146959</xdr:colOff>
      <xdr:row>0</xdr:row>
      <xdr:rowOff>554567</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03989" y="40217"/>
          <a:ext cx="562387" cy="514350"/>
        </a:xfrm>
        <a:prstGeom prst="rect">
          <a:avLst/>
        </a:prstGeom>
      </xdr:spPr>
    </xdr:pic>
    <xdr:clientData/>
  </xdr:twoCellAnchor>
  <xdr:twoCellAnchor editAs="oneCell">
    <xdr:from>
      <xdr:col>29</xdr:col>
      <xdr:colOff>3</xdr:colOff>
      <xdr:row>0</xdr:row>
      <xdr:rowOff>21167</xdr:rowOff>
    </xdr:from>
    <xdr:to>
      <xdr:col>30</xdr:col>
      <xdr:colOff>163289</xdr:colOff>
      <xdr:row>0</xdr:row>
      <xdr:rowOff>512502</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66920" y="21167"/>
          <a:ext cx="480786" cy="491335"/>
        </a:xfrm>
        <a:prstGeom prst="rect">
          <a:avLst/>
        </a:prstGeom>
      </xdr:spPr>
    </xdr:pic>
    <xdr:clientData/>
  </xdr:twoCellAnchor>
  <xdr:twoCellAnchor>
    <xdr:from>
      <xdr:col>29</xdr:col>
      <xdr:colOff>9527</xdr:colOff>
      <xdr:row>0</xdr:row>
      <xdr:rowOff>554568</xdr:rowOff>
    </xdr:from>
    <xdr:to>
      <xdr:col>32</xdr:col>
      <xdr:colOff>166009</xdr:colOff>
      <xdr:row>2</xdr:row>
      <xdr:rowOff>128663</xdr:rowOff>
    </xdr:to>
    <xdr:sp macro="[0]!R0_04" textlink="">
      <xdr:nvSpPr>
        <xdr:cNvPr id="4" name="Rectangle à coins arrondis 3"/>
        <xdr:cNvSpPr/>
      </xdr:nvSpPr>
      <xdr:spPr>
        <a:xfrm>
          <a:off x="10476444" y="554568"/>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270369</xdr:colOff>
      <xdr:row>0</xdr:row>
      <xdr:rowOff>47625</xdr:rowOff>
    </xdr:from>
    <xdr:to>
      <xdr:col>32</xdr:col>
      <xdr:colOff>204106</xdr:colOff>
      <xdr:row>0</xdr:row>
      <xdr:rowOff>561975</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66944" y="47625"/>
          <a:ext cx="562387" cy="514350"/>
        </a:xfrm>
        <a:prstGeom prst="rect">
          <a:avLst/>
        </a:prstGeom>
      </xdr:spPr>
    </xdr:pic>
    <xdr:clientData/>
  </xdr:twoCellAnchor>
  <xdr:twoCellAnchor editAs="oneCell">
    <xdr:from>
      <xdr:col>29</xdr:col>
      <xdr:colOff>47625</xdr:colOff>
      <xdr:row>0</xdr:row>
      <xdr:rowOff>28575</xdr:rowOff>
    </xdr:from>
    <xdr:to>
      <xdr:col>30</xdr:col>
      <xdr:colOff>214086</xdr:colOff>
      <xdr:row>0</xdr:row>
      <xdr:rowOff>519910</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29875" y="28575"/>
          <a:ext cx="480786" cy="491335"/>
        </a:xfrm>
        <a:prstGeom prst="rect">
          <a:avLst/>
        </a:prstGeom>
      </xdr:spPr>
    </xdr:pic>
    <xdr:clientData/>
  </xdr:twoCellAnchor>
  <xdr:twoCellAnchor>
    <xdr:from>
      <xdr:col>29</xdr:col>
      <xdr:colOff>57149</xdr:colOff>
      <xdr:row>0</xdr:row>
      <xdr:rowOff>561976</xdr:rowOff>
    </xdr:from>
    <xdr:to>
      <xdr:col>32</xdr:col>
      <xdr:colOff>223156</xdr:colOff>
      <xdr:row>2</xdr:row>
      <xdr:rowOff>131838</xdr:rowOff>
    </xdr:to>
    <xdr:sp macro="[0]!R0_05" textlink="">
      <xdr:nvSpPr>
        <xdr:cNvPr id="4" name="Rectangle à coins arrondis 3"/>
        <xdr:cNvSpPr/>
      </xdr:nvSpPr>
      <xdr:spPr>
        <a:xfrm>
          <a:off x="10439399" y="561976"/>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6"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7"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8"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09"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31</xdr:col>
      <xdr:colOff>222744</xdr:colOff>
      <xdr:row>0</xdr:row>
      <xdr:rowOff>19050</xdr:rowOff>
    </xdr:from>
    <xdr:to>
      <xdr:col>33</xdr:col>
      <xdr:colOff>156481</xdr:colOff>
      <xdr:row>0</xdr:row>
      <xdr:rowOff>533400</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3644" y="19050"/>
          <a:ext cx="562387" cy="514350"/>
        </a:xfrm>
        <a:prstGeom prst="rect">
          <a:avLst/>
        </a:prstGeom>
      </xdr:spPr>
    </xdr:pic>
    <xdr:clientData/>
  </xdr:twoCellAnchor>
  <xdr:twoCellAnchor editAs="oneCell">
    <xdr:from>
      <xdr:col>30</xdr:col>
      <xdr:colOff>0</xdr:colOff>
      <xdr:row>0</xdr:row>
      <xdr:rowOff>0</xdr:rowOff>
    </xdr:from>
    <xdr:to>
      <xdr:col>31</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96575" y="0"/>
          <a:ext cx="480786" cy="491335"/>
        </a:xfrm>
        <a:prstGeom prst="rect">
          <a:avLst/>
        </a:prstGeom>
      </xdr:spPr>
    </xdr:pic>
    <xdr:clientData/>
  </xdr:twoCellAnchor>
  <xdr:twoCellAnchor>
    <xdr:from>
      <xdr:col>30</xdr:col>
      <xdr:colOff>9524</xdr:colOff>
      <xdr:row>0</xdr:row>
      <xdr:rowOff>533401</xdr:rowOff>
    </xdr:from>
    <xdr:to>
      <xdr:col>33</xdr:col>
      <xdr:colOff>175531</xdr:colOff>
      <xdr:row>2</xdr:row>
      <xdr:rowOff>103263</xdr:rowOff>
    </xdr:to>
    <xdr:sp macro="[0]!R0_10" textlink="">
      <xdr:nvSpPr>
        <xdr:cNvPr id="4" name="Rectangle à coins arrondis 3"/>
        <xdr:cNvSpPr/>
      </xdr:nvSpPr>
      <xdr:spPr>
        <a:xfrm>
          <a:off x="10706099"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30</xdr:col>
      <xdr:colOff>222744</xdr:colOff>
      <xdr:row>0</xdr:row>
      <xdr:rowOff>19050</xdr:rowOff>
    </xdr:from>
    <xdr:to>
      <xdr:col>32</xdr:col>
      <xdr:colOff>156481</xdr:colOff>
      <xdr:row>0</xdr:row>
      <xdr:rowOff>533400</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19319" y="19050"/>
          <a:ext cx="562387" cy="514350"/>
        </a:xfrm>
        <a:prstGeom prst="rect">
          <a:avLst/>
        </a:prstGeom>
      </xdr:spPr>
    </xdr:pic>
    <xdr:clientData/>
  </xdr:twoCellAnchor>
  <xdr:twoCellAnchor editAs="oneCell">
    <xdr:from>
      <xdr:col>29</xdr:col>
      <xdr:colOff>0</xdr:colOff>
      <xdr:row>0</xdr:row>
      <xdr:rowOff>0</xdr:rowOff>
    </xdr:from>
    <xdr:to>
      <xdr:col>30</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382250" y="0"/>
          <a:ext cx="480786" cy="491335"/>
        </a:xfrm>
        <a:prstGeom prst="rect">
          <a:avLst/>
        </a:prstGeom>
      </xdr:spPr>
    </xdr:pic>
    <xdr:clientData/>
  </xdr:twoCellAnchor>
  <xdr:twoCellAnchor>
    <xdr:from>
      <xdr:col>29</xdr:col>
      <xdr:colOff>9524</xdr:colOff>
      <xdr:row>0</xdr:row>
      <xdr:rowOff>533401</xdr:rowOff>
    </xdr:from>
    <xdr:to>
      <xdr:col>32</xdr:col>
      <xdr:colOff>175531</xdr:colOff>
      <xdr:row>2</xdr:row>
      <xdr:rowOff>103263</xdr:rowOff>
    </xdr:to>
    <xdr:sp macro="[0]!R0_11" textlink="">
      <xdr:nvSpPr>
        <xdr:cNvPr id="4" name="Rectangle à coins arrondis 3"/>
        <xdr:cNvSpPr/>
      </xdr:nvSpPr>
      <xdr:spPr>
        <a:xfrm>
          <a:off x="10391774"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31</xdr:col>
      <xdr:colOff>222744</xdr:colOff>
      <xdr:row>0</xdr:row>
      <xdr:rowOff>19050</xdr:rowOff>
    </xdr:from>
    <xdr:to>
      <xdr:col>33</xdr:col>
      <xdr:colOff>156481</xdr:colOff>
      <xdr:row>0</xdr:row>
      <xdr:rowOff>533400</xdr:rowOff>
    </xdr:to>
    <xdr:pic macro="[0]!Accueil">
      <xdr:nvPicPr>
        <xdr:cNvPr id="2" name="Image 1">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3644" y="19050"/>
          <a:ext cx="562387" cy="514350"/>
        </a:xfrm>
        <a:prstGeom prst="rect">
          <a:avLst/>
        </a:prstGeom>
      </xdr:spPr>
    </xdr:pic>
    <xdr:clientData/>
  </xdr:twoCellAnchor>
  <xdr:twoCellAnchor editAs="oneCell">
    <xdr:from>
      <xdr:col>30</xdr:col>
      <xdr:colOff>0</xdr:colOff>
      <xdr:row>0</xdr:row>
      <xdr:rowOff>0</xdr:rowOff>
    </xdr:from>
    <xdr:to>
      <xdr:col>31</xdr:col>
      <xdr:colOff>166461</xdr:colOff>
      <xdr:row>0</xdr:row>
      <xdr:rowOff>491335</xdr:rowOff>
    </xdr:to>
    <xdr:pic macro="[0]!enregistre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96575" y="0"/>
          <a:ext cx="480786" cy="491335"/>
        </a:xfrm>
        <a:prstGeom prst="rect">
          <a:avLst/>
        </a:prstGeom>
      </xdr:spPr>
    </xdr:pic>
    <xdr:clientData/>
  </xdr:twoCellAnchor>
  <xdr:twoCellAnchor>
    <xdr:from>
      <xdr:col>30</xdr:col>
      <xdr:colOff>9524</xdr:colOff>
      <xdr:row>0</xdr:row>
      <xdr:rowOff>533401</xdr:rowOff>
    </xdr:from>
    <xdr:to>
      <xdr:col>33</xdr:col>
      <xdr:colOff>175531</xdr:colOff>
      <xdr:row>2</xdr:row>
      <xdr:rowOff>103263</xdr:rowOff>
    </xdr:to>
    <xdr:sp macro="[0]!R0_12" textlink="">
      <xdr:nvSpPr>
        <xdr:cNvPr id="4" name="Rectangle à coins arrondis 3"/>
        <xdr:cNvSpPr/>
      </xdr:nvSpPr>
      <xdr:spPr>
        <a:xfrm>
          <a:off x="10706099" y="533401"/>
          <a:ext cx="1108982" cy="389012"/>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800" b="1"/>
            <a:t>Clear</a:t>
          </a:r>
        </a:p>
      </xdr:txBody>
    </xdr:sp>
    <xdr:clientData/>
  </xdr:twoCellAnchor>
</xdr:wsDr>
</file>

<file path=xl/tables/table1.xml><?xml version="1.0" encoding="utf-8"?>
<table xmlns="http://schemas.openxmlformats.org/spreadsheetml/2006/main" id="3" name="Janvier" displayName="Janvier" ref="B6:AH37" totalsRowCount="1" headerRowDxfId="906" dataDxfId="905" totalsRowDxfId="904">
  <autoFilter ref="B6:AH3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name="Nom de l’employé" totalsRowFunction="custom" dataDxfId="903" totalsRowDxfId="902">
      <calculatedColumnFormula>Paramètre!$A15</calculatedColumnFormula>
      <totalsRowFormula>NomMois&amp;" Total"</totalsRowFormula>
    </tableColumn>
    <tableColumn id="2" name="1" totalsRowFunction="custom" dataDxfId="901" totalsRowDxfId="900" dataCellStyle="Total">
      <totalsRowFormula>SUBTOTAL(103,Janvier!$C$7:$C$36)</totalsRowFormula>
    </tableColumn>
    <tableColumn id="3" name="2" totalsRowFunction="custom" dataDxfId="899" totalsRowDxfId="898" dataCellStyle="Total">
      <totalsRowFormula>SUBTOTAL(103,Janvier!$D$7:$D$36)</totalsRowFormula>
    </tableColumn>
    <tableColumn id="4" name="3" totalsRowFunction="custom" dataDxfId="897" totalsRowDxfId="896" dataCellStyle="Total">
      <totalsRowFormula>SUBTOTAL(103,Janvier!$E$7:$E$36)</totalsRowFormula>
    </tableColumn>
    <tableColumn id="5" name="4" totalsRowFunction="custom" dataDxfId="895" totalsRowDxfId="894" dataCellStyle="Total">
      <totalsRowFormula>SUBTOTAL(103,Janvier!$F$7:$F$36)</totalsRowFormula>
    </tableColumn>
    <tableColumn id="6" name="5" totalsRowFunction="custom" dataDxfId="893" totalsRowDxfId="892" dataCellStyle="Total">
      <totalsRowFormula>SUBTOTAL(103,Janvier!$G$7:$G$36)</totalsRowFormula>
    </tableColumn>
    <tableColumn id="7" name="6" totalsRowFunction="custom" dataDxfId="891" totalsRowDxfId="890" dataCellStyle="Total">
      <totalsRowFormula>SUBTOTAL(103,Janvier!$H$7:$H$36)</totalsRowFormula>
    </tableColumn>
    <tableColumn id="8" name="7" totalsRowFunction="custom" dataDxfId="889" totalsRowDxfId="888" dataCellStyle="Total">
      <totalsRowFormula>SUBTOTAL(103,Janvier!$I$7:$I$36)</totalsRowFormula>
    </tableColumn>
    <tableColumn id="9" name="8" totalsRowFunction="custom" dataDxfId="887" totalsRowDxfId="886" dataCellStyle="Total">
      <totalsRowFormula>SUBTOTAL(103,Janvier!$J$7:$J$36)</totalsRowFormula>
    </tableColumn>
    <tableColumn id="10" name="9" totalsRowFunction="custom" dataDxfId="885" totalsRowDxfId="884" dataCellStyle="Total">
      <totalsRowFormula>SUBTOTAL(103,Janvier!$K$7:$K$36)</totalsRowFormula>
    </tableColumn>
    <tableColumn id="11" name="10" totalsRowFunction="custom" dataDxfId="883" totalsRowDxfId="882" dataCellStyle="Total">
      <totalsRowFormula>SUBTOTAL(103,Janvier!$L$7:$L$36)</totalsRowFormula>
    </tableColumn>
    <tableColumn id="12" name="11" totalsRowFunction="custom" dataDxfId="881" totalsRowDxfId="880" dataCellStyle="Total">
      <totalsRowFormula>SUBTOTAL(103,Janvier!$M$7:$M$36)</totalsRowFormula>
    </tableColumn>
    <tableColumn id="13" name="12" totalsRowFunction="custom" dataDxfId="879" totalsRowDxfId="878" dataCellStyle="Total">
      <totalsRowFormula>SUBTOTAL(103,Janvier!$N$7:$N$36)</totalsRowFormula>
    </tableColumn>
    <tableColumn id="14" name="13" totalsRowFunction="custom" dataDxfId="877" totalsRowDxfId="876" dataCellStyle="Total">
      <totalsRowFormula>SUBTOTAL(103,Janvier!$O$7:$O$36)</totalsRowFormula>
    </tableColumn>
    <tableColumn id="15" name="14" totalsRowFunction="custom" dataDxfId="875" totalsRowDxfId="874" dataCellStyle="Total">
      <totalsRowFormula>SUBTOTAL(103,Janvier!$P$7:$P$36)</totalsRowFormula>
    </tableColumn>
    <tableColumn id="16" name="15" totalsRowFunction="custom" dataDxfId="873" totalsRowDxfId="872" dataCellStyle="Total">
      <totalsRowFormula>SUBTOTAL(103,Janvier!$Q$7:$Q$36)</totalsRowFormula>
    </tableColumn>
    <tableColumn id="17" name="16" totalsRowFunction="custom" dataDxfId="871" totalsRowDxfId="870" dataCellStyle="Total">
      <totalsRowFormula>SUBTOTAL(103,Janvier!$R$7:$R$36)</totalsRowFormula>
    </tableColumn>
    <tableColumn id="18" name="17" totalsRowFunction="custom" dataDxfId="869" totalsRowDxfId="868" dataCellStyle="Total">
      <totalsRowFormula>SUBTOTAL(103,Janvier!$S$7:$S$36)</totalsRowFormula>
    </tableColumn>
    <tableColumn id="19" name="18" totalsRowFunction="custom" dataDxfId="867" totalsRowDxfId="866" dataCellStyle="Total">
      <totalsRowFormula>SUBTOTAL(103,Janvier!$T$7:$T$36)</totalsRowFormula>
    </tableColumn>
    <tableColumn id="20" name="19" totalsRowFunction="custom" dataDxfId="865" totalsRowDxfId="864" dataCellStyle="Total">
      <totalsRowFormula>SUBTOTAL(103,Janvier!$U$7:$U$36)</totalsRowFormula>
    </tableColumn>
    <tableColumn id="21" name="20" totalsRowFunction="custom" dataDxfId="863" totalsRowDxfId="862" dataCellStyle="Total">
      <totalsRowFormula>SUBTOTAL(103,Janvier!$V$7:$V$36)</totalsRowFormula>
    </tableColumn>
    <tableColumn id="22" name="21" totalsRowFunction="custom" dataDxfId="861" totalsRowDxfId="860" dataCellStyle="Total">
      <totalsRowFormula>SUBTOTAL(103,Janvier!$W$7:$W$36)</totalsRowFormula>
    </tableColumn>
    <tableColumn id="23" name="22" totalsRowFunction="custom" dataDxfId="859" totalsRowDxfId="858" dataCellStyle="Total">
      <totalsRowFormula>SUBTOTAL(103,Janvier!$X$7:$X$36)</totalsRowFormula>
    </tableColumn>
    <tableColumn id="24" name="23" totalsRowFunction="custom" dataDxfId="857" totalsRowDxfId="856" dataCellStyle="Total">
      <totalsRowFormula>SUBTOTAL(103,Janvier!$Y$7:$Y$36)</totalsRowFormula>
    </tableColumn>
    <tableColumn id="25" name="24" totalsRowFunction="custom" dataDxfId="855" totalsRowDxfId="854" dataCellStyle="Total">
      <totalsRowFormula>SUBTOTAL(103,Janvier!$Z$7:$Z$36)</totalsRowFormula>
    </tableColumn>
    <tableColumn id="26" name="25" totalsRowFunction="custom" dataDxfId="853" totalsRowDxfId="852" dataCellStyle="Total">
      <totalsRowFormula>SUBTOTAL(103,Janvier!$AA$7:$AA$36)</totalsRowFormula>
    </tableColumn>
    <tableColumn id="27" name="26" totalsRowFunction="custom" dataDxfId="851" totalsRowDxfId="850" dataCellStyle="Total">
      <totalsRowFormula>SUBTOTAL(103,Janvier!$AB$7:$AB$36)</totalsRowFormula>
    </tableColumn>
    <tableColumn id="28" name="27" totalsRowFunction="custom" dataDxfId="849" totalsRowDxfId="848" dataCellStyle="Total">
      <totalsRowFormula>SUBTOTAL(103,Janvier!$AC$7:$AC$36)</totalsRowFormula>
    </tableColumn>
    <tableColumn id="29" name="28" totalsRowFunction="custom" dataDxfId="847" totalsRowDxfId="846" dataCellStyle="Total">
      <totalsRowFormula>SUBTOTAL(103,Janvier!$AD$7:$AD$36)</totalsRowFormula>
    </tableColumn>
    <tableColumn id="30" name="29" totalsRowFunction="custom" dataDxfId="845" totalsRowDxfId="844" dataCellStyle="Total">
      <totalsRowFormula>SUBTOTAL(103,Janvier!$AE$7:$AE$36)</totalsRowFormula>
    </tableColumn>
    <tableColumn id="31" name="30" totalsRowFunction="custom" dataDxfId="843" totalsRowDxfId="842" dataCellStyle="Total">
      <totalsRowFormula>SUBTOTAL(103,Janvier!$AF$7:$AF$36)</totalsRowFormula>
    </tableColumn>
    <tableColumn id="32" name="31" totalsRowFunction="custom" dataDxfId="841" totalsRowDxfId="840" dataCellStyle="Total">
      <totalsRowFormula>SUBTOTAL(103,Janvier!$AG$7:$AG$36)</totalsRowFormula>
    </tableColumn>
    <tableColumn id="33" name="Total des jours" totalsRowFunction="sum" dataDxfId="839" totalsRowDxfId="838" dataCellStyle="Total">
      <calculatedColumnFormula>COUNTA(Janvier!$C7:$AG7)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2" name="Février" displayName="Février" ref="B6:AH37" totalsRowCount="1" headerRowDxfId="828" dataDxfId="827" totalsRowDxfId="826">
  <tableColumns count="33">
    <tableColumn id="1" name="Nom de l’employé" totalsRowFunction="custom" dataDxfId="825" totalsRowDxfId="824">
      <calculatedColumnFormula>Paramètre!$A15</calculatedColumnFormula>
      <totalsRowFormula>NomMois&amp;" Total"</totalsRowFormula>
    </tableColumn>
    <tableColumn id="2" name="1" totalsRowFunction="count" dataDxfId="823" totalsRowDxfId="822" dataCellStyle="Total"/>
    <tableColumn id="3" name="2" totalsRowFunction="count" dataDxfId="821" totalsRowDxfId="820" dataCellStyle="Total"/>
    <tableColumn id="4" name="3" totalsRowFunction="count" dataDxfId="819" totalsRowDxfId="818" dataCellStyle="Total"/>
    <tableColumn id="5" name="4" totalsRowFunction="count" dataDxfId="817" totalsRowDxfId="816" dataCellStyle="Total"/>
    <tableColumn id="6" name="5" totalsRowFunction="count" dataDxfId="815" totalsRowDxfId="814" dataCellStyle="Total"/>
    <tableColumn id="7" name="6" totalsRowFunction="count" dataDxfId="813" totalsRowDxfId="812" dataCellStyle="Total"/>
    <tableColumn id="8" name="7" totalsRowFunction="count" dataDxfId="811" totalsRowDxfId="810" dataCellStyle="Total"/>
    <tableColumn id="9" name="8" totalsRowFunction="count" dataDxfId="809" totalsRowDxfId="808" dataCellStyle="Total"/>
    <tableColumn id="10" name="9" totalsRowFunction="count" dataDxfId="807" totalsRowDxfId="806" dataCellStyle="Total"/>
    <tableColumn id="11" name="10" totalsRowFunction="count" dataDxfId="805" totalsRowDxfId="804" dataCellStyle="Total"/>
    <tableColumn id="12" name="11" totalsRowFunction="count" dataDxfId="803" totalsRowDxfId="802" dataCellStyle="Total"/>
    <tableColumn id="13" name="12" totalsRowFunction="count" dataDxfId="801" totalsRowDxfId="800" dataCellStyle="Total"/>
    <tableColumn id="14" name="13" totalsRowFunction="count" dataDxfId="799" totalsRowDxfId="798" dataCellStyle="Total"/>
    <tableColumn id="15" name="14" totalsRowFunction="count" dataDxfId="797" totalsRowDxfId="796" dataCellStyle="Total"/>
    <tableColumn id="16" name="15" totalsRowFunction="count" dataDxfId="795" totalsRowDxfId="794" dataCellStyle="Total"/>
    <tableColumn id="17" name="16" totalsRowFunction="count" dataDxfId="793" totalsRowDxfId="792" dataCellStyle="Total"/>
    <tableColumn id="18" name="17" totalsRowFunction="count" dataDxfId="791" totalsRowDxfId="790" dataCellStyle="Total"/>
    <tableColumn id="19" name="18" totalsRowFunction="count" dataDxfId="789" totalsRowDxfId="788" dataCellStyle="Total"/>
    <tableColumn id="20" name="19" totalsRowFunction="count" dataDxfId="787" totalsRowDxfId="786" dataCellStyle="Total"/>
    <tableColumn id="21" name="20" totalsRowFunction="count" dataDxfId="785" totalsRowDxfId="784" dataCellStyle="Total"/>
    <tableColumn id="22" name="21" totalsRowFunction="count" dataDxfId="783" totalsRowDxfId="782" dataCellStyle="Total"/>
    <tableColumn id="23" name="22" totalsRowFunction="count" dataDxfId="781" totalsRowDxfId="780" dataCellStyle="Total"/>
    <tableColumn id="24" name="23" totalsRowFunction="count" dataDxfId="779" totalsRowDxfId="778" dataCellStyle="Total"/>
    <tableColumn id="25" name="24" totalsRowFunction="count" dataDxfId="777" totalsRowDxfId="776" dataCellStyle="Total"/>
    <tableColumn id="26" name="25" totalsRowFunction="count" dataDxfId="775" totalsRowDxfId="774" dataCellStyle="Total"/>
    <tableColumn id="27" name="26" totalsRowFunction="count" dataDxfId="773" totalsRowDxfId="772" dataCellStyle="Total"/>
    <tableColumn id="28" name="27" totalsRowFunction="count" dataDxfId="771" totalsRowDxfId="770" dataCellStyle="Total"/>
    <tableColumn id="29" name="28" totalsRowFunction="count" dataDxfId="769" totalsRowDxfId="768" dataCellStyle="Total"/>
    <tableColumn id="30" name="29" totalsRowFunction="count" dataDxfId="767" totalsRowDxfId="766" dataCellStyle="Total"/>
    <tableColumn id="31" name=" " dataDxfId="765" totalsRowDxfId="764" dataCellStyle="Total"/>
    <tableColumn id="32" name="  " dataDxfId="763" totalsRowDxfId="762" dataCellStyle="Total"/>
    <tableColumn id="33" name="Total des jours" totalsRowFunction="sum" dataDxfId="761" totalsRowDxfId="760" dataCellStyle="Total">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14" name="Mars" displayName="Mars" ref="B6:AH37" totalsRowCount="1" headerRowDxfId="752" dataDxfId="751" totalsRowDxfId="750">
  <tableColumns count="33">
    <tableColumn id="1" name="Nom de l’employé" totalsRowFunction="custom" dataDxfId="749" totalsRowDxfId="748">
      <calculatedColumnFormula>Paramètre!$A15</calculatedColumnFormula>
      <totalsRowFormula>NomMois&amp;" Total"</totalsRowFormula>
    </tableColumn>
    <tableColumn id="2" name="1" totalsRowFunction="count" dataDxfId="747" totalsRowDxfId="746"/>
    <tableColumn id="3" name="2" totalsRowFunction="count" dataDxfId="745" totalsRowDxfId="744"/>
    <tableColumn id="4" name="3" totalsRowFunction="count" dataDxfId="743" totalsRowDxfId="742"/>
    <tableColumn id="5" name="4" totalsRowFunction="count" dataDxfId="741" totalsRowDxfId="740"/>
    <tableColumn id="6" name="5" totalsRowFunction="count" dataDxfId="739" totalsRowDxfId="738"/>
    <tableColumn id="7" name="6" totalsRowFunction="count" dataDxfId="737" totalsRowDxfId="736"/>
    <tableColumn id="8" name="7" totalsRowFunction="count" dataDxfId="735" totalsRowDxfId="734"/>
    <tableColumn id="9" name="8" totalsRowFunction="count" dataDxfId="733" totalsRowDxfId="732"/>
    <tableColumn id="10" name="9" totalsRowFunction="count" dataDxfId="731" totalsRowDxfId="730"/>
    <tableColumn id="11" name="10" totalsRowFunction="count" dataDxfId="729" totalsRowDxfId="728"/>
    <tableColumn id="12" name="11" totalsRowFunction="count" dataDxfId="727" totalsRowDxfId="726"/>
    <tableColumn id="13" name="12" totalsRowFunction="count" dataDxfId="725" totalsRowDxfId="724"/>
    <tableColumn id="14" name="13" totalsRowFunction="count" dataDxfId="723" totalsRowDxfId="722"/>
    <tableColumn id="15" name="14" totalsRowFunction="count" dataDxfId="721" totalsRowDxfId="720"/>
    <tableColumn id="16" name="15" totalsRowFunction="count" dataDxfId="719" totalsRowDxfId="718"/>
    <tableColumn id="17" name="16" totalsRowFunction="count" dataDxfId="717" totalsRowDxfId="716"/>
    <tableColumn id="18" name="17" totalsRowFunction="count" dataDxfId="715" totalsRowDxfId="714"/>
    <tableColumn id="19" name="18" totalsRowFunction="count" dataDxfId="713" totalsRowDxfId="712"/>
    <tableColumn id="20" name="19" totalsRowFunction="count" dataDxfId="711" totalsRowDxfId="710"/>
    <tableColumn id="21" name="20" totalsRowFunction="count" dataDxfId="709" totalsRowDxfId="708"/>
    <tableColumn id="22" name="21" totalsRowFunction="count" dataDxfId="707" totalsRowDxfId="706"/>
    <tableColumn id="23" name="22" totalsRowFunction="count" dataDxfId="705" totalsRowDxfId="704"/>
    <tableColumn id="24" name="23" totalsRowFunction="count" dataDxfId="703" totalsRowDxfId="702"/>
    <tableColumn id="25" name="24" totalsRowFunction="count" dataDxfId="701" totalsRowDxfId="700"/>
    <tableColumn id="26" name="25" totalsRowFunction="count" dataDxfId="699" totalsRowDxfId="698"/>
    <tableColumn id="27" name="26" totalsRowFunction="count" dataDxfId="697" totalsRowDxfId="696"/>
    <tableColumn id="28" name="27" totalsRowFunction="count" dataDxfId="695" totalsRowDxfId="694"/>
    <tableColumn id="29" name="28" totalsRowFunction="count" dataDxfId="693" totalsRowDxfId="692"/>
    <tableColumn id="30" name="29" totalsRowFunction="count" dataDxfId="691" totalsRowDxfId="690"/>
    <tableColumn id="31" name="30" totalsRowFunction="sum" dataDxfId="689" totalsRowDxfId="688"/>
    <tableColumn id="32" name="31" totalsRowFunction="sum" dataDxfId="687" totalsRowDxfId="686" dataCellStyle="Total"/>
    <tableColumn id="33" name="Total des jours" totalsRowFunction="sum" dataDxfId="685" totalsRowDxfId="684" dataCellStyle="Total">
      <calculatedColumnFormula>COUNTA(Mars[[#This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15" name="Avril" displayName="Avril" ref="B6:AH37" totalsRowCount="1" headerRowDxfId="676" dataDxfId="675" totalsRowDxfId="674">
  <tableColumns count="33">
    <tableColumn id="1" name="Nom de l’employé" totalsRowFunction="custom" dataDxfId="673" totalsRowDxfId="672">
      <calculatedColumnFormula>Paramètre!$A15</calculatedColumnFormula>
      <totalsRowFormula>NomMois&amp;" Total"</totalsRowFormula>
    </tableColumn>
    <tableColumn id="2" name="1" totalsRowFunction="count" dataDxfId="671" totalsRowDxfId="670"/>
    <tableColumn id="3" name="2" totalsRowFunction="count" dataDxfId="669" totalsRowDxfId="668"/>
    <tableColumn id="4" name="3" totalsRowFunction="count" dataDxfId="667" totalsRowDxfId="666"/>
    <tableColumn id="5" name="4" totalsRowFunction="count" dataDxfId="665" totalsRowDxfId="664"/>
    <tableColumn id="6" name="5" totalsRowFunction="count" dataDxfId="663" totalsRowDxfId="662"/>
    <tableColumn id="7" name="6" totalsRowFunction="count" dataDxfId="661" totalsRowDxfId="660"/>
    <tableColumn id="8" name="7" totalsRowFunction="count" dataDxfId="659" totalsRowDxfId="658"/>
    <tableColumn id="9" name="8" totalsRowFunction="count" dataDxfId="657" totalsRowDxfId="656"/>
    <tableColumn id="10" name="9" totalsRowFunction="count" dataDxfId="655" totalsRowDxfId="654"/>
    <tableColumn id="11" name="10" totalsRowFunction="count" dataDxfId="653" totalsRowDxfId="652"/>
    <tableColumn id="12" name="11" totalsRowFunction="count" dataDxfId="651" totalsRowDxfId="650"/>
    <tableColumn id="13" name="12" totalsRowFunction="count" dataDxfId="649" totalsRowDxfId="648"/>
    <tableColumn id="14" name="13" totalsRowFunction="count" dataDxfId="647" totalsRowDxfId="646"/>
    <tableColumn id="15" name="14" totalsRowFunction="count" dataDxfId="645" totalsRowDxfId="644"/>
    <tableColumn id="16" name="15" totalsRowFunction="count" dataDxfId="643" totalsRowDxfId="642"/>
    <tableColumn id="17" name="16" totalsRowFunction="count" dataDxfId="641" totalsRowDxfId="640"/>
    <tableColumn id="18" name="17" totalsRowFunction="count" dataDxfId="639" totalsRowDxfId="638"/>
    <tableColumn id="19" name="18" totalsRowFunction="count" dataDxfId="637" totalsRowDxfId="636"/>
    <tableColumn id="20" name="19" totalsRowFunction="count" dataDxfId="635" totalsRowDxfId="634"/>
    <tableColumn id="21" name="20" totalsRowFunction="count" dataDxfId="633" totalsRowDxfId="632"/>
    <tableColumn id="22" name="21" totalsRowFunction="count" dataDxfId="631" totalsRowDxfId="630"/>
    <tableColumn id="23" name="22" totalsRowFunction="count" dataDxfId="629" totalsRowDxfId="628"/>
    <tableColumn id="24" name="23" totalsRowFunction="count" dataDxfId="627" totalsRowDxfId="626"/>
    <tableColumn id="25" name="24" totalsRowFunction="count" dataDxfId="625" totalsRowDxfId="624"/>
    <tableColumn id="26" name="25" totalsRowFunction="count" dataDxfId="623" totalsRowDxfId="622"/>
    <tableColumn id="27" name="26" totalsRowFunction="count" dataDxfId="621" totalsRowDxfId="620"/>
    <tableColumn id="28" name="27" totalsRowFunction="count" dataDxfId="619" totalsRowDxfId="618"/>
    <tableColumn id="29" name="28" totalsRowFunction="count" dataDxfId="617" totalsRowDxfId="616"/>
    <tableColumn id="30" name="29" totalsRowFunction="count" dataDxfId="615" totalsRowDxfId="614"/>
    <tableColumn id="31" name="30" totalsRowFunction="sum" dataDxfId="613" totalsRowDxfId="612"/>
    <tableColumn id="32" name="31" totalsRowFunction="sum" dataDxfId="611" totalsRowDxfId="610" dataCellStyle="Total"/>
    <tableColumn id="33" name="Total des jours" totalsRowFunction="sum" dataDxfId="609" totalsRowDxfId="608" dataCellStyle="Total">
      <calculatedColumnFormula>COUNTA(Avril[[#This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16" name="Mai" displayName="Mai" ref="B6:AH37" totalsRowCount="1" headerRowDxfId="600" dataDxfId="599" totalsRowDxfId="598">
  <tableColumns count="33">
    <tableColumn id="1" name="Nom de l’employé" totalsRowFunction="custom" dataDxfId="597" totalsRowDxfId="596">
      <calculatedColumnFormula>Paramètre!$A15</calculatedColumnFormula>
      <totalsRowFormula>NomMois&amp;" Total"</totalsRowFormula>
    </tableColumn>
    <tableColumn id="2" name="1" totalsRowFunction="count" dataDxfId="595" totalsRowDxfId="594"/>
    <tableColumn id="3" name="2" totalsRowFunction="count" dataDxfId="593" totalsRowDxfId="592"/>
    <tableColumn id="4" name="3" totalsRowFunction="count" dataDxfId="591" totalsRowDxfId="590"/>
    <tableColumn id="5" name="4" totalsRowFunction="count" dataDxfId="589" totalsRowDxfId="588"/>
    <tableColumn id="6" name="5" totalsRowFunction="count" dataDxfId="587" totalsRowDxfId="586"/>
    <tableColumn id="7" name="6" totalsRowFunction="count" dataDxfId="585" totalsRowDxfId="584"/>
    <tableColumn id="8" name="7" totalsRowFunction="count" dataDxfId="583" totalsRowDxfId="582"/>
    <tableColumn id="9" name="8" totalsRowFunction="count" dataDxfId="581" totalsRowDxfId="580"/>
    <tableColumn id="10" name="9" totalsRowFunction="count" dataDxfId="579" totalsRowDxfId="578"/>
    <tableColumn id="11" name="10" totalsRowFunction="count" dataDxfId="577" totalsRowDxfId="576"/>
    <tableColumn id="12" name="11" totalsRowFunction="count" dataDxfId="575" totalsRowDxfId="574"/>
    <tableColumn id="13" name="12" totalsRowFunction="count" dataDxfId="573" totalsRowDxfId="572"/>
    <tableColumn id="14" name="13" totalsRowFunction="count" dataDxfId="571" totalsRowDxfId="570"/>
    <tableColumn id="15" name="14" totalsRowFunction="count" dataDxfId="569" totalsRowDxfId="568"/>
    <tableColumn id="16" name="15" totalsRowFunction="count" dataDxfId="567" totalsRowDxfId="566"/>
    <tableColumn id="17" name="16" totalsRowFunction="count" dataDxfId="565" totalsRowDxfId="564"/>
    <tableColumn id="18" name="17" totalsRowFunction="count" dataDxfId="563" totalsRowDxfId="562"/>
    <tableColumn id="19" name="18" totalsRowFunction="count" dataDxfId="561" totalsRowDxfId="560"/>
    <tableColumn id="20" name="19" totalsRowFunction="count" dataDxfId="559" totalsRowDxfId="558"/>
    <tableColumn id="21" name="20" totalsRowFunction="count" dataDxfId="557" totalsRowDxfId="556"/>
    <tableColumn id="22" name="21" totalsRowFunction="count" dataDxfId="555" totalsRowDxfId="554"/>
    <tableColumn id="23" name="22" totalsRowFunction="count" dataDxfId="553" totalsRowDxfId="552"/>
    <tableColumn id="24" name="23" totalsRowFunction="count" dataDxfId="551" totalsRowDxfId="550"/>
    <tableColumn id="25" name="24" totalsRowFunction="count" dataDxfId="549" totalsRowDxfId="548"/>
    <tableColumn id="26" name="25" totalsRowFunction="count" dataDxfId="547" totalsRowDxfId="546"/>
    <tableColumn id="27" name="26" totalsRowFunction="count" dataDxfId="545" totalsRowDxfId="544"/>
    <tableColumn id="28" name="27" totalsRowFunction="count" dataDxfId="543" totalsRowDxfId="542"/>
    <tableColumn id="29" name="28" totalsRowFunction="count" dataDxfId="541" totalsRowDxfId="540"/>
    <tableColumn id="30" name="29" totalsRowFunction="count" dataDxfId="539" totalsRowDxfId="538"/>
    <tableColumn id="31" name="30" totalsRowFunction="sum" dataDxfId="537" totalsRowDxfId="536"/>
    <tableColumn id="32" name="31" totalsRowFunction="sum" dataDxfId="535" totalsRowDxfId="534" dataCellStyle="Total"/>
    <tableColumn id="33" name="Total des jours" totalsRowFunction="sum" dataDxfId="533" totalsRowDxfId="532" dataCellStyle="Total">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17" name="Juin" displayName="Juin" ref="B6:AH37" totalsRowCount="1" headerRowDxfId="524" dataDxfId="523" totalsRowDxfId="522">
  <tableColumns count="33">
    <tableColumn id="1" name="Nom de l’employé" totalsRowFunction="custom" dataDxfId="521" totalsRowDxfId="520">
      <calculatedColumnFormula>Paramètre!$A15</calculatedColumnFormula>
      <totalsRowFormula>NomMois&amp;" Total"</totalsRowFormula>
    </tableColumn>
    <tableColumn id="2" name="1" totalsRowFunction="count" dataDxfId="519" totalsRowDxfId="518"/>
    <tableColumn id="3" name="2" totalsRowFunction="count" dataDxfId="517" totalsRowDxfId="516"/>
    <tableColumn id="4" name="3" totalsRowFunction="count" dataDxfId="515" totalsRowDxfId="514"/>
    <tableColumn id="5" name="4" totalsRowFunction="count" dataDxfId="513" totalsRowDxfId="512"/>
    <tableColumn id="6" name="5" totalsRowFunction="count" dataDxfId="511" totalsRowDxfId="510"/>
    <tableColumn id="7" name="6" totalsRowFunction="count" dataDxfId="509" totalsRowDxfId="508"/>
    <tableColumn id="8" name="7" totalsRowFunction="count" dataDxfId="507" totalsRowDxfId="506"/>
    <tableColumn id="9" name="8" totalsRowFunction="count" dataDxfId="505" totalsRowDxfId="504"/>
    <tableColumn id="10" name="9" totalsRowFunction="count" dataDxfId="503" totalsRowDxfId="502"/>
    <tableColumn id="11" name="10" totalsRowFunction="count" dataDxfId="501" totalsRowDxfId="500"/>
    <tableColumn id="12" name="11" totalsRowFunction="count" dataDxfId="499" totalsRowDxfId="498"/>
    <tableColumn id="13" name="12" totalsRowFunction="count" dataDxfId="497" totalsRowDxfId="496"/>
    <tableColumn id="14" name="13" totalsRowFunction="count" dataDxfId="495" totalsRowDxfId="494"/>
    <tableColumn id="15" name="14" totalsRowFunction="count" dataDxfId="493" totalsRowDxfId="492"/>
    <tableColumn id="16" name="15" totalsRowFunction="count" dataDxfId="491" totalsRowDxfId="490"/>
    <tableColumn id="17" name="16" totalsRowFunction="count" dataDxfId="489" totalsRowDxfId="488"/>
    <tableColumn id="18" name="17" totalsRowFunction="count" dataDxfId="487" totalsRowDxfId="486"/>
    <tableColumn id="19" name="18" totalsRowFunction="count" dataDxfId="485" totalsRowDxfId="484"/>
    <tableColumn id="20" name="19" totalsRowFunction="count" dataDxfId="483" totalsRowDxfId="482"/>
    <tableColumn id="21" name="20" totalsRowFunction="count" dataDxfId="481" totalsRowDxfId="480"/>
    <tableColumn id="22" name="21" totalsRowFunction="count" dataDxfId="479" totalsRowDxfId="478"/>
    <tableColumn id="23" name="22" totalsRowFunction="count" dataDxfId="477" totalsRowDxfId="476"/>
    <tableColumn id="24" name="23" totalsRowFunction="count" dataDxfId="475" totalsRowDxfId="474"/>
    <tableColumn id="25" name="24" totalsRowFunction="count" dataDxfId="473" totalsRowDxfId="472"/>
    <tableColumn id="26" name="25" totalsRowFunction="count" dataDxfId="471" totalsRowDxfId="470"/>
    <tableColumn id="27" name="26" totalsRowFunction="count" dataDxfId="469" totalsRowDxfId="468"/>
    <tableColumn id="28" name="27" totalsRowFunction="count" dataDxfId="467" totalsRowDxfId="466"/>
    <tableColumn id="29" name="28" totalsRowFunction="count" dataDxfId="465" totalsRowDxfId="464"/>
    <tableColumn id="30" name="29" totalsRowFunction="count" dataDxfId="463" totalsRowDxfId="462"/>
    <tableColumn id="31" name="30" totalsRowFunction="sum" dataDxfId="461" totalsRowDxfId="460"/>
    <tableColumn id="32" name="31" totalsRowFunction="sum" dataDxfId="459" totalsRowDxfId="458" dataCellStyle="Total"/>
    <tableColumn id="33" name="Total des jours" totalsRowFunction="sum" dataDxfId="457" totalsRowDxfId="456" dataCellStyle="Total">
      <calculatedColumnFormula>COUNTA(Juin[[#This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18" name="Juillet" displayName="Juillet" ref="B6:AH37" totalsRowCount="1" headerRowDxfId="448" dataDxfId="447" totalsRowDxfId="446">
  <tableColumns count="33">
    <tableColumn id="1" name="Nom de l’employé" totalsRowFunction="custom" dataDxfId="445" totalsRowDxfId="444">
      <calculatedColumnFormula>Paramètre!$A15</calculatedColumnFormula>
      <totalsRowFormula>NomMois&amp;" Total"</totalsRowFormula>
    </tableColumn>
    <tableColumn id="2" name="1" totalsRowFunction="count" dataDxfId="443" totalsRowDxfId="442"/>
    <tableColumn id="3" name="2" totalsRowFunction="count" dataDxfId="441" totalsRowDxfId="440"/>
    <tableColumn id="4" name="3" totalsRowFunction="count" dataDxfId="439" totalsRowDxfId="438"/>
    <tableColumn id="5" name="4" totalsRowFunction="count" dataDxfId="437" totalsRowDxfId="436"/>
    <tableColumn id="6" name="5" totalsRowFunction="count" dataDxfId="435" totalsRowDxfId="434"/>
    <tableColumn id="7" name="6" totalsRowFunction="count" dataDxfId="433" totalsRowDxfId="432"/>
    <tableColumn id="8" name="7" totalsRowFunction="count" dataDxfId="431" totalsRowDxfId="430"/>
    <tableColumn id="9" name="8" totalsRowFunction="count" dataDxfId="429" totalsRowDxfId="428"/>
    <tableColumn id="10" name="9" totalsRowFunction="count" dataDxfId="427" totalsRowDxfId="426"/>
    <tableColumn id="11" name="10" totalsRowFunction="count" dataDxfId="425" totalsRowDxfId="424"/>
    <tableColumn id="12" name="11" totalsRowFunction="count" dataDxfId="423" totalsRowDxfId="422"/>
    <tableColumn id="13" name="12" totalsRowFunction="count" dataDxfId="421" totalsRowDxfId="420"/>
    <tableColumn id="14" name="13" totalsRowFunction="count" dataDxfId="419" totalsRowDxfId="418"/>
    <tableColumn id="15" name="14" totalsRowFunction="count" dataDxfId="417" totalsRowDxfId="416"/>
    <tableColumn id="16" name="15" totalsRowFunction="count" dataDxfId="415" totalsRowDxfId="414"/>
    <tableColumn id="17" name="16" totalsRowFunction="count" dataDxfId="413" totalsRowDxfId="412"/>
    <tableColumn id="18" name="17" totalsRowFunction="count" dataDxfId="411" totalsRowDxfId="410"/>
    <tableColumn id="19" name="18" totalsRowFunction="count" dataDxfId="409" totalsRowDxfId="408"/>
    <tableColumn id="20" name="19" totalsRowFunction="count" dataDxfId="407" totalsRowDxfId="406"/>
    <tableColumn id="21" name="20" totalsRowFunction="count" dataDxfId="405" totalsRowDxfId="404"/>
    <tableColumn id="22" name="21" totalsRowFunction="count" dataDxfId="403" totalsRowDxfId="402"/>
    <tableColumn id="23" name="22" totalsRowFunction="count" dataDxfId="401" totalsRowDxfId="400"/>
    <tableColumn id="24" name="23" totalsRowFunction="count" dataDxfId="399" totalsRowDxfId="398"/>
    <tableColumn id="25" name="24" totalsRowFunction="count" dataDxfId="397" totalsRowDxfId="396"/>
    <tableColumn id="26" name="25" totalsRowFunction="count" dataDxfId="395" totalsRowDxfId="394"/>
    <tableColumn id="27" name="26" totalsRowFunction="count" dataDxfId="393" totalsRowDxfId="392"/>
    <tableColumn id="28" name="27" totalsRowFunction="count" dataDxfId="391" totalsRowDxfId="390"/>
    <tableColumn id="29" name="28" totalsRowFunction="count" dataDxfId="389" totalsRowDxfId="388"/>
    <tableColumn id="30" name="29" totalsRowFunction="count" dataDxfId="387" totalsRowDxfId="386"/>
    <tableColumn id="31" name="30" totalsRowFunction="sum" dataDxfId="385" totalsRowDxfId="384"/>
    <tableColumn id="32" name="31" totalsRowFunction="sum" dataDxfId="383" totalsRowDxfId="382" dataCellStyle="Total"/>
    <tableColumn id="33" name="Total des jours" totalsRowFunction="sum" dataDxfId="381" totalsRowDxfId="380" dataCellStyle="Total">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19" name="Août" displayName="Août" ref="B6:AH37" totalsRowCount="1" headerRowDxfId="372" dataDxfId="371" totalsRowDxfId="370">
  <tableColumns count="33">
    <tableColumn id="1" name="Nom de l’employé" totalsRowFunction="custom" dataDxfId="369" totalsRowDxfId="368">
      <calculatedColumnFormula>Paramètre!$A15</calculatedColumnFormula>
      <totalsRowFormula>NomMois&amp;" Total"</totalsRowFormula>
    </tableColumn>
    <tableColumn id="2" name="1" totalsRowFunction="count" dataDxfId="367" totalsRowDxfId="366"/>
    <tableColumn id="3" name="2" totalsRowFunction="count" dataDxfId="365" totalsRowDxfId="364"/>
    <tableColumn id="4" name="3" totalsRowFunction="count" dataDxfId="363" totalsRowDxfId="362"/>
    <tableColumn id="5" name="4" totalsRowFunction="count" dataDxfId="361" totalsRowDxfId="360"/>
    <tableColumn id="6" name="5" totalsRowFunction="count" dataDxfId="359" totalsRowDxfId="358"/>
    <tableColumn id="7" name="6" totalsRowFunction="count" dataDxfId="357" totalsRowDxfId="356"/>
    <tableColumn id="8" name="7" totalsRowFunction="count" dataDxfId="355" totalsRowDxfId="354"/>
    <tableColumn id="9" name="8" totalsRowFunction="count" dataDxfId="353" totalsRowDxfId="352"/>
    <tableColumn id="10" name="9" totalsRowFunction="count" dataDxfId="351" totalsRowDxfId="350"/>
    <tableColumn id="11" name="10" totalsRowFunction="count" dataDxfId="349" totalsRowDxfId="348"/>
    <tableColumn id="12" name="11" totalsRowFunction="count" dataDxfId="347" totalsRowDxfId="346"/>
    <tableColumn id="13" name="12" totalsRowFunction="count" dataDxfId="345" totalsRowDxfId="344"/>
    <tableColumn id="14" name="13" totalsRowFunction="count" dataDxfId="343" totalsRowDxfId="342"/>
    <tableColumn id="15" name="14" totalsRowFunction="count" dataDxfId="341" totalsRowDxfId="340"/>
    <tableColumn id="16" name="15" totalsRowFunction="count" dataDxfId="339" totalsRowDxfId="338"/>
    <tableColumn id="17" name="16" totalsRowFunction="count" dataDxfId="337" totalsRowDxfId="336"/>
    <tableColumn id="18" name="17" totalsRowFunction="count" dataDxfId="335" totalsRowDxfId="334"/>
    <tableColumn id="19" name="18" totalsRowFunction="count" dataDxfId="333" totalsRowDxfId="332"/>
    <tableColumn id="20" name="19" totalsRowFunction="count" dataDxfId="331" totalsRowDxfId="330"/>
    <tableColumn id="21" name="20" totalsRowFunction="count" dataDxfId="329" totalsRowDxfId="328"/>
    <tableColumn id="22" name="21" totalsRowFunction="count" dataDxfId="327" totalsRowDxfId="326"/>
    <tableColumn id="23" name="22" totalsRowFunction="count" dataDxfId="325" totalsRowDxfId="324"/>
    <tableColumn id="24" name="23" totalsRowFunction="count" dataDxfId="323" totalsRowDxfId="322"/>
    <tableColumn id="25" name="24" totalsRowFunction="count" dataDxfId="321" totalsRowDxfId="320"/>
    <tableColumn id="26" name="25" totalsRowFunction="count" dataDxfId="319" totalsRowDxfId="318"/>
    <tableColumn id="27" name="26" totalsRowFunction="count" dataDxfId="317" totalsRowDxfId="316"/>
    <tableColumn id="28" name="27" totalsRowFunction="count" dataDxfId="315" totalsRowDxfId="314"/>
    <tableColumn id="29" name="28" totalsRowFunction="count" dataDxfId="313" totalsRowDxfId="312"/>
    <tableColumn id="30" name="29" totalsRowFunction="count" dataDxfId="311" totalsRowDxfId="310"/>
    <tableColumn id="31" name="30" totalsRowFunction="sum" dataDxfId="309" totalsRowDxfId="308"/>
    <tableColumn id="32" name="31" totalsRowFunction="sum" dataDxfId="307" totalsRowDxfId="306" dataCellStyle="Total"/>
    <tableColumn id="33" name="Total des jours" totalsRowFunction="sum" dataDxfId="305" totalsRowDxfId="304" dataCellStyle="Total">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20" name="Septembre" displayName="Septembre" ref="B6:AH37" totalsRowCount="1" headerRowDxfId="296" dataDxfId="295" totalsRowDxfId="294">
  <tableColumns count="33">
    <tableColumn id="1" name="Nom de l’employé" totalsRowFunction="custom" dataDxfId="293" totalsRowDxfId="292">
      <calculatedColumnFormula>Paramètre!$A15</calculatedColumnFormula>
      <totalsRowFormula>NomMois&amp;" Total"</totalsRowFormula>
    </tableColumn>
    <tableColumn id="2" name="1" totalsRowFunction="count" dataDxfId="291" totalsRowDxfId="290"/>
    <tableColumn id="3" name="2" totalsRowFunction="count" dataDxfId="289" totalsRowDxfId="288"/>
    <tableColumn id="4" name="3" totalsRowFunction="count" dataDxfId="287" totalsRowDxfId="286"/>
    <tableColumn id="5" name="4" totalsRowFunction="count" dataDxfId="285" totalsRowDxfId="284"/>
    <tableColumn id="6" name="5" totalsRowFunction="count" dataDxfId="283" totalsRowDxfId="282"/>
    <tableColumn id="7" name="6" totalsRowFunction="count" dataDxfId="281" totalsRowDxfId="280"/>
    <tableColumn id="8" name="7" totalsRowFunction="count" dataDxfId="279" totalsRowDxfId="278"/>
    <tableColumn id="9" name="8" totalsRowFunction="count" dataDxfId="277" totalsRowDxfId="276"/>
    <tableColumn id="10" name="9" totalsRowFunction="count" dataDxfId="275" totalsRowDxfId="274"/>
    <tableColumn id="11" name="10" totalsRowFunction="count" dataDxfId="273" totalsRowDxfId="272"/>
    <tableColumn id="12" name="11" totalsRowFunction="count" dataDxfId="271" totalsRowDxfId="270"/>
    <tableColumn id="13" name="12" totalsRowFunction="count" dataDxfId="269" totalsRowDxfId="268"/>
    <tableColumn id="14" name="13" totalsRowFunction="count" dataDxfId="267" totalsRowDxfId="266"/>
    <tableColumn id="15" name="14" totalsRowFunction="count" dataDxfId="265" totalsRowDxfId="264"/>
    <tableColumn id="16" name="15" totalsRowFunction="count" dataDxfId="263" totalsRowDxfId="262"/>
    <tableColumn id="17" name="16" totalsRowFunction="count" dataDxfId="261" totalsRowDxfId="260"/>
    <tableColumn id="18" name="17" totalsRowFunction="count" dataDxfId="259" totalsRowDxfId="258"/>
    <tableColumn id="19" name="18" totalsRowFunction="count" dataDxfId="257" totalsRowDxfId="256"/>
    <tableColumn id="20" name="19" totalsRowFunction="count" dataDxfId="255" totalsRowDxfId="254"/>
    <tableColumn id="21" name="20" totalsRowFunction="count" dataDxfId="253" totalsRowDxfId="252"/>
    <tableColumn id="22" name="21" totalsRowFunction="count" dataDxfId="251" totalsRowDxfId="250"/>
    <tableColumn id="23" name="22" totalsRowFunction="count" dataDxfId="249" totalsRowDxfId="248"/>
    <tableColumn id="24" name="23" totalsRowFunction="count" dataDxfId="247" totalsRowDxfId="246"/>
    <tableColumn id="25" name="24" totalsRowFunction="count" dataDxfId="245" totalsRowDxfId="244"/>
    <tableColumn id="26" name="25" totalsRowFunction="count" dataDxfId="243" totalsRowDxfId="242"/>
    <tableColumn id="27" name="26" totalsRowFunction="count" dataDxfId="241" totalsRowDxfId="240"/>
    <tableColumn id="28" name="27" totalsRowFunction="count" dataDxfId="239" totalsRowDxfId="238"/>
    <tableColumn id="29" name="28" totalsRowFunction="count" dataDxfId="237" totalsRowDxfId="236"/>
    <tableColumn id="30" name="29" totalsRowFunction="count" dataDxfId="235" totalsRowDxfId="234"/>
    <tableColumn id="31" name="30" totalsRowFunction="sum" dataDxfId="233" totalsRowDxfId="232"/>
    <tableColumn id="32" name="31" totalsRowFunction="sum" dataDxfId="231" totalsRowDxfId="230" dataCellStyle="Total"/>
    <tableColumn id="33" name="Total des jours" totalsRowFunction="sum" dataDxfId="229" totalsRowDxfId="228" dataCellStyle="Total">
      <calculatedColumnFormula>COUNTA(Septembre[[#This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21" name="Octobre" displayName="Octobre" ref="B6:AH37" totalsRowCount="1" headerRowDxfId="220" dataDxfId="219" totalsRowDxfId="218">
  <tableColumns count="33">
    <tableColumn id="1" name="Nom de l’employé" totalsRowFunction="custom" dataDxfId="217" totalsRowDxfId="216">
      <calculatedColumnFormula>Paramètre!$A15</calculatedColumnFormula>
      <totalsRowFormula>NomMois&amp;" Total"</totalsRowFormula>
    </tableColumn>
    <tableColumn id="2" name="1" totalsRowFunction="count" dataDxfId="215" totalsRowDxfId="214"/>
    <tableColumn id="3" name="2" totalsRowFunction="count" dataDxfId="213" totalsRowDxfId="212"/>
    <tableColumn id="4" name="3" totalsRowFunction="count" dataDxfId="211" totalsRowDxfId="210"/>
    <tableColumn id="5" name="4" totalsRowFunction="count" dataDxfId="209" totalsRowDxfId="208"/>
    <tableColumn id="6" name="5" totalsRowFunction="count" dataDxfId="207" totalsRowDxfId="206"/>
    <tableColumn id="7" name="6" totalsRowFunction="count" dataDxfId="205" totalsRowDxfId="204"/>
    <tableColumn id="8" name="7" totalsRowFunction="count" dataDxfId="203" totalsRowDxfId="202"/>
    <tableColumn id="9" name="8" totalsRowFunction="count" dataDxfId="201" totalsRowDxfId="200"/>
    <tableColumn id="10" name="9" totalsRowFunction="count" dataDxfId="199" totalsRowDxfId="198"/>
    <tableColumn id="11" name="10" totalsRowFunction="count" dataDxfId="197" totalsRowDxfId="196"/>
    <tableColumn id="12" name="11" totalsRowFunction="count" dataDxfId="195" totalsRowDxfId="194"/>
    <tableColumn id="13" name="12" totalsRowFunction="count" dataDxfId="193" totalsRowDxfId="192"/>
    <tableColumn id="14" name="13" totalsRowFunction="count" dataDxfId="191" totalsRowDxfId="190"/>
    <tableColumn id="15" name="14" totalsRowFunction="count" dataDxfId="189" totalsRowDxfId="188"/>
    <tableColumn id="16" name="15" totalsRowFunction="count" dataDxfId="187" totalsRowDxfId="186"/>
    <tableColumn id="17" name="16" totalsRowFunction="count" dataDxfId="185" totalsRowDxfId="184"/>
    <tableColumn id="18" name="17" totalsRowFunction="count" dataDxfId="183" totalsRowDxfId="182"/>
    <tableColumn id="19" name="18" totalsRowFunction="count" dataDxfId="181" totalsRowDxfId="180"/>
    <tableColumn id="20" name="19" totalsRowFunction="count" dataDxfId="179" totalsRowDxfId="178"/>
    <tableColumn id="21" name="20" totalsRowFunction="count" dataDxfId="177" totalsRowDxfId="176"/>
    <tableColumn id="22" name="21" totalsRowFunction="count" dataDxfId="175" totalsRowDxfId="174"/>
    <tableColumn id="23" name="22" totalsRowFunction="count" dataDxfId="173" totalsRowDxfId="172"/>
    <tableColumn id="24" name="23" totalsRowFunction="count" dataDxfId="171" totalsRowDxfId="170"/>
    <tableColumn id="25" name="24" totalsRowFunction="count" dataDxfId="169" totalsRowDxfId="168"/>
    <tableColumn id="26" name="25" totalsRowFunction="count" dataDxfId="167" totalsRowDxfId="166"/>
    <tableColumn id="27" name="26" totalsRowFunction="count" dataDxfId="165" totalsRowDxfId="164"/>
    <tableColumn id="28" name="27" totalsRowFunction="count" dataDxfId="163" totalsRowDxfId="162"/>
    <tableColumn id="29" name="28" totalsRowFunction="count" dataDxfId="161" totalsRowDxfId="160"/>
    <tableColumn id="30" name="29" totalsRowFunction="count" dataDxfId="159" totalsRowDxfId="158"/>
    <tableColumn id="31" name="30" totalsRowFunction="sum" dataDxfId="157" totalsRowDxfId="156"/>
    <tableColumn id="32" name="31" totalsRowFunction="sum" dataDxfId="155" totalsRowDxfId="154" dataCellStyle="Total"/>
    <tableColumn id="33" name="Total des jours" totalsRowFunction="sum" dataDxfId="153" totalsRowDxfId="152" dataCellStyle="Total">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22" name="Novembre" displayName="Novembre" ref="B6:AH37" totalsRowCount="1" headerRowDxfId="144" dataDxfId="143" totalsRowDxfId="142">
  <tableColumns count="33">
    <tableColumn id="1" name="Nom de l’employé" totalsRowFunction="custom" dataDxfId="141" totalsRowDxfId="140">
      <calculatedColumnFormula>Paramètre!$A15</calculatedColumnFormula>
      <totalsRowFormula>NomMois&amp;" Total"</totalsRowFormula>
    </tableColumn>
    <tableColumn id="2" name="1" totalsRowFunction="count" dataDxfId="139" totalsRowDxfId="138"/>
    <tableColumn id="3" name="2" totalsRowFunction="count" dataDxfId="137" totalsRowDxfId="136"/>
    <tableColumn id="4" name="3" totalsRowFunction="count" dataDxfId="135" totalsRowDxfId="134"/>
    <tableColumn id="5" name="4" totalsRowFunction="count" dataDxfId="133" totalsRowDxfId="132"/>
    <tableColumn id="6" name="5" totalsRowFunction="count" dataDxfId="131" totalsRowDxfId="130"/>
    <tableColumn id="7" name="6" totalsRowFunction="count" dataDxfId="129" totalsRowDxfId="128"/>
    <tableColumn id="8" name="7" totalsRowFunction="count" dataDxfId="127" totalsRowDxfId="126"/>
    <tableColumn id="9" name="8" totalsRowFunction="count" dataDxfId="125" totalsRowDxfId="124"/>
    <tableColumn id="10" name="9" totalsRowFunction="count" dataDxfId="123" totalsRowDxfId="122"/>
    <tableColumn id="11" name="10" totalsRowFunction="count" dataDxfId="121" totalsRowDxfId="120"/>
    <tableColumn id="12" name="11" totalsRowFunction="count" dataDxfId="119" totalsRowDxfId="118"/>
    <tableColumn id="13" name="12" totalsRowFunction="count" dataDxfId="117" totalsRowDxfId="116"/>
    <tableColumn id="14" name="13" totalsRowFunction="count" dataDxfId="115" totalsRowDxfId="114"/>
    <tableColumn id="15" name="14" totalsRowFunction="count" dataDxfId="113" totalsRowDxfId="112"/>
    <tableColumn id="16" name="15" totalsRowFunction="count" dataDxfId="111" totalsRowDxfId="110"/>
    <tableColumn id="17" name="16" totalsRowFunction="count" dataDxfId="109" totalsRowDxfId="108"/>
    <tableColumn id="18" name="17" totalsRowFunction="count" dataDxfId="107" totalsRowDxfId="106"/>
    <tableColumn id="19" name="18" totalsRowFunction="count" dataDxfId="105" totalsRowDxfId="104"/>
    <tableColumn id="20" name="19" totalsRowFunction="count" dataDxfId="103" totalsRowDxfId="102"/>
    <tableColumn id="21" name="20" totalsRowFunction="count" dataDxfId="101" totalsRowDxfId="100"/>
    <tableColumn id="22" name="21" totalsRowFunction="count" dataDxfId="99" totalsRowDxfId="98"/>
    <tableColumn id="23" name="22" totalsRowFunction="count" dataDxfId="97" totalsRowDxfId="96"/>
    <tableColumn id="24" name="23" totalsRowFunction="count" dataDxfId="95" totalsRowDxfId="94"/>
    <tableColumn id="25" name="24" totalsRowFunction="count" dataDxfId="93" totalsRowDxfId="92"/>
    <tableColumn id="26" name="25" totalsRowFunction="count" dataDxfId="91" totalsRowDxfId="90"/>
    <tableColumn id="27" name="26" totalsRowFunction="count" dataDxfId="89" totalsRowDxfId="88"/>
    <tableColumn id="28" name="27" totalsRowFunction="count" dataDxfId="87" totalsRowDxfId="86"/>
    <tableColumn id="29" name="28" totalsRowFunction="count" dataDxfId="85" totalsRowDxfId="84"/>
    <tableColumn id="30" name="29" totalsRowFunction="count" dataDxfId="83" totalsRowDxfId="82"/>
    <tableColumn id="31" name="30" totalsRowFunction="sum" dataDxfId="81" totalsRowDxfId="80"/>
    <tableColumn id="32" name="31" totalsRowFunction="sum" dataDxfId="79" totalsRowDxfId="78" dataCellStyle="Total"/>
    <tableColumn id="33" name="Total des jours" totalsRowFunction="sum" dataDxfId="77" totalsRowDxfId="76" dataCellStyle="Total">
      <calculatedColumnFormula>COUNTA(Novembre[[#This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12" name="Décembre" displayName="Décembre" ref="B6:AH37" totalsRowCount="1" headerRowDxfId="68" dataDxfId="67" totalsRowDxfId="66">
  <tableColumns count="33">
    <tableColumn id="1" name="Nom de l’employé" totalsRowFunction="custom" dataDxfId="65" totalsRowDxfId="64">
      <calculatedColumnFormula>Paramètre!$A15</calculatedColumnFormula>
      <totalsRowFormula>NomMois&amp;" Total"</totalsRowFormula>
    </tableColumn>
    <tableColumn id="2" name="1" totalsRowFunction="count" dataDxfId="63" totalsRowDxfId="62"/>
    <tableColumn id="3" name="2" totalsRowFunction="count" dataDxfId="61" totalsRowDxfId="60"/>
    <tableColumn id="4" name="3" totalsRowFunction="count" dataDxfId="59" totalsRowDxfId="58"/>
    <tableColumn id="5" name="4" totalsRowFunction="count" dataDxfId="57" totalsRowDxfId="56"/>
    <tableColumn id="6" name="5" totalsRowFunction="count" dataDxfId="55" totalsRowDxfId="54"/>
    <tableColumn id="7" name="6" totalsRowFunction="count" dataDxfId="53" totalsRowDxfId="52"/>
    <tableColumn id="8" name="7" totalsRowFunction="count" dataDxfId="51" totalsRowDxfId="50"/>
    <tableColumn id="9" name="8" totalsRowFunction="count" dataDxfId="49" totalsRowDxfId="48"/>
    <tableColumn id="10" name="9" totalsRowFunction="count" dataDxfId="47" totalsRowDxfId="46"/>
    <tableColumn id="11" name="10" totalsRowFunction="count" dataDxfId="45" totalsRowDxfId="44"/>
    <tableColumn id="12" name="11" totalsRowFunction="count" dataDxfId="43" totalsRowDxfId="42"/>
    <tableColumn id="13" name="12" totalsRowFunction="count" dataDxfId="41" totalsRowDxfId="40"/>
    <tableColumn id="14" name="13" totalsRowFunction="count" dataDxfId="39" totalsRowDxfId="38"/>
    <tableColumn id="15" name="14" totalsRowFunction="count" dataDxfId="37" totalsRowDxfId="36"/>
    <tableColumn id="16" name="15" totalsRowFunction="count" dataDxfId="35" totalsRowDxfId="34"/>
    <tableColumn id="17" name="16" totalsRowFunction="count" dataDxfId="33" totalsRowDxfId="32"/>
    <tableColumn id="18" name="17" totalsRowFunction="count" dataDxfId="31" totalsRowDxfId="30"/>
    <tableColumn id="19" name="18" totalsRowFunction="count" dataDxfId="29" totalsRowDxfId="28"/>
    <tableColumn id="20" name="19" totalsRowFunction="count" dataDxfId="27" totalsRowDxfId="26"/>
    <tableColumn id="21" name="20" totalsRowFunction="count" dataDxfId="25" totalsRowDxfId="24"/>
    <tableColumn id="22" name="21" totalsRowFunction="count" dataDxfId="23" totalsRowDxfId="22"/>
    <tableColumn id="23" name="22" totalsRowFunction="count" dataDxfId="21" totalsRowDxfId="20"/>
    <tableColumn id="24" name="23" totalsRowFunction="count" dataDxfId="19" totalsRowDxfId="18"/>
    <tableColumn id="25" name="24" totalsRowFunction="count" dataDxfId="17" totalsRowDxfId="16"/>
    <tableColumn id="26" name="25" totalsRowFunction="count" dataDxfId="15" totalsRowDxfId="14"/>
    <tableColumn id="27" name="26" totalsRowFunction="count" dataDxfId="13" totalsRowDxfId="12"/>
    <tableColumn id="28" name="27" totalsRowFunction="count" dataDxfId="11" totalsRowDxfId="10"/>
    <tableColumn id="29" name="28" totalsRowFunction="count" dataDxfId="9" totalsRowDxfId="8"/>
    <tableColumn id="30" name="29" totalsRowFunction="count" dataDxfId="7" totalsRowDxfId="6"/>
    <tableColumn id="31" name="30" totalsRowFunction="sum" dataDxfId="5" totalsRowDxfId="4"/>
    <tableColumn id="32" name="31" totalsRowFunction="sum" dataDxfId="3" totalsRowDxfId="2" dataCellStyle="Total"/>
    <tableColumn id="33" name="Total des jours" totalsRowFunction="sum" dataDxfId="1" totalsRowDxfId="0" dataCellStyle="Total">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F2:M8"/>
  <sheetViews>
    <sheetView tabSelected="1" workbookViewId="0">
      <selection activeCell="D13" sqref="D13"/>
    </sheetView>
  </sheetViews>
  <sheetFormatPr baseColWidth="10" defaultRowHeight="15" x14ac:dyDescent="0.25"/>
  <cols>
    <col min="1" max="16384" width="11.42578125" style="31"/>
  </cols>
  <sheetData>
    <row r="2" spans="6:13" ht="18.75" x14ac:dyDescent="0.25">
      <c r="F2" s="33" t="str">
        <f>Paramètre!B1</f>
        <v>RENAULT ALGERIE PRODUCTION</v>
      </c>
      <c r="G2" s="32"/>
      <c r="H2" s="32"/>
      <c r="I2" s="32"/>
    </row>
    <row r="3" spans="6:13" ht="18.75" x14ac:dyDescent="0.25">
      <c r="F3" s="33" t="str">
        <f>Paramètre!B2</f>
        <v>Calendrier des absences des employés EQ B</v>
      </c>
      <c r="G3" s="32"/>
      <c r="H3" s="32"/>
      <c r="I3" s="32"/>
    </row>
    <row r="4" spans="6:13" ht="18.75" x14ac:dyDescent="0.25">
      <c r="F4" s="33" t="str">
        <f>Paramètre!A4  &amp;  Paramètre!B4</f>
        <v>UET :QUALITE</v>
      </c>
      <c r="G4" s="32"/>
      <c r="H4" s="32"/>
      <c r="I4" s="32"/>
    </row>
    <row r="8" spans="6:13" x14ac:dyDescent="0.25">
      <c r="M8" s="36"/>
    </row>
  </sheetData>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election activeCell="L12" sqref="L12"/>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38"/>
  <sheetViews>
    <sheetView workbookViewId="0">
      <selection activeCell="B26" sqref="B26"/>
    </sheetView>
  </sheetViews>
  <sheetFormatPr baseColWidth="10" defaultRowHeight="15.75" customHeight="1" x14ac:dyDescent="0.2"/>
  <cols>
    <col min="1" max="1" width="23.42578125" style="24" customWidth="1"/>
    <col min="2" max="2" width="36" style="24" customWidth="1"/>
    <col min="3" max="16384" width="11.42578125" style="24"/>
  </cols>
  <sheetData>
    <row r="1" spans="1:2" ht="15" x14ac:dyDescent="0.25">
      <c r="A1" s="30" t="s">
        <v>91</v>
      </c>
      <c r="B1" s="23" t="s">
        <v>92</v>
      </c>
    </row>
    <row r="2" spans="1:2" ht="15" x14ac:dyDescent="0.25">
      <c r="A2" s="30" t="s">
        <v>93</v>
      </c>
      <c r="B2" s="23" t="s">
        <v>61</v>
      </c>
    </row>
    <row r="3" spans="1:2" ht="15.75" customHeight="1" x14ac:dyDescent="0.2">
      <c r="B3" s="23"/>
    </row>
    <row r="4" spans="1:2" ht="14.25" x14ac:dyDescent="0.2">
      <c r="A4" s="29" t="s">
        <v>94</v>
      </c>
      <c r="B4" s="23" t="s">
        <v>95</v>
      </c>
    </row>
    <row r="5" spans="1:2" ht="14.25" x14ac:dyDescent="0.2">
      <c r="A5" s="29" t="s">
        <v>103</v>
      </c>
      <c r="B5" s="26">
        <v>2019</v>
      </c>
    </row>
    <row r="6" spans="1:2" ht="14.25" x14ac:dyDescent="0.2">
      <c r="A6" s="25"/>
      <c r="B6" s="26"/>
    </row>
    <row r="7" spans="1:2" ht="14.25" x14ac:dyDescent="0.2">
      <c r="A7" s="29" t="s">
        <v>96</v>
      </c>
      <c r="B7" s="26"/>
    </row>
    <row r="8" spans="1:2" ht="14.25" x14ac:dyDescent="0.2">
      <c r="A8" s="26" t="s">
        <v>97</v>
      </c>
      <c r="B8" s="26"/>
    </row>
    <row r="9" spans="1:2" ht="14.25" x14ac:dyDescent="0.2">
      <c r="A9" s="26" t="s">
        <v>98</v>
      </c>
      <c r="B9" s="26"/>
    </row>
    <row r="10" spans="1:2" ht="14.25" x14ac:dyDescent="0.2">
      <c r="A10" s="26" t="s">
        <v>99</v>
      </c>
      <c r="B10" s="26"/>
    </row>
    <row r="11" spans="1:2" ht="14.25" x14ac:dyDescent="0.2">
      <c r="A11" s="26" t="s">
        <v>100</v>
      </c>
      <c r="B11" s="26"/>
    </row>
    <row r="12" spans="1:2" ht="14.25" x14ac:dyDescent="0.2">
      <c r="A12" s="26" t="s">
        <v>101</v>
      </c>
      <c r="B12" s="26"/>
    </row>
    <row r="13" spans="1:2" ht="15.75" customHeight="1" x14ac:dyDescent="0.2">
      <c r="A13" s="23"/>
      <c r="B13" s="23"/>
    </row>
    <row r="14" spans="1:2" ht="15.75" customHeight="1" x14ac:dyDescent="0.2">
      <c r="A14" s="29" t="s">
        <v>54</v>
      </c>
      <c r="B14" s="23"/>
    </row>
    <row r="15" spans="1:2" ht="15.75" customHeight="1" x14ac:dyDescent="0.25">
      <c r="A15" s="34" t="s">
        <v>62</v>
      </c>
      <c r="B15" s="23"/>
    </row>
    <row r="16" spans="1:2" ht="15.75" customHeight="1" x14ac:dyDescent="0.25">
      <c r="A16" s="34" t="s">
        <v>63</v>
      </c>
      <c r="B16" s="23"/>
    </row>
    <row r="17" spans="1:2" ht="15.75" customHeight="1" x14ac:dyDescent="0.25">
      <c r="A17" s="34" t="s">
        <v>64</v>
      </c>
      <c r="B17" s="27"/>
    </row>
    <row r="18" spans="1:2" ht="15.75" customHeight="1" x14ac:dyDescent="0.25">
      <c r="A18" s="34" t="s">
        <v>65</v>
      </c>
      <c r="B18" s="27"/>
    </row>
    <row r="19" spans="1:2" ht="15.75" customHeight="1" x14ac:dyDescent="0.25">
      <c r="A19" s="34" t="s">
        <v>66</v>
      </c>
      <c r="B19" s="27"/>
    </row>
    <row r="20" spans="1:2" ht="15.75" customHeight="1" x14ac:dyDescent="0.25">
      <c r="A20" s="34" t="s">
        <v>67</v>
      </c>
      <c r="B20" s="27"/>
    </row>
    <row r="21" spans="1:2" ht="15.75" customHeight="1" x14ac:dyDescent="0.25">
      <c r="A21" s="34" t="s">
        <v>89</v>
      </c>
      <c r="B21" s="27"/>
    </row>
    <row r="22" spans="1:2" ht="15.75" customHeight="1" x14ac:dyDescent="0.25">
      <c r="A22" s="34" t="s">
        <v>68</v>
      </c>
      <c r="B22" s="27"/>
    </row>
    <row r="23" spans="1:2" ht="15.75" customHeight="1" x14ac:dyDescent="0.25">
      <c r="A23" s="34" t="s">
        <v>69</v>
      </c>
      <c r="B23" s="27"/>
    </row>
    <row r="24" spans="1:2" ht="15.75" customHeight="1" x14ac:dyDescent="0.25">
      <c r="A24" s="34" t="s">
        <v>70</v>
      </c>
      <c r="B24" s="27"/>
    </row>
    <row r="25" spans="1:2" ht="15.75" customHeight="1" x14ac:dyDescent="0.25">
      <c r="A25" s="34" t="s">
        <v>71</v>
      </c>
      <c r="B25" s="27"/>
    </row>
    <row r="26" spans="1:2" ht="15.75" customHeight="1" x14ac:dyDescent="0.25">
      <c r="A26" s="34" t="s">
        <v>72</v>
      </c>
      <c r="B26" s="27"/>
    </row>
    <row r="27" spans="1:2" ht="15.75" customHeight="1" x14ac:dyDescent="0.25">
      <c r="A27" s="34" t="s">
        <v>73</v>
      </c>
      <c r="B27" s="27"/>
    </row>
    <row r="28" spans="1:2" ht="15.75" customHeight="1" x14ac:dyDescent="0.25">
      <c r="A28" s="34" t="s">
        <v>102</v>
      </c>
      <c r="B28" s="28"/>
    </row>
    <row r="29" spans="1:2" ht="15.75" customHeight="1" x14ac:dyDescent="0.25">
      <c r="A29" s="34" t="s">
        <v>74</v>
      </c>
      <c r="B29" s="28"/>
    </row>
    <row r="30" spans="1:2" ht="15.75" customHeight="1" x14ac:dyDescent="0.25">
      <c r="A30" s="34" t="s">
        <v>75</v>
      </c>
      <c r="B30" s="23"/>
    </row>
    <row r="31" spans="1:2" ht="15.75" customHeight="1" x14ac:dyDescent="0.25">
      <c r="A31" s="34" t="s">
        <v>105</v>
      </c>
      <c r="B31" s="23"/>
    </row>
    <row r="32" spans="1:2" ht="15.75" customHeight="1" x14ac:dyDescent="0.25">
      <c r="A32" s="34" t="s">
        <v>76</v>
      </c>
      <c r="B32" s="23"/>
    </row>
    <row r="33" spans="1:2" ht="15.75" customHeight="1" x14ac:dyDescent="0.25">
      <c r="A33" s="34" t="s">
        <v>77</v>
      </c>
      <c r="B33" s="23"/>
    </row>
    <row r="34" spans="1:2" ht="15.75" customHeight="1" x14ac:dyDescent="0.25">
      <c r="A34" s="34" t="s">
        <v>78</v>
      </c>
      <c r="B34" s="23"/>
    </row>
    <row r="35" spans="1:2" ht="15.75" customHeight="1" x14ac:dyDescent="0.25">
      <c r="A35" s="34" t="s">
        <v>79</v>
      </c>
      <c r="B35" s="23"/>
    </row>
    <row r="36" spans="1:2" ht="15.75" customHeight="1" x14ac:dyDescent="0.25">
      <c r="A36" s="34" t="s">
        <v>80</v>
      </c>
      <c r="B36" s="23"/>
    </row>
    <row r="37" spans="1:2" ht="15.75" customHeight="1" x14ac:dyDescent="0.25">
      <c r="A37" s="34" t="s">
        <v>104</v>
      </c>
      <c r="B37" s="23"/>
    </row>
    <row r="38" spans="1:2" ht="15.75" customHeight="1" x14ac:dyDescent="0.25">
      <c r="A38" s="34" t="s">
        <v>90</v>
      </c>
      <c r="B38" s="23"/>
    </row>
    <row r="39" spans="1:2" ht="15.75" customHeight="1" x14ac:dyDescent="0.25">
      <c r="A39" s="34" t="s">
        <v>81</v>
      </c>
      <c r="B39" s="23"/>
    </row>
    <row r="40" spans="1:2" ht="15.75" customHeight="1" x14ac:dyDescent="0.25">
      <c r="A40" s="34" t="s">
        <v>82</v>
      </c>
      <c r="B40" s="23"/>
    </row>
    <row r="41" spans="1:2" ht="15.75" customHeight="1" x14ac:dyDescent="0.25">
      <c r="A41" s="34" t="s">
        <v>83</v>
      </c>
      <c r="B41" s="23"/>
    </row>
    <row r="42" spans="1:2" ht="15.75" customHeight="1" x14ac:dyDescent="0.25">
      <c r="A42" s="34" t="s">
        <v>84</v>
      </c>
      <c r="B42" s="23"/>
    </row>
    <row r="43" spans="1:2" ht="15.75" customHeight="1" x14ac:dyDescent="0.25">
      <c r="A43" s="34" t="s">
        <v>85</v>
      </c>
      <c r="B43" s="23"/>
    </row>
    <row r="44" spans="1:2" ht="15.75" customHeight="1" x14ac:dyDescent="0.25">
      <c r="A44" s="35" t="s">
        <v>86</v>
      </c>
      <c r="B44" s="23"/>
    </row>
    <row r="45" spans="1:2" ht="15.75" customHeight="1" x14ac:dyDescent="0.2">
      <c r="A45" s="23"/>
      <c r="B45" s="23"/>
    </row>
    <row r="46" spans="1:2" ht="15.75" customHeight="1" x14ac:dyDescent="0.2">
      <c r="A46" s="23"/>
      <c r="B46" s="23"/>
    </row>
    <row r="47" spans="1:2" ht="15.75" customHeight="1" x14ac:dyDescent="0.2">
      <c r="A47" s="23"/>
      <c r="B47" s="23"/>
    </row>
    <row r="48" spans="1:2" ht="15.75" customHeight="1" x14ac:dyDescent="0.2">
      <c r="A48" s="23"/>
      <c r="B48" s="23"/>
    </row>
    <row r="49" spans="1:2" ht="15.75" customHeight="1" x14ac:dyDescent="0.2">
      <c r="A49" s="23"/>
      <c r="B49" s="23"/>
    </row>
    <row r="50" spans="1:2" ht="15.75" customHeight="1" x14ac:dyDescent="0.2">
      <c r="A50" s="23"/>
      <c r="B50" s="23"/>
    </row>
    <row r="51" spans="1:2" ht="15.75" customHeight="1" x14ac:dyDescent="0.2">
      <c r="A51" s="23"/>
      <c r="B51" s="23"/>
    </row>
    <row r="52" spans="1:2" ht="15.75" customHeight="1" x14ac:dyDescent="0.2">
      <c r="A52" s="23"/>
      <c r="B52" s="23"/>
    </row>
    <row r="53" spans="1:2" ht="15.75" customHeight="1" x14ac:dyDescent="0.2">
      <c r="A53" s="23"/>
      <c r="B53" s="23"/>
    </row>
    <row r="54" spans="1:2" ht="15.75" customHeight="1" x14ac:dyDescent="0.2">
      <c r="A54" s="23"/>
      <c r="B54" s="23"/>
    </row>
    <row r="55" spans="1:2" ht="15.75" customHeight="1" x14ac:dyDescent="0.2">
      <c r="A55" s="23"/>
      <c r="B55" s="23"/>
    </row>
    <row r="56" spans="1:2" ht="15.75" customHeight="1" x14ac:dyDescent="0.2">
      <c r="A56" s="23"/>
      <c r="B56" s="23"/>
    </row>
    <row r="57" spans="1:2" ht="15.75" customHeight="1" x14ac:dyDescent="0.2">
      <c r="A57" s="23"/>
      <c r="B57" s="23"/>
    </row>
    <row r="58" spans="1:2" ht="15.75" customHeight="1" x14ac:dyDescent="0.2">
      <c r="A58" s="23"/>
      <c r="B58" s="23"/>
    </row>
    <row r="59" spans="1:2" ht="15.75" customHeight="1" x14ac:dyDescent="0.2">
      <c r="A59" s="23"/>
      <c r="B59" s="23"/>
    </row>
    <row r="60" spans="1:2" ht="15.75" customHeight="1" x14ac:dyDescent="0.2">
      <c r="A60" s="23"/>
      <c r="B60" s="23"/>
    </row>
    <row r="61" spans="1:2" ht="15.75" customHeight="1" x14ac:dyDescent="0.2">
      <c r="A61" s="23"/>
      <c r="B61" s="23"/>
    </row>
    <row r="62" spans="1:2" ht="15.75" customHeight="1" x14ac:dyDescent="0.2">
      <c r="A62" s="23"/>
      <c r="B62" s="23"/>
    </row>
    <row r="63" spans="1:2" ht="15.75" customHeight="1" x14ac:dyDescent="0.2">
      <c r="A63" s="23"/>
      <c r="B63" s="23"/>
    </row>
    <row r="64" spans="1:2" ht="15.75" customHeight="1" x14ac:dyDescent="0.2">
      <c r="A64" s="23"/>
      <c r="B64" s="23"/>
    </row>
    <row r="65" spans="1:2" ht="15.75" customHeight="1" x14ac:dyDescent="0.2">
      <c r="A65" s="23"/>
      <c r="B65" s="23"/>
    </row>
    <row r="66" spans="1:2" ht="15.75" customHeight="1" x14ac:dyDescent="0.2">
      <c r="A66" s="23"/>
      <c r="B66" s="23"/>
    </row>
    <row r="67" spans="1:2" ht="15.75" customHeight="1" x14ac:dyDescent="0.2">
      <c r="A67" s="23"/>
      <c r="B67" s="23"/>
    </row>
    <row r="68" spans="1:2" ht="15.75" customHeight="1" x14ac:dyDescent="0.2">
      <c r="A68" s="23"/>
      <c r="B68" s="23"/>
    </row>
    <row r="69" spans="1:2" ht="15.75" customHeight="1" x14ac:dyDescent="0.2">
      <c r="A69" s="23"/>
      <c r="B69" s="23"/>
    </row>
    <row r="70" spans="1:2" ht="15.75" customHeight="1" x14ac:dyDescent="0.2">
      <c r="A70" s="23"/>
      <c r="B70" s="23"/>
    </row>
    <row r="71" spans="1:2" ht="15.75" customHeight="1" x14ac:dyDescent="0.2">
      <c r="A71" s="23"/>
      <c r="B71" s="23"/>
    </row>
    <row r="72" spans="1:2" ht="15.75" customHeight="1" x14ac:dyDescent="0.2">
      <c r="A72" s="23"/>
      <c r="B72" s="23"/>
    </row>
    <row r="73" spans="1:2" ht="15.75" customHeight="1" x14ac:dyDescent="0.2">
      <c r="A73" s="23"/>
      <c r="B73" s="23"/>
    </row>
    <row r="74" spans="1:2" ht="15.75" customHeight="1" x14ac:dyDescent="0.2">
      <c r="A74" s="23"/>
      <c r="B74" s="23"/>
    </row>
    <row r="75" spans="1:2" ht="15.75" customHeight="1" x14ac:dyDescent="0.2">
      <c r="A75" s="23"/>
      <c r="B75" s="23"/>
    </row>
    <row r="76" spans="1:2" ht="15.75" customHeight="1" x14ac:dyDescent="0.2">
      <c r="A76" s="23"/>
      <c r="B76" s="23"/>
    </row>
    <row r="77" spans="1:2" ht="15.75" customHeight="1" x14ac:dyDescent="0.2">
      <c r="A77" s="23"/>
      <c r="B77" s="23"/>
    </row>
    <row r="78" spans="1:2" ht="15.75" customHeight="1" x14ac:dyDescent="0.2">
      <c r="A78" s="23"/>
      <c r="B78" s="23"/>
    </row>
    <row r="79" spans="1:2" ht="15.75" customHeight="1" x14ac:dyDescent="0.2">
      <c r="A79" s="23"/>
      <c r="B79" s="23"/>
    </row>
    <row r="80" spans="1:2" ht="15.75" customHeight="1" x14ac:dyDescent="0.2">
      <c r="A80" s="23"/>
      <c r="B80" s="23"/>
    </row>
    <row r="81" spans="1:2" ht="15.75" customHeight="1" x14ac:dyDescent="0.2">
      <c r="A81" s="23"/>
      <c r="B81" s="23"/>
    </row>
    <row r="82" spans="1:2" ht="15.75" customHeight="1" x14ac:dyDescent="0.2">
      <c r="A82" s="23"/>
      <c r="B82" s="23"/>
    </row>
    <row r="83" spans="1:2" ht="15.75" customHeight="1" x14ac:dyDescent="0.2">
      <c r="A83" s="23"/>
      <c r="B83" s="23"/>
    </row>
    <row r="84" spans="1:2" ht="15.75" customHeight="1" x14ac:dyDescent="0.2">
      <c r="A84" s="23"/>
      <c r="B84" s="23"/>
    </row>
    <row r="85" spans="1:2" ht="15.75" customHeight="1" x14ac:dyDescent="0.2">
      <c r="A85" s="23"/>
      <c r="B85" s="23"/>
    </row>
    <row r="86" spans="1:2" ht="15.75" customHeight="1" x14ac:dyDescent="0.2">
      <c r="A86" s="23"/>
      <c r="B86" s="23"/>
    </row>
    <row r="87" spans="1:2" ht="15.75" customHeight="1" x14ac:dyDescent="0.2">
      <c r="A87" s="23"/>
      <c r="B87" s="23"/>
    </row>
    <row r="88" spans="1:2" ht="15.75" customHeight="1" x14ac:dyDescent="0.2">
      <c r="A88" s="23"/>
      <c r="B88" s="23"/>
    </row>
    <row r="89" spans="1:2" ht="15.75" customHeight="1" x14ac:dyDescent="0.2">
      <c r="A89" s="23"/>
      <c r="B89" s="23"/>
    </row>
    <row r="90" spans="1:2" ht="15.75" customHeight="1" x14ac:dyDescent="0.2">
      <c r="A90" s="23"/>
      <c r="B90" s="23"/>
    </row>
    <row r="91" spans="1:2" ht="15.75" customHeight="1" x14ac:dyDescent="0.2">
      <c r="A91" s="23"/>
      <c r="B91" s="23"/>
    </row>
    <row r="92" spans="1:2" ht="15.75" customHeight="1" x14ac:dyDescent="0.2">
      <c r="A92" s="23"/>
      <c r="B92" s="23"/>
    </row>
    <row r="93" spans="1:2" ht="15.75" customHeight="1" x14ac:dyDescent="0.2">
      <c r="A93" s="23"/>
      <c r="B93" s="23"/>
    </row>
    <row r="94" spans="1:2" ht="15.75" customHeight="1" x14ac:dyDescent="0.2">
      <c r="A94" s="23"/>
      <c r="B94" s="23"/>
    </row>
    <row r="95" spans="1:2" ht="15.75" customHeight="1" x14ac:dyDescent="0.2">
      <c r="A95" s="23"/>
      <c r="B95" s="23"/>
    </row>
    <row r="96" spans="1:2" ht="15.75" customHeight="1" x14ac:dyDescent="0.2">
      <c r="A96" s="23"/>
      <c r="B96" s="23"/>
    </row>
    <row r="97" spans="1:2" ht="15.75" customHeight="1" x14ac:dyDescent="0.2">
      <c r="A97" s="23"/>
      <c r="B97" s="23"/>
    </row>
    <row r="98" spans="1:2" ht="15.75" customHeight="1" x14ac:dyDescent="0.2">
      <c r="A98" s="23"/>
      <c r="B98" s="23"/>
    </row>
    <row r="99" spans="1:2" ht="15.75" customHeight="1" x14ac:dyDescent="0.2">
      <c r="A99" s="23"/>
      <c r="B99" s="23"/>
    </row>
    <row r="100" spans="1:2" ht="15.75" customHeight="1" x14ac:dyDescent="0.2">
      <c r="A100" s="23"/>
      <c r="B100" s="23"/>
    </row>
    <row r="101" spans="1:2" ht="15.75" customHeight="1" x14ac:dyDescent="0.2">
      <c r="A101" s="23"/>
      <c r="B101" s="23"/>
    </row>
    <row r="102" spans="1:2" ht="15.75" customHeight="1" x14ac:dyDescent="0.2">
      <c r="A102" s="23"/>
      <c r="B102" s="23"/>
    </row>
    <row r="103" spans="1:2" ht="15.75" customHeight="1" x14ac:dyDescent="0.2">
      <c r="A103" s="23"/>
      <c r="B103" s="23"/>
    </row>
    <row r="104" spans="1:2" ht="15.75" customHeight="1" x14ac:dyDescent="0.2">
      <c r="A104" s="23"/>
      <c r="B104" s="23"/>
    </row>
    <row r="105" spans="1:2" ht="15.75" customHeight="1" x14ac:dyDescent="0.2">
      <c r="A105" s="23"/>
      <c r="B105" s="23"/>
    </row>
    <row r="106" spans="1:2" ht="15.75" customHeight="1" x14ac:dyDescent="0.2">
      <c r="A106" s="23"/>
      <c r="B106" s="23"/>
    </row>
    <row r="107" spans="1:2" ht="15.75" customHeight="1" x14ac:dyDescent="0.2">
      <c r="A107" s="23"/>
      <c r="B107" s="23"/>
    </row>
    <row r="108" spans="1:2" ht="15.75" customHeight="1" x14ac:dyDescent="0.2">
      <c r="A108" s="23"/>
      <c r="B108" s="23"/>
    </row>
    <row r="109" spans="1:2" ht="15.75" customHeight="1" x14ac:dyDescent="0.2">
      <c r="A109" s="23"/>
      <c r="B109" s="23"/>
    </row>
    <row r="110" spans="1:2" ht="15.75" customHeight="1" x14ac:dyDescent="0.2">
      <c r="A110" s="23"/>
      <c r="B110" s="23"/>
    </row>
    <row r="111" spans="1:2" ht="15.75" customHeight="1" x14ac:dyDescent="0.2">
      <c r="A111" s="23"/>
      <c r="B111" s="23"/>
    </row>
    <row r="112" spans="1:2" ht="15.75" customHeight="1" x14ac:dyDescent="0.2">
      <c r="A112" s="23"/>
      <c r="B112" s="23"/>
    </row>
    <row r="113" spans="1:2" ht="15.75" customHeight="1" x14ac:dyDescent="0.2">
      <c r="A113" s="23"/>
      <c r="B113" s="23"/>
    </row>
    <row r="114" spans="1:2" ht="15.75" customHeight="1" x14ac:dyDescent="0.2">
      <c r="A114" s="23"/>
      <c r="B114" s="23"/>
    </row>
    <row r="115" spans="1:2" ht="15.75" customHeight="1" x14ac:dyDescent="0.2">
      <c r="A115" s="23"/>
      <c r="B115" s="23"/>
    </row>
    <row r="116" spans="1:2" ht="15.75" customHeight="1" x14ac:dyDescent="0.2">
      <c r="A116" s="23"/>
      <c r="B116" s="23"/>
    </row>
    <row r="117" spans="1:2" ht="15.75" customHeight="1" x14ac:dyDescent="0.2">
      <c r="A117" s="23"/>
      <c r="B117" s="23"/>
    </row>
    <row r="118" spans="1:2" ht="15.75" customHeight="1" x14ac:dyDescent="0.2">
      <c r="A118" s="23"/>
      <c r="B118" s="23"/>
    </row>
    <row r="119" spans="1:2" ht="15.75" customHeight="1" x14ac:dyDescent="0.2">
      <c r="A119" s="23"/>
      <c r="B119" s="23"/>
    </row>
    <row r="120" spans="1:2" ht="15.75" customHeight="1" x14ac:dyDescent="0.2">
      <c r="A120" s="23"/>
      <c r="B120" s="23"/>
    </row>
    <row r="121" spans="1:2" ht="15.75" customHeight="1" x14ac:dyDescent="0.2">
      <c r="A121" s="23"/>
      <c r="B121" s="23"/>
    </row>
    <row r="122" spans="1:2" ht="15.75" customHeight="1" x14ac:dyDescent="0.2">
      <c r="A122" s="23"/>
      <c r="B122" s="23"/>
    </row>
    <row r="123" spans="1:2" ht="15.75" customHeight="1" x14ac:dyDescent="0.2">
      <c r="A123" s="23"/>
      <c r="B123" s="23"/>
    </row>
    <row r="124" spans="1:2" ht="15.75" customHeight="1" x14ac:dyDescent="0.2">
      <c r="A124" s="23"/>
      <c r="B124" s="23"/>
    </row>
    <row r="125" spans="1:2" ht="15.75" customHeight="1" x14ac:dyDescent="0.2">
      <c r="A125" s="23"/>
      <c r="B125" s="23"/>
    </row>
    <row r="126" spans="1:2" ht="15.75" customHeight="1" x14ac:dyDescent="0.2">
      <c r="A126" s="23"/>
      <c r="B126" s="23"/>
    </row>
    <row r="127" spans="1:2" ht="15.75" customHeight="1" x14ac:dyDescent="0.2">
      <c r="A127" s="23"/>
      <c r="B127" s="23"/>
    </row>
    <row r="128" spans="1:2" ht="15.75" customHeight="1" x14ac:dyDescent="0.2">
      <c r="A128" s="23"/>
      <c r="B128" s="23"/>
    </row>
    <row r="129" spans="1:2" ht="15.75" customHeight="1" x14ac:dyDescent="0.2">
      <c r="A129" s="23"/>
      <c r="B129" s="23"/>
    </row>
    <row r="130" spans="1:2" ht="15.75" customHeight="1" x14ac:dyDescent="0.2">
      <c r="A130" s="23"/>
      <c r="B130" s="23"/>
    </row>
    <row r="131" spans="1:2" ht="15.75" customHeight="1" x14ac:dyDescent="0.2">
      <c r="A131" s="23"/>
      <c r="B131" s="23"/>
    </row>
    <row r="132" spans="1:2" ht="15.75" customHeight="1" x14ac:dyDescent="0.2">
      <c r="A132" s="23"/>
      <c r="B132" s="23"/>
    </row>
    <row r="133" spans="1:2" ht="15.75" customHeight="1" x14ac:dyDescent="0.2">
      <c r="A133" s="23"/>
      <c r="B133" s="23"/>
    </row>
    <row r="134" spans="1:2" ht="15.75" customHeight="1" x14ac:dyDescent="0.2">
      <c r="A134" s="23"/>
      <c r="B134" s="23"/>
    </row>
    <row r="135" spans="1:2" ht="15.75" customHeight="1" x14ac:dyDescent="0.2">
      <c r="A135" s="23"/>
      <c r="B135" s="23"/>
    </row>
    <row r="136" spans="1:2" ht="15.75" customHeight="1" x14ac:dyDescent="0.2">
      <c r="A136" s="23"/>
      <c r="B136" s="23"/>
    </row>
    <row r="137" spans="1:2" ht="15.75" customHeight="1" x14ac:dyDescent="0.2">
      <c r="A137" s="23"/>
      <c r="B137" s="23"/>
    </row>
    <row r="138" spans="1:2" ht="15.75" customHeight="1" x14ac:dyDescent="0.2">
      <c r="A138" s="23"/>
      <c r="B138" s="23"/>
    </row>
  </sheetData>
  <dataValidations count="1">
    <dataValidation type="list" allowBlank="1" showInputMessage="1" showErrorMessage="1" errorTitle="Choisissez dans la liste !" error="Choisissez dans la liste !" promptTitle="Choisissez dans la liste" prompt="Choisissez dans la liste" sqref="B8:B11">
      <formula1>"oui,non"</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2" tint="-0.89999084444715716"/>
    <pageSetUpPr fitToPage="1"/>
  </sheetPr>
  <dimension ref="A1:AH37"/>
  <sheetViews>
    <sheetView showGridLines="0" zoomScaleNormal="100" workbookViewId="0">
      <pane xSplit="1" ySplit="6" topLeftCell="B22" activePane="bottomRight" state="frozen"/>
      <selection pane="topRight" activeCell="B1" sqref="B1"/>
      <selection pane="bottomLeft" activeCell="A7" sqref="A7"/>
      <selection pane="bottomRight" activeCell="R12" sqref="R12"/>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1:34" ht="50.1" customHeight="1" x14ac:dyDescent="0.25">
      <c r="A1" s="14"/>
      <c r="B1" s="12" t="str">
        <f>Paramètre!B2</f>
        <v>Calendrier des absences des employés EQ B</v>
      </c>
    </row>
    <row r="2" spans="1: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1:34" ht="15" customHeight="1" x14ac:dyDescent="0.25">
      <c r="AH3" s="16" t="s">
        <v>39</v>
      </c>
    </row>
    <row r="4" spans="1:34" ht="30" customHeight="1" x14ac:dyDescent="0.25">
      <c r="B4" s="10" t="s">
        <v>1</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Paramètre!B5</f>
        <v>2019</v>
      </c>
    </row>
    <row r="5" spans="1:34" ht="15" customHeight="1" x14ac:dyDescent="0.25">
      <c r="B5" s="10"/>
      <c r="C5" s="1" t="str">
        <f>TEXT(WEEKDAY(DATE(AnnéeCalendrier,1,1),1),"jjj")</f>
        <v>mar</v>
      </c>
      <c r="D5" s="1" t="str">
        <f>TEXT(WEEKDAY(DATE(AnnéeCalendrier,1,2),1),"jjj")</f>
        <v>mer</v>
      </c>
      <c r="E5" s="1" t="str">
        <f>TEXT(WEEKDAY(DATE(AnnéeCalendrier,1,3),1),"jjj")</f>
        <v>jeu</v>
      </c>
      <c r="F5" s="1" t="str">
        <f>TEXT(WEEKDAY(DATE(AnnéeCalendrier,1,4),1),"jjj")</f>
        <v>ven</v>
      </c>
      <c r="G5" s="1" t="str">
        <f>TEXT(WEEKDAY(DATE(AnnéeCalendrier,1,5),1),"jjj")</f>
        <v>sam</v>
      </c>
      <c r="H5" s="1" t="str">
        <f>TEXT(WEEKDAY(DATE(AnnéeCalendrier,1,6),1),"jjj")</f>
        <v>dim</v>
      </c>
      <c r="I5" s="1" t="str">
        <f>TEXT(WEEKDAY(DATE(AnnéeCalendrier,1,7),1),"jjj")</f>
        <v>lun</v>
      </c>
      <c r="J5" s="1" t="str">
        <f>TEXT(WEEKDAY(DATE(AnnéeCalendrier,1,8),1),"jjj")</f>
        <v>mar</v>
      </c>
      <c r="K5" s="1" t="str">
        <f>TEXT(WEEKDAY(DATE(AnnéeCalendrier,1,9),1),"jjj")</f>
        <v>mer</v>
      </c>
      <c r="L5" s="1" t="str">
        <f>TEXT(WEEKDAY(DATE(AnnéeCalendrier,1,10),1),"jjj")</f>
        <v>jeu</v>
      </c>
      <c r="M5" s="1" t="str">
        <f>TEXT(WEEKDAY(DATE(AnnéeCalendrier,1,11),1),"jjj")</f>
        <v>ven</v>
      </c>
      <c r="N5" s="1" t="str">
        <f>TEXT(WEEKDAY(DATE(AnnéeCalendrier,1,12),1),"jjj")</f>
        <v>sam</v>
      </c>
      <c r="O5" s="1" t="str">
        <f>TEXT(WEEKDAY(DATE(AnnéeCalendrier,1,13),1),"jjj")</f>
        <v>dim</v>
      </c>
      <c r="P5" s="1" t="str">
        <f>TEXT(WEEKDAY(DATE(AnnéeCalendrier,1,14),1),"jjj")</f>
        <v>lun</v>
      </c>
      <c r="Q5" s="1" t="str">
        <f>TEXT(WEEKDAY(DATE(AnnéeCalendrier,1,15),1),"jjj")</f>
        <v>mar</v>
      </c>
      <c r="R5" s="1" t="str">
        <f>TEXT(WEEKDAY(DATE(AnnéeCalendrier,1,16),1),"jjj")</f>
        <v>mer</v>
      </c>
      <c r="S5" s="1" t="str">
        <f>TEXT(WEEKDAY(DATE(AnnéeCalendrier,1,17),1),"jjj")</f>
        <v>jeu</v>
      </c>
      <c r="T5" s="1" t="str">
        <f>TEXT(WEEKDAY(DATE(AnnéeCalendrier,1,18),1),"jjj")</f>
        <v>ven</v>
      </c>
      <c r="U5" s="1" t="str">
        <f>TEXT(WEEKDAY(DATE(AnnéeCalendrier,1,19),1),"jjj")</f>
        <v>sam</v>
      </c>
      <c r="V5" s="1" t="str">
        <f>TEXT(WEEKDAY(DATE(AnnéeCalendrier,1,20),1),"jjj")</f>
        <v>dim</v>
      </c>
      <c r="W5" s="1" t="str">
        <f>TEXT(WEEKDAY(DATE(AnnéeCalendrier,1,21),1),"jjj")</f>
        <v>lun</v>
      </c>
      <c r="X5" s="1" t="str">
        <f>TEXT(WEEKDAY(DATE(AnnéeCalendrier,1,22),1),"jjj")</f>
        <v>mar</v>
      </c>
      <c r="Y5" s="1" t="str">
        <f>TEXT(WEEKDAY(DATE(AnnéeCalendrier,1,23),1),"jjj")</f>
        <v>mer</v>
      </c>
      <c r="Z5" s="1" t="str">
        <f>TEXT(WEEKDAY(DATE(AnnéeCalendrier,1,24),1),"jjj")</f>
        <v>jeu</v>
      </c>
      <c r="AA5" s="1" t="str">
        <f>TEXT(WEEKDAY(DATE(AnnéeCalendrier,1,25),1),"jjj")</f>
        <v>ven</v>
      </c>
      <c r="AB5" s="1" t="str">
        <f>TEXT(WEEKDAY(DATE(AnnéeCalendrier,1,26),1),"jjj")</f>
        <v>sam</v>
      </c>
      <c r="AC5" s="1" t="str">
        <f>TEXT(WEEKDAY(DATE(AnnéeCalendrier,1,27),1),"jjj")</f>
        <v>dim</v>
      </c>
      <c r="AD5" s="1" t="str">
        <f>TEXT(WEEKDAY(DATE(AnnéeCalendrier,1,28),1),"jjj")</f>
        <v>lun</v>
      </c>
      <c r="AE5" s="1" t="str">
        <f>TEXT(WEEKDAY(DATE(AnnéeCalendrier,1,29),1),"jjj")</f>
        <v>mar</v>
      </c>
      <c r="AF5" s="1" t="str">
        <f>TEXT(WEEKDAY(DATE(AnnéeCalendrier,1,30),1),"jjj")</f>
        <v>mer</v>
      </c>
      <c r="AG5" s="1" t="str">
        <f>TEXT(WEEKDAY(DATE(AnnéeCalendrier,1,31),1),"jjj")</f>
        <v>jeu</v>
      </c>
      <c r="AH5" s="10"/>
    </row>
    <row r="6" spans="1: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1: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COUNTA(Janvier!$C7:$AG7)</f>
        <v>0</v>
      </c>
    </row>
    <row r="8" spans="1: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0">
        <f>COUNTA(Janvier!$C8:$AG8)</f>
        <v>0</v>
      </c>
    </row>
    <row r="9" spans="1: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0">
        <f>COUNTA(Janvier!$C9:$AG9)</f>
        <v>0</v>
      </c>
    </row>
    <row r="10" spans="1: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0">
        <f>COUNTA(Janvier!$C10:$AG10)</f>
        <v>0</v>
      </c>
    </row>
    <row r="11" spans="1: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0">
        <f>COUNTA(Janvier!$C11:$AG11)</f>
        <v>0</v>
      </c>
    </row>
    <row r="12" spans="1: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0">
        <f>COUNTA(Janvier!$C12:$AG12)</f>
        <v>0</v>
      </c>
    </row>
    <row r="13" spans="1:34" ht="15" x14ac:dyDescent="0.25">
      <c r="B13" s="19" t="str">
        <f>Paramètre!$A21</f>
        <v>BERRACHED Ilyes Cherif</v>
      </c>
      <c r="C13" s="21"/>
      <c r="D13" s="21"/>
      <c r="E13" s="21"/>
      <c r="F13" s="8"/>
      <c r="G13" s="8"/>
      <c r="H13" s="8"/>
      <c r="I13" s="8"/>
      <c r="J13" s="21"/>
      <c r="K13" s="8"/>
      <c r="L13" s="8"/>
      <c r="M13" s="8"/>
      <c r="N13" s="8"/>
      <c r="O13" s="8"/>
      <c r="P13" s="8"/>
      <c r="Q13" s="8"/>
      <c r="R13" s="8"/>
      <c r="S13" s="8"/>
      <c r="T13" s="8"/>
      <c r="U13" s="8"/>
      <c r="V13" s="8"/>
      <c r="W13" s="8"/>
      <c r="X13" s="8"/>
      <c r="Y13" s="8"/>
      <c r="Z13" s="8"/>
      <c r="AA13" s="8"/>
      <c r="AB13" s="8"/>
      <c r="AC13" s="8"/>
      <c r="AD13" s="8"/>
      <c r="AE13" s="8"/>
      <c r="AF13" s="8"/>
      <c r="AG13" s="8"/>
      <c r="AH13" s="20">
        <f>COUNTA(Janvier!$C13:$AG13)</f>
        <v>0</v>
      </c>
    </row>
    <row r="14" spans="1: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0">
        <f>COUNTA(Janvier!$C14:$AG14)</f>
        <v>0</v>
      </c>
    </row>
    <row r="15" spans="1: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0">
        <f>COUNTA(Janvier!$C15:$AG15)</f>
        <v>0</v>
      </c>
    </row>
    <row r="16" spans="1: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0">
        <f>COUNTA(Janvier!$C16:$AG16)</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0">
        <f>COUNTA(Janvier!$C17:$AG17)</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0">
        <f>COUNTA(Janvier!$C18:$AG18)</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0">
        <f>COUNTA(Janvier!$C19:$AG19)</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0">
        <f>COUNTA(Janvier!$C20:$AG20)</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0">
        <f>COUNTA(Janvier!$C21:$AG21)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0">
        <f>COUNTA(Janvier!$C22:$AG22)</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0">
        <f>COUNTA(Janvier!$C23:$AG23)</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0">
        <f>COUNTA(Janvier!$C24:$AG24)</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0">
        <f>COUNTA(Janvier!$C25:$AG25)</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0">
        <f>COUNTA(Janvier!$C26:$AG26)</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0">
        <f>COUNTA(Janvier!$C27:$AG27)</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0">
        <f>COUNTA(Janvier!$C28:$AG28)</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0">
        <f>COUNTA(Janvier!$C29:$AG29)</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0">
        <f>COUNTA(Janvier!$C30:$AG30)</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0">
        <f>COUNTA(Janvier!$C31:$AG31)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0">
        <f>COUNTA(Janvier!$C32:$AG32)</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0">
        <f>COUNTA(Janvier!$C33:$AG33)</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0">
        <f>COUNTA(Janvier!$C34:$AG34)</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0">
        <f>COUNTA(Janvier!$C35:$AG35)</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0">
        <f>COUNTA(Janvier!$C36:$AG36)</f>
        <v>0</v>
      </c>
    </row>
    <row r="37" spans="2:34" ht="30" customHeight="1" x14ac:dyDescent="0.25">
      <c r="B37" s="17" t="str">
        <f>NomMois&amp;" Total"</f>
        <v>Janvier Total</v>
      </c>
      <c r="C37" s="11">
        <f>SUBTOTAL(103,Janvier!$C$7:$C$36)</f>
        <v>0</v>
      </c>
      <c r="D37" s="11">
        <f>SUBTOTAL(103,Janvier!$D$7:$D$36)</f>
        <v>0</v>
      </c>
      <c r="E37" s="11">
        <f>SUBTOTAL(103,Janvier!$E$7:$E$36)</f>
        <v>0</v>
      </c>
      <c r="F37" s="11">
        <f>SUBTOTAL(103,Janvier!$F$7:$F$36)</f>
        <v>0</v>
      </c>
      <c r="G37" s="11">
        <f>SUBTOTAL(103,Janvier!$G$7:$G$36)</f>
        <v>0</v>
      </c>
      <c r="H37" s="11">
        <f>SUBTOTAL(103,Janvier!$H$7:$H$36)</f>
        <v>0</v>
      </c>
      <c r="I37" s="11">
        <f>SUBTOTAL(103,Janvier!$I$7:$I$36)</f>
        <v>0</v>
      </c>
      <c r="J37" s="11">
        <f>SUBTOTAL(103,Janvier!$J$7:$J$36)</f>
        <v>0</v>
      </c>
      <c r="K37" s="11">
        <f>SUBTOTAL(103,Janvier!$K$7:$K$36)</f>
        <v>0</v>
      </c>
      <c r="L37" s="11">
        <f>SUBTOTAL(103,Janvier!$L$7:$L$36)</f>
        <v>0</v>
      </c>
      <c r="M37" s="11">
        <f>SUBTOTAL(103,Janvier!$M$7:$M$36)</f>
        <v>0</v>
      </c>
      <c r="N37" s="11">
        <f>SUBTOTAL(103,Janvier!$N$7:$N$36)</f>
        <v>0</v>
      </c>
      <c r="O37" s="11">
        <f>SUBTOTAL(103,Janvier!$O$7:$O$36)</f>
        <v>0</v>
      </c>
      <c r="P37" s="11">
        <f>SUBTOTAL(103,Janvier!$P$7:$P$36)</f>
        <v>0</v>
      </c>
      <c r="Q37" s="11">
        <f>SUBTOTAL(103,Janvier!$Q$7:$Q$36)</f>
        <v>0</v>
      </c>
      <c r="R37" s="11">
        <f>SUBTOTAL(103,Janvier!$R$7:$R$36)</f>
        <v>0</v>
      </c>
      <c r="S37" s="11">
        <f>SUBTOTAL(103,Janvier!$S$7:$S$36)</f>
        <v>0</v>
      </c>
      <c r="T37" s="11">
        <f>SUBTOTAL(103,Janvier!$T$7:$T$36)</f>
        <v>0</v>
      </c>
      <c r="U37" s="11">
        <f>SUBTOTAL(103,Janvier!$U$7:$U$36)</f>
        <v>0</v>
      </c>
      <c r="V37" s="11">
        <f>SUBTOTAL(103,Janvier!$V$7:$V$36)</f>
        <v>0</v>
      </c>
      <c r="W37" s="11">
        <f>SUBTOTAL(103,Janvier!$W$7:$W$36)</f>
        <v>0</v>
      </c>
      <c r="X37" s="11">
        <f>SUBTOTAL(103,Janvier!$X$7:$X$36)</f>
        <v>0</v>
      </c>
      <c r="Y37" s="11">
        <f>SUBTOTAL(103,Janvier!$Y$7:$Y$36)</f>
        <v>0</v>
      </c>
      <c r="Z37" s="11">
        <f>SUBTOTAL(103,Janvier!$Z$7:$Z$36)</f>
        <v>0</v>
      </c>
      <c r="AA37" s="11">
        <f>SUBTOTAL(103,Janvier!$AA$7:$AA$36)</f>
        <v>0</v>
      </c>
      <c r="AB37" s="11">
        <f>SUBTOTAL(103,Janvier!$AB$7:$AB$36)</f>
        <v>0</v>
      </c>
      <c r="AC37" s="11">
        <f>SUBTOTAL(103,Janvier!$AC$7:$AC$36)</f>
        <v>0</v>
      </c>
      <c r="AD37" s="11">
        <f>SUBTOTAL(103,Janvier!$AD$7:$AD$36)</f>
        <v>0</v>
      </c>
      <c r="AE37" s="11">
        <f>SUBTOTAL(103,Janvier!$AE$7:$AE$36)</f>
        <v>0</v>
      </c>
      <c r="AF37" s="11">
        <f>SUBTOTAL(103,Janvier!$AF$7:$AF$36)</f>
        <v>0</v>
      </c>
      <c r="AG37" s="11">
        <f>SUBTOTAL(103,Janvier!$AG$7:$AG$36)</f>
        <v>0</v>
      </c>
      <c r="AH37" s="11">
        <f>SUBTOTAL(109,Janvier[Total des jours])</f>
        <v>0</v>
      </c>
    </row>
  </sheetData>
  <mergeCells count="7">
    <mergeCell ref="C4:AG4"/>
    <mergeCell ref="D2:E2"/>
    <mergeCell ref="G2:I2"/>
    <mergeCell ref="K2:L2"/>
    <mergeCell ref="N2:Q2"/>
    <mergeCell ref="S2:V2"/>
    <mergeCell ref="X2:AA2"/>
  </mergeCells>
  <conditionalFormatting sqref="C7:AG36">
    <cfRule type="expression" priority="2" stopIfTrue="1">
      <formula>C7=""</formula>
    </cfRule>
    <cfRule type="expression" dxfId="913" priority="8" stopIfTrue="1">
      <formula>C7=CléPersonnalisée2</formula>
    </cfRule>
    <cfRule type="expression" dxfId="912" priority="9" stopIfTrue="1">
      <formula>C7=CléPersonnalisée1</formula>
    </cfRule>
    <cfRule type="expression" dxfId="911" priority="10" stopIfTrue="1">
      <formula>C7=CléMaladie</formula>
    </cfRule>
    <cfRule type="expression" dxfId="910" priority="11" stopIfTrue="1">
      <formula>C7=CléPersonnel</formula>
    </cfRule>
    <cfRule type="expression" dxfId="909" priority="12" stopIfTrue="1">
      <formula>C7=CléCongé</formula>
    </cfRule>
  </conditionalFormatting>
  <conditionalFormatting sqref="AH7:AH36">
    <cfRule type="dataBar" priority="170">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C7:AG36">
    <cfRule type="expression" dxfId="908" priority="3">
      <formula>C7=CléPersonnalisée3</formula>
    </cfRule>
  </conditionalFormatting>
  <conditionalFormatting sqref="C37:AG37">
    <cfRule type="cellIs" dxfId="907" priority="1" operator="greaterThan">
      <formula>2</formula>
    </cfRule>
  </conditionalFormatting>
  <dataValidations count="15">
    <dataValidation allowBlank="1" showInputMessage="1" showErrorMessage="1" prompt="Entrez l’année dans cette cellule" sqref="AH4"/>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dataValidation allowBlank="1" showInputMessage="1" showErrorMessage="1" prompt="Calcule automatiquement le nombre total de jours d’absence d’un employé durant ce mois" sqref="AH6"/>
    <dataValidation allowBlank="1" showInputMessage="1" showErrorMessage="1" prompt="Le titre de la feuille de calcul figure dans cette cellule. Si vous mettez à jour le titre, le changement est automatiquement répercuté sur chaque feuille de calcul" sqref="B1"/>
    <dataValidation allowBlank="1" showInputMessage="1" showErrorMessage="1" prompt="Mois de ce calendrier des absences. Mettez à jour l’année dans la cellule AH4. Suivez les totaux mensuels dans la dernière cellule du tableau. Entr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Utilisez le calendrier des absences des employés pour noter et suivre les absences des employés chaque mois. Il contient 13 feuilles de calcul, 12 par mois et 1 pour les noms des employés. Suivez les absences de janvier dans cette feuille de calcul" sqref="A1"/>
    <dataValidation allowBlank="1" showInputMessage="1" showErrorMessage="1" prompt="Entrez l’année dans la cellule ci-dessous" sqref="AH3"/>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AH7:AH36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2" tint="-0.749992370372631"/>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AB1" sqref="AB1"/>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row>
    <row r="4" spans="2:34" ht="30" customHeight="1" x14ac:dyDescent="0.25">
      <c r="B4" s="10" t="s">
        <v>41</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TEXT(WEEKDAY(DATE(AnnéeCalendrier,2,1),1),"jjj")</f>
        <v>ven</v>
      </c>
      <c r="D5" s="1" t="str">
        <f>TEXT(WEEKDAY(DATE(AnnéeCalendrier,2,2),1),"jjj")</f>
        <v>sam</v>
      </c>
      <c r="E5" s="1" t="str">
        <f>TEXT(WEEKDAY(DATE(AnnéeCalendrier,2,3),1),"jjj")</f>
        <v>dim</v>
      </c>
      <c r="F5" s="1" t="str">
        <f>TEXT(WEEKDAY(DATE(AnnéeCalendrier,2,4),1),"jjj")</f>
        <v>lun</v>
      </c>
      <c r="G5" s="1" t="str">
        <f>TEXT(WEEKDAY(DATE(AnnéeCalendrier,2,5),1),"jjj")</f>
        <v>mar</v>
      </c>
      <c r="H5" s="1" t="str">
        <f>TEXT(WEEKDAY(DATE(AnnéeCalendrier,2,6),1),"jjj")</f>
        <v>mer</v>
      </c>
      <c r="I5" s="1" t="str">
        <f>TEXT(WEEKDAY(DATE(AnnéeCalendrier,2,7),1),"jjj")</f>
        <v>jeu</v>
      </c>
      <c r="J5" s="1" t="str">
        <f>TEXT(WEEKDAY(DATE(AnnéeCalendrier,2,8),1),"jjj")</f>
        <v>ven</v>
      </c>
      <c r="K5" s="1" t="str">
        <f>TEXT(WEEKDAY(DATE(AnnéeCalendrier,2,9),1),"jjj")</f>
        <v>sam</v>
      </c>
      <c r="L5" s="1" t="str">
        <f>TEXT(WEEKDAY(DATE(AnnéeCalendrier,2,10),1),"jjj")</f>
        <v>dim</v>
      </c>
      <c r="M5" s="1" t="str">
        <f>TEXT(WEEKDAY(DATE(AnnéeCalendrier,2,11),1),"jjj")</f>
        <v>lun</v>
      </c>
      <c r="N5" s="1" t="str">
        <f>TEXT(WEEKDAY(DATE(AnnéeCalendrier,2,12),1),"jjj")</f>
        <v>mar</v>
      </c>
      <c r="O5" s="1" t="str">
        <f>TEXT(WEEKDAY(DATE(AnnéeCalendrier,2,13),1),"jjj")</f>
        <v>mer</v>
      </c>
      <c r="P5" s="1" t="str">
        <f>TEXT(WEEKDAY(DATE(AnnéeCalendrier,2,14),1),"jjj")</f>
        <v>jeu</v>
      </c>
      <c r="Q5" s="1" t="str">
        <f>TEXT(WEEKDAY(DATE(AnnéeCalendrier,2,15),1),"jjj")</f>
        <v>ven</v>
      </c>
      <c r="R5" s="1" t="str">
        <f>TEXT(WEEKDAY(DATE(AnnéeCalendrier,2,16),1),"jjj")</f>
        <v>sam</v>
      </c>
      <c r="S5" s="1" t="str">
        <f>TEXT(WEEKDAY(DATE(AnnéeCalendrier,2,17),1),"jjj")</f>
        <v>dim</v>
      </c>
      <c r="T5" s="1" t="str">
        <f>TEXT(WEEKDAY(DATE(AnnéeCalendrier,2,18),1),"jjj")</f>
        <v>lun</v>
      </c>
      <c r="U5" s="1" t="str">
        <f>TEXT(WEEKDAY(DATE(AnnéeCalendrier,2,19),1),"jjj")</f>
        <v>mar</v>
      </c>
      <c r="V5" s="1" t="str">
        <f>TEXT(WEEKDAY(DATE(AnnéeCalendrier,2,20),1),"jjj")</f>
        <v>mer</v>
      </c>
      <c r="W5" s="1" t="str">
        <f>TEXT(WEEKDAY(DATE(AnnéeCalendrier,2,21),1),"jjj")</f>
        <v>jeu</v>
      </c>
      <c r="X5" s="1" t="str">
        <f>TEXT(WEEKDAY(DATE(AnnéeCalendrier,2,22),1),"jjj")</f>
        <v>ven</v>
      </c>
      <c r="Y5" s="1" t="str">
        <f>TEXT(WEEKDAY(DATE(AnnéeCalendrier,2,23),1),"jjj")</f>
        <v>sam</v>
      </c>
      <c r="Z5" s="1" t="str">
        <f>TEXT(WEEKDAY(DATE(AnnéeCalendrier,2,24),1),"jjj")</f>
        <v>dim</v>
      </c>
      <c r="AA5" s="1" t="str">
        <f>TEXT(WEEKDAY(DATE(AnnéeCalendrier,2,25),1),"jjj")</f>
        <v>lun</v>
      </c>
      <c r="AB5" s="1" t="str">
        <f>TEXT(WEEKDAY(DATE(AnnéeCalendrier,2,26),1),"jjj")</f>
        <v>mar</v>
      </c>
      <c r="AC5" s="1" t="str">
        <f>TEXT(WEEKDAY(DATE(AnnéeCalendrier,2,27),1),"jjj")</f>
        <v>mer</v>
      </c>
      <c r="AD5" s="1" t="str">
        <f>TEXT(WEEKDAY(DATE(AnnéeCalendrier,2,28),1),"jjj")</f>
        <v>jeu</v>
      </c>
      <c r="AE5" s="1" t="str">
        <f>TEXT(WEEKDAY(DATE(AnnéeCalendrier,2,29),1),"jjj")</f>
        <v>ven</v>
      </c>
      <c r="AF5" s="1"/>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42</v>
      </c>
      <c r="AG6" s="2" t="s">
        <v>43</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COUNTA(Février[[#This Row],[1]:[29]])</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COUNTA(Février[[#This Row],[1]:[29]])</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COUNTA(Février[[#This Row],[1]:[29]])</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COUNTA(Février[[#This Row],[1]:[29]])</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COUNTA(Février[[#This Row],[1]:[29]])</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COUNTA(Février[[#This Row],[1]:[29]])</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COUNTA(Février[[#This Row],[1]:[29]])</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COUNTA(Février[[#This Row],[1]:[29]])</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COUNTA(Février[[#This Row],[1]:[29]])</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COUNTA(Février[[#This Row],[1]:[29]])</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COUNTA(Février[[#This Row],[1]:[29]])</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COUNTA(Février[[#This Row],[1]:[29]])</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COUNTA(Février[[#This Row],[1]:[29]])</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COUNTA(Février[[#This Row],[1]:[29]])</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COUNTA(Février[[#This Row],[1]:[29]])</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COUNTA(Février[[#This Row],[1]:[29]])</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COUNTA(Février[[#This Row],[1]:[29]])</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COUNTA(Février[[#This Row],[1]:[29]])</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COUNTA(Février[[#This Row],[1]:[29]])</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COUNTA(Février[[#This Row],[1]:[29]])</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COUNTA(Février[[#This Row],[1]:[29]])</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COUNTA(Février[[#This Row],[1]:[29]])</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COUNTA(Février[[#This Row],[1]:[29]])</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COUNTA(Février[[#This Row],[1]:[29]])</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COUNTA(Février[[#This Row],[1]:[29]])</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COUNTA(Février[[#This Row],[1]:[29]])</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COUNTA(Février[[#This Row],[1]:[29]])</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COUNTA(Février[[#This Row],[1]:[29]])</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COUNTA(Février[[#This Row],[1]:[29]])</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COUNTA(Février[[#This Row],[1]:[29]])</f>
        <v>0</v>
      </c>
    </row>
    <row r="37" spans="2:34" ht="30" customHeight="1" x14ac:dyDescent="0.25">
      <c r="B37" s="17" t="str">
        <f>NomMois&amp;" Total"</f>
        <v>Février Total</v>
      </c>
      <c r="C37" s="11">
        <f>SUBTOTAL(103,Février[1])</f>
        <v>0</v>
      </c>
      <c r="D37" s="11">
        <f>SUBTOTAL(103,Février[2])</f>
        <v>0</v>
      </c>
      <c r="E37" s="11">
        <f>SUBTOTAL(103,Février[3])</f>
        <v>0</v>
      </c>
      <c r="F37" s="11">
        <f>SUBTOTAL(103,Février[4])</f>
        <v>0</v>
      </c>
      <c r="G37" s="11">
        <f>SUBTOTAL(103,Février[5])</f>
        <v>0</v>
      </c>
      <c r="H37" s="11">
        <f>SUBTOTAL(103,Février[6])</f>
        <v>0</v>
      </c>
      <c r="I37" s="11">
        <f>SUBTOTAL(103,Février[7])</f>
        <v>0</v>
      </c>
      <c r="J37" s="11">
        <f>SUBTOTAL(103,Février[8])</f>
        <v>0</v>
      </c>
      <c r="K37" s="11">
        <f>SUBTOTAL(103,Février[9])</f>
        <v>0</v>
      </c>
      <c r="L37" s="11">
        <f>SUBTOTAL(103,Février[10])</f>
        <v>0</v>
      </c>
      <c r="M37" s="11">
        <f>SUBTOTAL(103,Février[11])</f>
        <v>0</v>
      </c>
      <c r="N37" s="11">
        <f>SUBTOTAL(103,Février[12])</f>
        <v>0</v>
      </c>
      <c r="O37" s="11">
        <f>SUBTOTAL(103,Février[13])</f>
        <v>0</v>
      </c>
      <c r="P37" s="11">
        <f>SUBTOTAL(103,Février[14])</f>
        <v>0</v>
      </c>
      <c r="Q37" s="11">
        <f>SUBTOTAL(103,Février[15])</f>
        <v>0</v>
      </c>
      <c r="R37" s="11">
        <f>SUBTOTAL(103,Février[16])</f>
        <v>0</v>
      </c>
      <c r="S37" s="11">
        <f>SUBTOTAL(103,Février[17])</f>
        <v>0</v>
      </c>
      <c r="T37" s="11">
        <f>SUBTOTAL(103,Février[18])</f>
        <v>0</v>
      </c>
      <c r="U37" s="11">
        <f>SUBTOTAL(103,Février[19])</f>
        <v>0</v>
      </c>
      <c r="V37" s="11">
        <f>SUBTOTAL(103,Février[20])</f>
        <v>0</v>
      </c>
      <c r="W37" s="11">
        <f>SUBTOTAL(103,Février[21])</f>
        <v>0</v>
      </c>
      <c r="X37" s="11">
        <f>SUBTOTAL(103,Février[22])</f>
        <v>0</v>
      </c>
      <c r="Y37" s="11">
        <f>SUBTOTAL(103,Février[23])</f>
        <v>0</v>
      </c>
      <c r="Z37" s="11">
        <f>SUBTOTAL(103,Février[24])</f>
        <v>0</v>
      </c>
      <c r="AA37" s="11">
        <f>SUBTOTAL(103,Février[25])</f>
        <v>0</v>
      </c>
      <c r="AB37" s="11">
        <f>SUBTOTAL(103,Février[26])</f>
        <v>0</v>
      </c>
      <c r="AC37" s="11">
        <f>SUBTOTAL(103,Février[27])</f>
        <v>0</v>
      </c>
      <c r="AD37" s="11">
        <f>SUBTOTAL(103,Février[28])</f>
        <v>0</v>
      </c>
      <c r="AE37" s="11">
        <f>SUBTOTAL(103,Février[29])</f>
        <v>0</v>
      </c>
      <c r="AF37" s="11"/>
      <c r="AG37" s="11"/>
      <c r="AH37" s="11">
        <f>SUBTOTAL(109,Février[Total des jours])</f>
        <v>0</v>
      </c>
    </row>
  </sheetData>
  <mergeCells count="7">
    <mergeCell ref="C4:AG4"/>
    <mergeCell ref="D2:E2"/>
    <mergeCell ref="G2:I2"/>
    <mergeCell ref="K2:L2"/>
    <mergeCell ref="N2:Q2"/>
    <mergeCell ref="S2:V2"/>
    <mergeCell ref="X2:AA2"/>
  </mergeCells>
  <conditionalFormatting sqref="AE6">
    <cfRule type="expression" dxfId="837" priority="25">
      <formula>MONTH(DATE(AnnéeCalendrier,2,29))&lt;&gt;2</formula>
    </cfRule>
  </conditionalFormatting>
  <conditionalFormatting sqref="AE5">
    <cfRule type="expression" dxfId="836" priority="24">
      <formula>MONTH(DATE(AnnéeCalendrier,2,29))&lt;&gt;2</formula>
    </cfRule>
  </conditionalFormatting>
  <conditionalFormatting sqref="AH7:AH36">
    <cfRule type="dataBar" priority="162">
      <dataBar>
        <cfvo type="min"/>
        <cfvo type="formula" val="DATEDIF(DATE(CalendarYear,2,1),DATE(CalendarYear,3,1),&quot;d&quot;)"/>
        <color theme="2" tint="-0.249977111117893"/>
      </dataBar>
      <extLst>
        <ext xmlns:x14="http://schemas.microsoft.com/office/spreadsheetml/2009/9/main" uri="{B025F937-C7B1-47D3-B67F-A62EFF666E3E}">
          <x14:id>{94738C71-AB78-40C3-A818-D083AE35CC38}</x14:id>
        </ext>
      </extLst>
    </cfRule>
  </conditionalFormatting>
  <conditionalFormatting sqref="C7:AG36">
    <cfRule type="expression" priority="2" stopIfTrue="1">
      <formula>C7=""</formula>
    </cfRule>
    <cfRule type="expression" dxfId="835" priority="4" stopIfTrue="1">
      <formula>C7=CléPersonnalisée2</formula>
    </cfRule>
    <cfRule type="expression" dxfId="834" priority="5" stopIfTrue="1">
      <formula>C7=CléPersonnalisée1</formula>
    </cfRule>
    <cfRule type="expression" dxfId="833" priority="6" stopIfTrue="1">
      <formula>C7=CléMaladie</formula>
    </cfRule>
    <cfRule type="expression" dxfId="832" priority="7" stopIfTrue="1">
      <formula>C7=CléPersonnel</formula>
    </cfRule>
    <cfRule type="expression" dxfId="831" priority="8" stopIfTrue="1">
      <formula>C7=CléCongé</formula>
    </cfRule>
  </conditionalFormatting>
  <conditionalFormatting sqref="C7:AG36">
    <cfRule type="expression" dxfId="830" priority="3">
      <formula>C7=CléPersonnalisée3</formula>
    </cfRule>
  </conditionalFormatting>
  <conditionalFormatting sqref="C37:AG37">
    <cfRule type="cellIs" dxfId="829" priority="1" operator="greaterThan">
      <formula>2</formula>
    </cfRule>
  </conditionalFormatting>
  <dataValidations xWindow="232" yWindow="365" count="15">
    <dataValidation allowBlank="1" showInputMessage="1" showErrorMessage="1" prompt="Année mise à jour automatiquement en fonction de l’année entrée dans la feuille de calcul Janvier" sqref="AH4"/>
    <dataValidation allowBlank="1" showInputMessage="1" showErrorMessage="1" prompt="Suivez les absences du mois de février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94738C71-AB78-40C3-A818-D083AE35CC38}">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2" tint="-0.499984740745262"/>
    <pageSetUpPr fitToPage="1"/>
  </sheetPr>
  <dimension ref="A1:AH37"/>
  <sheetViews>
    <sheetView showGridLines="0" zoomScale="90" zoomScaleNormal="90" workbookViewId="0">
      <pane xSplit="1" ySplit="6" topLeftCell="B7" activePane="bottomRight" state="frozen"/>
      <selection pane="topRight" activeCell="B1" sqref="B1"/>
      <selection pane="bottomLeft" activeCell="A7" sqref="A7"/>
      <selection pane="bottomRight" activeCell="AJ4" sqref="AJ4"/>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44</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TEXT(WEEKDAY(DATE(AnnéeCalendrier,3,1),1),"jjj")</f>
        <v>ven</v>
      </c>
      <c r="D5" s="1" t="str">
        <f>TEXT(WEEKDAY(DATE(AnnéeCalendrier,3,2),1),"jjj")</f>
        <v>sam</v>
      </c>
      <c r="E5" s="1" t="str">
        <f>TEXT(WEEKDAY(DATE(AnnéeCalendrier,3,3),1),"jjj")</f>
        <v>dim</v>
      </c>
      <c r="F5" s="1" t="str">
        <f>TEXT(WEEKDAY(DATE(AnnéeCalendrier,3,4),1),"jjj")</f>
        <v>lun</v>
      </c>
      <c r="G5" s="1" t="str">
        <f>TEXT(WEEKDAY(DATE(AnnéeCalendrier,3,5),1),"jjj")</f>
        <v>mar</v>
      </c>
      <c r="H5" s="1" t="str">
        <f>TEXT(WEEKDAY(DATE(AnnéeCalendrier,3,6),1),"jjj")</f>
        <v>mer</v>
      </c>
      <c r="I5" s="1" t="str">
        <f>TEXT(WEEKDAY(DATE(AnnéeCalendrier,3,7),1),"jjj")</f>
        <v>jeu</v>
      </c>
      <c r="J5" s="1" t="str">
        <f>TEXT(WEEKDAY(DATE(AnnéeCalendrier,3,8),1),"jjj")</f>
        <v>ven</v>
      </c>
      <c r="K5" s="1" t="str">
        <f>TEXT(WEEKDAY(DATE(AnnéeCalendrier,3,9),1),"jjj")</f>
        <v>sam</v>
      </c>
      <c r="L5" s="1" t="str">
        <f>TEXT(WEEKDAY(DATE(AnnéeCalendrier,3,10),1),"jjj")</f>
        <v>dim</v>
      </c>
      <c r="M5" s="1" t="str">
        <f>TEXT(WEEKDAY(DATE(AnnéeCalendrier,3,11),1),"jjj")</f>
        <v>lun</v>
      </c>
      <c r="N5" s="1" t="str">
        <f>TEXT(WEEKDAY(DATE(AnnéeCalendrier,3,12),1),"jjj")</f>
        <v>mar</v>
      </c>
      <c r="O5" s="1" t="str">
        <f>TEXT(WEEKDAY(DATE(AnnéeCalendrier,3,13),1),"jjj")</f>
        <v>mer</v>
      </c>
      <c r="P5" s="1" t="str">
        <f>TEXT(WEEKDAY(DATE(AnnéeCalendrier,3,14),1),"jjj")</f>
        <v>jeu</v>
      </c>
      <c r="Q5" s="1" t="str">
        <f>TEXT(WEEKDAY(DATE(AnnéeCalendrier,3,15),1),"jjj")</f>
        <v>ven</v>
      </c>
      <c r="R5" s="1" t="str">
        <f>TEXT(WEEKDAY(DATE(AnnéeCalendrier,3,16),1),"jjj")</f>
        <v>sam</v>
      </c>
      <c r="S5" s="1" t="str">
        <f>TEXT(WEEKDAY(DATE(AnnéeCalendrier,3,17),1),"jjj")</f>
        <v>dim</v>
      </c>
      <c r="T5" s="1" t="str">
        <f>TEXT(WEEKDAY(DATE(AnnéeCalendrier,3,18),1),"jjj")</f>
        <v>lun</v>
      </c>
      <c r="U5" s="1" t="str">
        <f>TEXT(WEEKDAY(DATE(AnnéeCalendrier,3,19),1),"jjj")</f>
        <v>mar</v>
      </c>
      <c r="V5" s="1" t="str">
        <f>TEXT(WEEKDAY(DATE(AnnéeCalendrier,3,20),1),"jjj")</f>
        <v>mer</v>
      </c>
      <c r="W5" s="1" t="str">
        <f>TEXT(WEEKDAY(DATE(AnnéeCalendrier,3,21),1),"jjj")</f>
        <v>jeu</v>
      </c>
      <c r="X5" s="1" t="str">
        <f>TEXT(WEEKDAY(DATE(AnnéeCalendrier,3,22),1),"jjj")</f>
        <v>ven</v>
      </c>
      <c r="Y5" s="1" t="str">
        <f>TEXT(WEEKDAY(DATE(AnnéeCalendrier,3,23),1),"jjj")</f>
        <v>sam</v>
      </c>
      <c r="Z5" s="1" t="str">
        <f>TEXT(WEEKDAY(DATE(AnnéeCalendrier,3,24),1),"jjj")</f>
        <v>dim</v>
      </c>
      <c r="AA5" s="1" t="str">
        <f>TEXT(WEEKDAY(DATE(AnnéeCalendrier,3,25),1),"jjj")</f>
        <v>lun</v>
      </c>
      <c r="AB5" s="1" t="str">
        <f>TEXT(WEEKDAY(DATE(AnnéeCalendrier,3,26),1),"jjj")</f>
        <v>mar</v>
      </c>
      <c r="AC5" s="1" t="str">
        <f>TEXT(WEEKDAY(DATE(AnnéeCalendrier,3,27),1),"jjj")</f>
        <v>mer</v>
      </c>
      <c r="AD5" s="1" t="str">
        <f>TEXT(WEEKDAY(DATE(AnnéeCalendrier,3,28),1),"jjj")</f>
        <v>jeu</v>
      </c>
      <c r="AE5" s="1" t="str">
        <f>TEXT(WEEKDAY(DATE(AnnéeCalendrier,3,29),1),"jjj")</f>
        <v>ven</v>
      </c>
      <c r="AF5" s="1" t="str">
        <f>TEXT(WEEKDAY(DATE(AnnéeCalendrier,3,30),1),"jjj")</f>
        <v>sam</v>
      </c>
      <c r="AG5" s="1" t="str">
        <f>TEXT(WEEKDAY(DATE(AnnéeCalendrier,3,31),1),"jjj")</f>
        <v>dim</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COUNTA(Mars[[#This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COUNTA(Mars[[#This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COUNTA(Mars[[#This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COUNTA(Mars[[#This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COUNTA(Mars[[#This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COUNTA(Mars[[#This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COUNTA(Mars[[#This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COUNTA(Mars[[#This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COUNTA(Mars[[#This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COUNTA(Mars[[#This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COUNTA(Mars[[#This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COUNTA(Mars[[#This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COUNTA(Mars[[#This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COUNTA(Mars[[#This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COUNTA(Mars[[#This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COUNTA(Mars[[#This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COUNTA(Mars[[#This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COUNTA(Mars[[#This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COUNTA(Mars[[#This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COUNTA(Mars[[#This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COUNTA(Mars[[#This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COUNTA(Mars[[#This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COUNTA(Mars[[#This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COUNTA(Mars[[#This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COUNTA(Mars[[#This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COUNTA(Mars[[#This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COUNTA(Mars[[#This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COUNTA(Mars[[#This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COUNTA(Mars[[#This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COUNTA(Mars[[#This Row],[1]:[31]])</f>
        <v>0</v>
      </c>
    </row>
    <row r="37" spans="2:34" ht="30" customHeight="1" x14ac:dyDescent="0.25">
      <c r="B37" s="17" t="str">
        <f>NomMois&amp;" Total"</f>
        <v>Mars Total</v>
      </c>
      <c r="C37" s="11">
        <f>SUBTOTAL(103,Mars[1])</f>
        <v>0</v>
      </c>
      <c r="D37" s="11">
        <f>SUBTOTAL(103,Mars[2])</f>
        <v>0</v>
      </c>
      <c r="E37" s="11">
        <f>SUBTOTAL(103,Mars[3])</f>
        <v>0</v>
      </c>
      <c r="F37" s="11">
        <f>SUBTOTAL(103,Mars[4])</f>
        <v>0</v>
      </c>
      <c r="G37" s="11">
        <f>SUBTOTAL(103,Mars[5])</f>
        <v>0</v>
      </c>
      <c r="H37" s="11">
        <f>SUBTOTAL(103,Mars[6])</f>
        <v>0</v>
      </c>
      <c r="I37" s="11">
        <f>SUBTOTAL(103,Mars[7])</f>
        <v>0</v>
      </c>
      <c r="J37" s="11">
        <f>SUBTOTAL(103,Mars[8])</f>
        <v>0</v>
      </c>
      <c r="K37" s="11">
        <f>SUBTOTAL(103,Mars[9])</f>
        <v>0</v>
      </c>
      <c r="L37" s="11">
        <f>SUBTOTAL(103,Mars[10])</f>
        <v>0</v>
      </c>
      <c r="M37" s="11">
        <f>SUBTOTAL(103,Mars[11])</f>
        <v>0</v>
      </c>
      <c r="N37" s="11">
        <f>SUBTOTAL(103,Mars[12])</f>
        <v>0</v>
      </c>
      <c r="O37" s="11">
        <f>SUBTOTAL(103,Mars[13])</f>
        <v>0</v>
      </c>
      <c r="P37" s="11">
        <f>SUBTOTAL(103,Mars[14])</f>
        <v>0</v>
      </c>
      <c r="Q37" s="11">
        <f>SUBTOTAL(103,Mars[15])</f>
        <v>0</v>
      </c>
      <c r="R37" s="11">
        <f>SUBTOTAL(103,Mars[16])</f>
        <v>0</v>
      </c>
      <c r="S37" s="11">
        <f>SUBTOTAL(103,Mars[17])</f>
        <v>0</v>
      </c>
      <c r="T37" s="11">
        <f>SUBTOTAL(103,Mars[18])</f>
        <v>0</v>
      </c>
      <c r="U37" s="11">
        <f>SUBTOTAL(103,Mars[19])</f>
        <v>0</v>
      </c>
      <c r="V37" s="11">
        <f>SUBTOTAL(103,Mars[20])</f>
        <v>0</v>
      </c>
      <c r="W37" s="11">
        <f>SUBTOTAL(103,Mars[21])</f>
        <v>0</v>
      </c>
      <c r="X37" s="11">
        <f>SUBTOTAL(103,Mars[22])</f>
        <v>0</v>
      </c>
      <c r="Y37" s="11">
        <f>SUBTOTAL(103,Mars[23])</f>
        <v>0</v>
      </c>
      <c r="Z37" s="11">
        <f>SUBTOTAL(103,Mars[24])</f>
        <v>0</v>
      </c>
      <c r="AA37" s="11">
        <f>SUBTOTAL(103,Mars[25])</f>
        <v>0</v>
      </c>
      <c r="AB37" s="11">
        <f>SUBTOTAL(103,Mars[26])</f>
        <v>0</v>
      </c>
      <c r="AC37" s="11">
        <f>SUBTOTAL(103,Mars[27])</f>
        <v>0</v>
      </c>
      <c r="AD37" s="11">
        <f>SUBTOTAL(103,Mars[28])</f>
        <v>0</v>
      </c>
      <c r="AE37" s="11">
        <f>SUBTOTAL(103,Mars[29])</f>
        <v>0</v>
      </c>
      <c r="AF37" s="11">
        <f>SUBTOTAL(109,Mars[30])</f>
        <v>0</v>
      </c>
      <c r="AG37" s="11">
        <f>SUBTOTAL(109,Mars[31])</f>
        <v>0</v>
      </c>
      <c r="AH37" s="11">
        <f>SUBTOTAL(109,Mars[Total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{7C2B6C3E-666E-4369-8C57-FD32A7D03A3C}</x14:id>
        </ext>
      </extLst>
    </cfRule>
  </conditionalFormatting>
  <conditionalFormatting sqref="C7:AG36">
    <cfRule type="expression" priority="2" stopIfTrue="1">
      <formula>C7=""</formula>
    </cfRule>
    <cfRule type="expression" dxfId="759" priority="4" stopIfTrue="1">
      <formula>C7=CléPersonnalisée2</formula>
    </cfRule>
    <cfRule type="expression" dxfId="758" priority="5" stopIfTrue="1">
      <formula>C7=CléPersonnalisée1</formula>
    </cfRule>
    <cfRule type="expression" dxfId="757" priority="6" stopIfTrue="1">
      <formula>C7=CléMaladie</formula>
    </cfRule>
    <cfRule type="expression" dxfId="756" priority="7" stopIfTrue="1">
      <formula>C7=CléPersonnel</formula>
    </cfRule>
    <cfRule type="expression" dxfId="755" priority="8" stopIfTrue="1">
      <formula>C7=CléCongé</formula>
    </cfRule>
  </conditionalFormatting>
  <conditionalFormatting sqref="C7:AG36">
    <cfRule type="expression" dxfId="754" priority="3">
      <formula>C7=CléPersonnalisée3</formula>
    </cfRule>
  </conditionalFormatting>
  <conditionalFormatting sqref="C37:AG37">
    <cfRule type="cellIs" dxfId="753"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rs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7C2B6C3E-666E-4369-8C57-FD32A7D03A3C}">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2" tint="-0.249977111117893"/>
    <pageSetUpPr fitToPage="1"/>
  </sheetPr>
  <dimension ref="A1:AH37"/>
  <sheetViews>
    <sheetView showGridLines="0" zoomScale="90" zoomScaleNormal="90" workbookViewId="0">
      <pane xSplit="1" ySplit="6" topLeftCell="B7" activePane="bottomRight" state="frozen"/>
      <selection pane="topRight" activeCell="B1" sqref="B1"/>
      <selection pane="bottomLeft" activeCell="A7" sqref="A7"/>
      <selection pane="bottomRight" activeCell="C4" sqref="C4:AG4"/>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45</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TEXT(WEEKDAY(DATE(AnnéeCalendrier,4,1),1),"jjj")</f>
        <v>lun</v>
      </c>
      <c r="D5" s="1" t="str">
        <f>TEXT(WEEKDAY(DATE(AnnéeCalendrier,4,2),1),"jjj")</f>
        <v>mar</v>
      </c>
      <c r="E5" s="1" t="str">
        <f>TEXT(WEEKDAY(DATE(AnnéeCalendrier,4,3),1),"jjj")</f>
        <v>mer</v>
      </c>
      <c r="F5" s="1" t="str">
        <f>TEXT(WEEKDAY(DATE(AnnéeCalendrier,4,4),1),"jjj")</f>
        <v>jeu</v>
      </c>
      <c r="G5" s="1" t="str">
        <f>TEXT(WEEKDAY(DATE(AnnéeCalendrier,4,5),1),"jjj")</f>
        <v>ven</v>
      </c>
      <c r="H5" s="1" t="str">
        <f>TEXT(WEEKDAY(DATE(AnnéeCalendrier,4,6),1),"jjj")</f>
        <v>sam</v>
      </c>
      <c r="I5" s="1" t="str">
        <f>TEXT(WEEKDAY(DATE(AnnéeCalendrier,4,7),1),"jjj")</f>
        <v>dim</v>
      </c>
      <c r="J5" s="1" t="str">
        <f>TEXT(WEEKDAY(DATE(AnnéeCalendrier,4,8),1),"jjj")</f>
        <v>lun</v>
      </c>
      <c r="K5" s="1" t="str">
        <f>TEXT(WEEKDAY(DATE(AnnéeCalendrier,4,9),1),"jjj")</f>
        <v>mar</v>
      </c>
      <c r="L5" s="1" t="str">
        <f>TEXT(WEEKDAY(DATE(AnnéeCalendrier,4,10),1),"jjj")</f>
        <v>mer</v>
      </c>
      <c r="M5" s="1" t="str">
        <f>TEXT(WEEKDAY(DATE(AnnéeCalendrier,4,11),1),"jjj")</f>
        <v>jeu</v>
      </c>
      <c r="N5" s="1" t="str">
        <f>TEXT(WEEKDAY(DATE(AnnéeCalendrier,4,12),1),"jjj")</f>
        <v>ven</v>
      </c>
      <c r="O5" s="1" t="str">
        <f>TEXT(WEEKDAY(DATE(AnnéeCalendrier,4,13),1),"jjj")</f>
        <v>sam</v>
      </c>
      <c r="P5" s="1" t="str">
        <f>TEXT(WEEKDAY(DATE(AnnéeCalendrier,4,14),1),"jjj")</f>
        <v>dim</v>
      </c>
      <c r="Q5" s="1" t="str">
        <f>TEXT(WEEKDAY(DATE(AnnéeCalendrier,4,15),1),"jjj")</f>
        <v>lun</v>
      </c>
      <c r="R5" s="1" t="str">
        <f>TEXT(WEEKDAY(DATE(AnnéeCalendrier,4,16),1),"jjj")</f>
        <v>mar</v>
      </c>
      <c r="S5" s="1" t="str">
        <f>TEXT(WEEKDAY(DATE(AnnéeCalendrier,4,17),1),"jjj")</f>
        <v>mer</v>
      </c>
      <c r="T5" s="1" t="str">
        <f>TEXT(WEEKDAY(DATE(AnnéeCalendrier,4,18),1),"jjj")</f>
        <v>jeu</v>
      </c>
      <c r="U5" s="1" t="str">
        <f>TEXT(WEEKDAY(DATE(AnnéeCalendrier,4,19),1),"jjj")</f>
        <v>ven</v>
      </c>
      <c r="V5" s="1" t="str">
        <f>TEXT(WEEKDAY(DATE(AnnéeCalendrier,4,20),1),"jjj")</f>
        <v>sam</v>
      </c>
      <c r="W5" s="1" t="str">
        <f>TEXT(WEEKDAY(DATE(AnnéeCalendrier,4,21),1),"jjj")</f>
        <v>dim</v>
      </c>
      <c r="X5" s="1" t="str">
        <f>TEXT(WEEKDAY(DATE(AnnéeCalendrier,4,22),1),"jjj")</f>
        <v>lun</v>
      </c>
      <c r="Y5" s="1" t="str">
        <f>TEXT(WEEKDAY(DATE(AnnéeCalendrier,4,23),1),"jjj")</f>
        <v>mar</v>
      </c>
      <c r="Z5" s="1" t="str">
        <f>TEXT(WEEKDAY(DATE(AnnéeCalendrier,4,24),1),"jjj")</f>
        <v>mer</v>
      </c>
      <c r="AA5" s="1" t="str">
        <f>TEXT(WEEKDAY(DATE(AnnéeCalendrier,4,25),1),"jjj")</f>
        <v>jeu</v>
      </c>
      <c r="AB5" s="1" t="str">
        <f>TEXT(WEEKDAY(DATE(AnnéeCalendrier,4,26),1),"jjj")</f>
        <v>ven</v>
      </c>
      <c r="AC5" s="1" t="str">
        <f>TEXT(WEEKDAY(DATE(AnnéeCalendrier,4,27),1),"jjj")</f>
        <v>sam</v>
      </c>
      <c r="AD5" s="1" t="str">
        <f>TEXT(WEEKDAY(DATE(AnnéeCalendrier,4,28),1),"jjj")</f>
        <v>dim</v>
      </c>
      <c r="AE5" s="1" t="str">
        <f>TEXT(WEEKDAY(DATE(AnnéeCalendrier,4,29),1),"jjj")</f>
        <v>lun</v>
      </c>
      <c r="AF5" s="1" t="str">
        <f>TEXT(WEEKDAY(DATE(AnnéeCalendrier,4,30),1),"jjj")</f>
        <v>mar</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COUNTA(Avril[[#This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COUNTA(Avril[[#This Row],[1]:[31]])</f>
        <v>0</v>
      </c>
    </row>
    <row r="9" spans="2:34" ht="15" x14ac:dyDescent="0.25">
      <c r="B9" s="19" t="str">
        <f>Paramètre!$A17</f>
        <v>BELKIHEL Mohamed</v>
      </c>
      <c r="C9" s="2"/>
      <c r="D9" s="2" t="s">
        <v>59</v>
      </c>
      <c r="E9" s="2" t="s">
        <v>59</v>
      </c>
      <c r="F9" s="2"/>
      <c r="G9" s="2"/>
      <c r="H9" s="2"/>
      <c r="I9" s="2"/>
      <c r="J9" s="2"/>
      <c r="K9" s="2"/>
      <c r="L9" s="2"/>
      <c r="M9" s="2"/>
      <c r="N9" s="2"/>
      <c r="O9" s="2"/>
      <c r="P9" s="2"/>
      <c r="Q9" s="2"/>
      <c r="R9" s="2"/>
      <c r="S9" s="2"/>
      <c r="T9" s="2"/>
      <c r="U9" s="2"/>
      <c r="V9" s="2"/>
      <c r="W9" s="2"/>
      <c r="X9" s="2"/>
      <c r="Y9" s="2"/>
      <c r="Z9" s="2"/>
      <c r="AA9" s="2"/>
      <c r="AB9" s="2"/>
      <c r="AC9" s="2"/>
      <c r="AD9" s="2"/>
      <c r="AE9" s="2"/>
      <c r="AF9" s="2"/>
      <c r="AG9" s="2"/>
      <c r="AH9" s="8">
        <f>COUNTA(Avril[[#This Row],[1]:[31]])</f>
        <v>2</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COUNTA(Avril[[#This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COUNTA(Avril[[#This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COUNTA(Avril[[#This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COUNTA(Avril[[#This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COUNTA(Avril[[#This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COUNTA(Avril[[#This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COUNTA(Avril[[#This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COUNTA(Avril[[#This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COUNTA(Avril[[#This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COUNTA(Avril[[#This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COUNTA(Avril[[#This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COUNTA(Avril[[#This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COUNTA(Avril[[#This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COUNTA(Avril[[#This Row],[1]:[31]])</f>
        <v>0</v>
      </c>
    </row>
    <row r="24" spans="2:34" ht="15" x14ac:dyDescent="0.25">
      <c r="B24" s="19" t="str">
        <f>Paramètre!$A32</f>
        <v>KHADDAR Abdelkader</v>
      </c>
      <c r="C24" s="2"/>
      <c r="D24" s="2"/>
      <c r="E24" s="2"/>
      <c r="F24" s="2"/>
      <c r="G24" s="2"/>
      <c r="H24" s="2"/>
      <c r="I24" s="2"/>
      <c r="J24" s="2"/>
      <c r="K24" s="2"/>
      <c r="L24" s="2"/>
      <c r="M24" s="2" t="s">
        <v>57</v>
      </c>
      <c r="N24" s="2"/>
      <c r="O24" s="2"/>
      <c r="P24" s="2"/>
      <c r="Q24" s="2"/>
      <c r="R24" s="2"/>
      <c r="S24" s="2"/>
      <c r="T24" s="2"/>
      <c r="U24" s="2"/>
      <c r="V24" s="2"/>
      <c r="W24" s="2"/>
      <c r="X24" s="2"/>
      <c r="Y24" s="2"/>
      <c r="Z24" s="2"/>
      <c r="AA24" s="2"/>
      <c r="AB24" s="2"/>
      <c r="AC24" s="2"/>
      <c r="AD24" s="2"/>
      <c r="AE24" s="2"/>
      <c r="AF24" s="2"/>
      <c r="AG24" s="2"/>
      <c r="AH24" s="8">
        <f>COUNTA(Avril[[#This Row],[1]:[31]])</f>
        <v>1</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COUNTA(Avril[[#This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COUNTA(Avril[[#This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COUNTA(Avril[[#This Row],[1]:[31]])</f>
        <v>0</v>
      </c>
    </row>
    <row r="28" spans="2:34" ht="15" x14ac:dyDescent="0.25">
      <c r="B28" s="19" t="str">
        <f>Paramètre!$A36</f>
        <v>MALEK CHELIH Belkheir</v>
      </c>
      <c r="C28" s="2" t="s">
        <v>10</v>
      </c>
      <c r="D28" s="2" t="s">
        <v>10</v>
      </c>
      <c r="E28" s="2" t="s">
        <v>10</v>
      </c>
      <c r="F28" s="2" t="s">
        <v>10</v>
      </c>
      <c r="G28" s="2"/>
      <c r="H28" s="2"/>
      <c r="I28" s="2" t="s">
        <v>10</v>
      </c>
      <c r="J28" s="2" t="s">
        <v>10</v>
      </c>
      <c r="K28" s="2" t="s">
        <v>10</v>
      </c>
      <c r="L28" s="2"/>
      <c r="M28" s="2"/>
      <c r="N28" s="2"/>
      <c r="O28" s="2"/>
      <c r="P28" s="2"/>
      <c r="Q28" s="2"/>
      <c r="R28" s="2"/>
      <c r="S28" s="2"/>
      <c r="T28" s="2"/>
      <c r="U28" s="2"/>
      <c r="V28" s="2"/>
      <c r="W28" s="2"/>
      <c r="X28" s="2"/>
      <c r="Y28" s="2"/>
      <c r="Z28" s="2"/>
      <c r="AA28" s="2"/>
      <c r="AB28" s="2"/>
      <c r="AC28" s="2"/>
      <c r="AD28" s="2"/>
      <c r="AE28" s="2"/>
      <c r="AF28" s="2"/>
      <c r="AG28" s="2"/>
      <c r="AH28" s="8">
        <f>COUNTA(Avril[[#This Row],[1]:[31]])</f>
        <v>7</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t="s">
        <v>3</v>
      </c>
      <c r="AE29" s="2"/>
      <c r="AF29" s="2"/>
      <c r="AG29" s="2"/>
      <c r="AH29" s="8">
        <f>COUNTA(Avril[[#This Row],[1]:[31]])</f>
        <v>1</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COUNTA(Avril[[#This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COUNTA(Avril[[#This Row],[1]:[31]])</f>
        <v>0</v>
      </c>
    </row>
    <row r="32" spans="2:34" ht="15" x14ac:dyDescent="0.25">
      <c r="B32" s="19" t="str">
        <f>Paramètre!$A40</f>
        <v>SOLTANI Amel</v>
      </c>
      <c r="C32" s="2"/>
      <c r="D32" s="2" t="s">
        <v>55</v>
      </c>
      <c r="E32" s="2"/>
      <c r="F32" s="2" t="s">
        <v>55</v>
      </c>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COUNTA(Avril[[#This Row],[1]:[31]])</f>
        <v>2</v>
      </c>
    </row>
    <row r="33" spans="2:34" ht="15" x14ac:dyDescent="0.25">
      <c r="B33" s="19" t="str">
        <f>Paramètre!$A41</f>
        <v>YESSAD Mustapha</v>
      </c>
      <c r="C33" s="2"/>
      <c r="D33" s="2"/>
      <c r="E33" s="2"/>
      <c r="F33" s="2"/>
      <c r="G33" s="2"/>
      <c r="H33" s="2"/>
      <c r="I33" s="2"/>
      <c r="J33" s="2"/>
      <c r="K33" s="2" t="s">
        <v>3</v>
      </c>
      <c r="L33" s="2" t="s">
        <v>3</v>
      </c>
      <c r="M33" s="2" t="s">
        <v>3</v>
      </c>
      <c r="N33" s="2"/>
      <c r="O33" s="2"/>
      <c r="P33" s="2"/>
      <c r="Q33" s="2"/>
      <c r="R33" s="2"/>
      <c r="S33" s="2"/>
      <c r="T33" s="2"/>
      <c r="U33" s="2"/>
      <c r="V33" s="2"/>
      <c r="W33" s="2"/>
      <c r="X33" s="2"/>
      <c r="Y33" s="2"/>
      <c r="Z33" s="2"/>
      <c r="AA33" s="2"/>
      <c r="AB33" s="2"/>
      <c r="AC33" s="2"/>
      <c r="AD33" s="2"/>
      <c r="AE33" s="2"/>
      <c r="AF33" s="2"/>
      <c r="AG33" s="2"/>
      <c r="AH33" s="8">
        <f>COUNTA(Avril[[#This Row],[1]:[31]])</f>
        <v>3</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COUNTA(Avril[[#This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COUNTA(Avril[[#This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COUNTA(Avril[[#This Row],[1]:[31]])</f>
        <v>0</v>
      </c>
    </row>
    <row r="37" spans="2:34" ht="30" customHeight="1" x14ac:dyDescent="0.25">
      <c r="B37" s="17" t="str">
        <f>NomMois&amp;" Total"</f>
        <v>Avril Total</v>
      </c>
      <c r="C37" s="11">
        <f>SUBTOTAL(103,Avril[1])</f>
        <v>1</v>
      </c>
      <c r="D37" s="11">
        <f>SUBTOTAL(103,Avril[2])</f>
        <v>3</v>
      </c>
      <c r="E37" s="11">
        <f>SUBTOTAL(103,Avril[3])</f>
        <v>2</v>
      </c>
      <c r="F37" s="11">
        <f>SUBTOTAL(103,Avril[4])</f>
        <v>2</v>
      </c>
      <c r="G37" s="11">
        <f>SUBTOTAL(103,Avril[5])</f>
        <v>0</v>
      </c>
      <c r="H37" s="11">
        <f>SUBTOTAL(103,Avril[6])</f>
        <v>0</v>
      </c>
      <c r="I37" s="11">
        <f>SUBTOTAL(103,Avril[7])</f>
        <v>1</v>
      </c>
      <c r="J37" s="11">
        <f>SUBTOTAL(103,Avril[8])</f>
        <v>1</v>
      </c>
      <c r="K37" s="11">
        <f>SUBTOTAL(103,Avril[9])</f>
        <v>2</v>
      </c>
      <c r="L37" s="11">
        <f>SUBTOTAL(103,Avril[10])</f>
        <v>1</v>
      </c>
      <c r="M37" s="11">
        <f>SUBTOTAL(103,Avril[11])</f>
        <v>2</v>
      </c>
      <c r="N37" s="11">
        <f>SUBTOTAL(103,Avril[12])</f>
        <v>0</v>
      </c>
      <c r="O37" s="11">
        <f>SUBTOTAL(103,Avril[13])</f>
        <v>0</v>
      </c>
      <c r="P37" s="11">
        <f>SUBTOTAL(103,Avril[14])</f>
        <v>0</v>
      </c>
      <c r="Q37" s="11">
        <f>SUBTOTAL(103,Avril[15])</f>
        <v>0</v>
      </c>
      <c r="R37" s="11">
        <f>SUBTOTAL(103,Avril[16])</f>
        <v>0</v>
      </c>
      <c r="S37" s="11">
        <f>SUBTOTAL(103,Avril[17])</f>
        <v>0</v>
      </c>
      <c r="T37" s="11">
        <f>SUBTOTAL(103,Avril[18])</f>
        <v>0</v>
      </c>
      <c r="U37" s="11">
        <f>SUBTOTAL(103,Avril[19])</f>
        <v>0</v>
      </c>
      <c r="V37" s="11">
        <f>SUBTOTAL(103,Avril[20])</f>
        <v>0</v>
      </c>
      <c r="W37" s="11">
        <f>SUBTOTAL(103,Avril[21])</f>
        <v>0</v>
      </c>
      <c r="X37" s="11">
        <f>SUBTOTAL(103,Avril[22])</f>
        <v>0</v>
      </c>
      <c r="Y37" s="11">
        <f>SUBTOTAL(103,Avril[23])</f>
        <v>0</v>
      </c>
      <c r="Z37" s="11">
        <f>SUBTOTAL(103,Avril[24])</f>
        <v>0</v>
      </c>
      <c r="AA37" s="11">
        <f>SUBTOTAL(103,Avril[25])</f>
        <v>0</v>
      </c>
      <c r="AB37" s="11">
        <f>SUBTOTAL(103,Avril[26])</f>
        <v>0</v>
      </c>
      <c r="AC37" s="11">
        <f>SUBTOTAL(103,Avril[27])</f>
        <v>0</v>
      </c>
      <c r="AD37" s="11">
        <f>SUBTOTAL(103,Avril[28])</f>
        <v>1</v>
      </c>
      <c r="AE37" s="11">
        <f>SUBTOTAL(103,Avril[29])</f>
        <v>0</v>
      </c>
      <c r="AF37" s="11">
        <f>SUBTOTAL(109,Avril[30])</f>
        <v>0</v>
      </c>
      <c r="AG37" s="11">
        <f>SUBTOTAL(109,Avril[31])</f>
        <v>0</v>
      </c>
      <c r="AH37" s="11">
        <f>SUBTOTAL(109,Avril[Total des jours])</f>
        <v>16</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{0C86709F-D813-4066-A3F1-C30F11214F4B}</x14:id>
        </ext>
      </extLst>
    </cfRule>
  </conditionalFormatting>
  <conditionalFormatting sqref="C7:AG36">
    <cfRule type="expression" priority="2" stopIfTrue="1">
      <formula>C7=""</formula>
    </cfRule>
    <cfRule type="expression" dxfId="683" priority="4" stopIfTrue="1">
      <formula>C7=CléPersonnalisée2</formula>
    </cfRule>
    <cfRule type="expression" dxfId="682" priority="5" stopIfTrue="1">
      <formula>C7=CléPersonnalisée1</formula>
    </cfRule>
    <cfRule type="expression" dxfId="681" priority="6" stopIfTrue="1">
      <formula>C7=CléMaladie</formula>
    </cfRule>
    <cfRule type="expression" dxfId="680" priority="7" stopIfTrue="1">
      <formula>C7=CléPersonnel</formula>
    </cfRule>
    <cfRule type="expression" dxfId="679" priority="8" stopIfTrue="1">
      <formula>C7=CléCongé</formula>
    </cfRule>
  </conditionalFormatting>
  <conditionalFormatting sqref="C7:AG36">
    <cfRule type="expression" dxfId="678" priority="3">
      <formula>C7=CléPersonnalisée3</formula>
    </cfRule>
  </conditionalFormatting>
  <conditionalFormatting sqref="C37:AG37">
    <cfRule type="cellIs" dxfId="677" priority="1" operator="greaterThan">
      <formula>2</formula>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vril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0C86709F-D813-4066-A3F1-C30F11214F4B}">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2" tint="-9.9978637043366805E-2"/>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46</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TEXT(WEEKDAY(DATE(AnnéeCalendrier,5,1),1),"jjj")</f>
        <v>mer</v>
      </c>
      <c r="D5" s="1" t="str">
        <f>TEXT(WEEKDAY(DATE(AnnéeCalendrier,5,2),1),"jjj")</f>
        <v>jeu</v>
      </c>
      <c r="E5" s="1" t="str">
        <f>TEXT(WEEKDAY(DATE(AnnéeCalendrier,5,3),1),"jjj")</f>
        <v>ven</v>
      </c>
      <c r="F5" s="1" t="str">
        <f>TEXT(WEEKDAY(DATE(AnnéeCalendrier,5,4),1),"jjj")</f>
        <v>sam</v>
      </c>
      <c r="G5" s="1" t="str">
        <f>TEXT(WEEKDAY(DATE(AnnéeCalendrier,5,5),1),"jjj")</f>
        <v>dim</v>
      </c>
      <c r="H5" s="1" t="str">
        <f>TEXT(WEEKDAY(DATE(AnnéeCalendrier,5,6),1),"jjj")</f>
        <v>lun</v>
      </c>
      <c r="I5" s="1" t="str">
        <f>TEXT(WEEKDAY(DATE(AnnéeCalendrier,5,7),1),"jjj")</f>
        <v>mar</v>
      </c>
      <c r="J5" s="1" t="str">
        <f>TEXT(WEEKDAY(DATE(AnnéeCalendrier,5,8),1),"jjj")</f>
        <v>mer</v>
      </c>
      <c r="K5" s="1" t="str">
        <f>TEXT(WEEKDAY(DATE(AnnéeCalendrier,5,9),1),"jjj")</f>
        <v>jeu</v>
      </c>
      <c r="L5" s="1" t="str">
        <f>TEXT(WEEKDAY(DATE(AnnéeCalendrier,5,10),1),"jjj")</f>
        <v>ven</v>
      </c>
      <c r="M5" s="1" t="str">
        <f>TEXT(WEEKDAY(DATE(AnnéeCalendrier,5,11),1),"jjj")</f>
        <v>sam</v>
      </c>
      <c r="N5" s="1" t="str">
        <f>TEXT(WEEKDAY(DATE(AnnéeCalendrier,5,12),1),"jjj")</f>
        <v>dim</v>
      </c>
      <c r="O5" s="1" t="str">
        <f>TEXT(WEEKDAY(DATE(AnnéeCalendrier,5,13),1),"jjj")</f>
        <v>lun</v>
      </c>
      <c r="P5" s="1" t="str">
        <f>TEXT(WEEKDAY(DATE(AnnéeCalendrier,5,14),1),"jjj")</f>
        <v>mar</v>
      </c>
      <c r="Q5" s="1" t="str">
        <f>TEXT(WEEKDAY(DATE(AnnéeCalendrier,5,15),1),"jjj")</f>
        <v>mer</v>
      </c>
      <c r="R5" s="1" t="str">
        <f>TEXT(WEEKDAY(DATE(AnnéeCalendrier,5,16),1),"jjj")</f>
        <v>jeu</v>
      </c>
      <c r="S5" s="1" t="str">
        <f>TEXT(WEEKDAY(DATE(AnnéeCalendrier,5,17),1),"jjj")</f>
        <v>ven</v>
      </c>
      <c r="T5" s="1" t="str">
        <f>TEXT(WEEKDAY(DATE(AnnéeCalendrier,5,18),1),"jjj")</f>
        <v>sam</v>
      </c>
      <c r="U5" s="1" t="str">
        <f>TEXT(WEEKDAY(DATE(AnnéeCalendrier,5,19),1),"jjj")</f>
        <v>dim</v>
      </c>
      <c r="V5" s="1" t="str">
        <f>TEXT(WEEKDAY(DATE(AnnéeCalendrier,5,20),1),"jjj")</f>
        <v>lun</v>
      </c>
      <c r="W5" s="1" t="str">
        <f>TEXT(WEEKDAY(DATE(AnnéeCalendrier,5,21),1),"jjj")</f>
        <v>mar</v>
      </c>
      <c r="X5" s="1" t="str">
        <f>TEXT(WEEKDAY(DATE(AnnéeCalendrier,5,22),1),"jjj")</f>
        <v>mer</v>
      </c>
      <c r="Y5" s="1" t="str">
        <f>TEXT(WEEKDAY(DATE(AnnéeCalendrier,5,23),1),"jjj")</f>
        <v>jeu</v>
      </c>
      <c r="Z5" s="1" t="str">
        <f>TEXT(WEEKDAY(DATE(AnnéeCalendrier,5,24),1),"jjj")</f>
        <v>ven</v>
      </c>
      <c r="AA5" s="1" t="str">
        <f>TEXT(WEEKDAY(DATE(AnnéeCalendrier,5,25),1),"jjj")</f>
        <v>sam</v>
      </c>
      <c r="AB5" s="1" t="str">
        <f>TEXT(WEEKDAY(DATE(AnnéeCalendrier,5,26),1),"jjj")</f>
        <v>dim</v>
      </c>
      <c r="AC5" s="1" t="str">
        <f>TEXT(WEEKDAY(DATE(AnnéeCalendrier,5,27),1),"jjj")</f>
        <v>lun</v>
      </c>
      <c r="AD5" s="1" t="str">
        <f>TEXT(WEEKDAY(DATE(AnnéeCalendrier,5,28),1),"jjj")</f>
        <v>mar</v>
      </c>
      <c r="AE5" s="1" t="str">
        <f>TEXT(WEEKDAY(DATE(AnnéeCalendrier,5,29),1),"jjj")</f>
        <v>mer</v>
      </c>
      <c r="AF5" s="1" t="str">
        <f>TEXT(WEEKDAY(DATE(AnnéeCalendrier,5,30),1),"jjj")</f>
        <v>jeu</v>
      </c>
      <c r="AG5" s="1" t="str">
        <f>TEXT(WEEKDAY(DATE(AnnéeCalendrier,5,31),1),"jjj")</f>
        <v>ven</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COUNTA(Mai[[#This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COUNTA(Mai[[#This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COUNTA(Mai[[#This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COUNTA(Mai[[#This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COUNTA(Mai[[#This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COUNTA(Mai[[#This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COUNTA(Mai[[#This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COUNTA(Mai[[#This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COUNTA(Mai[[#This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COUNTA(Mai[[#This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COUNTA(Mai[[#This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COUNTA(Mai[[#This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COUNTA(Mai[[#This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COUNTA(Mai[[#This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COUNTA(Mai[[#This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COUNTA(Mai[[#This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COUNTA(Mai[[#This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COUNTA(Mai[[#This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COUNTA(Mai[[#This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COUNTA(Mai[[#This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COUNTA(Mai[[#This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COUNTA(Mai[[#This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COUNTA(Mai[[#This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COUNTA(Mai[[#This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COUNTA(Mai[[#This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COUNTA(Mai[[#This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COUNTA(Mai[[#This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COUNTA(Mai[[#This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COUNTA(Mai[[#This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COUNTA(Mai[[#This Row],[1]:[31]])</f>
        <v>0</v>
      </c>
    </row>
    <row r="37" spans="2:34" ht="30" customHeight="1" x14ac:dyDescent="0.25">
      <c r="B37" s="17" t="str">
        <f>NomMois&amp;" Total"</f>
        <v>Mai Total</v>
      </c>
      <c r="C37" s="11">
        <f>SUBTOTAL(103,Mai[1])</f>
        <v>0</v>
      </c>
      <c r="D37" s="11">
        <f>SUBTOTAL(103,Mai[2])</f>
        <v>0</v>
      </c>
      <c r="E37" s="11">
        <f>SUBTOTAL(103,Mai[3])</f>
        <v>0</v>
      </c>
      <c r="F37" s="11">
        <f>SUBTOTAL(103,Mai[4])</f>
        <v>0</v>
      </c>
      <c r="G37" s="11">
        <f>SUBTOTAL(103,Mai[5])</f>
        <v>0</v>
      </c>
      <c r="H37" s="11">
        <f>SUBTOTAL(103,Mai[6])</f>
        <v>0</v>
      </c>
      <c r="I37" s="11">
        <f>SUBTOTAL(103,Mai[7])</f>
        <v>0</v>
      </c>
      <c r="J37" s="11">
        <f>SUBTOTAL(103,Mai[8])</f>
        <v>0</v>
      </c>
      <c r="K37" s="11">
        <f>SUBTOTAL(103,Mai[9])</f>
        <v>0</v>
      </c>
      <c r="L37" s="11">
        <f>SUBTOTAL(103,Mai[10])</f>
        <v>0</v>
      </c>
      <c r="M37" s="11">
        <f>SUBTOTAL(103,Mai[11])</f>
        <v>0</v>
      </c>
      <c r="N37" s="11">
        <f>SUBTOTAL(103,Mai[12])</f>
        <v>0</v>
      </c>
      <c r="O37" s="11">
        <f>SUBTOTAL(103,Mai[13])</f>
        <v>0</v>
      </c>
      <c r="P37" s="11">
        <f>SUBTOTAL(103,Mai[14])</f>
        <v>0</v>
      </c>
      <c r="Q37" s="11">
        <f>SUBTOTAL(103,Mai[15])</f>
        <v>0</v>
      </c>
      <c r="R37" s="11">
        <f>SUBTOTAL(103,Mai[16])</f>
        <v>0</v>
      </c>
      <c r="S37" s="11">
        <f>SUBTOTAL(103,Mai[17])</f>
        <v>0</v>
      </c>
      <c r="T37" s="11">
        <f>SUBTOTAL(103,Mai[18])</f>
        <v>0</v>
      </c>
      <c r="U37" s="11">
        <f>SUBTOTAL(103,Mai[19])</f>
        <v>0</v>
      </c>
      <c r="V37" s="11">
        <f>SUBTOTAL(103,Mai[20])</f>
        <v>0</v>
      </c>
      <c r="W37" s="11">
        <f>SUBTOTAL(103,Mai[21])</f>
        <v>0</v>
      </c>
      <c r="X37" s="11">
        <f>SUBTOTAL(103,Mai[22])</f>
        <v>0</v>
      </c>
      <c r="Y37" s="11">
        <f>SUBTOTAL(103,Mai[23])</f>
        <v>0</v>
      </c>
      <c r="Z37" s="11">
        <f>SUBTOTAL(103,Mai[24])</f>
        <v>0</v>
      </c>
      <c r="AA37" s="11">
        <f>SUBTOTAL(103,Mai[25])</f>
        <v>0</v>
      </c>
      <c r="AB37" s="11">
        <f>SUBTOTAL(103,Mai[26])</f>
        <v>0</v>
      </c>
      <c r="AC37" s="11">
        <f>SUBTOTAL(103,Mai[27])</f>
        <v>0</v>
      </c>
      <c r="AD37" s="11">
        <f>SUBTOTAL(103,Mai[28])</f>
        <v>0</v>
      </c>
      <c r="AE37" s="11">
        <f>SUBTOTAL(103,Mai[29])</f>
        <v>0</v>
      </c>
      <c r="AF37" s="11">
        <f>SUBTOTAL(109,Mai[30])</f>
        <v>0</v>
      </c>
      <c r="AG37" s="11">
        <f>SUBTOTAL(109,Mai[31])</f>
        <v>0</v>
      </c>
      <c r="AH37" s="11">
        <f>SUBTOTAL(109,Mai[Total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{5670947F-8B3C-4A6C-A280-4F5E10811DCE}</x14:id>
        </ext>
      </extLst>
    </cfRule>
  </conditionalFormatting>
  <conditionalFormatting sqref="C7:AG36">
    <cfRule type="expression" priority="2" stopIfTrue="1">
      <formula>C7=""</formula>
    </cfRule>
    <cfRule type="expression" dxfId="607" priority="4" stopIfTrue="1">
      <formula>C7=CléPersonnalisée2</formula>
    </cfRule>
    <cfRule type="expression" dxfId="606" priority="5" stopIfTrue="1">
      <formula>C7=CléPersonnalisée1</formula>
    </cfRule>
    <cfRule type="expression" dxfId="605" priority="6" stopIfTrue="1">
      <formula>C7=CléMaladie</formula>
    </cfRule>
    <cfRule type="expression" dxfId="604" priority="7" stopIfTrue="1">
      <formula>C7=CléPersonnel</formula>
    </cfRule>
    <cfRule type="expression" dxfId="603" priority="8" stopIfTrue="1">
      <formula>C7=CléCongé</formula>
    </cfRule>
  </conditionalFormatting>
  <conditionalFormatting sqref="C7:AG36">
    <cfRule type="expression" dxfId="602" priority="3">
      <formula>C7=CléPersonnalisée3</formula>
    </cfRule>
  </conditionalFormatting>
  <conditionalFormatting sqref="C37:AG37">
    <cfRule type="cellIs" dxfId="601"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i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5670947F-8B3C-4A6C-A280-4F5E10811DCE}">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2"/>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47</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TEXT(WEEKDAY(DATE(AnnéeCalendrier,6,1),1),"jjj")</f>
        <v>sam</v>
      </c>
      <c r="D5" s="1" t="str">
        <f>TEXT(WEEKDAY(DATE(AnnéeCalendrier,6,2),1),"jjj")</f>
        <v>dim</v>
      </c>
      <c r="E5" s="1" t="str">
        <f>TEXT(WEEKDAY(DATE(AnnéeCalendrier,6,3),1),"jjj")</f>
        <v>lun</v>
      </c>
      <c r="F5" s="1" t="str">
        <f>TEXT(WEEKDAY(DATE(AnnéeCalendrier,6,4),1),"jjj")</f>
        <v>mar</v>
      </c>
      <c r="G5" s="1" t="str">
        <f>TEXT(WEEKDAY(DATE(AnnéeCalendrier,6,5),1),"jjj")</f>
        <v>mer</v>
      </c>
      <c r="H5" s="1" t="str">
        <f>TEXT(WEEKDAY(DATE(AnnéeCalendrier,6,6),1),"jjj")</f>
        <v>jeu</v>
      </c>
      <c r="I5" s="1" t="str">
        <f>TEXT(WEEKDAY(DATE(AnnéeCalendrier,6,7),1),"jjj")</f>
        <v>ven</v>
      </c>
      <c r="J5" s="1" t="str">
        <f>TEXT(WEEKDAY(DATE(AnnéeCalendrier,6,8),1),"jjj")</f>
        <v>sam</v>
      </c>
      <c r="K5" s="1" t="str">
        <f>TEXT(WEEKDAY(DATE(AnnéeCalendrier,6,9),1),"jjj")</f>
        <v>dim</v>
      </c>
      <c r="L5" s="1" t="str">
        <f>TEXT(WEEKDAY(DATE(AnnéeCalendrier,6,10),1),"jjj")</f>
        <v>lun</v>
      </c>
      <c r="M5" s="1" t="str">
        <f>TEXT(WEEKDAY(DATE(AnnéeCalendrier,6,11),1),"jjj")</f>
        <v>mar</v>
      </c>
      <c r="N5" s="1" t="str">
        <f>TEXT(WEEKDAY(DATE(AnnéeCalendrier,6,12),1),"jjj")</f>
        <v>mer</v>
      </c>
      <c r="O5" s="1" t="str">
        <f>TEXT(WEEKDAY(DATE(AnnéeCalendrier,6,13),1),"jjj")</f>
        <v>jeu</v>
      </c>
      <c r="P5" s="1" t="str">
        <f>TEXT(WEEKDAY(DATE(AnnéeCalendrier,6,14),1),"jjj")</f>
        <v>ven</v>
      </c>
      <c r="Q5" s="1" t="str">
        <f>TEXT(WEEKDAY(DATE(AnnéeCalendrier,6,15),1),"jjj")</f>
        <v>sam</v>
      </c>
      <c r="R5" s="1" t="str">
        <f>TEXT(WEEKDAY(DATE(AnnéeCalendrier,6,16),1),"jjj")</f>
        <v>dim</v>
      </c>
      <c r="S5" s="1" t="str">
        <f>TEXT(WEEKDAY(DATE(AnnéeCalendrier,6,17),1),"jjj")</f>
        <v>lun</v>
      </c>
      <c r="T5" s="1" t="str">
        <f>TEXT(WEEKDAY(DATE(AnnéeCalendrier,6,18),1),"jjj")</f>
        <v>mar</v>
      </c>
      <c r="U5" s="1" t="str">
        <f>TEXT(WEEKDAY(DATE(AnnéeCalendrier,6,19),1),"jjj")</f>
        <v>mer</v>
      </c>
      <c r="V5" s="1" t="str">
        <f>TEXT(WEEKDAY(DATE(AnnéeCalendrier,6,20),1),"jjj")</f>
        <v>jeu</v>
      </c>
      <c r="W5" s="1" t="str">
        <f>TEXT(WEEKDAY(DATE(AnnéeCalendrier,6,21),1),"jjj")</f>
        <v>ven</v>
      </c>
      <c r="X5" s="1" t="str">
        <f>TEXT(WEEKDAY(DATE(AnnéeCalendrier,6,22),1),"jjj")</f>
        <v>sam</v>
      </c>
      <c r="Y5" s="1" t="str">
        <f>TEXT(WEEKDAY(DATE(AnnéeCalendrier,6,23),1),"jjj")</f>
        <v>dim</v>
      </c>
      <c r="Z5" s="1" t="str">
        <f>TEXT(WEEKDAY(DATE(AnnéeCalendrier,6,24),1),"jjj")</f>
        <v>lun</v>
      </c>
      <c r="AA5" s="1" t="str">
        <f>TEXT(WEEKDAY(DATE(AnnéeCalendrier,6,25),1),"jjj")</f>
        <v>mar</v>
      </c>
      <c r="AB5" s="1" t="str">
        <f>TEXT(WEEKDAY(DATE(AnnéeCalendrier,6,26),1),"jjj")</f>
        <v>mer</v>
      </c>
      <c r="AC5" s="1" t="str">
        <f>TEXT(WEEKDAY(DATE(AnnéeCalendrier,6,27),1),"jjj")</f>
        <v>jeu</v>
      </c>
      <c r="AD5" s="1" t="str">
        <f>TEXT(WEEKDAY(DATE(AnnéeCalendrier,6,28),1),"jjj")</f>
        <v>ven</v>
      </c>
      <c r="AE5" s="1" t="str">
        <f>TEXT(WEEKDAY(DATE(AnnéeCalendrier,6,29),1),"jjj")</f>
        <v>sam</v>
      </c>
      <c r="AF5" s="1" t="str">
        <f>TEXT(WEEKDAY(DATE(AnnéeCalendrier,6,30),1),"jjj")</f>
        <v>dim</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COUNTA(Juin[[#This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COUNTA(Juin[[#This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COUNTA(Juin[[#This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COUNTA(Juin[[#This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COUNTA(Juin[[#This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COUNTA(Juin[[#This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COUNTA(Juin[[#This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COUNTA(Juin[[#This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COUNTA(Juin[[#This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COUNTA(Juin[[#This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COUNTA(Juin[[#This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COUNTA(Juin[[#This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COUNTA(Juin[[#This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COUNTA(Juin[[#This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COUNTA(Juin[[#This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COUNTA(Juin[[#This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COUNTA(Juin[[#This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COUNTA(Juin[[#This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COUNTA(Juin[[#This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COUNTA(Juin[[#This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COUNTA(Juin[[#This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COUNTA(Juin[[#This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COUNTA(Juin[[#This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COUNTA(Juin[[#This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COUNTA(Juin[[#This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COUNTA(Juin[[#This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COUNTA(Juin[[#This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COUNTA(Juin[[#This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COUNTA(Juin[[#This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COUNTA(Juin[[#This Row],[1]:[31]])</f>
        <v>0</v>
      </c>
    </row>
    <row r="37" spans="2:34" ht="30" customHeight="1" x14ac:dyDescent="0.25">
      <c r="B37" s="17" t="str">
        <f>NomMois&amp;" Total"</f>
        <v>Juin Total</v>
      </c>
      <c r="C37" s="11">
        <f>SUBTOTAL(103,Juin[1])</f>
        <v>0</v>
      </c>
      <c r="D37" s="11">
        <f>SUBTOTAL(103,Juin[2])</f>
        <v>0</v>
      </c>
      <c r="E37" s="11">
        <f>SUBTOTAL(103,Juin[3])</f>
        <v>0</v>
      </c>
      <c r="F37" s="11">
        <f>SUBTOTAL(103,Juin[4])</f>
        <v>0</v>
      </c>
      <c r="G37" s="11">
        <f>SUBTOTAL(103,Juin[5])</f>
        <v>0</v>
      </c>
      <c r="H37" s="11">
        <f>SUBTOTAL(103,Juin[6])</f>
        <v>0</v>
      </c>
      <c r="I37" s="11">
        <f>SUBTOTAL(103,Juin[7])</f>
        <v>0</v>
      </c>
      <c r="J37" s="11">
        <f>SUBTOTAL(103,Juin[8])</f>
        <v>0</v>
      </c>
      <c r="K37" s="11">
        <f>SUBTOTAL(103,Juin[9])</f>
        <v>0</v>
      </c>
      <c r="L37" s="11">
        <f>SUBTOTAL(103,Juin[10])</f>
        <v>0</v>
      </c>
      <c r="M37" s="11">
        <f>SUBTOTAL(103,Juin[11])</f>
        <v>0</v>
      </c>
      <c r="N37" s="11">
        <f>SUBTOTAL(103,Juin[12])</f>
        <v>0</v>
      </c>
      <c r="O37" s="11">
        <f>SUBTOTAL(103,Juin[13])</f>
        <v>0</v>
      </c>
      <c r="P37" s="11">
        <f>SUBTOTAL(103,Juin[14])</f>
        <v>0</v>
      </c>
      <c r="Q37" s="11">
        <f>SUBTOTAL(103,Juin[15])</f>
        <v>0</v>
      </c>
      <c r="R37" s="11">
        <f>SUBTOTAL(103,Juin[16])</f>
        <v>0</v>
      </c>
      <c r="S37" s="11">
        <f>SUBTOTAL(103,Juin[17])</f>
        <v>0</v>
      </c>
      <c r="T37" s="11">
        <f>SUBTOTAL(103,Juin[18])</f>
        <v>0</v>
      </c>
      <c r="U37" s="11">
        <f>SUBTOTAL(103,Juin[19])</f>
        <v>0</v>
      </c>
      <c r="V37" s="11">
        <f>SUBTOTAL(103,Juin[20])</f>
        <v>0</v>
      </c>
      <c r="W37" s="11">
        <f>SUBTOTAL(103,Juin[21])</f>
        <v>0</v>
      </c>
      <c r="X37" s="11">
        <f>SUBTOTAL(103,Juin[22])</f>
        <v>0</v>
      </c>
      <c r="Y37" s="11">
        <f>SUBTOTAL(103,Juin[23])</f>
        <v>0</v>
      </c>
      <c r="Z37" s="11">
        <f>SUBTOTAL(103,Juin[24])</f>
        <v>0</v>
      </c>
      <c r="AA37" s="11">
        <f>SUBTOTAL(103,Juin[25])</f>
        <v>0</v>
      </c>
      <c r="AB37" s="11">
        <f>SUBTOTAL(103,Juin[26])</f>
        <v>0</v>
      </c>
      <c r="AC37" s="11">
        <f>SUBTOTAL(103,Juin[27])</f>
        <v>0</v>
      </c>
      <c r="AD37" s="11">
        <f>SUBTOTAL(103,Juin[28])</f>
        <v>0</v>
      </c>
      <c r="AE37" s="11">
        <f>SUBTOTAL(103,Juin[29])</f>
        <v>0</v>
      </c>
      <c r="AF37" s="11">
        <f>SUBTOTAL(109,Juin[30])</f>
        <v>0</v>
      </c>
      <c r="AG37" s="11">
        <f>SUBTOTAL(109,Juin[31])</f>
        <v>0</v>
      </c>
      <c r="AH37" s="11">
        <f>SUBTOTAL(109,Juin[Total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{5E94D469-7B22-408B-924D-8DC8A136AD3B}</x14:id>
        </ext>
      </extLst>
    </cfRule>
  </conditionalFormatting>
  <conditionalFormatting sqref="C7:AG36">
    <cfRule type="expression" priority="2" stopIfTrue="1">
      <formula>C7=""</formula>
    </cfRule>
    <cfRule type="expression" dxfId="531" priority="4" stopIfTrue="1">
      <formula>C7=CléPersonnalisée2</formula>
    </cfRule>
    <cfRule type="expression" dxfId="530" priority="5" stopIfTrue="1">
      <formula>C7=CléPersonnalisée1</formula>
    </cfRule>
    <cfRule type="expression" dxfId="529" priority="6" stopIfTrue="1">
      <formula>C7=CléMaladie</formula>
    </cfRule>
    <cfRule type="expression" dxfId="528" priority="7" stopIfTrue="1">
      <formula>C7=CléPersonnel</formula>
    </cfRule>
    <cfRule type="expression" dxfId="527" priority="8" stopIfTrue="1">
      <formula>C7=CléCongé</formula>
    </cfRule>
  </conditionalFormatting>
  <conditionalFormatting sqref="C7:AG36">
    <cfRule type="expression" dxfId="526" priority="3">
      <formula>C7=CléPersonnalisée3</formula>
    </cfRule>
  </conditionalFormatting>
  <conditionalFormatting sqref="C37:AG37">
    <cfRule type="cellIs" dxfId="525" priority="1" operator="greaterThan">
      <formula>2</formula>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juin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5E94D469-7B22-408B-924D-8DC8A136AD3B}">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1"/>
    <pageSetUpPr fitToPage="1"/>
  </sheetPr>
  <dimension ref="A1:AH37"/>
  <sheetViews>
    <sheetView showGridLines="0" zoomScaleNormal="100" workbookViewId="0">
      <pane xSplit="1" ySplit="6" topLeftCell="B28"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48</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TEXT(WEEKDAY(DATE(AnnéeCalendrier,7,1),1),"jjj")</f>
        <v>lun</v>
      </c>
      <c r="D5" s="1" t="str">
        <f>TEXT(WEEKDAY(DATE(AnnéeCalendrier,7,2),1),"jjj")</f>
        <v>mar</v>
      </c>
      <c r="E5" s="1" t="str">
        <f>TEXT(WEEKDAY(DATE(AnnéeCalendrier,7,3),1),"jjj")</f>
        <v>mer</v>
      </c>
      <c r="F5" s="1" t="str">
        <f>TEXT(WEEKDAY(DATE(AnnéeCalendrier,7,4),1),"jjj")</f>
        <v>jeu</v>
      </c>
      <c r="G5" s="1" t="str">
        <f>TEXT(WEEKDAY(DATE(AnnéeCalendrier,7,5),1),"jjj")</f>
        <v>ven</v>
      </c>
      <c r="H5" s="1" t="str">
        <f>TEXT(WEEKDAY(DATE(AnnéeCalendrier,7,6),1),"jjj")</f>
        <v>sam</v>
      </c>
      <c r="I5" s="1" t="str">
        <f>TEXT(WEEKDAY(DATE(AnnéeCalendrier,7,7),1),"jjj")</f>
        <v>dim</v>
      </c>
      <c r="J5" s="1" t="str">
        <f>TEXT(WEEKDAY(DATE(AnnéeCalendrier,7,8),1),"jjj")</f>
        <v>lun</v>
      </c>
      <c r="K5" s="1" t="str">
        <f>TEXT(WEEKDAY(DATE(AnnéeCalendrier,7,9),1),"jjj")</f>
        <v>mar</v>
      </c>
      <c r="L5" s="1" t="str">
        <f>TEXT(WEEKDAY(DATE(AnnéeCalendrier,7,10),1),"jjj")</f>
        <v>mer</v>
      </c>
      <c r="M5" s="1" t="str">
        <f>TEXT(WEEKDAY(DATE(AnnéeCalendrier,7,11),1),"jjj")</f>
        <v>jeu</v>
      </c>
      <c r="N5" s="1" t="str">
        <f>TEXT(WEEKDAY(DATE(AnnéeCalendrier,7,12),1),"jjj")</f>
        <v>ven</v>
      </c>
      <c r="O5" s="1" t="str">
        <f>TEXT(WEEKDAY(DATE(AnnéeCalendrier,7,13),1),"jjj")</f>
        <v>sam</v>
      </c>
      <c r="P5" s="1" t="str">
        <f>TEXT(WEEKDAY(DATE(AnnéeCalendrier,7,14),1),"jjj")</f>
        <v>dim</v>
      </c>
      <c r="Q5" s="1" t="str">
        <f>TEXT(WEEKDAY(DATE(AnnéeCalendrier,7,15),1),"jjj")</f>
        <v>lun</v>
      </c>
      <c r="R5" s="1" t="str">
        <f>TEXT(WEEKDAY(DATE(AnnéeCalendrier,7,16),1),"jjj")</f>
        <v>mar</v>
      </c>
      <c r="S5" s="1" t="str">
        <f>TEXT(WEEKDAY(DATE(AnnéeCalendrier,7,17),1),"jjj")</f>
        <v>mer</v>
      </c>
      <c r="T5" s="1" t="str">
        <f>TEXT(WEEKDAY(DATE(AnnéeCalendrier,7,18),1),"jjj")</f>
        <v>jeu</v>
      </c>
      <c r="U5" s="1" t="str">
        <f>TEXT(WEEKDAY(DATE(AnnéeCalendrier,7,19),1),"jjj")</f>
        <v>ven</v>
      </c>
      <c r="V5" s="1" t="str">
        <f>TEXT(WEEKDAY(DATE(AnnéeCalendrier,7,20),1),"jjj")</f>
        <v>sam</v>
      </c>
      <c r="W5" s="1" t="str">
        <f>TEXT(WEEKDAY(DATE(AnnéeCalendrier,7,21),1),"jjj")</f>
        <v>dim</v>
      </c>
      <c r="X5" s="1" t="str">
        <f>TEXT(WEEKDAY(DATE(AnnéeCalendrier,7,22),1),"jjj")</f>
        <v>lun</v>
      </c>
      <c r="Y5" s="1" t="str">
        <f>TEXT(WEEKDAY(DATE(AnnéeCalendrier,7,23),1),"jjj")</f>
        <v>mar</v>
      </c>
      <c r="Z5" s="1" t="str">
        <f>TEXT(WEEKDAY(DATE(AnnéeCalendrier,7,24),1),"jjj")</f>
        <v>mer</v>
      </c>
      <c r="AA5" s="1" t="str">
        <f>TEXT(WEEKDAY(DATE(AnnéeCalendrier,7,25),1),"jjj")</f>
        <v>jeu</v>
      </c>
      <c r="AB5" s="1" t="str">
        <f>TEXT(WEEKDAY(DATE(AnnéeCalendrier,7,26),1),"jjj")</f>
        <v>ven</v>
      </c>
      <c r="AC5" s="1" t="str">
        <f>TEXT(WEEKDAY(DATE(AnnéeCalendrier,7,27),1),"jjj")</f>
        <v>sam</v>
      </c>
      <c r="AD5" s="1" t="str">
        <f>TEXT(WEEKDAY(DATE(AnnéeCalendrier,7,28),1),"jjj")</f>
        <v>dim</v>
      </c>
      <c r="AE5" s="1" t="str">
        <f>TEXT(WEEKDAY(DATE(AnnéeCalendrier,7,29),1),"jjj")</f>
        <v>lun</v>
      </c>
      <c r="AF5" s="1" t="str">
        <f>TEXT(WEEKDAY(DATE(AnnéeCalendrier,7,30),1),"jjj")</f>
        <v>mar</v>
      </c>
      <c r="AG5" s="1" t="str">
        <f>TEXT(WEEKDAY(DATE(AnnéeCalendrier,7,31),1),"jjj")</f>
        <v>mer</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COUNTA(Juillet[[#This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COUNTA(Juillet[[#This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COUNTA(Juillet[[#This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COUNTA(Juillet[[#This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COUNTA(Juillet[[#This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COUNTA(Juillet[[#This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COUNTA(Juillet[[#This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COUNTA(Juillet[[#This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COUNTA(Juillet[[#This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COUNTA(Juillet[[#This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COUNTA(Juillet[[#This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COUNTA(Juillet[[#This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COUNTA(Juillet[[#This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COUNTA(Juillet[[#This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COUNTA(Juillet[[#This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COUNTA(Juillet[[#This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COUNTA(Juillet[[#This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COUNTA(Juillet[[#This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COUNTA(Juillet[[#This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COUNTA(Juillet[[#This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COUNTA(Juillet[[#This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COUNTA(Juillet[[#This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COUNTA(Juillet[[#This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COUNTA(Juillet[[#This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COUNTA(Juillet[[#This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COUNTA(Juillet[[#This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COUNTA(Juillet[[#This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COUNTA(Juillet[[#This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COUNTA(Juillet[[#This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COUNTA(Juillet[[#This Row],[1]:[31]])</f>
        <v>0</v>
      </c>
    </row>
    <row r="37" spans="2:34" ht="30" customHeight="1" x14ac:dyDescent="0.25">
      <c r="B37" s="17" t="str">
        <f>NomMois&amp;" Total"</f>
        <v>Juillet Total</v>
      </c>
      <c r="C37" s="11">
        <f>SUBTOTAL(103,Juillet[1])</f>
        <v>0</v>
      </c>
      <c r="D37" s="11">
        <f>SUBTOTAL(103,Juillet[2])</f>
        <v>0</v>
      </c>
      <c r="E37" s="11">
        <f>SUBTOTAL(103,Juillet[3])</f>
        <v>0</v>
      </c>
      <c r="F37" s="11">
        <f>SUBTOTAL(103,Juillet[4])</f>
        <v>0</v>
      </c>
      <c r="G37" s="11">
        <f>SUBTOTAL(103,Juillet[5])</f>
        <v>0</v>
      </c>
      <c r="H37" s="11">
        <f>SUBTOTAL(103,Juillet[6])</f>
        <v>0</v>
      </c>
      <c r="I37" s="11">
        <f>SUBTOTAL(103,Juillet[7])</f>
        <v>0</v>
      </c>
      <c r="J37" s="11">
        <f>SUBTOTAL(103,Juillet[8])</f>
        <v>0</v>
      </c>
      <c r="K37" s="11">
        <f>SUBTOTAL(103,Juillet[9])</f>
        <v>0</v>
      </c>
      <c r="L37" s="11">
        <f>SUBTOTAL(103,Juillet[10])</f>
        <v>0</v>
      </c>
      <c r="M37" s="11">
        <f>SUBTOTAL(103,Juillet[11])</f>
        <v>0</v>
      </c>
      <c r="N37" s="11">
        <f>SUBTOTAL(103,Juillet[12])</f>
        <v>0</v>
      </c>
      <c r="O37" s="11">
        <f>SUBTOTAL(103,Juillet[13])</f>
        <v>0</v>
      </c>
      <c r="P37" s="11">
        <f>SUBTOTAL(103,Juillet[14])</f>
        <v>0</v>
      </c>
      <c r="Q37" s="11">
        <f>SUBTOTAL(103,Juillet[15])</f>
        <v>0</v>
      </c>
      <c r="R37" s="11">
        <f>SUBTOTAL(103,Juillet[16])</f>
        <v>0</v>
      </c>
      <c r="S37" s="11">
        <f>SUBTOTAL(103,Juillet[17])</f>
        <v>0</v>
      </c>
      <c r="T37" s="11">
        <f>SUBTOTAL(103,Juillet[18])</f>
        <v>0</v>
      </c>
      <c r="U37" s="11">
        <f>SUBTOTAL(103,Juillet[19])</f>
        <v>0</v>
      </c>
      <c r="V37" s="11">
        <f>SUBTOTAL(103,Juillet[20])</f>
        <v>0</v>
      </c>
      <c r="W37" s="11">
        <f>SUBTOTAL(103,Juillet[21])</f>
        <v>0</v>
      </c>
      <c r="X37" s="11">
        <f>SUBTOTAL(103,Juillet[22])</f>
        <v>0</v>
      </c>
      <c r="Y37" s="11">
        <f>SUBTOTAL(103,Juillet[23])</f>
        <v>0</v>
      </c>
      <c r="Z37" s="11">
        <f>SUBTOTAL(103,Juillet[24])</f>
        <v>0</v>
      </c>
      <c r="AA37" s="11">
        <f>SUBTOTAL(103,Juillet[25])</f>
        <v>0</v>
      </c>
      <c r="AB37" s="11">
        <f>SUBTOTAL(103,Juillet[26])</f>
        <v>0</v>
      </c>
      <c r="AC37" s="11">
        <f>SUBTOTAL(103,Juillet[27])</f>
        <v>0</v>
      </c>
      <c r="AD37" s="11">
        <f>SUBTOTAL(103,Juillet[28])</f>
        <v>0</v>
      </c>
      <c r="AE37" s="11">
        <f>SUBTOTAL(103,Juillet[29])</f>
        <v>0</v>
      </c>
      <c r="AF37" s="11">
        <f>SUBTOTAL(109,Juillet[30])</f>
        <v>0</v>
      </c>
      <c r="AG37" s="11">
        <f>SUBTOTAL(109,Juillet[31])</f>
        <v>0</v>
      </c>
      <c r="AH37" s="11">
        <f>SUBTOTAL(109,Juillet[Total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{254B88EB-3F38-498B-8962-F28560080902}</x14:id>
        </ext>
      </extLst>
    </cfRule>
  </conditionalFormatting>
  <conditionalFormatting sqref="C7:AG36">
    <cfRule type="expression" priority="2" stopIfTrue="1">
      <formula>C7=""</formula>
    </cfRule>
    <cfRule type="expression" dxfId="455" priority="4" stopIfTrue="1">
      <formula>C7=CléPersonnalisée2</formula>
    </cfRule>
    <cfRule type="expression" dxfId="454" priority="5" stopIfTrue="1">
      <formula>C7=CléPersonnalisée1</formula>
    </cfRule>
    <cfRule type="expression" dxfId="453" priority="6" stopIfTrue="1">
      <formula>C7=CléMaladie</formula>
    </cfRule>
    <cfRule type="expression" dxfId="452" priority="7" stopIfTrue="1">
      <formula>C7=CléPersonnel</formula>
    </cfRule>
    <cfRule type="expression" dxfId="451" priority="8" stopIfTrue="1">
      <formula>C7=CléCongé</formula>
    </cfRule>
  </conditionalFormatting>
  <conditionalFormatting sqref="C7:AG36">
    <cfRule type="expression" dxfId="450" priority="3">
      <formula>C7=CléPersonnalisée3</formula>
    </cfRule>
  </conditionalFormatting>
  <conditionalFormatting sqref="C37:AG37">
    <cfRule type="cellIs" dxfId="449"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juillet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254B88EB-3F38-498B-8962-F28560080902}">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2" tint="-0.749992370372631"/>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49</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TEXT(WEEKDAY(DATE(AnnéeCalendrier,8,1),1),"jjj")</f>
        <v>jeu</v>
      </c>
      <c r="D5" s="1" t="str">
        <f>TEXT(WEEKDAY(DATE(AnnéeCalendrier,8,2),1),"jjj")</f>
        <v>ven</v>
      </c>
      <c r="E5" s="1" t="str">
        <f>TEXT(WEEKDAY(DATE(AnnéeCalendrier,8,3),1),"jjj")</f>
        <v>sam</v>
      </c>
      <c r="F5" s="1" t="str">
        <f>TEXT(WEEKDAY(DATE(AnnéeCalendrier,8,4),1),"jjj")</f>
        <v>dim</v>
      </c>
      <c r="G5" s="1" t="str">
        <f>TEXT(WEEKDAY(DATE(AnnéeCalendrier,8,5),1),"jjj")</f>
        <v>lun</v>
      </c>
      <c r="H5" s="1" t="str">
        <f>TEXT(WEEKDAY(DATE(AnnéeCalendrier,8,6),1),"jjj")</f>
        <v>mar</v>
      </c>
      <c r="I5" s="1" t="str">
        <f>TEXT(WEEKDAY(DATE(AnnéeCalendrier,8,7),1),"jjj")</f>
        <v>mer</v>
      </c>
      <c r="J5" s="1" t="str">
        <f>TEXT(WEEKDAY(DATE(AnnéeCalendrier,8,8),1),"jjj")</f>
        <v>jeu</v>
      </c>
      <c r="K5" s="1" t="str">
        <f>TEXT(WEEKDAY(DATE(AnnéeCalendrier,8,9),1),"jjj")</f>
        <v>ven</v>
      </c>
      <c r="L5" s="1" t="str">
        <f>TEXT(WEEKDAY(DATE(AnnéeCalendrier,8,10),1),"jjj")</f>
        <v>sam</v>
      </c>
      <c r="M5" s="1" t="str">
        <f>TEXT(WEEKDAY(DATE(AnnéeCalendrier,8,11),1),"jjj")</f>
        <v>dim</v>
      </c>
      <c r="N5" s="1" t="str">
        <f>TEXT(WEEKDAY(DATE(AnnéeCalendrier,8,12),1),"jjj")</f>
        <v>lun</v>
      </c>
      <c r="O5" s="1" t="str">
        <f>TEXT(WEEKDAY(DATE(AnnéeCalendrier,8,13),1),"jjj")</f>
        <v>mar</v>
      </c>
      <c r="P5" s="1" t="str">
        <f>TEXT(WEEKDAY(DATE(AnnéeCalendrier,8,14),1),"jjj")</f>
        <v>mer</v>
      </c>
      <c r="Q5" s="1" t="str">
        <f>TEXT(WEEKDAY(DATE(AnnéeCalendrier,8,15),1),"jjj")</f>
        <v>jeu</v>
      </c>
      <c r="R5" s="1" t="str">
        <f>TEXT(WEEKDAY(DATE(AnnéeCalendrier,8,16),1),"jjj")</f>
        <v>ven</v>
      </c>
      <c r="S5" s="1" t="str">
        <f>TEXT(WEEKDAY(DATE(AnnéeCalendrier,8,17),1),"jjj")</f>
        <v>sam</v>
      </c>
      <c r="T5" s="1" t="str">
        <f>TEXT(WEEKDAY(DATE(AnnéeCalendrier,8,18),1),"jjj")</f>
        <v>dim</v>
      </c>
      <c r="U5" s="1" t="str">
        <f>TEXT(WEEKDAY(DATE(AnnéeCalendrier,8,19),1),"jjj")</f>
        <v>lun</v>
      </c>
      <c r="V5" s="1" t="str">
        <f>TEXT(WEEKDAY(DATE(AnnéeCalendrier,8,20),1),"jjj")</f>
        <v>mar</v>
      </c>
      <c r="W5" s="1" t="str">
        <f>TEXT(WEEKDAY(DATE(AnnéeCalendrier,8,21),1),"jjj")</f>
        <v>mer</v>
      </c>
      <c r="X5" s="1" t="str">
        <f>TEXT(WEEKDAY(DATE(AnnéeCalendrier,8,22),1),"jjj")</f>
        <v>jeu</v>
      </c>
      <c r="Y5" s="1" t="str">
        <f>TEXT(WEEKDAY(DATE(AnnéeCalendrier,8,23),1),"jjj")</f>
        <v>ven</v>
      </c>
      <c r="Z5" s="1" t="str">
        <f>TEXT(WEEKDAY(DATE(AnnéeCalendrier,8,24),1),"jjj")</f>
        <v>sam</v>
      </c>
      <c r="AA5" s="1" t="str">
        <f>TEXT(WEEKDAY(DATE(AnnéeCalendrier,8,25),1),"jjj")</f>
        <v>dim</v>
      </c>
      <c r="AB5" s="1" t="str">
        <f>TEXT(WEEKDAY(DATE(AnnéeCalendrier,8,26),1),"jjj")</f>
        <v>lun</v>
      </c>
      <c r="AC5" s="1" t="str">
        <f>TEXT(WEEKDAY(DATE(AnnéeCalendrier,8,27),1),"jjj")</f>
        <v>mar</v>
      </c>
      <c r="AD5" s="1" t="str">
        <f>TEXT(WEEKDAY(DATE(AnnéeCalendrier,8,28),1),"jjj")</f>
        <v>mer</v>
      </c>
      <c r="AE5" s="1" t="str">
        <f>TEXT(WEEKDAY(DATE(AnnéeCalendrier,8,29),1),"jjj")</f>
        <v>jeu</v>
      </c>
      <c r="AF5" s="1" t="str">
        <f>TEXT(WEEKDAY(DATE(AnnéeCalendrier,8,30),1),"jjj")</f>
        <v>ven</v>
      </c>
      <c r="AG5" s="1" t="str">
        <f>TEXT(WEEKDAY(DATE(AnnéeCalendrier,8,31),1),"jjj")</f>
        <v>sam</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COUNTA(Août[[#This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COUNTA(Août[[#This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COUNTA(Août[[#This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COUNTA(Août[[#This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COUNTA(Août[[#This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COUNTA(Août[[#This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COUNTA(Août[[#This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COUNTA(Août[[#This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COUNTA(Août[[#This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COUNTA(Août[[#This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COUNTA(Août[[#This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COUNTA(Août[[#This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COUNTA(Août[[#This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COUNTA(Août[[#This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COUNTA(Août[[#This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COUNTA(Août[[#This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COUNTA(Août[[#This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COUNTA(Août[[#This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COUNTA(Août[[#This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COUNTA(Août[[#This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COUNTA(Août[[#This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COUNTA(Août[[#This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COUNTA(Août[[#This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COUNTA(Août[[#This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COUNTA(Août[[#This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COUNTA(Août[[#This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COUNTA(Août[[#This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COUNTA(Août[[#This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COUNTA(Août[[#This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COUNTA(Août[[#This Row],[1]:[31]])</f>
        <v>0</v>
      </c>
    </row>
    <row r="37" spans="2:34" ht="30" customHeight="1" x14ac:dyDescent="0.25">
      <c r="B37" s="17" t="str">
        <f>NomMois&amp;" Total"</f>
        <v>Août Total</v>
      </c>
      <c r="C37" s="11">
        <f>SUBTOTAL(103,Août[1])</f>
        <v>0</v>
      </c>
      <c r="D37" s="11">
        <f>SUBTOTAL(103,Août[2])</f>
        <v>0</v>
      </c>
      <c r="E37" s="11">
        <f>SUBTOTAL(103,Août[3])</f>
        <v>0</v>
      </c>
      <c r="F37" s="11">
        <f>SUBTOTAL(103,Août[4])</f>
        <v>0</v>
      </c>
      <c r="G37" s="11">
        <f>SUBTOTAL(103,Août[5])</f>
        <v>0</v>
      </c>
      <c r="H37" s="11">
        <f>SUBTOTAL(103,Août[6])</f>
        <v>0</v>
      </c>
      <c r="I37" s="11">
        <f>SUBTOTAL(103,Août[7])</f>
        <v>0</v>
      </c>
      <c r="J37" s="11">
        <f>SUBTOTAL(103,Août[8])</f>
        <v>0</v>
      </c>
      <c r="K37" s="11">
        <f>SUBTOTAL(103,Août[9])</f>
        <v>0</v>
      </c>
      <c r="L37" s="11">
        <f>SUBTOTAL(103,Août[10])</f>
        <v>0</v>
      </c>
      <c r="M37" s="11">
        <f>SUBTOTAL(103,Août[11])</f>
        <v>0</v>
      </c>
      <c r="N37" s="11">
        <f>SUBTOTAL(103,Août[12])</f>
        <v>0</v>
      </c>
      <c r="O37" s="11">
        <f>SUBTOTAL(103,Août[13])</f>
        <v>0</v>
      </c>
      <c r="P37" s="11">
        <f>SUBTOTAL(103,Août[14])</f>
        <v>0</v>
      </c>
      <c r="Q37" s="11">
        <f>SUBTOTAL(103,Août[15])</f>
        <v>0</v>
      </c>
      <c r="R37" s="11">
        <f>SUBTOTAL(103,Août[16])</f>
        <v>0</v>
      </c>
      <c r="S37" s="11">
        <f>SUBTOTAL(103,Août[17])</f>
        <v>0</v>
      </c>
      <c r="T37" s="11">
        <f>SUBTOTAL(103,Août[18])</f>
        <v>0</v>
      </c>
      <c r="U37" s="11">
        <f>SUBTOTAL(103,Août[19])</f>
        <v>0</v>
      </c>
      <c r="V37" s="11">
        <f>SUBTOTAL(103,Août[20])</f>
        <v>0</v>
      </c>
      <c r="W37" s="11">
        <f>SUBTOTAL(103,Août[21])</f>
        <v>0</v>
      </c>
      <c r="X37" s="11">
        <f>SUBTOTAL(103,Août[22])</f>
        <v>0</v>
      </c>
      <c r="Y37" s="11">
        <f>SUBTOTAL(103,Août[23])</f>
        <v>0</v>
      </c>
      <c r="Z37" s="11">
        <f>SUBTOTAL(103,Août[24])</f>
        <v>0</v>
      </c>
      <c r="AA37" s="11">
        <f>SUBTOTAL(103,Août[25])</f>
        <v>0</v>
      </c>
      <c r="AB37" s="11">
        <f>SUBTOTAL(103,Août[26])</f>
        <v>0</v>
      </c>
      <c r="AC37" s="11">
        <f>SUBTOTAL(103,Août[27])</f>
        <v>0</v>
      </c>
      <c r="AD37" s="11">
        <f>SUBTOTAL(103,Août[28])</f>
        <v>0</v>
      </c>
      <c r="AE37" s="11">
        <f>SUBTOTAL(103,Août[29])</f>
        <v>0</v>
      </c>
      <c r="AF37" s="11">
        <f>SUBTOTAL(109,Août[30])</f>
        <v>0</v>
      </c>
      <c r="AG37" s="11">
        <f>SUBTOTAL(109,Août[31])</f>
        <v>0</v>
      </c>
      <c r="AH37" s="11">
        <f>SUBTOTAL(109,Août[Total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{09900229-9536-43AB-AAE0-FC121BDECD61}</x14:id>
        </ext>
      </extLst>
    </cfRule>
  </conditionalFormatting>
  <conditionalFormatting sqref="C7:AG36">
    <cfRule type="expression" priority="2" stopIfTrue="1">
      <formula>C7=""</formula>
    </cfRule>
    <cfRule type="expression" dxfId="379" priority="4" stopIfTrue="1">
      <formula>C7=CléPersonnalisée2</formula>
    </cfRule>
    <cfRule type="expression" dxfId="378" priority="5" stopIfTrue="1">
      <formula>C7=CléPersonnalisée1</formula>
    </cfRule>
    <cfRule type="expression" dxfId="377" priority="6" stopIfTrue="1">
      <formula>C7=CléMaladie</formula>
    </cfRule>
    <cfRule type="expression" dxfId="376" priority="7" stopIfTrue="1">
      <formula>C7=CléPersonnel</formula>
    </cfRule>
    <cfRule type="expression" dxfId="375" priority="8" stopIfTrue="1">
      <formula>C7=CléCongé</formula>
    </cfRule>
  </conditionalFormatting>
  <conditionalFormatting sqref="C7:AG36">
    <cfRule type="expression" dxfId="374" priority="3">
      <formula>C7=CléPersonnalisée3</formula>
    </cfRule>
  </conditionalFormatting>
  <conditionalFormatting sqref="C37:AG37">
    <cfRule type="cellIs" dxfId="373" priority="1" operator="greaterThan">
      <formula>2</formula>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oût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Cette ligne définit les clés utilisées dans le tableau : Congé en C2, Personnel en F2 et Congé maladie en J2. Les cellules M2 et R2 sont personnalisables " sqref="B2"/>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09900229-9536-43AB-AAE0-FC121BDECD61}">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2" tint="-0.499984740745262"/>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50</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TEXT(WEEKDAY(DATE(AnnéeCalendrier,9,1),1),"jjj")</f>
        <v>dim</v>
      </c>
      <c r="D5" s="1" t="str">
        <f>TEXT(WEEKDAY(DATE(AnnéeCalendrier,9,2),1),"jjj")</f>
        <v>lun</v>
      </c>
      <c r="E5" s="1" t="str">
        <f>TEXT(WEEKDAY(DATE(AnnéeCalendrier,9,3),1),"jjj")</f>
        <v>mar</v>
      </c>
      <c r="F5" s="1" t="str">
        <f>TEXT(WEEKDAY(DATE(AnnéeCalendrier,9,4),1),"jjj")</f>
        <v>mer</v>
      </c>
      <c r="G5" s="1" t="str">
        <f>TEXT(WEEKDAY(DATE(AnnéeCalendrier,9,5),1),"jjj")</f>
        <v>jeu</v>
      </c>
      <c r="H5" s="1" t="str">
        <f>TEXT(WEEKDAY(DATE(AnnéeCalendrier,9,6),1),"jjj")</f>
        <v>ven</v>
      </c>
      <c r="I5" s="1" t="str">
        <f>TEXT(WEEKDAY(DATE(AnnéeCalendrier,9,7),1),"jjj")</f>
        <v>sam</v>
      </c>
      <c r="J5" s="1" t="str">
        <f>TEXT(WEEKDAY(DATE(AnnéeCalendrier,9,8),1),"jjj")</f>
        <v>dim</v>
      </c>
      <c r="K5" s="1" t="str">
        <f>TEXT(WEEKDAY(DATE(AnnéeCalendrier,9,9),1),"jjj")</f>
        <v>lun</v>
      </c>
      <c r="L5" s="1" t="str">
        <f>TEXT(WEEKDAY(DATE(AnnéeCalendrier,9,10),1),"jjj")</f>
        <v>mar</v>
      </c>
      <c r="M5" s="1" t="str">
        <f>TEXT(WEEKDAY(DATE(AnnéeCalendrier,9,11),1),"jjj")</f>
        <v>mer</v>
      </c>
      <c r="N5" s="1" t="str">
        <f>TEXT(WEEKDAY(DATE(AnnéeCalendrier,9,12),1),"jjj")</f>
        <v>jeu</v>
      </c>
      <c r="O5" s="1" t="str">
        <f>TEXT(WEEKDAY(DATE(AnnéeCalendrier,9,13),1),"jjj")</f>
        <v>ven</v>
      </c>
      <c r="P5" s="1" t="str">
        <f>TEXT(WEEKDAY(DATE(AnnéeCalendrier,9,14),1),"jjj")</f>
        <v>sam</v>
      </c>
      <c r="Q5" s="1" t="str">
        <f>TEXT(WEEKDAY(DATE(AnnéeCalendrier,9,15),1),"jjj")</f>
        <v>dim</v>
      </c>
      <c r="R5" s="1" t="str">
        <f>TEXT(WEEKDAY(DATE(AnnéeCalendrier,9,16),1),"jjj")</f>
        <v>lun</v>
      </c>
      <c r="S5" s="1" t="str">
        <f>TEXT(WEEKDAY(DATE(AnnéeCalendrier,9,17),1),"jjj")</f>
        <v>mar</v>
      </c>
      <c r="T5" s="1" t="str">
        <f>TEXT(WEEKDAY(DATE(AnnéeCalendrier,9,18),1),"jjj")</f>
        <v>mer</v>
      </c>
      <c r="U5" s="1" t="str">
        <f>TEXT(WEEKDAY(DATE(AnnéeCalendrier,9,19),1),"jjj")</f>
        <v>jeu</v>
      </c>
      <c r="V5" s="1" t="str">
        <f>TEXT(WEEKDAY(DATE(AnnéeCalendrier,9,20),1),"jjj")</f>
        <v>ven</v>
      </c>
      <c r="W5" s="1" t="str">
        <f>TEXT(WEEKDAY(DATE(AnnéeCalendrier,9,21),1),"jjj")</f>
        <v>sam</v>
      </c>
      <c r="X5" s="1" t="str">
        <f>TEXT(WEEKDAY(DATE(AnnéeCalendrier,9,22),1),"jjj")</f>
        <v>dim</v>
      </c>
      <c r="Y5" s="1" t="str">
        <f>TEXT(WEEKDAY(DATE(AnnéeCalendrier,9,23),1),"jjj")</f>
        <v>lun</v>
      </c>
      <c r="Z5" s="1" t="str">
        <f>TEXT(WEEKDAY(DATE(AnnéeCalendrier,9,24),1),"jjj")</f>
        <v>mar</v>
      </c>
      <c r="AA5" s="1" t="str">
        <f>TEXT(WEEKDAY(DATE(AnnéeCalendrier,9,25),1),"jjj")</f>
        <v>mer</v>
      </c>
      <c r="AB5" s="1" t="str">
        <f>TEXT(WEEKDAY(DATE(AnnéeCalendrier,9,26),1),"jjj")</f>
        <v>jeu</v>
      </c>
      <c r="AC5" s="1" t="str">
        <f>TEXT(WEEKDAY(DATE(AnnéeCalendrier,9,27),1),"jjj")</f>
        <v>ven</v>
      </c>
      <c r="AD5" s="1" t="str">
        <f>TEXT(WEEKDAY(DATE(AnnéeCalendrier,9,28),1),"jjj")</f>
        <v>sam</v>
      </c>
      <c r="AE5" s="1" t="str">
        <f>TEXT(WEEKDAY(DATE(AnnéeCalendrier,9,29),1),"jjj")</f>
        <v>dim</v>
      </c>
      <c r="AF5" s="1" t="str">
        <f>TEXT(WEEKDAY(DATE(AnnéeCalendrier,9,30),1),"jjj")</f>
        <v>lun</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COUNTA(Septembre[[#This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COUNTA(Septembre[[#This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COUNTA(Septembre[[#This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COUNTA(Septembre[[#This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COUNTA(Septembre[[#This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COUNTA(Septembre[[#This Row],[1]:[31]])</f>
        <v>0</v>
      </c>
    </row>
    <row r="13" spans="2:34" ht="15" x14ac:dyDescent="0.25">
      <c r="B13" s="19" t="str">
        <f>Paramètre!$A21</f>
        <v>BERRACHED Ilyes Cherif</v>
      </c>
      <c r="C13" s="21"/>
      <c r="D13" s="21"/>
      <c r="E13" s="8"/>
      <c r="F13" s="8"/>
      <c r="G13" s="8"/>
      <c r="H13" s="8"/>
      <c r="I13" s="8"/>
      <c r="J13" s="8"/>
      <c r="K13" s="8"/>
      <c r="L13" s="8"/>
      <c r="M13" s="21"/>
      <c r="N13" s="8"/>
      <c r="O13" s="8"/>
      <c r="P13" s="8"/>
      <c r="Q13" s="8"/>
      <c r="R13" s="8"/>
      <c r="S13" s="8"/>
      <c r="T13" s="8"/>
      <c r="U13" s="8"/>
      <c r="V13" s="8"/>
      <c r="W13" s="8"/>
      <c r="X13" s="8"/>
      <c r="Y13" s="8"/>
      <c r="Z13" s="8"/>
      <c r="AA13" s="8"/>
      <c r="AB13" s="8"/>
      <c r="AC13" s="8"/>
      <c r="AD13" s="8"/>
      <c r="AE13" s="8"/>
      <c r="AF13" s="8"/>
      <c r="AG13" s="8"/>
      <c r="AH13" s="8">
        <f>COUNTA(Septembre[[#This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COUNTA(Septembre[[#This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COUNTA(Septembre[[#This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COUNTA(Septembre[[#This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COUNTA(Septembre[[#This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COUNTA(Septembre[[#This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COUNTA(Septembre[[#This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COUNTA(Septembre[[#This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COUNTA(Septembre[[#This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COUNTA(Septembre[[#This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COUNTA(Septembre[[#This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COUNTA(Septembre[[#This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COUNTA(Septembre[[#This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COUNTA(Septembre[[#This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COUNTA(Septembre[[#This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COUNTA(Septembre[[#This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COUNTA(Septembre[[#This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COUNTA(Septembre[[#This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COUNTA(Septembre[[#This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COUNTA(Septembre[[#This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COUNTA(Septembre[[#This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COUNTA(Septembre[[#This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COUNTA(Septembre[[#This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COUNTA(Septembre[[#This Row],[1]:[31]])</f>
        <v>0</v>
      </c>
    </row>
    <row r="37" spans="2:34" ht="30" customHeight="1" x14ac:dyDescent="0.25">
      <c r="B37" s="17" t="str">
        <f>NomMois&amp;" Total"</f>
        <v>Septembre Total</v>
      </c>
      <c r="C37" s="11">
        <f>SUBTOTAL(103,Septembre[1])</f>
        <v>0</v>
      </c>
      <c r="D37" s="11">
        <f>SUBTOTAL(103,Septembre[2])</f>
        <v>0</v>
      </c>
      <c r="E37" s="11">
        <f>SUBTOTAL(103,Septembre[3])</f>
        <v>0</v>
      </c>
      <c r="F37" s="11">
        <f>SUBTOTAL(103,Septembre[4])</f>
        <v>0</v>
      </c>
      <c r="G37" s="11">
        <f>SUBTOTAL(103,Septembre[5])</f>
        <v>0</v>
      </c>
      <c r="H37" s="11">
        <f>SUBTOTAL(103,Septembre[6])</f>
        <v>0</v>
      </c>
      <c r="I37" s="11">
        <f>SUBTOTAL(103,Septembre[7])</f>
        <v>0</v>
      </c>
      <c r="J37" s="11">
        <f>SUBTOTAL(103,Septembre[8])</f>
        <v>0</v>
      </c>
      <c r="K37" s="11">
        <f>SUBTOTAL(103,Septembre[9])</f>
        <v>0</v>
      </c>
      <c r="L37" s="11">
        <f>SUBTOTAL(103,Septembre[10])</f>
        <v>0</v>
      </c>
      <c r="M37" s="11">
        <f>SUBTOTAL(103,Septembre[11])</f>
        <v>0</v>
      </c>
      <c r="N37" s="11">
        <f>SUBTOTAL(103,Septembre[12])</f>
        <v>0</v>
      </c>
      <c r="O37" s="11">
        <f>SUBTOTAL(103,Septembre[13])</f>
        <v>0</v>
      </c>
      <c r="P37" s="11">
        <f>SUBTOTAL(103,Septembre[14])</f>
        <v>0</v>
      </c>
      <c r="Q37" s="11">
        <f>SUBTOTAL(103,Septembre[15])</f>
        <v>0</v>
      </c>
      <c r="R37" s="11">
        <f>SUBTOTAL(103,Septembre[16])</f>
        <v>0</v>
      </c>
      <c r="S37" s="11">
        <f>SUBTOTAL(103,Septembre[17])</f>
        <v>0</v>
      </c>
      <c r="T37" s="11">
        <f>SUBTOTAL(103,Septembre[18])</f>
        <v>0</v>
      </c>
      <c r="U37" s="11">
        <f>SUBTOTAL(103,Septembre[19])</f>
        <v>0</v>
      </c>
      <c r="V37" s="11">
        <f>SUBTOTAL(103,Septembre[20])</f>
        <v>0</v>
      </c>
      <c r="W37" s="11">
        <f>SUBTOTAL(103,Septembre[21])</f>
        <v>0</v>
      </c>
      <c r="X37" s="11">
        <f>SUBTOTAL(103,Septembre[22])</f>
        <v>0</v>
      </c>
      <c r="Y37" s="11">
        <f>SUBTOTAL(103,Septembre[23])</f>
        <v>0</v>
      </c>
      <c r="Z37" s="11">
        <f>SUBTOTAL(103,Septembre[24])</f>
        <v>0</v>
      </c>
      <c r="AA37" s="11">
        <f>SUBTOTAL(103,Septembre[25])</f>
        <v>0</v>
      </c>
      <c r="AB37" s="11">
        <f>SUBTOTAL(103,Septembre[26])</f>
        <v>0</v>
      </c>
      <c r="AC37" s="11">
        <f>SUBTOTAL(103,Septembre[27])</f>
        <v>0</v>
      </c>
      <c r="AD37" s="11">
        <f>SUBTOTAL(103,Septembre[28])</f>
        <v>0</v>
      </c>
      <c r="AE37" s="11">
        <f>SUBTOTAL(103,Septembre[29])</f>
        <v>0</v>
      </c>
      <c r="AF37" s="11">
        <f>SUBTOTAL(109,Septembre[30])</f>
        <v>0</v>
      </c>
      <c r="AG37" s="11">
        <f>SUBTOTAL(109,Septembre[31])</f>
        <v>0</v>
      </c>
      <c r="AH37" s="11">
        <f>SUBTOTAL(109,Septembre[Total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{1A021984-06A1-41D9-90D2-8C16E885020B}</x14:id>
        </ext>
      </extLst>
    </cfRule>
  </conditionalFormatting>
  <conditionalFormatting sqref="C7:AG36">
    <cfRule type="expression" priority="2" stopIfTrue="1">
      <formula>C7=""</formula>
    </cfRule>
    <cfRule type="expression" dxfId="303" priority="4" stopIfTrue="1">
      <formula>C7=CléPersonnalisée2</formula>
    </cfRule>
    <cfRule type="expression" dxfId="302" priority="5" stopIfTrue="1">
      <formula>C7=CléPersonnalisée1</formula>
    </cfRule>
    <cfRule type="expression" dxfId="301" priority="6" stopIfTrue="1">
      <formula>C7=CléMaladie</formula>
    </cfRule>
    <cfRule type="expression" dxfId="300" priority="7" stopIfTrue="1">
      <formula>C7=CléPersonnel</formula>
    </cfRule>
    <cfRule type="expression" dxfId="299" priority="8" stopIfTrue="1">
      <formula>C7=CléCongé</formula>
    </cfRule>
  </conditionalFormatting>
  <conditionalFormatting sqref="C7:AG36">
    <cfRule type="expression" dxfId="298" priority="3">
      <formula>C7=CléPersonnalisée3</formula>
    </cfRule>
  </conditionalFormatting>
  <conditionalFormatting sqref="C37:AG37">
    <cfRule type="cellIs" dxfId="297"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sept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1A021984-06A1-41D9-90D2-8C16E885020B}">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2" tint="-0.249977111117893"/>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51</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TEXT(WEEKDAY(DATE(AnnéeCalendrier,10,1),1),"jjj")</f>
        <v>mar</v>
      </c>
      <c r="D5" s="1" t="str">
        <f>TEXT(WEEKDAY(DATE(AnnéeCalendrier,10,2),1),"jjj")</f>
        <v>mer</v>
      </c>
      <c r="E5" s="1" t="str">
        <f>TEXT(WEEKDAY(DATE(AnnéeCalendrier,10,3),1),"jjj")</f>
        <v>jeu</v>
      </c>
      <c r="F5" s="1" t="str">
        <f>TEXT(WEEKDAY(DATE(AnnéeCalendrier,10,4),1),"jjj")</f>
        <v>ven</v>
      </c>
      <c r="G5" s="1" t="str">
        <f>TEXT(WEEKDAY(DATE(AnnéeCalendrier,10,5),1),"jjj")</f>
        <v>sam</v>
      </c>
      <c r="H5" s="1" t="str">
        <f>TEXT(WEEKDAY(DATE(AnnéeCalendrier,10,6),1),"jjj")</f>
        <v>dim</v>
      </c>
      <c r="I5" s="1" t="str">
        <f>TEXT(WEEKDAY(DATE(AnnéeCalendrier,10,7),1),"jjj")</f>
        <v>lun</v>
      </c>
      <c r="J5" s="1" t="str">
        <f>TEXT(WEEKDAY(DATE(AnnéeCalendrier,10,8),1),"jjj")</f>
        <v>mar</v>
      </c>
      <c r="K5" s="1" t="str">
        <f>TEXT(WEEKDAY(DATE(AnnéeCalendrier,10,9),1),"jjj")</f>
        <v>mer</v>
      </c>
      <c r="L5" s="1" t="str">
        <f>TEXT(WEEKDAY(DATE(AnnéeCalendrier,10,10),1),"jjj")</f>
        <v>jeu</v>
      </c>
      <c r="M5" s="1" t="str">
        <f>TEXT(WEEKDAY(DATE(AnnéeCalendrier,10,11),1),"jjj")</f>
        <v>ven</v>
      </c>
      <c r="N5" s="1" t="str">
        <f>TEXT(WEEKDAY(DATE(AnnéeCalendrier,10,12),1),"jjj")</f>
        <v>sam</v>
      </c>
      <c r="O5" s="1" t="str">
        <f>TEXT(WEEKDAY(DATE(AnnéeCalendrier,10,13),1),"jjj")</f>
        <v>dim</v>
      </c>
      <c r="P5" s="1" t="str">
        <f>TEXT(WEEKDAY(DATE(AnnéeCalendrier,10,14),1),"jjj")</f>
        <v>lun</v>
      </c>
      <c r="Q5" s="1" t="str">
        <f>TEXT(WEEKDAY(DATE(AnnéeCalendrier,10,15),1),"jjj")</f>
        <v>mar</v>
      </c>
      <c r="R5" s="1" t="str">
        <f>TEXT(WEEKDAY(DATE(AnnéeCalendrier,10,16),1),"jjj")</f>
        <v>mer</v>
      </c>
      <c r="S5" s="1" t="str">
        <f>TEXT(WEEKDAY(DATE(AnnéeCalendrier,10,17),1),"jjj")</f>
        <v>jeu</v>
      </c>
      <c r="T5" s="1" t="str">
        <f>TEXT(WEEKDAY(DATE(AnnéeCalendrier,10,18),1),"jjj")</f>
        <v>ven</v>
      </c>
      <c r="U5" s="1" t="str">
        <f>TEXT(WEEKDAY(DATE(AnnéeCalendrier,10,19),1),"jjj")</f>
        <v>sam</v>
      </c>
      <c r="V5" s="1" t="str">
        <f>TEXT(WEEKDAY(DATE(AnnéeCalendrier,10,20),1),"jjj")</f>
        <v>dim</v>
      </c>
      <c r="W5" s="1" t="str">
        <f>TEXT(WEEKDAY(DATE(AnnéeCalendrier,10,21),1),"jjj")</f>
        <v>lun</v>
      </c>
      <c r="X5" s="1" t="str">
        <f>TEXT(WEEKDAY(DATE(AnnéeCalendrier,10,22),1),"jjj")</f>
        <v>mar</v>
      </c>
      <c r="Y5" s="1" t="str">
        <f>TEXT(WEEKDAY(DATE(AnnéeCalendrier,10,23),1),"jjj")</f>
        <v>mer</v>
      </c>
      <c r="Z5" s="1" t="str">
        <f>TEXT(WEEKDAY(DATE(AnnéeCalendrier,10,24),1),"jjj")</f>
        <v>jeu</v>
      </c>
      <c r="AA5" s="1" t="str">
        <f>TEXT(WEEKDAY(DATE(AnnéeCalendrier,10,25),1),"jjj")</f>
        <v>ven</v>
      </c>
      <c r="AB5" s="1" t="str">
        <f>TEXT(WEEKDAY(DATE(AnnéeCalendrier,10,26),1),"jjj")</f>
        <v>sam</v>
      </c>
      <c r="AC5" s="1" t="str">
        <f>TEXT(WEEKDAY(DATE(AnnéeCalendrier,10,27),1),"jjj")</f>
        <v>dim</v>
      </c>
      <c r="AD5" s="1" t="str">
        <f>TEXT(WEEKDAY(DATE(AnnéeCalendrier,10,28),1),"jjj")</f>
        <v>lun</v>
      </c>
      <c r="AE5" s="1" t="str">
        <f>TEXT(WEEKDAY(DATE(AnnéeCalendrier,10,29),1),"jjj")</f>
        <v>mar</v>
      </c>
      <c r="AF5" s="1" t="str">
        <f>TEXT(WEEKDAY(DATE(AnnéeCalendrier,10,30),1),"jjj")</f>
        <v>mer</v>
      </c>
      <c r="AG5" s="1" t="str">
        <f>TEXT(WEEKDAY(DATE(AnnéeCalendrier,10,31),1),"jjj")</f>
        <v>jeu</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COUNTA(Octobre[[#This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COUNTA(Octobre[[#This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COUNTA(Octobre[[#This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COUNTA(Octobre[[#This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COUNTA(Octobre[[#This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COUNTA(Octobre[[#This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COUNTA(Octobre[[#This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COUNTA(Octobre[[#This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COUNTA(Octobre[[#This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COUNTA(Octobre[[#This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COUNTA(Octobre[[#This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COUNTA(Octobre[[#This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COUNTA(Octobre[[#This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COUNTA(Octobre[[#This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COUNTA(Octobre[[#This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COUNTA(Octobre[[#This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COUNTA(Octobre[[#This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COUNTA(Octobre[[#This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COUNTA(Octobre[[#This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COUNTA(Octobre[[#This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COUNTA(Octobre[[#This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COUNTA(Octobre[[#This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COUNTA(Octobre[[#This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COUNTA(Octobre[[#This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COUNTA(Octobre[[#This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COUNTA(Octobre[[#This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COUNTA(Octobre[[#This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COUNTA(Octobre[[#This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COUNTA(Octobre[[#This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COUNTA(Octobre[[#This Row],[1]:[31]])</f>
        <v>0</v>
      </c>
    </row>
    <row r="37" spans="2:34" ht="30" customHeight="1" x14ac:dyDescent="0.25">
      <c r="B37" s="17" t="str">
        <f>NomMois&amp;" Total"</f>
        <v>Octobre Total</v>
      </c>
      <c r="C37" s="11">
        <f>SUBTOTAL(103,Octobre[1])</f>
        <v>0</v>
      </c>
      <c r="D37" s="11">
        <f>SUBTOTAL(103,Octobre[2])</f>
        <v>0</v>
      </c>
      <c r="E37" s="11">
        <f>SUBTOTAL(103,Octobre[3])</f>
        <v>0</v>
      </c>
      <c r="F37" s="11">
        <f>SUBTOTAL(103,Octobre[4])</f>
        <v>0</v>
      </c>
      <c r="G37" s="11">
        <f>SUBTOTAL(103,Octobre[5])</f>
        <v>0</v>
      </c>
      <c r="H37" s="11">
        <f>SUBTOTAL(103,Octobre[6])</f>
        <v>0</v>
      </c>
      <c r="I37" s="11">
        <f>SUBTOTAL(103,Octobre[7])</f>
        <v>0</v>
      </c>
      <c r="J37" s="11">
        <f>SUBTOTAL(103,Octobre[8])</f>
        <v>0</v>
      </c>
      <c r="K37" s="11">
        <f>SUBTOTAL(103,Octobre[9])</f>
        <v>0</v>
      </c>
      <c r="L37" s="11">
        <f>SUBTOTAL(103,Octobre[10])</f>
        <v>0</v>
      </c>
      <c r="M37" s="11">
        <f>SUBTOTAL(103,Octobre[11])</f>
        <v>0</v>
      </c>
      <c r="N37" s="11">
        <f>SUBTOTAL(103,Octobre[12])</f>
        <v>0</v>
      </c>
      <c r="O37" s="11">
        <f>SUBTOTAL(103,Octobre[13])</f>
        <v>0</v>
      </c>
      <c r="P37" s="11">
        <f>SUBTOTAL(103,Octobre[14])</f>
        <v>0</v>
      </c>
      <c r="Q37" s="11">
        <f>SUBTOTAL(103,Octobre[15])</f>
        <v>0</v>
      </c>
      <c r="R37" s="11">
        <f>SUBTOTAL(103,Octobre[16])</f>
        <v>0</v>
      </c>
      <c r="S37" s="11">
        <f>SUBTOTAL(103,Octobre[17])</f>
        <v>0</v>
      </c>
      <c r="T37" s="11">
        <f>SUBTOTAL(103,Octobre[18])</f>
        <v>0</v>
      </c>
      <c r="U37" s="11">
        <f>SUBTOTAL(103,Octobre[19])</f>
        <v>0</v>
      </c>
      <c r="V37" s="11">
        <f>SUBTOTAL(103,Octobre[20])</f>
        <v>0</v>
      </c>
      <c r="W37" s="11">
        <f>SUBTOTAL(103,Octobre[21])</f>
        <v>0</v>
      </c>
      <c r="X37" s="11">
        <f>SUBTOTAL(103,Octobre[22])</f>
        <v>0</v>
      </c>
      <c r="Y37" s="11">
        <f>SUBTOTAL(103,Octobre[23])</f>
        <v>0</v>
      </c>
      <c r="Z37" s="11">
        <f>SUBTOTAL(103,Octobre[24])</f>
        <v>0</v>
      </c>
      <c r="AA37" s="11">
        <f>SUBTOTAL(103,Octobre[25])</f>
        <v>0</v>
      </c>
      <c r="AB37" s="11">
        <f>SUBTOTAL(103,Octobre[26])</f>
        <v>0</v>
      </c>
      <c r="AC37" s="11">
        <f>SUBTOTAL(103,Octobre[27])</f>
        <v>0</v>
      </c>
      <c r="AD37" s="11">
        <f>SUBTOTAL(103,Octobre[28])</f>
        <v>0</v>
      </c>
      <c r="AE37" s="11">
        <f>SUBTOTAL(103,Octobre[29])</f>
        <v>0</v>
      </c>
      <c r="AF37" s="11">
        <f>SUBTOTAL(109,Octobre[30])</f>
        <v>0</v>
      </c>
      <c r="AG37" s="11">
        <f>SUBTOTAL(109,Octobre[31])</f>
        <v>0</v>
      </c>
      <c r="AH37" s="11">
        <f>SUBTOTAL(109,Octobre[Total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{F32A08EA-50E8-4B5F-AB1F-5A7739FBC16C}</x14:id>
        </ext>
      </extLst>
    </cfRule>
  </conditionalFormatting>
  <conditionalFormatting sqref="C7:AG36">
    <cfRule type="expression" priority="2" stopIfTrue="1">
      <formula>C7=""</formula>
    </cfRule>
    <cfRule type="expression" dxfId="227" priority="4" stopIfTrue="1">
      <formula>C7=CléPersonnalisée2</formula>
    </cfRule>
    <cfRule type="expression" dxfId="226" priority="5" stopIfTrue="1">
      <formula>C7=CléPersonnalisée1</formula>
    </cfRule>
    <cfRule type="expression" dxfId="225" priority="6" stopIfTrue="1">
      <formula>C7=CléMaladie</formula>
    </cfRule>
    <cfRule type="expression" dxfId="224" priority="7" stopIfTrue="1">
      <formula>C7=CléPersonnel</formula>
    </cfRule>
    <cfRule type="expression" dxfId="223" priority="8" stopIfTrue="1">
      <formula>C7=CléCongé</formula>
    </cfRule>
  </conditionalFormatting>
  <conditionalFormatting sqref="C7:AG36">
    <cfRule type="expression" dxfId="222" priority="3">
      <formula>C7=CléPersonnalisée3</formula>
    </cfRule>
  </conditionalFormatting>
  <conditionalFormatting sqref="C37:AG37">
    <cfRule type="cellIs" dxfId="221" priority="1" operator="greaterThan">
      <formula>2</formula>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octo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F32A08EA-50E8-4B5F-AB1F-5A7739FBC16C}">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2" tint="-0.249977111117893"/>
    <pageSetUpPr fitToPage="1"/>
  </sheetPr>
  <dimension ref="A1:AH37"/>
  <sheetViews>
    <sheetView showGridLines="0" zoomScaleNormal="100" workbookViewId="0">
      <pane xSplit="1" ySplit="6" topLeftCell="B7" activePane="bottomRight" state="frozen"/>
      <selection pane="topRight" activeCell="B1" sqref="B1"/>
      <selection pane="bottomLeft" activeCell="A7" sqref="A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52</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TEXT(WEEKDAY(DATE(AnnéeCalendrier,11,1),1),"jjj")</f>
        <v>ven</v>
      </c>
      <c r="D5" s="1" t="str">
        <f>TEXT(WEEKDAY(DATE(AnnéeCalendrier,11,2),1),"jjj")</f>
        <v>sam</v>
      </c>
      <c r="E5" s="1" t="str">
        <f>TEXT(WEEKDAY(DATE(AnnéeCalendrier,11,3),1),"jjj")</f>
        <v>dim</v>
      </c>
      <c r="F5" s="1" t="str">
        <f>TEXT(WEEKDAY(DATE(AnnéeCalendrier,11,4),1),"jjj")</f>
        <v>lun</v>
      </c>
      <c r="G5" s="1" t="str">
        <f>TEXT(WEEKDAY(DATE(AnnéeCalendrier,11,5),1),"jjj")</f>
        <v>mar</v>
      </c>
      <c r="H5" s="1" t="str">
        <f>TEXT(WEEKDAY(DATE(AnnéeCalendrier,11,6),1),"jjj")</f>
        <v>mer</v>
      </c>
      <c r="I5" s="1" t="str">
        <f>TEXT(WEEKDAY(DATE(AnnéeCalendrier,11,7),1),"jjj")</f>
        <v>jeu</v>
      </c>
      <c r="J5" s="1" t="str">
        <f>TEXT(WEEKDAY(DATE(AnnéeCalendrier,11,8),1),"jjj")</f>
        <v>ven</v>
      </c>
      <c r="K5" s="1" t="str">
        <f>TEXT(WEEKDAY(DATE(AnnéeCalendrier,11,9),1),"jjj")</f>
        <v>sam</v>
      </c>
      <c r="L5" s="1" t="str">
        <f>TEXT(WEEKDAY(DATE(AnnéeCalendrier,11,10),1),"jjj")</f>
        <v>dim</v>
      </c>
      <c r="M5" s="1" t="str">
        <f>TEXT(WEEKDAY(DATE(AnnéeCalendrier,11,11),1),"jjj")</f>
        <v>lun</v>
      </c>
      <c r="N5" s="1" t="str">
        <f>TEXT(WEEKDAY(DATE(AnnéeCalendrier,11,12),1),"jjj")</f>
        <v>mar</v>
      </c>
      <c r="O5" s="1" t="str">
        <f>TEXT(WEEKDAY(DATE(AnnéeCalendrier,11,13),1),"jjj")</f>
        <v>mer</v>
      </c>
      <c r="P5" s="1" t="str">
        <f>TEXT(WEEKDAY(DATE(AnnéeCalendrier,11,14),1),"jjj")</f>
        <v>jeu</v>
      </c>
      <c r="Q5" s="1" t="str">
        <f>TEXT(WEEKDAY(DATE(AnnéeCalendrier,11,15),1),"jjj")</f>
        <v>ven</v>
      </c>
      <c r="R5" s="1" t="str">
        <f>TEXT(WEEKDAY(DATE(AnnéeCalendrier,11,16),1),"jjj")</f>
        <v>sam</v>
      </c>
      <c r="S5" s="1" t="str">
        <f>TEXT(WEEKDAY(DATE(AnnéeCalendrier,11,17),1),"jjj")</f>
        <v>dim</v>
      </c>
      <c r="T5" s="1" t="str">
        <f>TEXT(WEEKDAY(DATE(AnnéeCalendrier,11,18),1),"jjj")</f>
        <v>lun</v>
      </c>
      <c r="U5" s="1" t="str">
        <f>TEXT(WEEKDAY(DATE(AnnéeCalendrier,11,19),1),"jjj")</f>
        <v>mar</v>
      </c>
      <c r="V5" s="1" t="str">
        <f>TEXT(WEEKDAY(DATE(AnnéeCalendrier,11,20),1),"jjj")</f>
        <v>mer</v>
      </c>
      <c r="W5" s="1" t="str">
        <f>TEXT(WEEKDAY(DATE(AnnéeCalendrier,11,21),1),"jjj")</f>
        <v>jeu</v>
      </c>
      <c r="X5" s="1" t="str">
        <f>TEXT(WEEKDAY(DATE(AnnéeCalendrier,11,22),1),"jjj")</f>
        <v>ven</v>
      </c>
      <c r="Y5" s="1" t="str">
        <f>TEXT(WEEKDAY(DATE(AnnéeCalendrier,11,23),1),"jjj")</f>
        <v>sam</v>
      </c>
      <c r="Z5" s="1" t="str">
        <f>TEXT(WEEKDAY(DATE(AnnéeCalendrier,11,24),1),"jjj")</f>
        <v>dim</v>
      </c>
      <c r="AA5" s="1" t="str">
        <f>TEXT(WEEKDAY(DATE(AnnéeCalendrier,11,25),1),"jjj")</f>
        <v>lun</v>
      </c>
      <c r="AB5" s="1" t="str">
        <f>TEXT(WEEKDAY(DATE(AnnéeCalendrier,11,26),1),"jjj")</f>
        <v>mar</v>
      </c>
      <c r="AC5" s="1" t="str">
        <f>TEXT(WEEKDAY(DATE(AnnéeCalendrier,11,27),1),"jjj")</f>
        <v>mer</v>
      </c>
      <c r="AD5" s="1" t="str">
        <f>TEXT(WEEKDAY(DATE(AnnéeCalendrier,11,28),1),"jjj")</f>
        <v>jeu</v>
      </c>
      <c r="AE5" s="1" t="str">
        <f>TEXT(WEEKDAY(DATE(AnnéeCalendrier,11,29),1),"jjj")</f>
        <v>ven</v>
      </c>
      <c r="AF5" s="1" t="str">
        <f>TEXT(WEEKDAY(DATE(AnnéeCalendrier,11,30),1),"jjj")</f>
        <v>sam</v>
      </c>
      <c r="AG5" s="1"/>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COUNTA(Novembre[[#This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COUNTA(Novembre[[#This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COUNTA(Novembre[[#This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COUNTA(Novembre[[#This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COUNTA(Novembre[[#This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COUNTA(Novembre[[#This Row],[1]:[31]])</f>
        <v>0</v>
      </c>
    </row>
    <row r="13" spans="2:34" ht="15"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COUNTA(Novembre[[#This Row],[1]:[31]])</f>
        <v>0</v>
      </c>
    </row>
    <row r="14" spans="2:34" ht="15"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COUNTA(Novembre[[#This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COUNTA(Novembre[[#This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COUNTA(Novembre[[#This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COUNTA(Novembre[[#This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COUNTA(Novembre[[#This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COUNTA(Novembre[[#This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COUNTA(Novembre[[#This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COUNTA(Novembre[[#This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COUNTA(Novembre[[#This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COUNTA(Novembre[[#This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COUNTA(Novembre[[#This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COUNTA(Novembre[[#This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COUNTA(Novembre[[#This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COUNTA(Novembre[[#This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COUNTA(Novembre[[#This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COUNTA(Novembre[[#This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COUNTA(Novembre[[#This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COUNTA(Novembre[[#This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COUNTA(Novembre[[#This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COUNTA(Novembre[[#This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COUNTA(Novembre[[#This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COUNTA(Novembre[[#This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COUNTA(Novembre[[#This Row],[1]:[31]])</f>
        <v>0</v>
      </c>
    </row>
    <row r="37" spans="2:34" ht="30" customHeight="1" x14ac:dyDescent="0.25">
      <c r="B37" s="17" t="str">
        <f>NomMois&amp;" Total"</f>
        <v>Novembre Total</v>
      </c>
      <c r="C37" s="11">
        <f>SUBTOTAL(103,Novembre[1])</f>
        <v>0</v>
      </c>
      <c r="D37" s="11">
        <f>SUBTOTAL(103,Novembre[2])</f>
        <v>0</v>
      </c>
      <c r="E37" s="11">
        <f>SUBTOTAL(103,Novembre[3])</f>
        <v>0</v>
      </c>
      <c r="F37" s="11">
        <f>SUBTOTAL(103,Novembre[4])</f>
        <v>0</v>
      </c>
      <c r="G37" s="11">
        <f>SUBTOTAL(103,Novembre[5])</f>
        <v>0</v>
      </c>
      <c r="H37" s="11">
        <f>SUBTOTAL(103,Novembre[6])</f>
        <v>0</v>
      </c>
      <c r="I37" s="11">
        <f>SUBTOTAL(103,Novembre[7])</f>
        <v>0</v>
      </c>
      <c r="J37" s="11">
        <f>SUBTOTAL(103,Novembre[8])</f>
        <v>0</v>
      </c>
      <c r="K37" s="11">
        <f>SUBTOTAL(103,Novembre[9])</f>
        <v>0</v>
      </c>
      <c r="L37" s="11">
        <f>SUBTOTAL(103,Novembre[10])</f>
        <v>0</v>
      </c>
      <c r="M37" s="11">
        <f>SUBTOTAL(103,Novembre[11])</f>
        <v>0</v>
      </c>
      <c r="N37" s="11">
        <f>SUBTOTAL(103,Novembre[12])</f>
        <v>0</v>
      </c>
      <c r="O37" s="11">
        <f>SUBTOTAL(103,Novembre[13])</f>
        <v>0</v>
      </c>
      <c r="P37" s="11">
        <f>SUBTOTAL(103,Novembre[14])</f>
        <v>0</v>
      </c>
      <c r="Q37" s="11">
        <f>SUBTOTAL(103,Novembre[15])</f>
        <v>0</v>
      </c>
      <c r="R37" s="11">
        <f>SUBTOTAL(103,Novembre[16])</f>
        <v>0</v>
      </c>
      <c r="S37" s="11">
        <f>SUBTOTAL(103,Novembre[17])</f>
        <v>0</v>
      </c>
      <c r="T37" s="11">
        <f>SUBTOTAL(103,Novembre[18])</f>
        <v>0</v>
      </c>
      <c r="U37" s="11">
        <f>SUBTOTAL(103,Novembre[19])</f>
        <v>0</v>
      </c>
      <c r="V37" s="11">
        <f>SUBTOTAL(103,Novembre[20])</f>
        <v>0</v>
      </c>
      <c r="W37" s="11">
        <f>SUBTOTAL(103,Novembre[21])</f>
        <v>0</v>
      </c>
      <c r="X37" s="11">
        <f>SUBTOTAL(103,Novembre[22])</f>
        <v>0</v>
      </c>
      <c r="Y37" s="11">
        <f>SUBTOTAL(103,Novembre[23])</f>
        <v>0</v>
      </c>
      <c r="Z37" s="11">
        <f>SUBTOTAL(103,Novembre[24])</f>
        <v>0</v>
      </c>
      <c r="AA37" s="11">
        <f>SUBTOTAL(103,Novembre[25])</f>
        <v>0</v>
      </c>
      <c r="AB37" s="11">
        <f>SUBTOTAL(103,Novembre[26])</f>
        <v>0</v>
      </c>
      <c r="AC37" s="11">
        <f>SUBTOTAL(103,Novembre[27])</f>
        <v>0</v>
      </c>
      <c r="AD37" s="11">
        <f>SUBTOTAL(103,Novembre[28])</f>
        <v>0</v>
      </c>
      <c r="AE37" s="11">
        <f>SUBTOTAL(103,Novembre[29])</f>
        <v>0</v>
      </c>
      <c r="AF37" s="11">
        <f>SUBTOTAL(109,Novembre[30])</f>
        <v>0</v>
      </c>
      <c r="AG37" s="11">
        <f>SUBTOTAL(109,Novembre[31])</f>
        <v>0</v>
      </c>
      <c r="AH37" s="11">
        <f>SUBTOTAL(109,Novembre[Total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{871B5727-7178-4193-82BC-335A9472A989}</x14:id>
        </ext>
      </extLst>
    </cfRule>
  </conditionalFormatting>
  <conditionalFormatting sqref="C7:AG36">
    <cfRule type="expression" priority="2" stopIfTrue="1">
      <formula>C7=""</formula>
    </cfRule>
    <cfRule type="expression" dxfId="151" priority="4" stopIfTrue="1">
      <formula>C7=CléPersonnalisée2</formula>
    </cfRule>
    <cfRule type="expression" dxfId="150" priority="5" stopIfTrue="1">
      <formula>C7=CléPersonnalisée1</formula>
    </cfRule>
    <cfRule type="expression" dxfId="149" priority="6" stopIfTrue="1">
      <formula>C7=CléMaladie</formula>
    </cfRule>
    <cfRule type="expression" dxfId="148" priority="7" stopIfTrue="1">
      <formula>C7=CléPersonnel</formula>
    </cfRule>
    <cfRule type="expression" dxfId="147" priority="8" stopIfTrue="1">
      <formula>C7=CléCongé</formula>
    </cfRule>
  </conditionalFormatting>
  <conditionalFormatting sqref="C7:AG36">
    <cfRule type="expression" dxfId="146" priority="3">
      <formula>C7=CléPersonnalisée3</formula>
    </cfRule>
  </conditionalFormatting>
  <conditionalFormatting sqref="C37:AG37">
    <cfRule type="cellIs" dxfId="145" priority="1" operator="greaterThan">
      <formula>2</formula>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X2"/>
    <dataValidation allowBlank="1" showInputMessage="1" showErrorMessage="1" prompt="Entrez une lettre et personnalisez l’étiquette à droite pour ajouter un élément de clé" sqref="M2 R2 W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nov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871B5727-7178-4193-82BC-335A9472A989}">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7" tint="0.79998168889431442"/>
    <pageSetUpPr fitToPage="1"/>
  </sheetPr>
  <dimension ref="A1:AH37"/>
  <sheetViews>
    <sheetView showGridLines="0" topLeftCell="B1" zoomScaleNormal="100" workbookViewId="0">
      <pane xSplit="1" ySplit="6" topLeftCell="C7" activePane="bottomRight" state="frozen"/>
      <selection activeCell="B1" sqref="B1"/>
      <selection pane="topRight" activeCell="C1" sqref="C1"/>
      <selection pane="bottomLeft" activeCell="B7" sqref="B7"/>
      <selection pane="bottomRight" activeCell="C7" sqref="C7:AG36"/>
    </sheetView>
  </sheetViews>
  <sheetFormatPr baseColWidth="10" defaultColWidth="9.140625" defaultRowHeight="30" customHeight="1" x14ac:dyDescent="0.25"/>
  <cols>
    <col min="1" max="1" width="2.7109375" style="9" customWidth="1"/>
    <col min="2" max="2" width="25.7109375" style="9" customWidth="1"/>
    <col min="3" max="33" width="4.7109375" style="9" customWidth="1"/>
    <col min="34" max="34" width="13.5703125" style="9" customWidth="1"/>
    <col min="35" max="35" width="2.7109375" customWidth="1"/>
  </cols>
  <sheetData>
    <row r="1" spans="2:34" ht="50.1" customHeight="1" x14ac:dyDescent="0.25">
      <c r="B1" s="12" t="str">
        <f>Titre_Absence_Employé</f>
        <v>Calendrier des absences des employés EQ B</v>
      </c>
    </row>
    <row r="2" spans="2:34" ht="15" customHeight="1" x14ac:dyDescent="0.25">
      <c r="B2" s="15" t="s">
        <v>0</v>
      </c>
      <c r="C2" s="3" t="s">
        <v>3</v>
      </c>
      <c r="D2" s="38" t="s">
        <v>6</v>
      </c>
      <c r="E2" s="38"/>
      <c r="F2" s="4" t="s">
        <v>57</v>
      </c>
      <c r="G2" s="39" t="s">
        <v>58</v>
      </c>
      <c r="H2" s="38"/>
      <c r="I2" s="38"/>
      <c r="J2" s="5" t="s">
        <v>10</v>
      </c>
      <c r="K2" s="38" t="s">
        <v>16</v>
      </c>
      <c r="L2" s="38"/>
      <c r="M2" s="6" t="s">
        <v>59</v>
      </c>
      <c r="N2" s="39" t="s">
        <v>60</v>
      </c>
      <c r="O2" s="38"/>
      <c r="P2" s="38"/>
      <c r="Q2" s="38"/>
      <c r="R2" s="7" t="s">
        <v>55</v>
      </c>
      <c r="S2" s="39" t="s">
        <v>56</v>
      </c>
      <c r="T2" s="38"/>
      <c r="U2" s="38"/>
      <c r="V2" s="38"/>
      <c r="W2" s="22" t="s">
        <v>87</v>
      </c>
      <c r="X2" s="39" t="s">
        <v>88</v>
      </c>
      <c r="Y2" s="38"/>
      <c r="Z2" s="38"/>
      <c r="AA2" s="38"/>
    </row>
    <row r="3" spans="2:34" ht="15" customHeight="1" x14ac:dyDescent="0.25">
      <c r="B3" s="12"/>
    </row>
    <row r="4" spans="2:34" ht="30" customHeight="1" x14ac:dyDescent="0.25">
      <c r="B4" s="10" t="s">
        <v>53</v>
      </c>
      <c r="C4" s="37" t="s">
        <v>4</v>
      </c>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10">
        <f>AnnéeCalendrier</f>
        <v>2019</v>
      </c>
    </row>
    <row r="5" spans="2:34" ht="15" customHeight="1" x14ac:dyDescent="0.25">
      <c r="B5" s="10"/>
      <c r="C5" s="1" t="str">
        <f>TEXT(WEEKDAY(DATE(AnnéeCalendrier,12,1),1),"jjj")</f>
        <v>dim</v>
      </c>
      <c r="D5" s="1" t="str">
        <f>TEXT(WEEKDAY(DATE(AnnéeCalendrier,12,2),1),"jjj")</f>
        <v>lun</v>
      </c>
      <c r="E5" s="1" t="str">
        <f>TEXT(WEEKDAY(DATE(AnnéeCalendrier,12,3),1),"jjj")</f>
        <v>mar</v>
      </c>
      <c r="F5" s="1" t="str">
        <f>TEXT(WEEKDAY(DATE(AnnéeCalendrier,12,4),1),"jjj")</f>
        <v>mer</v>
      </c>
      <c r="G5" s="1" t="str">
        <f>TEXT(WEEKDAY(DATE(AnnéeCalendrier,12,5),1),"jjj")</f>
        <v>jeu</v>
      </c>
      <c r="H5" s="1" t="str">
        <f>TEXT(WEEKDAY(DATE(AnnéeCalendrier,12,6),1),"jjj")</f>
        <v>ven</v>
      </c>
      <c r="I5" s="1" t="str">
        <f>TEXT(WEEKDAY(DATE(AnnéeCalendrier,12,7),1),"jjj")</f>
        <v>sam</v>
      </c>
      <c r="J5" s="1" t="str">
        <f>TEXT(WEEKDAY(DATE(AnnéeCalendrier,12,8),1),"jjj")</f>
        <v>dim</v>
      </c>
      <c r="K5" s="1" t="str">
        <f>TEXT(WEEKDAY(DATE(AnnéeCalendrier,12,9),1),"jjj")</f>
        <v>lun</v>
      </c>
      <c r="L5" s="1" t="str">
        <f>TEXT(WEEKDAY(DATE(AnnéeCalendrier,12,10),1),"jjj")</f>
        <v>mar</v>
      </c>
      <c r="M5" s="1" t="str">
        <f>TEXT(WEEKDAY(DATE(AnnéeCalendrier,12,11),1),"jjj")</f>
        <v>mer</v>
      </c>
      <c r="N5" s="1" t="str">
        <f>TEXT(WEEKDAY(DATE(AnnéeCalendrier,12,12),1),"jjj")</f>
        <v>jeu</v>
      </c>
      <c r="O5" s="1" t="str">
        <f>TEXT(WEEKDAY(DATE(AnnéeCalendrier,12,13),1),"jjj")</f>
        <v>ven</v>
      </c>
      <c r="P5" s="1" t="str">
        <f>TEXT(WEEKDAY(DATE(AnnéeCalendrier,12,14),1),"jjj")</f>
        <v>sam</v>
      </c>
      <c r="Q5" s="1" t="str">
        <f>TEXT(WEEKDAY(DATE(AnnéeCalendrier,12,15),1),"jjj")</f>
        <v>dim</v>
      </c>
      <c r="R5" s="1" t="str">
        <f>TEXT(WEEKDAY(DATE(AnnéeCalendrier,12,16),1),"jjj")</f>
        <v>lun</v>
      </c>
      <c r="S5" s="1" t="str">
        <f>TEXT(WEEKDAY(DATE(AnnéeCalendrier,12,17),1),"jjj")</f>
        <v>mar</v>
      </c>
      <c r="T5" s="1" t="str">
        <f>TEXT(WEEKDAY(DATE(AnnéeCalendrier,12,18),1),"jjj")</f>
        <v>mer</v>
      </c>
      <c r="U5" s="1" t="str">
        <f>TEXT(WEEKDAY(DATE(AnnéeCalendrier,12,19),1),"jjj")</f>
        <v>jeu</v>
      </c>
      <c r="V5" s="1" t="str">
        <f>TEXT(WEEKDAY(DATE(AnnéeCalendrier,12,20),1),"jjj")</f>
        <v>ven</v>
      </c>
      <c r="W5" s="1" t="str">
        <f>TEXT(WEEKDAY(DATE(AnnéeCalendrier,12,21),1),"jjj")</f>
        <v>sam</v>
      </c>
      <c r="X5" s="1" t="str">
        <f>TEXT(WEEKDAY(DATE(AnnéeCalendrier,12,22),1),"jjj")</f>
        <v>dim</v>
      </c>
      <c r="Y5" s="1" t="str">
        <f>TEXT(WEEKDAY(DATE(AnnéeCalendrier,12,23),1),"jjj")</f>
        <v>lun</v>
      </c>
      <c r="Z5" s="1" t="str">
        <f>TEXT(WEEKDAY(DATE(AnnéeCalendrier,12,24),1),"jjj")</f>
        <v>mar</v>
      </c>
      <c r="AA5" s="1" t="str">
        <f>TEXT(WEEKDAY(DATE(AnnéeCalendrier,12,25),1),"jjj")</f>
        <v>mer</v>
      </c>
      <c r="AB5" s="1" t="str">
        <f>TEXT(WEEKDAY(DATE(AnnéeCalendrier,12,26),1),"jjj")</f>
        <v>jeu</v>
      </c>
      <c r="AC5" s="1" t="str">
        <f>TEXT(WEEKDAY(DATE(AnnéeCalendrier,12,27),1),"jjj")</f>
        <v>ven</v>
      </c>
      <c r="AD5" s="1" t="str">
        <f>TEXT(WEEKDAY(DATE(AnnéeCalendrier,12,28),1),"jjj")</f>
        <v>sam</v>
      </c>
      <c r="AE5" s="1" t="str">
        <f>TEXT(WEEKDAY(DATE(AnnéeCalendrier,12,29),1),"jjj")</f>
        <v>dim</v>
      </c>
      <c r="AF5" s="1" t="str">
        <f>TEXT(WEEKDAY(DATE(AnnéeCalendrier,12,30),1),"jjj")</f>
        <v>lun</v>
      </c>
      <c r="AG5" s="1" t="str">
        <f>TEXT(WEEKDAY(DATE(AnnéeCalendrier,12,31),1),"jjj")</f>
        <v>mar</v>
      </c>
      <c r="AH5" s="10"/>
    </row>
    <row r="6" spans="2:34" ht="15" customHeight="1" x14ac:dyDescent="0.25">
      <c r="B6" s="18" t="s">
        <v>2</v>
      </c>
      <c r="C6" s="2" t="s">
        <v>5</v>
      </c>
      <c r="D6" s="2" t="s">
        <v>7</v>
      </c>
      <c r="E6" s="2" t="s">
        <v>8</v>
      </c>
      <c r="F6" s="2" t="s">
        <v>9</v>
      </c>
      <c r="G6" s="2" t="s">
        <v>11</v>
      </c>
      <c r="H6" s="2" t="s">
        <v>12</v>
      </c>
      <c r="I6" s="2" t="s">
        <v>13</v>
      </c>
      <c r="J6" s="2" t="s">
        <v>14</v>
      </c>
      <c r="K6" s="2" t="s">
        <v>15</v>
      </c>
      <c r="L6" s="2" t="s">
        <v>17</v>
      </c>
      <c r="M6" s="2" t="s">
        <v>18</v>
      </c>
      <c r="N6" s="2" t="s">
        <v>19</v>
      </c>
      <c r="O6" s="2" t="s">
        <v>20</v>
      </c>
      <c r="P6" s="2" t="s">
        <v>21</v>
      </c>
      <c r="Q6" s="2" t="s">
        <v>22</v>
      </c>
      <c r="R6" s="2" t="s">
        <v>23</v>
      </c>
      <c r="S6" s="2" t="s">
        <v>24</v>
      </c>
      <c r="T6" s="2" t="s">
        <v>25</v>
      </c>
      <c r="U6" s="2" t="s">
        <v>26</v>
      </c>
      <c r="V6" s="2" t="s">
        <v>27</v>
      </c>
      <c r="W6" s="2" t="s">
        <v>28</v>
      </c>
      <c r="X6" s="2" t="s">
        <v>29</v>
      </c>
      <c r="Y6" s="2" t="s">
        <v>30</v>
      </c>
      <c r="Z6" s="2" t="s">
        <v>31</v>
      </c>
      <c r="AA6" s="2" t="s">
        <v>32</v>
      </c>
      <c r="AB6" s="2" t="s">
        <v>33</v>
      </c>
      <c r="AC6" s="2" t="s">
        <v>34</v>
      </c>
      <c r="AD6" s="2" t="s">
        <v>35</v>
      </c>
      <c r="AE6" s="2" t="s">
        <v>36</v>
      </c>
      <c r="AF6" s="2" t="s">
        <v>37</v>
      </c>
      <c r="AG6" s="2" t="s">
        <v>38</v>
      </c>
      <c r="AH6" s="13" t="s">
        <v>40</v>
      </c>
    </row>
    <row r="7" spans="2:34" ht="15" x14ac:dyDescent="0.25">
      <c r="B7" s="19" t="str">
        <f>Paramètre!$A15</f>
        <v>BEKHADRA Youcef</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8">
        <f>COUNTA(Décembre[[#This Row],[1]:[31]])</f>
        <v>0</v>
      </c>
    </row>
    <row r="8" spans="2:34" ht="15" x14ac:dyDescent="0.25">
      <c r="B8" s="19" t="str">
        <f>Paramètre!$A16</f>
        <v>BELARBI Ikrame</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8">
        <f>COUNTA(Décembre[[#This Row],[1]:[31]])</f>
        <v>0</v>
      </c>
    </row>
    <row r="9" spans="2:34" ht="15" x14ac:dyDescent="0.25">
      <c r="B9" s="19" t="str">
        <f>Paramètre!$A17</f>
        <v>BELKIHEL Mohamed</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f>COUNTA(Décembre[[#This Row],[1]:[31]])</f>
        <v>0</v>
      </c>
    </row>
    <row r="10" spans="2:34" ht="15" x14ac:dyDescent="0.25">
      <c r="B10" s="19" t="str">
        <f>Paramètre!$A18</f>
        <v>BENALI Hichem</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f>COUNTA(Décembre[[#This Row],[1]:[31]])</f>
        <v>0</v>
      </c>
    </row>
    <row r="11" spans="2:34" ht="15" x14ac:dyDescent="0.25">
      <c r="B11" s="19" t="str">
        <f>Paramètre!$A19</f>
        <v>BENAMAR Mohamed</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8">
        <f>COUNTA(Décembre[[#This Row],[1]:[31]])</f>
        <v>0</v>
      </c>
    </row>
    <row r="12" spans="2:34" ht="15" x14ac:dyDescent="0.25">
      <c r="B12" s="19" t="str">
        <f>Paramètre!$A20</f>
        <v>BENZEMOUR Hamid</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8">
        <f>COUNTA(Décembre[[#This Row],[1]:[31]])</f>
        <v>0</v>
      </c>
    </row>
    <row r="13" spans="2:34" ht="14.25" customHeight="1" x14ac:dyDescent="0.25">
      <c r="B13" s="19" t="str">
        <f>Paramètre!$A21</f>
        <v>BERRACHED Ilyes Cherif</v>
      </c>
      <c r="C13" s="21"/>
      <c r="D13" s="21"/>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f>COUNTA(Décembre[[#This Row],[1]:[31]])</f>
        <v>0</v>
      </c>
    </row>
    <row r="14" spans="2:34" ht="14.25" customHeight="1" x14ac:dyDescent="0.25">
      <c r="B14" s="19" t="str">
        <f>Paramètre!$A22</f>
        <v>BOUDERBALA Karima</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8">
        <f>COUNTA(Décembre[[#This Row],[1]:[31]])</f>
        <v>0</v>
      </c>
    </row>
    <row r="15" spans="2:34" ht="15" x14ac:dyDescent="0.25">
      <c r="B15" s="19" t="str">
        <f>Paramètre!$A23</f>
        <v>BOUDJEZIRIA AHMED Mohammed</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8">
        <f>COUNTA(Décembre[[#This Row],[1]:[31]])</f>
        <v>0</v>
      </c>
    </row>
    <row r="16" spans="2:34" ht="15" x14ac:dyDescent="0.25">
      <c r="B16" s="19" t="str">
        <f>Paramètre!$A24</f>
        <v>BOUGHOURBAL Boudjelal</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8">
        <f>COUNTA(Décembre[[#This Row],[1]:[31]])</f>
        <v>0</v>
      </c>
    </row>
    <row r="17" spans="2:34" ht="15" x14ac:dyDescent="0.25">
      <c r="B17" s="19" t="str">
        <f>Paramètre!$A25</f>
        <v>CHETITAH Hamza</v>
      </c>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8">
        <f>COUNTA(Décembre[[#This Row],[1]:[31]])</f>
        <v>0</v>
      </c>
    </row>
    <row r="18" spans="2:34" ht="15" x14ac:dyDescent="0.25">
      <c r="B18" s="19" t="str">
        <f>Paramètre!$A26</f>
        <v>DJIRAOUI Noredine</v>
      </c>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8">
        <f>COUNTA(Décembre[[#This Row],[1]:[31]])</f>
        <v>0</v>
      </c>
    </row>
    <row r="19" spans="2:34" ht="15" x14ac:dyDescent="0.25">
      <c r="B19" s="19" t="str">
        <f>Paramètre!$A27</f>
        <v>DORBANE Ilyes</v>
      </c>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8">
        <f>COUNTA(Décembre[[#This Row],[1]:[31]])</f>
        <v>0</v>
      </c>
    </row>
    <row r="20" spans="2:34" ht="15" x14ac:dyDescent="0.25">
      <c r="B20" s="19" t="str">
        <f>Paramètre!$A28</f>
        <v>El FRIH Abdelhamid</v>
      </c>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8">
        <f>COUNTA(Décembre[[#This Row],[1]:[31]])</f>
        <v>0</v>
      </c>
    </row>
    <row r="21" spans="2:34" ht="15" x14ac:dyDescent="0.25">
      <c r="B21" s="19" t="str">
        <f>Paramètre!$A29</f>
        <v>FEGHOUL Ghoulem Allah</v>
      </c>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8">
        <f>COUNTA(Décembre[[#This Row],[1]:[31]])</f>
        <v>0</v>
      </c>
    </row>
    <row r="22" spans="2:34" ht="15" x14ac:dyDescent="0.25">
      <c r="B22" s="19" t="str">
        <f>Paramètre!$A30</f>
        <v>HACHEMI Lamia</v>
      </c>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8">
        <f>COUNTA(Décembre[[#This Row],[1]:[31]])</f>
        <v>0</v>
      </c>
    </row>
    <row r="23" spans="2:34" ht="15" x14ac:dyDescent="0.25">
      <c r="B23" s="19" t="str">
        <f>Paramètre!$A31</f>
        <v>SID EL HADJ Mohammed</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8">
        <f>COUNTA(Décembre[[#This Row],[1]:[31]])</f>
        <v>0</v>
      </c>
    </row>
    <row r="24" spans="2:34" ht="15" x14ac:dyDescent="0.25">
      <c r="B24" s="19" t="str">
        <f>Paramètre!$A32</f>
        <v>KHADDAR Abdelkader</v>
      </c>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8">
        <f>COUNTA(Décembre[[#This Row],[1]:[31]])</f>
        <v>0</v>
      </c>
    </row>
    <row r="25" spans="2:34" ht="15" x14ac:dyDescent="0.25">
      <c r="B25" s="19" t="str">
        <f>Paramètre!$A33</f>
        <v>KHATIR Mohamed</v>
      </c>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8">
        <f>COUNTA(Décembre[[#This Row],[1]:[31]])</f>
        <v>0</v>
      </c>
    </row>
    <row r="26" spans="2:34" ht="15" x14ac:dyDescent="0.25">
      <c r="B26" s="19" t="str">
        <f>Paramètre!$A34</f>
        <v>LAHMAR Ikram</v>
      </c>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8">
        <f>COUNTA(Décembre[[#This Row],[1]:[31]])</f>
        <v>0</v>
      </c>
    </row>
    <row r="27" spans="2:34" ht="15" x14ac:dyDescent="0.25">
      <c r="B27" s="19" t="str">
        <f>Paramètre!$A35</f>
        <v>LAZREG ISMAIL</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8">
        <f>COUNTA(Décembre[[#This Row],[1]:[31]])</f>
        <v>0</v>
      </c>
    </row>
    <row r="28" spans="2:34" ht="15" x14ac:dyDescent="0.25">
      <c r="B28" s="19" t="str">
        <f>Paramètre!$A36</f>
        <v>MALEK CHELIH Belkheir</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8">
        <f>COUNTA(Décembre[[#This Row],[1]:[31]])</f>
        <v>0</v>
      </c>
    </row>
    <row r="29" spans="2:34" ht="15" x14ac:dyDescent="0.25">
      <c r="B29" s="19" t="str">
        <f>Paramètre!$A37</f>
        <v xml:space="preserve">RAOUHANE Nour Islem Mazouza </v>
      </c>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8">
        <f>COUNTA(Décembre[[#This Row],[1]:[31]])</f>
        <v>0</v>
      </c>
    </row>
    <row r="30" spans="2:34" ht="15" x14ac:dyDescent="0.25">
      <c r="B30" s="19" t="str">
        <f>Paramètre!$A38</f>
        <v>MOHAMED AGGAD Youcef</v>
      </c>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8">
        <f>COUNTA(Décembre[[#This Row],[1]:[31]])</f>
        <v>0</v>
      </c>
    </row>
    <row r="31" spans="2:34" ht="15" x14ac:dyDescent="0.25">
      <c r="B31" s="19" t="str">
        <f>Paramètre!$A39</f>
        <v>MOKADEM Soumia</v>
      </c>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8">
        <f>COUNTA(Décembre[[#This Row],[1]:[31]])</f>
        <v>0</v>
      </c>
    </row>
    <row r="32" spans="2:34" ht="15" x14ac:dyDescent="0.25">
      <c r="B32" s="19" t="str">
        <f>Paramètre!$A40</f>
        <v>SOLTANI Amel</v>
      </c>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8">
        <f>COUNTA(Décembre[[#This Row],[1]:[31]])</f>
        <v>0</v>
      </c>
    </row>
    <row r="33" spans="2:34" ht="15" x14ac:dyDescent="0.25">
      <c r="B33" s="19" t="str">
        <f>Paramètre!$A41</f>
        <v>YESSAD Mustapha</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8">
        <f>COUNTA(Décembre[[#This Row],[1]:[31]])</f>
        <v>0</v>
      </c>
    </row>
    <row r="34" spans="2:34" ht="15" x14ac:dyDescent="0.25">
      <c r="B34" s="19" t="str">
        <f>Paramètre!$A42</f>
        <v>ZARAT Samir</v>
      </c>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8">
        <f>COUNTA(Décembre[[#This Row],[1]:[31]])</f>
        <v>0</v>
      </c>
    </row>
    <row r="35" spans="2:34" ht="15" x14ac:dyDescent="0.25">
      <c r="B35" s="19" t="str">
        <f>Paramètre!$A43</f>
        <v xml:space="preserve">ZIANI HAMZA </v>
      </c>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8">
        <f>COUNTA(Décembre[[#This Row],[1]:[31]])</f>
        <v>0</v>
      </c>
    </row>
    <row r="36" spans="2:34" ht="15" x14ac:dyDescent="0.25">
      <c r="B36" s="19" t="str">
        <f>Paramètre!$A44</f>
        <v>ZIANI Rachid</v>
      </c>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8">
        <f>COUNTA(Décembre[[#This Row],[1]:[31]])</f>
        <v>0</v>
      </c>
    </row>
    <row r="37" spans="2:34" ht="30" customHeight="1" x14ac:dyDescent="0.25">
      <c r="B37" s="17" t="str">
        <f>NomMois&amp;" Total"</f>
        <v>Décembre Total</v>
      </c>
      <c r="C37" s="11">
        <f>SUBTOTAL(103,Décembre[1])</f>
        <v>0</v>
      </c>
      <c r="D37" s="11">
        <f>SUBTOTAL(103,Décembre[2])</f>
        <v>0</v>
      </c>
      <c r="E37" s="11">
        <f>SUBTOTAL(103,Décembre[3])</f>
        <v>0</v>
      </c>
      <c r="F37" s="11">
        <f>SUBTOTAL(103,Décembre[4])</f>
        <v>0</v>
      </c>
      <c r="G37" s="11">
        <f>SUBTOTAL(103,Décembre[5])</f>
        <v>0</v>
      </c>
      <c r="H37" s="11">
        <f>SUBTOTAL(103,Décembre[6])</f>
        <v>0</v>
      </c>
      <c r="I37" s="11">
        <f>SUBTOTAL(103,Décembre[7])</f>
        <v>0</v>
      </c>
      <c r="J37" s="11">
        <f>SUBTOTAL(103,Décembre[8])</f>
        <v>0</v>
      </c>
      <c r="K37" s="11">
        <f>SUBTOTAL(103,Décembre[9])</f>
        <v>0</v>
      </c>
      <c r="L37" s="11">
        <f>SUBTOTAL(103,Décembre[10])</f>
        <v>0</v>
      </c>
      <c r="M37" s="11">
        <f>SUBTOTAL(103,Décembre[11])</f>
        <v>0</v>
      </c>
      <c r="N37" s="11">
        <f>SUBTOTAL(103,Décembre[12])</f>
        <v>0</v>
      </c>
      <c r="O37" s="11">
        <f>SUBTOTAL(103,Décembre[13])</f>
        <v>0</v>
      </c>
      <c r="P37" s="11">
        <f>SUBTOTAL(103,Décembre[14])</f>
        <v>0</v>
      </c>
      <c r="Q37" s="11">
        <f>SUBTOTAL(103,Décembre[15])</f>
        <v>0</v>
      </c>
      <c r="R37" s="11">
        <f>SUBTOTAL(103,Décembre[16])</f>
        <v>0</v>
      </c>
      <c r="S37" s="11">
        <f>SUBTOTAL(103,Décembre[17])</f>
        <v>0</v>
      </c>
      <c r="T37" s="11">
        <f>SUBTOTAL(103,Décembre[18])</f>
        <v>0</v>
      </c>
      <c r="U37" s="11">
        <f>SUBTOTAL(103,Décembre[19])</f>
        <v>0</v>
      </c>
      <c r="V37" s="11">
        <f>SUBTOTAL(103,Décembre[20])</f>
        <v>0</v>
      </c>
      <c r="W37" s="11">
        <f>SUBTOTAL(103,Décembre[21])</f>
        <v>0</v>
      </c>
      <c r="X37" s="11">
        <f>SUBTOTAL(103,Décembre[22])</f>
        <v>0</v>
      </c>
      <c r="Y37" s="11">
        <f>SUBTOTAL(103,Décembre[23])</f>
        <v>0</v>
      </c>
      <c r="Z37" s="11">
        <f>SUBTOTAL(103,Décembre[24])</f>
        <v>0</v>
      </c>
      <c r="AA37" s="11">
        <f>SUBTOTAL(103,Décembre[25])</f>
        <v>0</v>
      </c>
      <c r="AB37" s="11">
        <f>SUBTOTAL(103,Décembre[26])</f>
        <v>0</v>
      </c>
      <c r="AC37" s="11">
        <f>SUBTOTAL(103,Décembre[27])</f>
        <v>0</v>
      </c>
      <c r="AD37" s="11">
        <f>SUBTOTAL(103,Décembre[28])</f>
        <v>0</v>
      </c>
      <c r="AE37" s="11">
        <f>SUBTOTAL(103,Décembre[29])</f>
        <v>0</v>
      </c>
      <c r="AF37" s="11">
        <f>SUBTOTAL(109,Décembre[30])</f>
        <v>0</v>
      </c>
      <c r="AG37" s="11">
        <f>SUBTOTAL(109,Décembre[31])</f>
        <v>0</v>
      </c>
      <c r="AH37" s="11">
        <f>SUBTOTAL(109,Décembre[Total des jours])</f>
        <v>0</v>
      </c>
    </row>
  </sheetData>
  <mergeCells count="7">
    <mergeCell ref="C4:AG4"/>
    <mergeCell ref="D2:E2"/>
    <mergeCell ref="G2:I2"/>
    <mergeCell ref="K2:L2"/>
    <mergeCell ref="N2:Q2"/>
    <mergeCell ref="S2:V2"/>
    <mergeCell ref="X2:AA2"/>
  </mergeCells>
  <conditionalFormatting sqref="AH7:AH36">
    <cfRule type="dataBar" priority="16">
      <dataBar>
        <cfvo type="min"/>
        <cfvo type="formula" val="DATEDIF(DATE(CalendarYear,2,1),DATE(CalendarYear,3,1),&quot;d&quot;)"/>
        <color theme="2" tint="-0.249977111117893"/>
      </dataBar>
      <extLst>
        <ext xmlns:x14="http://schemas.microsoft.com/office/spreadsheetml/2009/9/main" uri="{B025F937-C7B1-47D3-B67F-A62EFF666E3E}">
          <x14:id>{91E509E1-EB16-4C61-8086-1A23FD3A17A8}</x14:id>
        </ext>
      </extLst>
    </cfRule>
  </conditionalFormatting>
  <conditionalFormatting sqref="C7:AG36">
    <cfRule type="expression" priority="2" stopIfTrue="1">
      <formula>C7=""</formula>
    </cfRule>
    <cfRule type="expression" dxfId="75" priority="4" stopIfTrue="1">
      <formula>C7=CléPersonnalisée2</formula>
    </cfRule>
    <cfRule type="expression" dxfId="74" priority="5" stopIfTrue="1">
      <formula>C7=CléPersonnalisée1</formula>
    </cfRule>
    <cfRule type="expression" dxfId="73" priority="6" stopIfTrue="1">
      <formula>C7=CléMaladie</formula>
    </cfRule>
    <cfRule type="expression" dxfId="72" priority="7" stopIfTrue="1">
      <formula>C7=CléPersonnel</formula>
    </cfRule>
    <cfRule type="expression" dxfId="71" priority="8" stopIfTrue="1">
      <formula>C7=CléCongé</formula>
    </cfRule>
  </conditionalFormatting>
  <conditionalFormatting sqref="C7:AG36">
    <cfRule type="expression" dxfId="70" priority="3">
      <formula>C7=CléPersonnalisée3</formula>
    </cfRule>
  </conditionalFormatting>
  <conditionalFormatting sqref="C37:AG37">
    <cfRule type="cellIs" dxfId="69" priority="1" operator="greaterThan">
      <formula>2</formula>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décem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36">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91E509E1-EB16-4C61-8086-1A23FD3A17A8}">
            <x14:dataBar minLength="0" maxLength="100">
              <x14:cfvo type="autoMin"/>
              <x14:cfvo type="formula">
                <xm:f>DATEDIF(DATE(CalendarYear,2,1),DATE(CalendarYear,3,1),"d")</xm:f>
              </x14:cfvo>
              <x14:negativeFillColor rgb="FFFF0000"/>
              <x14:axisColor rgb="FF000000"/>
            </x14:dataBar>
          </x14:cfRule>
          <xm:sqref>AH7:AH36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55</vt:i4>
      </vt:variant>
    </vt:vector>
  </HeadingPairs>
  <TitlesOfParts>
    <vt:vector size="70" baseType="lpstr">
      <vt:lpstr>Accueil</vt:lpstr>
      <vt:lpstr>Statistique</vt:lpstr>
      <vt:lpstr>Paramètre</vt: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CléCongé</vt:lpstr>
      <vt:lpstr>CléMaladie</vt:lpstr>
      <vt:lpstr>CléPersonnalisée1</vt:lpstr>
      <vt:lpstr>CléPersonnalisée2</vt:lpstr>
      <vt:lpstr>CléPersonnalisée3</vt:lpstr>
      <vt:lpstr>CléPersonnel</vt:lpstr>
      <vt:lpstr>ÉtiquetteCléAutorisé</vt:lpstr>
      <vt:lpstr>ÉtiquetteCléCongé</vt:lpstr>
      <vt:lpstr>ÉtiquetteCléFormation</vt:lpstr>
      <vt:lpstr>ÉtiquetteCléIrrégulière</vt:lpstr>
      <vt:lpstr>ÉtiquetteCléMaladie</vt:lpstr>
      <vt:lpstr>ÉtiquetteCléPersonnalisée1</vt:lpstr>
      <vt:lpstr>ÉtiquetteCléPersonnalisée2</vt:lpstr>
      <vt:lpstr>ÉtiquetteCléPersonnel</vt:lpstr>
      <vt:lpstr>ÉtiquetteCléRécupération</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liste</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HASSANI MUSTAPHA</dc:creator>
  <cp:lastModifiedBy>Guy Blancher</cp:lastModifiedBy>
  <cp:lastPrinted>2019-04-04T08:25:09Z</cp:lastPrinted>
  <dcterms:created xsi:type="dcterms:W3CDTF">2016-12-06T04:52:27Z</dcterms:created>
  <dcterms:modified xsi:type="dcterms:W3CDTF">2019-04-09T22:45:13Z</dcterms:modified>
</cp:coreProperties>
</file>