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10935" activeTab="3"/>
  </bookViews>
  <sheets>
    <sheet name="Base" sheetId="4" r:id="rId1"/>
    <sheet name="Convert" sheetId="1" r:id="rId2"/>
    <sheet name="TCD" sheetId="2" r:id="rId3"/>
    <sheet name="Amortissements 07.15" sheetId="3" r:id="rId4"/>
    <sheet name="Amortissements 07.15 (2)" sheetId="5" r:id="rId5"/>
  </sheets>
  <definedNames>
    <definedName name="_xlnm._FilterDatabase" localSheetId="3" hidden="1">'Amortissements 07.15'!$A$1:$Q$28</definedName>
    <definedName name="_xlnm._FilterDatabase" localSheetId="4" hidden="1">'Amortissements 07.15 (2)'!$A$1:$Q$28</definedName>
    <definedName name="_xlnm._FilterDatabase" localSheetId="1" hidden="1">Convert!$A$1:$Z$25</definedName>
    <definedName name="_xlnm.Print_Area" localSheetId="3">'Amortissements 07.15'!$A$2:$Q$28</definedName>
    <definedName name="_xlnm.Print_Area" localSheetId="4">'Amortissements 07.15 (2)'!$A$2:$Q$28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Q28" i="3" l="1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Q2" i="3"/>
  <c r="U6" i="3" l="1"/>
  <c r="M28" i="3"/>
  <c r="M27" i="3"/>
  <c r="M26" i="3"/>
  <c r="C26" i="3"/>
  <c r="M25" i="3"/>
  <c r="C25" i="3"/>
  <c r="M24" i="3"/>
  <c r="C24" i="3"/>
  <c r="M23" i="3"/>
  <c r="C23" i="3"/>
  <c r="M22" i="3"/>
  <c r="C22" i="3"/>
  <c r="M21" i="3"/>
  <c r="C21" i="3"/>
  <c r="M20" i="3"/>
  <c r="C20" i="3"/>
  <c r="M19" i="3"/>
  <c r="C19" i="3"/>
  <c r="M18" i="3"/>
  <c r="C18" i="3"/>
  <c r="M17" i="3"/>
  <c r="C17" i="3"/>
  <c r="M16" i="3"/>
  <c r="C16" i="3"/>
  <c r="M15" i="3"/>
  <c r="C15" i="3"/>
  <c r="M14" i="3"/>
  <c r="C14" i="3"/>
  <c r="M13" i="3"/>
  <c r="C13" i="3"/>
  <c r="M12" i="3"/>
  <c r="C12" i="3"/>
  <c r="M11" i="3"/>
  <c r="M10" i="3"/>
  <c r="M9" i="3"/>
  <c r="M8" i="3"/>
  <c r="M7" i="3"/>
  <c r="M6" i="3"/>
  <c r="M5" i="3"/>
  <c r="M4" i="3"/>
  <c r="M3" i="3"/>
  <c r="M2" i="3"/>
  <c r="Q28" i="5"/>
  <c r="Q27" i="5"/>
  <c r="Q26" i="5"/>
  <c r="Q25" i="5"/>
  <c r="Q24" i="5"/>
  <c r="Q23" i="5"/>
  <c r="Q22" i="5"/>
  <c r="Q2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Q6" i="5"/>
  <c r="Q5" i="5"/>
  <c r="Q4" i="5"/>
  <c r="Q3" i="5"/>
  <c r="Q2" i="5"/>
  <c r="U7" i="5"/>
  <c r="V7" i="5" s="1"/>
  <c r="M28" i="5"/>
  <c r="M27" i="5"/>
  <c r="M26" i="5"/>
  <c r="C26" i="5"/>
  <c r="M25" i="5"/>
  <c r="C25" i="5"/>
  <c r="M24" i="5"/>
  <c r="C24" i="5"/>
  <c r="M23" i="5"/>
  <c r="C23" i="5"/>
  <c r="M22" i="5"/>
  <c r="C22" i="5"/>
  <c r="M21" i="5"/>
  <c r="C21" i="5"/>
  <c r="M20" i="5"/>
  <c r="C20" i="5"/>
  <c r="M19" i="5"/>
  <c r="C19" i="5"/>
  <c r="M18" i="5"/>
  <c r="C18" i="5"/>
  <c r="M17" i="5"/>
  <c r="C17" i="5"/>
  <c r="M16" i="5"/>
  <c r="C16" i="5"/>
  <c r="M15" i="5"/>
  <c r="C15" i="5"/>
  <c r="M14" i="5"/>
  <c r="C14" i="5"/>
  <c r="M13" i="5"/>
  <c r="C13" i="5"/>
  <c r="M12" i="5"/>
  <c r="C12" i="5"/>
  <c r="M11" i="5"/>
  <c r="M10" i="5"/>
  <c r="M9" i="5"/>
  <c r="M8" i="5"/>
  <c r="M7" i="5"/>
  <c r="M6" i="5"/>
  <c r="M5" i="5"/>
  <c r="M4" i="5"/>
  <c r="M3" i="5"/>
  <c r="M2" i="5"/>
  <c r="U7" i="3" l="1"/>
  <c r="U9" i="5"/>
  <c r="V9" i="5" s="1"/>
  <c r="U6" i="5"/>
  <c r="V6" i="5" s="1"/>
  <c r="H4" i="4" l="1"/>
  <c r="F95" i="2"/>
  <c r="K27" i="4" l="1"/>
  <c r="K31" i="4" s="1"/>
  <c r="J27" i="4"/>
  <c r="H25" i="4" l="1"/>
  <c r="H24" i="4"/>
  <c r="K23" i="4"/>
  <c r="J23" i="4"/>
  <c r="H23" i="4"/>
  <c r="K22" i="4"/>
  <c r="J22" i="4"/>
  <c r="H22" i="4"/>
  <c r="K21" i="4"/>
  <c r="J21" i="4"/>
  <c r="H21" i="4"/>
  <c r="K20" i="4"/>
  <c r="J20" i="4"/>
  <c r="H20" i="4"/>
  <c r="K19" i="4"/>
  <c r="J19" i="4"/>
  <c r="H19" i="4"/>
  <c r="K18" i="4"/>
  <c r="J18" i="4"/>
  <c r="H18" i="4"/>
  <c r="K17" i="4"/>
  <c r="J17" i="4"/>
  <c r="H17" i="4"/>
  <c r="K16" i="4"/>
  <c r="J16" i="4"/>
  <c r="H16" i="4"/>
  <c r="K15" i="4"/>
  <c r="J15" i="4"/>
  <c r="H15" i="4"/>
  <c r="K14" i="4"/>
  <c r="J14" i="4"/>
  <c r="H14" i="4"/>
  <c r="H13" i="4"/>
  <c r="H12" i="4"/>
  <c r="H11" i="4"/>
  <c r="H10" i="4"/>
  <c r="H9" i="4"/>
  <c r="H8" i="4"/>
  <c r="H7" i="4"/>
  <c r="H6" i="4"/>
  <c r="H5" i="4"/>
  <c r="L14" i="4" l="1"/>
  <c r="J31" i="4"/>
  <c r="V6" i="3"/>
  <c r="L17" i="4"/>
  <c r="L20" i="4"/>
  <c r="L16" i="4"/>
  <c r="L23" i="4"/>
  <c r="L22" i="4"/>
  <c r="L21" i="4"/>
  <c r="L19" i="4"/>
  <c r="L18" i="4"/>
  <c r="L15" i="4"/>
  <c r="L24" i="4" l="1"/>
  <c r="J24" i="4" s="1"/>
  <c r="U9" i="3"/>
  <c r="V7" i="3" l="1"/>
  <c r="J25" i="4"/>
  <c r="V9" i="3" l="1"/>
</calcChain>
</file>

<file path=xl/sharedStrings.xml><?xml version="1.0" encoding="utf-8"?>
<sst xmlns="http://schemas.openxmlformats.org/spreadsheetml/2006/main" count="965" uniqueCount="216">
  <si>
    <t>N° fiche</t>
  </si>
  <si>
    <t>Compte</t>
  </si>
  <si>
    <t>Référence principale</t>
  </si>
  <si>
    <t>Date entrée</t>
  </si>
  <si>
    <t>Date mise en service</t>
  </si>
  <si>
    <t>Date de sortie</t>
  </si>
  <si>
    <t>Libellé</t>
  </si>
  <si>
    <t>Libellé 2</t>
  </si>
  <si>
    <t>Base comptable</t>
  </si>
  <si>
    <t>Type amortissement</t>
  </si>
  <si>
    <t>Base</t>
  </si>
  <si>
    <t>Dotation</t>
  </si>
  <si>
    <t>Cumul P</t>
  </si>
  <si>
    <t>Valeur nette</t>
  </si>
  <si>
    <t>durée fiscale</t>
  </si>
  <si>
    <t>durée comptable</t>
  </si>
  <si>
    <t>Critère 1</t>
  </si>
  <si>
    <t>Critère 3</t>
  </si>
  <si>
    <t>Critère 4</t>
  </si>
  <si>
    <t>Critère 6</t>
  </si>
  <si>
    <t>Critère 9</t>
  </si>
  <si>
    <t>Méthode N°4</t>
  </si>
  <si>
    <t>Cumul P-1</t>
  </si>
  <si>
    <t>Méthode fiscale</t>
  </si>
  <si>
    <t>218400</t>
  </si>
  <si>
    <t/>
  </si>
  <si>
    <t>01</t>
  </si>
  <si>
    <t>0</t>
  </si>
  <si>
    <t>215500</t>
  </si>
  <si>
    <t>4UM</t>
  </si>
  <si>
    <t>02</t>
  </si>
  <si>
    <t>215400</t>
  </si>
  <si>
    <t>3LK</t>
  </si>
  <si>
    <t>ZBI</t>
  </si>
  <si>
    <t>213530</t>
  </si>
  <si>
    <t>4MM</t>
  </si>
  <si>
    <t>213540</t>
  </si>
  <si>
    <t>M41373A</t>
  </si>
  <si>
    <t>CHANDELLE POUR TOURELLE 994</t>
  </si>
  <si>
    <t>11612</t>
  </si>
  <si>
    <t>110345</t>
  </si>
  <si>
    <t>501638</t>
  </si>
  <si>
    <t>M50122A</t>
  </si>
  <si>
    <t>VIREUR POUR PREMONTAGE POMPES HYDRAULIQU</t>
  </si>
  <si>
    <t>11624</t>
  </si>
  <si>
    <t>112536</t>
  </si>
  <si>
    <t>501950</t>
  </si>
  <si>
    <t>M50128</t>
  </si>
  <si>
    <t>ELINGUE CHAINES 4 BRINS</t>
  </si>
  <si>
    <t>5 M</t>
  </si>
  <si>
    <t>12041</t>
  </si>
  <si>
    <t>2AR</t>
  </si>
  <si>
    <t>182061</t>
  </si>
  <si>
    <t>501980</t>
  </si>
  <si>
    <t>M41468</t>
  </si>
  <si>
    <t>POMPE A HUILE GRACO</t>
  </si>
  <si>
    <t>12057</t>
  </si>
  <si>
    <t>ZPM</t>
  </si>
  <si>
    <t>113071</t>
  </si>
  <si>
    <t>502049</t>
  </si>
  <si>
    <t>M61308</t>
  </si>
  <si>
    <t>WIFI + ECLAIRAGE</t>
  </si>
  <si>
    <t>12073</t>
  </si>
  <si>
    <t>101804</t>
  </si>
  <si>
    <t>502026</t>
  </si>
  <si>
    <t>ZZZ</t>
  </si>
  <si>
    <t>111145</t>
  </si>
  <si>
    <t>0,00</t>
  </si>
  <si>
    <t>M40319</t>
  </si>
  <si>
    <t>LAME DE DENEIGEMENT BEMA 700</t>
  </si>
  <si>
    <t>10138</t>
  </si>
  <si>
    <t>112809</t>
  </si>
  <si>
    <t>816818</t>
  </si>
  <si>
    <t>213040</t>
  </si>
  <si>
    <t>MINING TRANCHE 3</t>
  </si>
  <si>
    <t>10400</t>
  </si>
  <si>
    <t>1CN</t>
  </si>
  <si>
    <t>CONVOYEUR 2 RANGEES</t>
  </si>
  <si>
    <t>101571</t>
  </si>
  <si>
    <t>816890</t>
  </si>
  <si>
    <t>ZAM</t>
  </si>
  <si>
    <t>212000</t>
  </si>
  <si>
    <t>9636</t>
  </si>
  <si>
    <t>101586</t>
  </si>
  <si>
    <t>817635</t>
  </si>
  <si>
    <t>2KM</t>
  </si>
  <si>
    <t>BATIMENT PRODUCTIF C5 -N</t>
  </si>
  <si>
    <t>MEUBLE 2P COULISSANTES+PLATEAU</t>
  </si>
  <si>
    <t>M4291</t>
  </si>
  <si>
    <t>ETABLI MOBILE REF.920.339.80</t>
  </si>
  <si>
    <t>4097</t>
  </si>
  <si>
    <t>809992</t>
  </si>
  <si>
    <t>2BK</t>
  </si>
  <si>
    <t>205100</t>
  </si>
  <si>
    <t>4KI</t>
  </si>
  <si>
    <t>112993</t>
  </si>
  <si>
    <t>112635</t>
  </si>
  <si>
    <t>CLIMATISATION</t>
  </si>
  <si>
    <t>213010</t>
  </si>
  <si>
    <t>1CE</t>
  </si>
  <si>
    <t>11011</t>
  </si>
  <si>
    <t>112952</t>
  </si>
  <si>
    <t>112247</t>
  </si>
  <si>
    <t>CONTROLEUR DE COUPLE</t>
  </si>
  <si>
    <t>11823</t>
  </si>
  <si>
    <t>1KF</t>
  </si>
  <si>
    <t>1044165</t>
  </si>
  <si>
    <t>MAT DE DRAPEAU</t>
  </si>
  <si>
    <t>11062</t>
  </si>
  <si>
    <t>CONVOYEURS 3 NIVEAUX</t>
  </si>
  <si>
    <t>11619</t>
  </si>
  <si>
    <t>501039</t>
  </si>
  <si>
    <t>11654</t>
  </si>
  <si>
    <t>101577</t>
  </si>
  <si>
    <t>NAVARI PLAYER V 5.2</t>
  </si>
  <si>
    <t>11887</t>
  </si>
  <si>
    <t>501034</t>
  </si>
  <si>
    <t>112320</t>
  </si>
  <si>
    <t>M30224</t>
  </si>
  <si>
    <t>M61241</t>
  </si>
  <si>
    <t>CHARIOT SYSTEMEAVEC PROFILE</t>
  </si>
  <si>
    <t>501254</t>
  </si>
  <si>
    <t>CHANDELLE LONGERON R9350</t>
  </si>
  <si>
    <t>10504</t>
  </si>
  <si>
    <t>816906</t>
  </si>
  <si>
    <t>M61209</t>
  </si>
  <si>
    <t>101566</t>
  </si>
  <si>
    <t>M41155</t>
  </si>
  <si>
    <t>M23229</t>
  </si>
  <si>
    <t>8935</t>
  </si>
  <si>
    <t>ARMOIRE HAUTE A RIDEAUX</t>
  </si>
  <si>
    <t>4 TABLETTES</t>
  </si>
  <si>
    <t>10539</t>
  </si>
  <si>
    <t>111550</t>
  </si>
  <si>
    <t>817284</t>
  </si>
  <si>
    <t>CLOISONS PLEINES AVEC PORTES</t>
  </si>
  <si>
    <t>817665</t>
  </si>
  <si>
    <t>M20502</t>
  </si>
  <si>
    <t>M20519</t>
  </si>
  <si>
    <t>PAIRE DE RALLONGE DE FOURCHES DURWEN GVS</t>
  </si>
  <si>
    <t>POUR HD 50</t>
  </si>
  <si>
    <t>817728</t>
  </si>
  <si>
    <t>BATIMENT ADMINSTRATIF C5 -L</t>
  </si>
  <si>
    <t>PEINTURE CHARPENTE EXTERIEUR</t>
  </si>
  <si>
    <t>101553</t>
  </si>
  <si>
    <t>817767</t>
  </si>
  <si>
    <t>M81011</t>
  </si>
  <si>
    <t>BUR. PRO/PEINTURE+ MAITRISE</t>
  </si>
  <si>
    <t>500296</t>
  </si>
  <si>
    <t>M61092</t>
  </si>
  <si>
    <t>500368</t>
  </si>
  <si>
    <t>ANNEAU DE LEVAGE ARTICULE M56*4</t>
  </si>
  <si>
    <t>R9600+R9800</t>
  </si>
  <si>
    <t>817042</t>
  </si>
  <si>
    <t>2NR</t>
  </si>
  <si>
    <t>M4192</t>
  </si>
  <si>
    <t>M80122</t>
  </si>
  <si>
    <t>CABARIT DE PREMONTAGE REHAUSSES CABINES</t>
  </si>
  <si>
    <t>814437</t>
  </si>
  <si>
    <t>M40288</t>
  </si>
  <si>
    <t>VISSEUSE POUR SERRAGE LONGERONS</t>
  </si>
  <si>
    <t>ITH</t>
  </si>
  <si>
    <t>9705</t>
  </si>
  <si>
    <t>815964</t>
  </si>
  <si>
    <t>M20474</t>
  </si>
  <si>
    <t>M23164</t>
  </si>
  <si>
    <t>M40284</t>
  </si>
  <si>
    <t>POMPE POUR SIMULATEUR DE GRAISSAGE</t>
  </si>
  <si>
    <t>9828</t>
  </si>
  <si>
    <t>112804</t>
  </si>
  <si>
    <t>816037</t>
  </si>
  <si>
    <t>Étiquettes de lignes</t>
  </si>
  <si>
    <t>Total général</t>
  </si>
  <si>
    <t>Somme de Dotation</t>
  </si>
  <si>
    <t>;</t>
  </si>
  <si>
    <t>Comptable</t>
  </si>
  <si>
    <t>Fiscal</t>
  </si>
  <si>
    <t xml:space="preserve">SBS </t>
  </si>
  <si>
    <t>t_leac</t>
  </si>
  <si>
    <t>Section</t>
  </si>
  <si>
    <t>Vertriebsweg</t>
  </si>
  <si>
    <t>Branche</t>
  </si>
  <si>
    <t>Produktgruppe</t>
  </si>
  <si>
    <t>Projet</t>
  </si>
  <si>
    <t>dbcr</t>
  </si>
  <si>
    <t>dotation comptable</t>
  </si>
  <si>
    <t>dotation fiscale</t>
  </si>
  <si>
    <t>Dot amt dérog</t>
  </si>
  <si>
    <t>Amort. Logiciels au</t>
  </si>
  <si>
    <t>Amort. agenc. cours et terrain au</t>
  </si>
  <si>
    <t>Amort. Batiment administratif au</t>
  </si>
  <si>
    <t>Amort. Prototypes au</t>
  </si>
  <si>
    <t xml:space="preserve">Amort. Véh. De tourisme au </t>
  </si>
  <si>
    <t xml:space="preserve">Amort. parc voitures  au </t>
  </si>
  <si>
    <t xml:space="preserve">Amort Camions au </t>
  </si>
  <si>
    <t xml:space="preserve">Amort. Mat info au </t>
  </si>
  <si>
    <t xml:space="preserve">Amort PC au </t>
  </si>
  <si>
    <t xml:space="preserve">Amort. mobilier  au </t>
  </si>
  <si>
    <t xml:space="preserve">Amort. Logiciels au </t>
  </si>
  <si>
    <t xml:space="preserve">Amort. agenc. cours et terrain au </t>
  </si>
  <si>
    <t xml:space="preserve">Amort. Batiment administratif au </t>
  </si>
  <si>
    <t>Amort.dérogatoire au</t>
  </si>
  <si>
    <t>total auto</t>
  </si>
  <si>
    <t>à saisir</t>
  </si>
  <si>
    <t>verif</t>
  </si>
  <si>
    <t>VERIFICATIONS :</t>
  </si>
  <si>
    <t>Différence :</t>
  </si>
  <si>
    <t>voir amortissements dérogatoires</t>
  </si>
  <si>
    <t>Critère 17</t>
  </si>
  <si>
    <t>ZAU</t>
  </si>
  <si>
    <t>00</t>
  </si>
  <si>
    <t>Vérif</t>
  </si>
  <si>
    <t>S/H</t>
  </si>
  <si>
    <t>Montant</t>
  </si>
  <si>
    <t>31/07/2015</t>
  </si>
  <si>
    <t>Type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</si>
</sst>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mmyyyy"/>
  </numFmts>
  <fonts count="10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4" fillId="0" borderId="0"/>
    <xf numFmtId="0" fontId="1" fillId="0" borderId="0"/>
  </cellStyleXfs>
  <cellXfs count="5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4" fontId="0" fillId="3" borderId="0" xfId="0" applyNumberFormat="1" applyFill="1"/>
    <xf numFmtId="43" fontId="0" fillId="0" borderId="0" xfId="1" applyFont="1"/>
    <xf numFmtId="0" fontId="0" fillId="0" borderId="0" xfId="0" applyFill="1"/>
    <xf numFmtId="0" fontId="0" fillId="0" borderId="0" xfId="0" applyFill="1" applyAlignment="1">
      <alignment horizontal="right"/>
    </xf>
    <xf numFmtId="0" fontId="5" fillId="4" borderId="1" xfId="2" applyFont="1" applyFill="1" applyBorder="1" applyAlignment="1">
      <alignment horizontal="center"/>
    </xf>
    <xf numFmtId="0" fontId="5" fillId="4" borderId="1" xfId="2" applyFont="1" applyFill="1" applyBorder="1" applyAlignment="1">
      <alignment horizontal="right"/>
    </xf>
    <xf numFmtId="4" fontId="5" fillId="4" borderId="1" xfId="2" applyNumberFormat="1" applyFont="1" applyFill="1" applyBorder="1" applyAlignment="1">
      <alignment horizontal="center"/>
    </xf>
    <xf numFmtId="43" fontId="5" fillId="4" borderId="1" xfId="1" applyFont="1" applyFill="1" applyBorder="1" applyAlignment="1">
      <alignment horizontal="center"/>
    </xf>
    <xf numFmtId="43" fontId="0" fillId="4" borderId="1" xfId="1" applyFont="1" applyFill="1" applyBorder="1"/>
    <xf numFmtId="0" fontId="5" fillId="2" borderId="1" xfId="2" applyFont="1" applyFill="1" applyBorder="1" applyAlignment="1">
      <alignment wrapText="1"/>
    </xf>
    <xf numFmtId="0" fontId="5" fillId="2" borderId="1" xfId="2" applyFont="1" applyFill="1" applyBorder="1" applyAlignment="1">
      <alignment horizontal="right" wrapText="1"/>
    </xf>
    <xf numFmtId="4" fontId="0" fillId="2" borderId="1" xfId="0" applyNumberFormat="1" applyFill="1" applyBorder="1"/>
    <xf numFmtId="164" fontId="5" fillId="2" borderId="1" xfId="2" applyNumberFormat="1" applyFont="1" applyFill="1" applyBorder="1" applyAlignment="1">
      <alignment wrapText="1"/>
    </xf>
    <xf numFmtId="0" fontId="5" fillId="2" borderId="1" xfId="2" applyNumberFormat="1" applyFont="1" applyFill="1" applyBorder="1" applyAlignment="1">
      <alignment horizontal="right" wrapText="1"/>
    </xf>
    <xf numFmtId="0" fontId="5" fillId="0" borderId="1" xfId="2" applyFont="1" applyFill="1" applyBorder="1" applyAlignment="1">
      <alignment wrapText="1"/>
    </xf>
    <xf numFmtId="164" fontId="5" fillId="0" borderId="1" xfId="2" applyNumberFormat="1" applyFont="1" applyFill="1" applyBorder="1" applyAlignment="1">
      <alignment wrapText="1"/>
    </xf>
    <xf numFmtId="0" fontId="5" fillId="0" borderId="1" xfId="2" applyFont="1" applyFill="1" applyBorder="1" applyAlignment="1">
      <alignment horizontal="right" wrapText="1"/>
    </xf>
    <xf numFmtId="4" fontId="0" fillId="5" borderId="1" xfId="0" applyNumberFormat="1" applyFill="1" applyBorder="1"/>
    <xf numFmtId="4" fontId="0" fillId="6" borderId="1" xfId="0" applyNumberFormat="1" applyFill="1" applyBorder="1"/>
    <xf numFmtId="43" fontId="6" fillId="0" borderId="1" xfId="1" applyFont="1" applyBorder="1"/>
    <xf numFmtId="0" fontId="5" fillId="0" borderId="1" xfId="2" applyNumberFormat="1" applyFont="1" applyFill="1" applyBorder="1" applyAlignment="1">
      <alignment horizontal="right" wrapText="1"/>
    </xf>
    <xf numFmtId="43" fontId="7" fillId="0" borderId="1" xfId="1" applyFont="1" applyFill="1" applyBorder="1"/>
    <xf numFmtId="43" fontId="6" fillId="0" borderId="0" xfId="1" applyFont="1"/>
    <xf numFmtId="4" fontId="0" fillId="0" borderId="0" xfId="0" applyNumberFormat="1" applyFill="1" applyBorder="1"/>
    <xf numFmtId="0" fontId="3" fillId="0" borderId="0" xfId="0" applyFont="1" applyFill="1" applyAlignment="1">
      <alignment horizontal="right"/>
    </xf>
    <xf numFmtId="4" fontId="3" fillId="5" borderId="0" xfId="0" applyNumberFormat="1" applyFont="1" applyFill="1" applyBorder="1"/>
    <xf numFmtId="4" fontId="3" fillId="0" borderId="0" xfId="0" applyNumberFormat="1" applyFont="1" applyFill="1" applyBorder="1"/>
    <xf numFmtId="4" fontId="3" fillId="0" borderId="0" xfId="1" applyNumberFormat="1" applyFont="1"/>
    <xf numFmtId="4" fontId="3" fillId="2" borderId="0" xfId="0" applyNumberFormat="1" applyFont="1" applyFill="1" applyBorder="1"/>
    <xf numFmtId="4" fontId="3" fillId="7" borderId="0" xfId="0" applyNumberFormat="1" applyFont="1" applyFill="1" applyBorder="1"/>
    <xf numFmtId="0" fontId="8" fillId="0" borderId="0" xfId="0" applyFont="1"/>
    <xf numFmtId="0" fontId="0" fillId="2" borderId="0" xfId="0" quotePrefix="1" applyFill="1"/>
    <xf numFmtId="0" fontId="0" fillId="2" borderId="0" xfId="0" applyFill="1"/>
    <xf numFmtId="49" fontId="2" fillId="2" borderId="0" xfId="0" applyNumberFormat="1" applyFont="1" applyFill="1" applyBorder="1"/>
    <xf numFmtId="0" fontId="9" fillId="0" borderId="0" xfId="0" applyFont="1" applyBorder="1"/>
    <xf numFmtId="0" fontId="2" fillId="0" borderId="0" xfId="0" applyFont="1"/>
    <xf numFmtId="0" fontId="0" fillId="0" borderId="0" xfId="0" applyNumberFormat="1"/>
    <xf numFmtId="0" fontId="0" fillId="0" borderId="0" xfId="0" applyNumberFormat="1" applyFill="1"/>
    <xf numFmtId="0" fontId="3" fillId="0" borderId="0" xfId="0" applyFont="1" applyFill="1" applyAlignment="1">
      <alignment horizontal="center"/>
    </xf>
    <xf numFmtId="43" fontId="6" fillId="0" borderId="2" xfId="1" applyFont="1" applyBorder="1" applyAlignment="1">
      <alignment horizontal="center"/>
    </xf>
    <xf numFmtId="43" fontId="6" fillId="0" borderId="3" xfId="1" applyFont="1" applyBorder="1" applyAlignment="1">
      <alignment horizontal="center"/>
    </xf>
    <xf numFmtId="43" fontId="6" fillId="0" borderId="4" xfId="1" applyFont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4" fontId="0" fillId="6" borderId="4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4">
    <cellStyle name="Milliers" xfId="1" builtinId="3"/>
    <cellStyle name="Normal" xfId="0" builtinId="0"/>
    <cellStyle name="Normal 2" xfId="3"/>
    <cellStyle name="Normal_Feuil1" xfId="2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114300</xdr:rowOff>
    </xdr:from>
    <xdr:to>
      <xdr:col>3</xdr:col>
      <xdr:colOff>142875</xdr:colOff>
      <xdr:row>0</xdr:row>
      <xdr:rowOff>381000</xdr:rowOff>
    </xdr:to>
    <xdr:sp macro="[0]!Vider" textlink="">
      <xdr:nvSpPr>
        <xdr:cNvPr id="2" name="Ellipse 1"/>
        <xdr:cNvSpPr/>
      </xdr:nvSpPr>
      <xdr:spPr>
        <a:xfrm>
          <a:off x="1333500" y="11430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781050</xdr:colOff>
      <xdr:row>0</xdr:row>
      <xdr:rowOff>171450</xdr:rowOff>
    </xdr:from>
    <xdr:to>
      <xdr:col>23</xdr:col>
      <xdr:colOff>466725</xdr:colOff>
      <xdr:row>4</xdr:row>
      <xdr:rowOff>19050</xdr:rowOff>
    </xdr:to>
    <xdr:sp macro="[0]!Extourne" textlink="">
      <xdr:nvSpPr>
        <xdr:cNvPr id="2" name="Ellipse 1"/>
        <xdr:cNvSpPr/>
      </xdr:nvSpPr>
      <xdr:spPr>
        <a:xfrm>
          <a:off x="10477500" y="171450"/>
          <a:ext cx="1381125" cy="609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Extourne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781050</xdr:colOff>
      <xdr:row>0</xdr:row>
      <xdr:rowOff>171450</xdr:rowOff>
    </xdr:from>
    <xdr:to>
      <xdr:col>23</xdr:col>
      <xdr:colOff>466725</xdr:colOff>
      <xdr:row>4</xdr:row>
      <xdr:rowOff>19050</xdr:rowOff>
    </xdr:to>
    <xdr:sp macro="[0]!Extourne" textlink="">
      <xdr:nvSpPr>
        <xdr:cNvPr id="2" name="Ellipse 1"/>
        <xdr:cNvSpPr/>
      </xdr:nvSpPr>
      <xdr:spPr>
        <a:xfrm>
          <a:off x="11277600" y="171450"/>
          <a:ext cx="1381125" cy="609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Extourne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22.478770486108" createdVersion="5" refreshedVersion="5" minRefreshableVersion="3" recordCount="24">
  <cacheSource type="worksheet">
    <worksheetSource ref="A1:Z25" sheet="Convert"/>
  </cacheSource>
  <cacheFields count="26">
    <cacheField name="N° fiche" numFmtId="0">
      <sharedItems containsSemiMixedTypes="0" containsString="0" containsNumber="1" containsInteger="1" minValue="9612" maxValue="22368"/>
    </cacheField>
    <cacheField name="Compte" numFmtId="0">
      <sharedItems/>
    </cacheField>
    <cacheField name="Référence principale" numFmtId="0">
      <sharedItems/>
    </cacheField>
    <cacheField name="Date entrée" numFmtId="14">
      <sharedItems containsSemiMixedTypes="0" containsNonDate="0" containsDate="1" containsString="0" minDate="2002-03-22T00:00:00" maxDate="2013-03-14T00:00:00"/>
    </cacheField>
    <cacheField name="Date mise en service" numFmtId="14">
      <sharedItems containsSemiMixedTypes="0" containsNonDate="0" containsDate="1" containsString="0" minDate="2002-03-22T00:00:00" maxDate="2013-03-14T00:00:00"/>
    </cacheField>
    <cacheField name="Date de sortie" numFmtId="14">
      <sharedItems containsSemiMixedTypes="0" containsNonDate="0" containsDate="1" containsString="0" minDate="2015-06-26T00:00:00" maxDate="2099-12-31T00:00:00"/>
    </cacheField>
    <cacheField name="Libellé" numFmtId="0">
      <sharedItems/>
    </cacheField>
    <cacheField name="Libellé 2" numFmtId="0">
      <sharedItems/>
    </cacheField>
    <cacheField name="Base comptable" numFmtId="0">
      <sharedItems containsSemiMixedTypes="0" containsString="0" containsNumber="1" containsInteger="1" minValue="599" maxValue="9403"/>
    </cacheField>
    <cacheField name="Type amortissement" numFmtId="0">
      <sharedItems/>
    </cacheField>
    <cacheField name="Base" numFmtId="0">
      <sharedItems containsSemiMixedTypes="0" containsString="0" containsNumber="1" minValue="599" maxValue="9403.0400000000009"/>
    </cacheField>
    <cacheField name="Dotation" numFmtId="0">
      <sharedItems containsSemiMixedTypes="0" containsString="0" containsNumber="1" minValue="27.89" maxValue="629.79999999999995"/>
    </cacheField>
    <cacheField name="Cumul P" numFmtId="0">
      <sharedItems containsSemiMixedTypes="0" containsString="0" containsNumber="1" minValue="241.85" maxValue="6624.75"/>
    </cacheField>
    <cacheField name="Valeur nette" numFmtId="0">
      <sharedItems containsSemiMixedTypes="0" containsString="0" containsNumber="1" minValue="0" maxValue="6642.8"/>
    </cacheField>
    <cacheField name="durée fiscale" numFmtId="0">
      <sharedItems containsSemiMixedTypes="0" containsString="0" containsNumber="1" containsInteger="1" minValue="1" maxValue="10"/>
    </cacheField>
    <cacheField name="durée comptable" numFmtId="0">
      <sharedItems containsSemiMixedTypes="0" containsString="0" containsNumber="1" containsInteger="1" minValue="3" maxValue="14"/>
    </cacheField>
    <cacheField name="Critère 1" numFmtId="0">
      <sharedItems/>
    </cacheField>
    <cacheField name="Critère 3" numFmtId="0">
      <sharedItems count="91">
        <s v="4MM"/>
        <s v="2BK"/>
        <s v="1CE"/>
        <s v="1CN"/>
        <s v="4UM"/>
        <s v="ZAM"/>
        <s v="ZBI"/>
        <s v="2KM"/>
        <s v="ZPM"/>
        <s v="4KI"/>
        <s v="ZAU"/>
        <s v="2AR"/>
        <s v="2NR"/>
        <s v="3LK"/>
        <s v="1KF"/>
        <s v="1BB" u="1"/>
        <s v="1CS" u="1"/>
        <s v="3DF" u="1"/>
        <s v="4VM" u="1"/>
        <s v="ZAI" u="1"/>
        <s v="2AF" u="1"/>
        <s v="4TO" u="1"/>
        <s v="3DG" u="1"/>
        <s v="1VX" u="1"/>
        <s v="3DH" u="1"/>
        <s v="4AM" u="1"/>
        <s v="2RM" u="1"/>
        <s v="3DI" u="1"/>
        <s v="4QB" u="1"/>
        <s v="1VZ" u="1"/>
        <s v="3DJ" u="1"/>
        <s v="3DK" u="1"/>
        <s v="6DB" u="1"/>
        <s v="3DL" u="1"/>
        <s v="6BD" u="1"/>
        <s v="ZEL" u="1"/>
        <s v="3DM" u="1"/>
        <s v="6FB" u="1"/>
        <s v="2AM" u="1"/>
        <s v="3DN" u="1"/>
        <s v="4KL" u="1"/>
        <s v="3DO" u="1"/>
        <s v="4KM" u="1"/>
        <s v="6HC" u="1"/>
        <s v="3DP" u="1"/>
        <s v="3DQ" u="1"/>
        <s v="4KO" u="1"/>
        <s v="3DR" u="1"/>
        <s v="6NA" u="1"/>
        <s v="1DM" u="1"/>
        <s v="3AC" u="1"/>
        <s v="1BP" u="1"/>
        <s v="1FM" u="1"/>
        <s v="1VA" u="1"/>
        <s v="3AE" u="1"/>
        <s v="4KS" u="1"/>
        <s v="1AA" u="1"/>
        <s v="3GB" u="1"/>
        <s v="2QK" u="1"/>
        <s v="4UN" u="1"/>
        <s v="4UO" u="1"/>
        <s v="4UP" u="1"/>
        <s v="2QN" u="1"/>
        <s v="4BM" u="1"/>
        <s v="2SM" u="1"/>
        <s v="2QO" u="1"/>
        <s v="4WP" u="1"/>
        <s v="4TA" u="1"/>
        <s v="1CG" u="1"/>
        <s v="1KA" u="1"/>
        <s v="1IC" u="1"/>
        <s v="1KB" u="1"/>
        <s v="2QR" u="1"/>
        <s v="ZBO" u="1"/>
        <s v="2QS" u="1"/>
        <s v="6PM" u="1"/>
        <s v="ZBS" u="1"/>
        <s v="2NG" u="1"/>
        <s v="3DA" u="1"/>
        <s v="ZBU" u="1"/>
        <s v="3DB" u="1"/>
        <s v="4TK" u="1"/>
        <s v="3DC" u="1"/>
        <s v="4RM" u="1"/>
        <s v="2ZB" u="1"/>
        <s v="4TL" u="1"/>
        <s v="3DD" u="1"/>
        <s v="2NL" u="1"/>
        <s v="3DE" u="1"/>
        <s v="3BG" u="1"/>
        <s v="4KC" u="1"/>
      </sharedItems>
    </cacheField>
    <cacheField name="Critère 4" numFmtId="0">
      <sharedItems/>
    </cacheField>
    <cacheField name="Critère 6" numFmtId="0">
      <sharedItems/>
    </cacheField>
    <cacheField name="Critère 9" numFmtId="0">
      <sharedItems/>
    </cacheField>
    <cacheField name="Méthode N°4" numFmtId="0">
      <sharedItems/>
    </cacheField>
    <cacheField name="Cumul P-1" numFmtId="0">
      <sharedItems containsSemiMixedTypes="0" containsString="0" containsNumber="1" containsInteger="1" minValue="197" maxValue="5995"/>
    </cacheField>
    <cacheField name="Méthode fiscale" numFmtId="0">
      <sharedItems/>
    </cacheField>
    <cacheField name="Critère 17" numFmtId="0">
      <sharedItems/>
    </cacheField>
    <cacheField name="Type de sort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n v="21045"/>
    <s v="205100"/>
    <s v="M30224"/>
    <d v="2012-03-09T00:00:00"/>
    <d v="2012-03-09T00:00:00"/>
    <d v="2099-12-30T00:00:00"/>
    <s v="NAVARI PLAYER V 5.2"/>
    <s v=""/>
    <n v="599"/>
    <s v="01"/>
    <n v="599"/>
    <n v="37.090000000000003"/>
    <n v="599"/>
    <n v="0"/>
    <n v="1"/>
    <n v="3"/>
    <s v="11887"/>
    <x v="0"/>
    <s v="0"/>
    <s v="112247"/>
    <s v="501034"/>
    <s v="01"/>
    <n v="562"/>
    <s v="01"/>
    <s v=""/>
    <s v="00"/>
  </r>
  <r>
    <n v="20351"/>
    <s v="212000"/>
    <s v="M61092"/>
    <d v="2011-08-23T00:00:00"/>
    <d v="2011-08-23T00:00:00"/>
    <d v="2015-06-26T00:00:00"/>
    <s v="MAT DE DRAPEAU"/>
    <s v=""/>
    <n v="660"/>
    <s v="01"/>
    <n v="660"/>
    <n v="32.01"/>
    <n v="253.7"/>
    <n v="406.3"/>
    <n v="10"/>
    <n v="10"/>
    <s v="11062"/>
    <x v="1"/>
    <s v="0"/>
    <s v="112993"/>
    <s v="500368"/>
    <s v="01"/>
    <n v="222"/>
    <s v="01"/>
    <s v=""/>
    <s v="02"/>
  </r>
  <r>
    <n v="18749"/>
    <s v="213010"/>
    <s v="MINING TRANCHE 3"/>
    <d v="2011-12-30T00:00:00"/>
    <d v="2011-12-30T00:00:00"/>
    <d v="2099-12-30T00:00:00"/>
    <s v="BATIMENT ADMINSTRATIF C5 -L"/>
    <s v="PEINTURE CHARPENTE EXTERIEUR"/>
    <n v="2615"/>
    <s v="01"/>
    <n v="2615"/>
    <n v="108.49"/>
    <n v="669.88"/>
    <n v="1945.12"/>
    <n v="10"/>
    <n v="14"/>
    <s v="10400"/>
    <x v="2"/>
    <s v="ZZZ"/>
    <s v="101553"/>
    <s v="817767"/>
    <s v="01"/>
    <n v="561"/>
    <s v="01"/>
    <s v=""/>
    <s v="00"/>
  </r>
  <r>
    <n v="18433"/>
    <s v="213040"/>
    <s v="MINING TRANCHE 3"/>
    <d v="2011-12-30T00:00:00"/>
    <d v="2011-12-30T00:00:00"/>
    <d v="2099-12-30T00:00:00"/>
    <s v="BATIMENT PRODUCTIF C5 -N"/>
    <s v="CLOISONS PLEINES AVEC PORTES"/>
    <n v="5672"/>
    <s v="01"/>
    <n v="5672.09"/>
    <n v="235.33"/>
    <n v="1453.03"/>
    <n v="4219.0600000000004"/>
    <n v="7"/>
    <n v="14"/>
    <s v="10400"/>
    <x v="3"/>
    <s v="ZZZ"/>
    <s v="101566"/>
    <s v="817665"/>
    <s v="01"/>
    <n v="1218"/>
    <s v="02"/>
    <s v=""/>
    <s v="00"/>
  </r>
  <r>
    <n v="22368"/>
    <s v="213530"/>
    <s v="M61308"/>
    <d v="2013-02-27T00:00:00"/>
    <d v="2013-02-27T00:00:00"/>
    <d v="2099-12-30T00:00:00"/>
    <s v="WIFI + ECLAIRAGE"/>
    <s v=""/>
    <n v="8734"/>
    <s v="01"/>
    <n v="8733.58"/>
    <n v="507.27"/>
    <n v="2117.6"/>
    <n v="6615.98"/>
    <n v="7"/>
    <n v="10"/>
    <s v="12073"/>
    <x v="4"/>
    <s v="0"/>
    <s v="101804"/>
    <s v="502026"/>
    <s v="01"/>
    <n v="1610"/>
    <s v="02"/>
    <s v=""/>
    <s v="00"/>
  </r>
  <r>
    <n v="9612"/>
    <s v="213540"/>
    <s v="M4291"/>
    <d v="2002-03-22T00:00:00"/>
    <d v="2002-03-22T00:00:00"/>
    <d v="2099-12-30T00:00:00"/>
    <s v="ETABLI MOBILE REF.920.339.80"/>
    <s v=""/>
    <n v="818"/>
    <s v="01"/>
    <n v="818.34"/>
    <n v="29.54"/>
    <n v="785.77"/>
    <n v="32.57"/>
    <n v="7"/>
    <n v="14"/>
    <s v="4097"/>
    <x v="5"/>
    <s v="0"/>
    <s v="111145"/>
    <s v="809992"/>
    <s v="01"/>
    <n v="756"/>
    <s v="02"/>
    <s v=""/>
    <s v="00"/>
  </r>
  <r>
    <n v="21068"/>
    <s v="213540"/>
    <s v="M61209"/>
    <d v="2012-03-02T00:00:00"/>
    <d v="2012-03-02T00:00:00"/>
    <d v="2099-12-30T00:00:00"/>
    <s v="CONVOYEURS 3 NIVEAUX"/>
    <s v="0,00"/>
    <n v="1150"/>
    <s v="01"/>
    <n v="1150"/>
    <n v="55.66"/>
    <n v="327.18"/>
    <n v="822.82"/>
    <n v="7"/>
    <n v="12"/>
    <s v="11619"/>
    <x v="6"/>
    <s v="0"/>
    <s v="112635"/>
    <s v="501039"/>
    <s v="01"/>
    <n v="272"/>
    <s v="02"/>
    <s v=""/>
    <s v="00"/>
  </r>
  <r>
    <n v="15448"/>
    <s v="213540"/>
    <s v="M80122"/>
    <d v="2008-07-16T00:00:00"/>
    <d v="2008-07-16T00:00:00"/>
    <d v="2099-12-30T00:00:00"/>
    <s v="CABARIT DE PREMONTAGE REHAUSSES CABINES"/>
    <s v=""/>
    <n v="672"/>
    <s v="01"/>
    <n v="672.21"/>
    <n v="27.89"/>
    <n v="338.18"/>
    <n v="334.03"/>
    <n v="7"/>
    <n v="14"/>
    <s v="8935"/>
    <x v="6"/>
    <s v="0"/>
    <s v="112635"/>
    <s v="814437"/>
    <s v="01"/>
    <n v="310"/>
    <s v="02"/>
    <s v=""/>
    <s v="00"/>
  </r>
  <r>
    <n v="21364"/>
    <s v="213540"/>
    <s v="M61241"/>
    <d v="2012-06-14T00:00:00"/>
    <d v="2012-06-14T00:00:00"/>
    <d v="2099-12-30T00:00:00"/>
    <s v="CHARIOT SYSTEMEAVEC PROFILE"/>
    <s v="0,00"/>
    <n v="1082"/>
    <s v="01"/>
    <n v="1081.71"/>
    <n v="44.88"/>
    <n v="241.85"/>
    <n v="839.86"/>
    <n v="7"/>
    <n v="14"/>
    <s v="11654"/>
    <x v="6"/>
    <s v="0"/>
    <s v="112635"/>
    <s v="501254"/>
    <s v="01"/>
    <n v="197"/>
    <s v="02"/>
    <s v=""/>
    <s v="00"/>
  </r>
  <r>
    <n v="20225"/>
    <s v="213540"/>
    <s v="M81011"/>
    <d v="2011-06-22T00:00:00"/>
    <d v="2011-06-22T00:00:00"/>
    <d v="2099-12-30T00:00:00"/>
    <s v="CLIMATISATION"/>
    <s v="BUR. PRO/PEINTURE+ MAITRISE"/>
    <n v="9403"/>
    <s v="01"/>
    <n v="9403.0400000000009"/>
    <n v="390.11"/>
    <n v="2760.24"/>
    <n v="6642.8"/>
    <n v="10"/>
    <n v="14"/>
    <s v="11011"/>
    <x v="7"/>
    <s v="0"/>
    <s v="112952"/>
    <s v="500296"/>
    <s v="01"/>
    <n v="2370"/>
    <s v="01"/>
    <s v=""/>
    <s v="00"/>
  </r>
  <r>
    <n v="22360"/>
    <s v="215400"/>
    <s v="M41468"/>
    <d v="2013-02-26T00:00:00"/>
    <d v="2013-02-26T00:00:00"/>
    <d v="2099-12-30T00:00:00"/>
    <s v="POMPE A HUILE GRACO"/>
    <s v=""/>
    <n v="2050"/>
    <s v="01"/>
    <n v="2050"/>
    <n v="396.89"/>
    <n v="1658.71"/>
    <n v="391.29"/>
    <n v="7"/>
    <n v="3"/>
    <s v="12057"/>
    <x v="8"/>
    <s v="0"/>
    <s v="113071"/>
    <s v="502049"/>
    <s v="01"/>
    <n v="1262"/>
    <s v="02"/>
    <s v=""/>
    <s v="00"/>
  </r>
  <r>
    <n v="16490"/>
    <s v="215400"/>
    <s v="M40284"/>
    <d v="2009-06-22T00:00:00"/>
    <d v="2009-06-22T00:00:00"/>
    <d v="2099-12-30T00:00:00"/>
    <s v="POMPE POUR SIMULATEUR DE GRAISSAGE"/>
    <s v=""/>
    <n v="8675"/>
    <s v="01"/>
    <n v="8674.58"/>
    <n v="629.79999999999995"/>
    <n v="6624.75"/>
    <n v="2049.83"/>
    <n v="7"/>
    <n v="8"/>
    <s v="9828"/>
    <x v="9"/>
    <s v="ZZZ"/>
    <s v="112804"/>
    <s v="816037"/>
    <s v="01"/>
    <n v="5995"/>
    <s v="02"/>
    <s v=""/>
    <s v="00"/>
  </r>
  <r>
    <n v="16385"/>
    <s v="215400"/>
    <s v="M40288"/>
    <d v="2009-06-08T00:00:00"/>
    <d v="2009-06-08T00:00:00"/>
    <d v="2099-12-30T00:00:00"/>
    <s v="VISSEUSE POUR SERRAGE LONGERONS"/>
    <s v="ITH"/>
    <n v="3212"/>
    <s v="01"/>
    <n v="3212.44"/>
    <n v="290.60000000000002"/>
    <n v="3084.96"/>
    <n v="127.48"/>
    <n v="7"/>
    <n v="6"/>
    <s v="9705"/>
    <x v="6"/>
    <s v="ZZZ"/>
    <s v="110345"/>
    <s v="815964"/>
    <s v="01"/>
    <n v="2794"/>
    <s v="02"/>
    <s v=""/>
    <s v="00"/>
  </r>
  <r>
    <n v="20973"/>
    <s v="215400"/>
    <s v="M41155"/>
    <d v="2012-02-29T00:00:00"/>
    <d v="2012-02-29T00:00:00"/>
    <d v="2099-12-30T00:00:00"/>
    <s v="CONTROLEUR DE COUPLE"/>
    <s v=""/>
    <n v="1090"/>
    <s v="01"/>
    <n v="1090"/>
    <n v="58.58"/>
    <n v="1090"/>
    <n v="0"/>
    <n v="7"/>
    <n v="3"/>
    <s v="11823"/>
    <x v="6"/>
    <s v="ZZZ"/>
    <s v="112536"/>
    <s v="1044165"/>
    <s v="01"/>
    <n v="1031"/>
    <s v="02"/>
    <s v=""/>
    <s v="00"/>
  </r>
  <r>
    <n v="18607"/>
    <s v="215500"/>
    <s v="M20502"/>
    <d v="2010-03-31T00:00:00"/>
    <d v="2010-03-31T00:00:00"/>
    <d v="2099-12-30T00:00:00"/>
    <s v="CONVOYEUR 2 RANGEES"/>
    <s v=""/>
    <n v="1500"/>
    <s v="01"/>
    <n v="1500.38"/>
    <n v="72.62"/>
    <n v="667.28"/>
    <n v="833.1"/>
    <n v="5"/>
    <n v="12"/>
    <s v="10400"/>
    <x v="6"/>
    <s v="ZZZ"/>
    <s v="101571"/>
    <s v="816890"/>
    <s v="01"/>
    <n v="595"/>
    <s v="02"/>
    <s v=""/>
    <s v="00"/>
  </r>
  <r>
    <n v="18684"/>
    <s v="215500"/>
    <s v="M20519"/>
    <d v="2010-06-16T00:00:00"/>
    <d v="2010-06-16T00:00:00"/>
    <d v="2099-12-30T00:00:00"/>
    <s v="PAIRE DE RALLONGE DE FOURCHES DURWEN GVS"/>
    <s v="POUR HD 50"/>
    <n v="775"/>
    <s v="01"/>
    <n v="775"/>
    <n v="56.27"/>
    <n v="496.61"/>
    <n v="278.39"/>
    <n v="5"/>
    <n v="8"/>
    <s v="10400"/>
    <x v="4"/>
    <s v="ZZZ"/>
    <s v="101577"/>
    <s v="817728"/>
    <s v="01"/>
    <n v="440"/>
    <s v="02"/>
    <s v=""/>
    <s v="00"/>
  </r>
  <r>
    <n v="21896"/>
    <s v="215500"/>
    <s v="M41373A"/>
    <d v="2012-11-16T00:00:00"/>
    <d v="2012-11-16T00:00:00"/>
    <d v="2099-12-30T00:00:00"/>
    <s v="CHANDELLE POUR TOURELLE 994"/>
    <s v=""/>
    <n v="1414"/>
    <s v="01"/>
    <n v="1414.08"/>
    <n v="102.67"/>
    <n v="478.41"/>
    <n v="935.67"/>
    <n v="5"/>
    <n v="8"/>
    <s v="11612"/>
    <x v="10"/>
    <s v="0"/>
    <s v="110345"/>
    <s v="501638"/>
    <s v="01"/>
    <n v="376"/>
    <s v="02"/>
    <s v=""/>
    <s v="00"/>
  </r>
  <r>
    <n v="22221"/>
    <s v="215500"/>
    <s v="M50122A"/>
    <d v="2013-02-27T00:00:00"/>
    <d v="2013-02-27T00:00:00"/>
    <d v="2099-12-30T00:00:00"/>
    <s v="VIREUR POUR PREMONTAGE POMPES HYDRAULIQU"/>
    <s v=""/>
    <n v="5225"/>
    <s v="01"/>
    <n v="5225"/>
    <n v="379.35"/>
    <n v="1583.6"/>
    <n v="3641.4"/>
    <n v="5"/>
    <n v="8"/>
    <s v="11624"/>
    <x v="6"/>
    <s v="0"/>
    <s v="112536"/>
    <s v="501950"/>
    <s v="01"/>
    <n v="1204"/>
    <s v="02"/>
    <s v=""/>
    <s v="00"/>
  </r>
  <r>
    <n v="22284"/>
    <s v="215500"/>
    <s v="M50128"/>
    <d v="2013-03-13T00:00:00"/>
    <d v="2013-03-13T00:00:00"/>
    <d v="2099-12-30T00:00:00"/>
    <s v="ELINGUE CHAINES 4 BRINS"/>
    <s v="5 M"/>
    <n v="1223"/>
    <s v="01"/>
    <n v="1222.5"/>
    <n v="88.76"/>
    <n v="364.66"/>
    <n v="857.84"/>
    <n v="5"/>
    <n v="8"/>
    <s v="12041"/>
    <x v="11"/>
    <s v="0"/>
    <s v="182061"/>
    <s v="501980"/>
    <s v="01"/>
    <n v="276"/>
    <s v="02"/>
    <s v=""/>
    <s v="00"/>
  </r>
  <r>
    <n v="17306"/>
    <s v="215500"/>
    <s v="M4192"/>
    <d v="2010-02-19T00:00:00"/>
    <d v="2010-02-19T00:00:00"/>
    <d v="2099-12-30T00:00:00"/>
    <s v="CHANDELLE LONGERON R9350"/>
    <s v=""/>
    <n v="1352"/>
    <s v="01"/>
    <n v="1351.62"/>
    <n v="98.13"/>
    <n v="920.2"/>
    <n v="431.42"/>
    <n v="5"/>
    <n v="8"/>
    <s v="10504"/>
    <x v="5"/>
    <s v="0"/>
    <s v="112320"/>
    <s v="816906"/>
    <s v="01"/>
    <n v="822"/>
    <s v="02"/>
    <s v=""/>
    <s v="00"/>
  </r>
  <r>
    <n v="17763"/>
    <s v="215500"/>
    <s v="M20474"/>
    <d v="2010-03-31T00:00:00"/>
    <d v="2010-03-31T00:00:00"/>
    <d v="2099-12-30T00:00:00"/>
    <s v="ANNEAU DE LEVAGE ARTICULE M56*4"/>
    <s v="R9600+R9800"/>
    <n v="635"/>
    <s v="01"/>
    <n v="635"/>
    <n v="30.74"/>
    <n v="282.43"/>
    <n v="352.57"/>
    <n v="5"/>
    <n v="12"/>
    <s v="10400"/>
    <x v="10"/>
    <s v="ZZZ"/>
    <s v="101571"/>
    <s v="817042"/>
    <s v="01"/>
    <n v="252"/>
    <s v="02"/>
    <s v=""/>
    <s v="00"/>
  </r>
  <r>
    <n v="17288"/>
    <s v="215500"/>
    <s v="M40319"/>
    <d v="2010-02-02T00:00:00"/>
    <d v="2010-02-02T00:00:00"/>
    <d v="2099-12-30T00:00:00"/>
    <s v="LAME DE DENEIGEMENT BEMA 700"/>
    <s v=""/>
    <n v="4741"/>
    <s v="01"/>
    <n v="4740.5"/>
    <n v="344.17"/>
    <n v="3255.02"/>
    <n v="1485.48"/>
    <n v="5"/>
    <n v="8"/>
    <s v="10138"/>
    <x v="12"/>
    <s v="0"/>
    <s v="112809"/>
    <s v="816818"/>
    <s v="01"/>
    <n v="2911"/>
    <s v="02"/>
    <s v=""/>
    <s v="00"/>
  </r>
  <r>
    <n v="18369"/>
    <s v="218400"/>
    <s v="M23229"/>
    <d v="2010-07-15T00:00:00"/>
    <d v="2010-07-15T00:00:00"/>
    <d v="2099-12-30T00:00:00"/>
    <s v="MEUBLE 2P COULISSANTES+PLATEAU"/>
    <s v=""/>
    <n v="1306"/>
    <s v="01"/>
    <n v="1305.51"/>
    <n v="58.33"/>
    <n v="506.78"/>
    <n v="798.73"/>
    <n v="10"/>
    <n v="13"/>
    <s v="9636"/>
    <x v="13"/>
    <s v="0"/>
    <s v="101586"/>
    <s v="817635"/>
    <s v="01"/>
    <n v="448"/>
    <s v="01"/>
    <s v=""/>
    <s v="00"/>
  </r>
  <r>
    <n v="17959"/>
    <s v="218400"/>
    <s v="M23164"/>
    <d v="2010-04-23T00:00:00"/>
    <d v="2010-04-23T00:00:00"/>
    <d v="2099-12-30T00:00:00"/>
    <s v="ARMOIRE HAUTE A RIDEAUX"/>
    <s v="4 TABLETTES"/>
    <n v="680"/>
    <s v="01"/>
    <n v="680"/>
    <n v="30.38"/>
    <n v="275.88"/>
    <n v="404.12"/>
    <n v="10"/>
    <n v="13"/>
    <s v="10539"/>
    <x v="14"/>
    <s v="0"/>
    <s v="111550"/>
    <s v="817284"/>
    <s v="01"/>
    <n v="246"/>
    <s v="01"/>
    <s v=""/>
    <s v="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9" firstHeaderRow="1" firstDataRow="1" firstDataCol="1"/>
  <pivotFields count="26">
    <pivotField showAll="0"/>
    <pivotField showAll="0"/>
    <pivotField showAll="0"/>
    <pivotField numFmtId="14" showAll="0"/>
    <pivotField numFmtId="14" showAll="0"/>
    <pivotField numFmtId="14" showAll="0"/>
    <pivotField showAl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/>
    <pivotField showAll="0"/>
    <pivotField showAll="0"/>
    <pivotField showAll="0"/>
    <pivotField axis="axisRow" showAll="0" sortType="ascending">
      <items count="92">
        <item m="1" x="56"/>
        <item m="1" x="15"/>
        <item m="1" x="51"/>
        <item x="2"/>
        <item m="1" x="68"/>
        <item x="3"/>
        <item m="1" x="16"/>
        <item m="1" x="49"/>
        <item m="1" x="52"/>
        <item m="1" x="70"/>
        <item m="1" x="69"/>
        <item m="1" x="71"/>
        <item x="14"/>
        <item m="1" x="53"/>
        <item m="1" x="23"/>
        <item m="1" x="29"/>
        <item m="1" x="20"/>
        <item m="1" x="38"/>
        <item x="11"/>
        <item x="1"/>
        <item x="7"/>
        <item m="1" x="77"/>
        <item m="1" x="87"/>
        <item x="12"/>
        <item m="1" x="58"/>
        <item m="1" x="62"/>
        <item m="1" x="65"/>
        <item m="1" x="72"/>
        <item m="1" x="74"/>
        <item m="1" x="26"/>
        <item m="1" x="64"/>
        <item m="1" x="84"/>
        <item m="1" x="50"/>
        <item m="1" x="54"/>
        <item m="1" x="89"/>
        <item m="1" x="78"/>
        <item m="1" x="80"/>
        <item m="1" x="82"/>
        <item m="1" x="86"/>
        <item m="1" x="88"/>
        <item m="1" x="17"/>
        <item m="1" x="22"/>
        <item m="1" x="24"/>
        <item m="1" x="27"/>
        <item m="1" x="30"/>
        <item m="1" x="31"/>
        <item m="1" x="33"/>
        <item m="1" x="36"/>
        <item m="1" x="39"/>
        <item m="1" x="41"/>
        <item m="1" x="44"/>
        <item m="1" x="45"/>
        <item m="1" x="47"/>
        <item m="1" x="57"/>
        <item x="13"/>
        <item m="1" x="25"/>
        <item m="1" x="63"/>
        <item m="1" x="90"/>
        <item x="9"/>
        <item m="1" x="40"/>
        <item m="1" x="42"/>
        <item m="1" x="46"/>
        <item m="1" x="55"/>
        <item x="0"/>
        <item m="1" x="28"/>
        <item m="1" x="83"/>
        <item m="1" x="67"/>
        <item m="1" x="81"/>
        <item m="1" x="85"/>
        <item m="1" x="21"/>
        <item x="4"/>
        <item m="1" x="59"/>
        <item m="1" x="60"/>
        <item m="1" x="61"/>
        <item m="1" x="18"/>
        <item m="1" x="66"/>
        <item m="1" x="34"/>
        <item m="1" x="32"/>
        <item m="1" x="37"/>
        <item m="1" x="43"/>
        <item m="1" x="48"/>
        <item m="1" x="75"/>
        <item m="1" x="19"/>
        <item x="5"/>
        <item x="10"/>
        <item x="6"/>
        <item m="1" x="73"/>
        <item m="1" x="76"/>
        <item m="1" x="79"/>
        <item m="1" x="35"/>
        <item x="8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</pivotFields>
  <rowFields count="1">
    <field x="17"/>
  </rowFields>
  <rowItems count="16">
    <i>
      <x v="3"/>
    </i>
    <i>
      <x v="5"/>
    </i>
    <i>
      <x v="12"/>
    </i>
    <i>
      <x v="18"/>
    </i>
    <i>
      <x v="19"/>
    </i>
    <i>
      <x v="20"/>
    </i>
    <i>
      <x v="23"/>
    </i>
    <i>
      <x v="54"/>
    </i>
    <i>
      <x v="58"/>
    </i>
    <i>
      <x v="63"/>
    </i>
    <i>
      <x v="70"/>
    </i>
    <i>
      <x v="83"/>
    </i>
    <i>
      <x v="84"/>
    </i>
    <i>
      <x v="85"/>
    </i>
    <i>
      <x v="90"/>
    </i>
    <i t="grand">
      <x/>
    </i>
  </rowItems>
  <colItems count="1">
    <i/>
  </colItems>
  <dataFields count="1">
    <dataField name="Somme de Dotation" fld="11" baseField="17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L31"/>
  <sheetViews>
    <sheetView workbookViewId="0">
      <selection activeCell="A4" sqref="A4:A13"/>
    </sheetView>
  </sheetViews>
  <sheetFormatPr baseColWidth="10" defaultRowHeight="15"/>
  <cols>
    <col min="7" max="7" width="58.7109375" customWidth="1"/>
    <col min="10" max="10" width="18.5703125" bestFit="1" customWidth="1"/>
    <col min="11" max="11" width="16.28515625" bestFit="1" customWidth="1"/>
    <col min="12" max="12" width="15" bestFit="1" customWidth="1"/>
  </cols>
  <sheetData>
    <row r="1" spans="1:12">
      <c r="A1" s="43" t="s">
        <v>177</v>
      </c>
      <c r="B1" s="43"/>
      <c r="C1" s="43"/>
      <c r="D1" s="43"/>
      <c r="E1" s="43"/>
      <c r="F1" s="43"/>
      <c r="G1" s="43"/>
      <c r="H1" s="43"/>
      <c r="I1" s="43"/>
      <c r="J1" s="43"/>
      <c r="K1" s="6"/>
      <c r="L1" s="6"/>
    </row>
    <row r="2" spans="1:12">
      <c r="A2" s="7"/>
      <c r="B2" s="7"/>
      <c r="C2" s="7"/>
      <c r="D2" s="7"/>
      <c r="E2" s="7"/>
      <c r="F2" s="7"/>
      <c r="G2" s="7"/>
      <c r="H2" s="7"/>
      <c r="I2" s="8"/>
      <c r="J2" s="38" t="s">
        <v>214</v>
      </c>
      <c r="K2" s="6"/>
      <c r="L2" s="6"/>
    </row>
    <row r="3" spans="1:12">
      <c r="A3" s="9" t="s">
        <v>178</v>
      </c>
      <c r="B3" s="9" t="s">
        <v>179</v>
      </c>
      <c r="C3" s="9" t="s">
        <v>180</v>
      </c>
      <c r="D3" s="9" t="s">
        <v>181</v>
      </c>
      <c r="E3" s="9" t="s">
        <v>182</v>
      </c>
      <c r="F3" s="9" t="s">
        <v>183</v>
      </c>
      <c r="G3" s="9" t="s">
        <v>6</v>
      </c>
      <c r="H3" s="9"/>
      <c r="I3" s="10" t="s">
        <v>184</v>
      </c>
      <c r="J3" s="11" t="s">
        <v>185</v>
      </c>
      <c r="K3" s="12" t="s">
        <v>186</v>
      </c>
      <c r="L3" s="13" t="s">
        <v>187</v>
      </c>
    </row>
    <row r="4" spans="1:12" ht="20.100000000000001" customHeight="1">
      <c r="A4" s="14">
        <v>280510</v>
      </c>
      <c r="B4" s="14"/>
      <c r="C4" s="14"/>
      <c r="D4" s="14"/>
      <c r="E4" s="14"/>
      <c r="F4" s="14"/>
      <c r="G4" s="14" t="s">
        <v>188</v>
      </c>
      <c r="H4" s="17" t="str">
        <f t="shared" ref="H4:H25" si="0">$J$2</f>
        <v>31/07/2015</v>
      </c>
      <c r="I4" s="15">
        <v>2</v>
      </c>
      <c r="J4" s="16">
        <v>37.090000000000003</v>
      </c>
      <c r="K4" s="16">
        <v>35</v>
      </c>
      <c r="L4" s="44"/>
    </row>
    <row r="5" spans="1:12" ht="20.100000000000001" customHeight="1">
      <c r="A5" s="14">
        <v>281200</v>
      </c>
      <c r="B5" s="14" t="s">
        <v>25</v>
      </c>
      <c r="C5" s="14" t="s">
        <v>25</v>
      </c>
      <c r="D5" s="14" t="s">
        <v>25</v>
      </c>
      <c r="E5" s="14" t="s">
        <v>25</v>
      </c>
      <c r="F5" s="14" t="s">
        <v>25</v>
      </c>
      <c r="G5" s="14" t="s">
        <v>189</v>
      </c>
      <c r="H5" s="17" t="str">
        <f t="shared" si="0"/>
        <v>31/07/2015</v>
      </c>
      <c r="I5" s="15">
        <v>2</v>
      </c>
      <c r="J5" s="16">
        <v>32.01</v>
      </c>
      <c r="K5" s="16">
        <v>25</v>
      </c>
      <c r="L5" s="45"/>
    </row>
    <row r="6" spans="1:12" ht="20.100000000000001" customHeight="1">
      <c r="A6" s="14">
        <v>283010</v>
      </c>
      <c r="B6" s="14"/>
      <c r="C6" s="14"/>
      <c r="D6" s="14"/>
      <c r="E6" s="14"/>
      <c r="F6" s="14"/>
      <c r="G6" s="14" t="s">
        <v>190</v>
      </c>
      <c r="H6" s="17" t="str">
        <f t="shared" si="0"/>
        <v>31/07/2015</v>
      </c>
      <c r="I6" s="15">
        <v>2</v>
      </c>
      <c r="J6" s="16">
        <v>108.49</v>
      </c>
      <c r="K6" s="16">
        <v>105</v>
      </c>
      <c r="L6" s="45"/>
    </row>
    <row r="7" spans="1:12" ht="20.100000000000001" customHeight="1">
      <c r="A7" s="14">
        <v>285900</v>
      </c>
      <c r="B7" s="14"/>
      <c r="C7" s="14"/>
      <c r="D7" s="14"/>
      <c r="E7" s="14"/>
      <c r="F7" s="14"/>
      <c r="G7" s="14" t="s">
        <v>191</v>
      </c>
      <c r="H7" s="17" t="str">
        <f t="shared" si="0"/>
        <v>31/07/2015</v>
      </c>
      <c r="I7" s="18">
        <v>2</v>
      </c>
      <c r="J7" s="16">
        <v>0</v>
      </c>
      <c r="K7" s="16">
        <v>0</v>
      </c>
      <c r="L7" s="45"/>
    </row>
    <row r="8" spans="1:12" ht="20.100000000000001" customHeight="1">
      <c r="A8" s="14">
        <v>288100</v>
      </c>
      <c r="B8" s="14"/>
      <c r="C8" s="14"/>
      <c r="D8" s="14"/>
      <c r="E8" s="14"/>
      <c r="F8" s="14"/>
      <c r="G8" s="14" t="s">
        <v>192</v>
      </c>
      <c r="H8" s="17" t="str">
        <f t="shared" si="0"/>
        <v>31/07/2015</v>
      </c>
      <c r="I8" s="18">
        <v>2</v>
      </c>
      <c r="J8" s="16">
        <v>235.33</v>
      </c>
      <c r="K8" s="16">
        <v>300</v>
      </c>
      <c r="L8" s="45"/>
    </row>
    <row r="9" spans="1:12" ht="20.100000000000001" customHeight="1">
      <c r="A9" s="14">
        <v>288200</v>
      </c>
      <c r="B9" s="14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193</v>
      </c>
      <c r="H9" s="17" t="str">
        <f t="shared" si="0"/>
        <v>31/07/2015</v>
      </c>
      <c r="I9" s="15">
        <v>2</v>
      </c>
      <c r="J9" s="16">
        <v>507.27</v>
      </c>
      <c r="K9" s="16">
        <v>600</v>
      </c>
      <c r="L9" s="45"/>
    </row>
    <row r="10" spans="1:12" ht="20.100000000000001" customHeight="1">
      <c r="A10" s="14">
        <v>288250</v>
      </c>
      <c r="B10" s="14"/>
      <c r="C10" s="14"/>
      <c r="D10" s="14"/>
      <c r="E10" s="14"/>
      <c r="F10" s="14"/>
      <c r="G10" s="14" t="s">
        <v>194</v>
      </c>
      <c r="H10" s="17" t="str">
        <f t="shared" si="0"/>
        <v>31/07/2015</v>
      </c>
      <c r="I10" s="15">
        <v>2</v>
      </c>
      <c r="J10" s="16">
        <v>1923.95</v>
      </c>
      <c r="K10" s="16">
        <v>2000</v>
      </c>
      <c r="L10" s="45"/>
    </row>
    <row r="11" spans="1:12" ht="20.100000000000001" customHeight="1">
      <c r="A11" s="14">
        <v>288300</v>
      </c>
      <c r="B11" s="14" t="s">
        <v>25</v>
      </c>
      <c r="C11" s="14" t="s">
        <v>25</v>
      </c>
      <c r="D11" s="14" t="s">
        <v>25</v>
      </c>
      <c r="E11" s="14" t="s">
        <v>25</v>
      </c>
      <c r="F11" s="14" t="s">
        <v>25</v>
      </c>
      <c r="G11" s="14" t="s">
        <v>195</v>
      </c>
      <c r="H11" s="17" t="str">
        <f t="shared" si="0"/>
        <v>31/07/2015</v>
      </c>
      <c r="I11" s="15">
        <v>2</v>
      </c>
      <c r="J11" s="16">
        <v>231.56</v>
      </c>
      <c r="K11" s="16">
        <v>100</v>
      </c>
      <c r="L11" s="45"/>
    </row>
    <row r="12" spans="1:12" ht="20.100000000000001" customHeight="1">
      <c r="A12" s="14">
        <v>288350</v>
      </c>
      <c r="B12" s="14"/>
      <c r="C12" s="14"/>
      <c r="D12" s="14"/>
      <c r="E12" s="14"/>
      <c r="F12" s="14"/>
      <c r="G12" s="14" t="s">
        <v>196</v>
      </c>
      <c r="H12" s="17" t="str">
        <f t="shared" si="0"/>
        <v>31/07/2015</v>
      </c>
      <c r="I12" s="15">
        <v>2</v>
      </c>
      <c r="J12" s="16">
        <v>941.15</v>
      </c>
      <c r="K12" s="16">
        <v>800</v>
      </c>
      <c r="L12" s="45"/>
    </row>
    <row r="13" spans="1:12" ht="20.100000000000001" customHeight="1">
      <c r="A13" s="14">
        <v>288400</v>
      </c>
      <c r="B13" s="14" t="s">
        <v>25</v>
      </c>
      <c r="C13" s="14" t="s">
        <v>25</v>
      </c>
      <c r="D13" s="14" t="s">
        <v>25</v>
      </c>
      <c r="E13" s="14" t="s">
        <v>25</v>
      </c>
      <c r="F13" s="14" t="s">
        <v>25</v>
      </c>
      <c r="G13" s="14" t="s">
        <v>197</v>
      </c>
      <c r="H13" s="17" t="str">
        <f t="shared" si="0"/>
        <v>31/07/2015</v>
      </c>
      <c r="I13" s="15">
        <v>2</v>
      </c>
      <c r="J13" s="16">
        <v>88.71</v>
      </c>
      <c r="K13" s="16">
        <v>50</v>
      </c>
      <c r="L13" s="46"/>
    </row>
    <row r="14" spans="1:12" ht="20.100000000000001" customHeight="1">
      <c r="A14" s="19">
        <v>681100</v>
      </c>
      <c r="B14" s="19"/>
      <c r="C14" s="19"/>
      <c r="D14" s="19"/>
      <c r="E14" s="19"/>
      <c r="F14" s="19"/>
      <c r="G14" s="19" t="s">
        <v>198</v>
      </c>
      <c r="H14" s="20" t="str">
        <f t="shared" si="0"/>
        <v>31/07/2015</v>
      </c>
      <c r="I14" s="21">
        <v>1</v>
      </c>
      <c r="J14" s="22">
        <f t="shared" ref="J14:K16" si="1">J4</f>
        <v>37.090000000000003</v>
      </c>
      <c r="K14" s="23">
        <f t="shared" si="1"/>
        <v>35</v>
      </c>
      <c r="L14" s="24">
        <f>K14-J14</f>
        <v>-2.0900000000000034</v>
      </c>
    </row>
    <row r="15" spans="1:12" ht="20.100000000000001" customHeight="1">
      <c r="A15" s="19">
        <v>681100</v>
      </c>
      <c r="B15" s="19" t="s">
        <v>25</v>
      </c>
      <c r="C15" s="19" t="s">
        <v>25</v>
      </c>
      <c r="D15" s="19" t="s">
        <v>25</v>
      </c>
      <c r="E15" s="19" t="s">
        <v>25</v>
      </c>
      <c r="F15" s="19" t="s">
        <v>25</v>
      </c>
      <c r="G15" s="19" t="s">
        <v>199</v>
      </c>
      <c r="H15" s="20" t="str">
        <f t="shared" si="0"/>
        <v>31/07/2015</v>
      </c>
      <c r="I15" s="21">
        <v>1</v>
      </c>
      <c r="J15" s="22">
        <f t="shared" si="1"/>
        <v>32.01</v>
      </c>
      <c r="K15" s="23">
        <f t="shared" si="1"/>
        <v>25</v>
      </c>
      <c r="L15" s="24">
        <f>K15-J15</f>
        <v>-7.009999999999998</v>
      </c>
    </row>
    <row r="16" spans="1:12" ht="20.100000000000001" customHeight="1">
      <c r="A16" s="19">
        <v>681100</v>
      </c>
      <c r="B16" s="19"/>
      <c r="C16" s="19"/>
      <c r="D16" s="19"/>
      <c r="E16" s="19"/>
      <c r="F16" s="19"/>
      <c r="G16" s="19" t="s">
        <v>200</v>
      </c>
      <c r="H16" s="20" t="str">
        <f t="shared" si="0"/>
        <v>31/07/2015</v>
      </c>
      <c r="I16" s="21">
        <v>1</v>
      </c>
      <c r="J16" s="22">
        <f t="shared" si="1"/>
        <v>108.49</v>
      </c>
      <c r="K16" s="23">
        <f t="shared" si="1"/>
        <v>105</v>
      </c>
      <c r="L16" s="24">
        <f t="shared" ref="L16:L23" si="2">K16-J16</f>
        <v>-3.4899999999999949</v>
      </c>
    </row>
    <row r="17" spans="1:12" ht="20.100000000000001" customHeight="1">
      <c r="A17" s="19">
        <v>681100</v>
      </c>
      <c r="B17" s="19"/>
      <c r="C17" s="19"/>
      <c r="D17" s="19"/>
      <c r="E17" s="19"/>
      <c r="F17" s="19"/>
      <c r="G17" s="19" t="s">
        <v>191</v>
      </c>
      <c r="H17" s="20" t="str">
        <f t="shared" si="0"/>
        <v>31/07/2015</v>
      </c>
      <c r="I17" s="25">
        <v>1</v>
      </c>
      <c r="J17" s="22">
        <f t="shared" ref="J17:K23" si="3">J7</f>
        <v>0</v>
      </c>
      <c r="K17" s="23">
        <f>K7</f>
        <v>0</v>
      </c>
      <c r="L17" s="24">
        <f t="shared" si="2"/>
        <v>0</v>
      </c>
    </row>
    <row r="18" spans="1:12" ht="20.100000000000001" customHeight="1">
      <c r="A18" s="19">
        <v>681100</v>
      </c>
      <c r="B18" s="19" t="s">
        <v>25</v>
      </c>
      <c r="C18" s="19" t="s">
        <v>25</v>
      </c>
      <c r="D18" s="19" t="s">
        <v>25</v>
      </c>
      <c r="E18" s="19" t="s">
        <v>25</v>
      </c>
      <c r="F18" s="19" t="s">
        <v>25</v>
      </c>
      <c r="G18" s="19" t="s">
        <v>192</v>
      </c>
      <c r="H18" s="20" t="str">
        <f t="shared" si="0"/>
        <v>31/07/2015</v>
      </c>
      <c r="I18" s="25">
        <v>1</v>
      </c>
      <c r="J18" s="22">
        <f t="shared" si="3"/>
        <v>235.33</v>
      </c>
      <c r="K18" s="23">
        <f>K8</f>
        <v>300</v>
      </c>
      <c r="L18" s="24">
        <f t="shared" si="2"/>
        <v>64.669999999999987</v>
      </c>
    </row>
    <row r="19" spans="1:12" ht="20.100000000000001" customHeight="1">
      <c r="A19" s="19">
        <v>681100</v>
      </c>
      <c r="B19" s="19"/>
      <c r="C19" s="19"/>
      <c r="D19" s="19"/>
      <c r="E19" s="19"/>
      <c r="F19" s="19"/>
      <c r="G19" s="19" t="s">
        <v>193</v>
      </c>
      <c r="H19" s="20" t="str">
        <f t="shared" si="0"/>
        <v>31/07/2015</v>
      </c>
      <c r="I19" s="25">
        <v>1</v>
      </c>
      <c r="J19" s="22">
        <f t="shared" si="3"/>
        <v>507.27</v>
      </c>
      <c r="K19" s="23">
        <f t="shared" si="3"/>
        <v>600</v>
      </c>
      <c r="L19" s="24">
        <f t="shared" si="2"/>
        <v>92.730000000000018</v>
      </c>
    </row>
    <row r="20" spans="1:12" ht="20.100000000000001" customHeight="1">
      <c r="A20" s="19">
        <v>681100</v>
      </c>
      <c r="B20" s="19"/>
      <c r="C20" s="19"/>
      <c r="D20" s="19"/>
      <c r="E20" s="19"/>
      <c r="F20" s="19"/>
      <c r="G20" s="19" t="s">
        <v>194</v>
      </c>
      <c r="H20" s="20" t="str">
        <f t="shared" si="0"/>
        <v>31/07/2015</v>
      </c>
      <c r="I20" s="25">
        <v>1</v>
      </c>
      <c r="J20" s="22">
        <f t="shared" si="3"/>
        <v>1923.95</v>
      </c>
      <c r="K20" s="23">
        <f t="shared" si="3"/>
        <v>2000</v>
      </c>
      <c r="L20" s="24">
        <f t="shared" si="2"/>
        <v>76.049999999999955</v>
      </c>
    </row>
    <row r="21" spans="1:12" ht="20.100000000000001" customHeight="1">
      <c r="A21" s="19">
        <v>681100</v>
      </c>
      <c r="B21" s="19"/>
      <c r="C21" s="19"/>
      <c r="D21" s="19"/>
      <c r="E21" s="19"/>
      <c r="F21" s="19"/>
      <c r="G21" s="19" t="s">
        <v>195</v>
      </c>
      <c r="H21" s="20" t="str">
        <f t="shared" si="0"/>
        <v>31/07/2015</v>
      </c>
      <c r="I21" s="25">
        <v>1</v>
      </c>
      <c r="J21" s="22">
        <f t="shared" si="3"/>
        <v>231.56</v>
      </c>
      <c r="K21" s="23">
        <f t="shared" si="3"/>
        <v>100</v>
      </c>
      <c r="L21" s="24">
        <f t="shared" si="2"/>
        <v>-131.56</v>
      </c>
    </row>
    <row r="22" spans="1:12" ht="20.100000000000001" customHeight="1">
      <c r="A22" s="19">
        <v>681100</v>
      </c>
      <c r="B22" s="19"/>
      <c r="C22" s="19"/>
      <c r="D22" s="19"/>
      <c r="E22" s="19"/>
      <c r="F22" s="19"/>
      <c r="G22" s="19" t="s">
        <v>196</v>
      </c>
      <c r="H22" s="20" t="str">
        <f t="shared" si="0"/>
        <v>31/07/2015</v>
      </c>
      <c r="I22" s="25">
        <v>1</v>
      </c>
      <c r="J22" s="22">
        <f t="shared" si="3"/>
        <v>941.15</v>
      </c>
      <c r="K22" s="23">
        <f t="shared" si="3"/>
        <v>800</v>
      </c>
      <c r="L22" s="24">
        <f t="shared" si="2"/>
        <v>-141.14999999999998</v>
      </c>
    </row>
    <row r="23" spans="1:12" ht="20.100000000000001" customHeight="1">
      <c r="A23" s="19">
        <v>681100</v>
      </c>
      <c r="B23" s="19"/>
      <c r="C23" s="19"/>
      <c r="D23" s="19"/>
      <c r="E23" s="19"/>
      <c r="F23" s="19"/>
      <c r="G23" s="19" t="s">
        <v>197</v>
      </c>
      <c r="H23" s="20" t="str">
        <f t="shared" si="0"/>
        <v>31/07/2015</v>
      </c>
      <c r="I23" s="25">
        <v>1</v>
      </c>
      <c r="J23" s="22">
        <f t="shared" si="3"/>
        <v>88.71</v>
      </c>
      <c r="K23" s="23">
        <f t="shared" si="3"/>
        <v>50</v>
      </c>
      <c r="L23" s="24">
        <f t="shared" si="2"/>
        <v>-38.709999999999994</v>
      </c>
    </row>
    <row r="24" spans="1:12" ht="20.100000000000001" customHeight="1">
      <c r="A24" s="19">
        <v>687251</v>
      </c>
      <c r="B24" s="19"/>
      <c r="C24" s="19"/>
      <c r="D24" s="19"/>
      <c r="E24" s="19"/>
      <c r="F24" s="19"/>
      <c r="G24" s="19" t="s">
        <v>201</v>
      </c>
      <c r="H24" s="20" t="str">
        <f t="shared" si="0"/>
        <v>31/07/2015</v>
      </c>
      <c r="I24" s="25">
        <v>1</v>
      </c>
      <c r="J24" s="23">
        <f>L24</f>
        <v>-90.560000000000016</v>
      </c>
      <c r="K24" s="47"/>
      <c r="L24" s="26">
        <f>SUM(L4:L23)</f>
        <v>-90.560000000000016</v>
      </c>
    </row>
    <row r="25" spans="1:12" ht="20.100000000000001" customHeight="1">
      <c r="A25" s="19">
        <v>145100</v>
      </c>
      <c r="B25" s="19"/>
      <c r="C25" s="19"/>
      <c r="D25" s="19"/>
      <c r="E25" s="19"/>
      <c r="F25" s="19"/>
      <c r="G25" s="19" t="s">
        <v>201</v>
      </c>
      <c r="H25" s="20" t="str">
        <f t="shared" si="0"/>
        <v>31/07/2015</v>
      </c>
      <c r="I25" s="25">
        <v>2</v>
      </c>
      <c r="J25" s="23">
        <f>J24</f>
        <v>-90.560000000000016</v>
      </c>
      <c r="K25" s="48"/>
      <c r="L25" s="27"/>
    </row>
    <row r="26" spans="1:12">
      <c r="A26" s="7"/>
      <c r="B26" s="7"/>
      <c r="C26" s="7"/>
      <c r="D26" s="7"/>
      <c r="E26" s="7"/>
      <c r="F26" s="7"/>
      <c r="G26" s="7"/>
      <c r="H26" s="7"/>
      <c r="I26" s="8"/>
      <c r="J26" s="28"/>
      <c r="K26" s="6"/>
      <c r="L26" s="6"/>
    </row>
    <row r="27" spans="1:12">
      <c r="A27" s="7"/>
      <c r="B27" s="7"/>
      <c r="C27" s="7"/>
      <c r="D27" s="7"/>
      <c r="E27" s="7"/>
      <c r="F27" s="7"/>
      <c r="G27" s="7"/>
      <c r="H27" s="29" t="s">
        <v>202</v>
      </c>
      <c r="I27" s="8"/>
      <c r="J27" s="30">
        <f>SUM(J4:J13)</f>
        <v>4105.5599999999995</v>
      </c>
      <c r="K27" s="30">
        <f>SUM(K4:K13)</f>
        <v>4015</v>
      </c>
      <c r="L27" s="6"/>
    </row>
    <row r="28" spans="1:12">
      <c r="A28" s="7"/>
      <c r="B28" s="7"/>
      <c r="C28" s="7"/>
      <c r="D28" s="7"/>
      <c r="E28" s="7"/>
      <c r="F28" s="7"/>
      <c r="G28" s="7"/>
      <c r="H28" s="29"/>
      <c r="I28" s="8"/>
      <c r="J28" s="31"/>
      <c r="K28" s="32"/>
      <c r="L28" s="6"/>
    </row>
    <row r="29" spans="1:12">
      <c r="A29" s="7"/>
      <c r="B29" s="7"/>
      <c r="C29" s="7"/>
      <c r="D29" s="7"/>
      <c r="E29" s="7"/>
      <c r="F29" s="7"/>
      <c r="G29" s="7"/>
      <c r="H29" s="29" t="s">
        <v>203</v>
      </c>
      <c r="I29" s="8"/>
      <c r="J29" s="33">
        <v>4105.5600000000004</v>
      </c>
      <c r="K29" s="33">
        <v>4015</v>
      </c>
      <c r="L29" s="6"/>
    </row>
    <row r="30" spans="1:12">
      <c r="A30" s="7"/>
      <c r="B30" s="7"/>
      <c r="C30" s="7"/>
      <c r="D30" s="7"/>
      <c r="E30" s="7"/>
      <c r="F30" s="7"/>
      <c r="G30" s="7"/>
      <c r="H30" s="29"/>
      <c r="I30" s="8"/>
      <c r="J30" s="31"/>
      <c r="K30" s="31"/>
      <c r="L30" s="6"/>
    </row>
    <row r="31" spans="1:12">
      <c r="A31" s="7"/>
      <c r="B31" s="7"/>
      <c r="C31" s="7"/>
      <c r="D31" s="7"/>
      <c r="E31" s="7"/>
      <c r="F31" s="7"/>
      <c r="G31" s="7"/>
      <c r="H31" s="29" t="s">
        <v>204</v>
      </c>
      <c r="I31" s="8"/>
      <c r="J31" s="34">
        <f>J27-J29</f>
        <v>0</v>
      </c>
      <c r="K31" s="34">
        <f>K27-K29</f>
        <v>0</v>
      </c>
      <c r="L31" s="6"/>
    </row>
  </sheetData>
  <mergeCells count="3">
    <mergeCell ref="A1:J1"/>
    <mergeCell ref="L4:L13"/>
    <mergeCell ref="K24:K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tabColor rgb="FFFFFF00"/>
  </sheetPr>
  <dimension ref="A1:Z25"/>
  <sheetViews>
    <sheetView workbookViewId="0">
      <selection activeCell="L15" sqref="L7:L15"/>
    </sheetView>
  </sheetViews>
  <sheetFormatPr baseColWidth="10" defaultRowHeight="15"/>
  <cols>
    <col min="1" max="2" width="8" bestFit="1" customWidth="1"/>
    <col min="3" max="3" width="19.5703125" bestFit="1" customWidth="1"/>
    <col min="4" max="4" width="11.5703125" bestFit="1" customWidth="1"/>
    <col min="5" max="5" width="19.42578125" bestFit="1" customWidth="1"/>
    <col min="6" max="6" width="13.42578125" bestFit="1" customWidth="1"/>
    <col min="7" max="7" width="46.7109375" bestFit="1" customWidth="1"/>
    <col min="8" max="8" width="45.7109375" bestFit="1" customWidth="1"/>
    <col min="9" max="9" width="15" bestFit="1" customWidth="1"/>
    <col min="10" max="10" width="19.28515625" bestFit="1" customWidth="1"/>
    <col min="11" max="11" width="12" style="4" bestFit="1" customWidth="1"/>
    <col min="12" max="12" width="10" style="4" bestFit="1" customWidth="1"/>
    <col min="13" max="13" width="11" bestFit="1" customWidth="1"/>
    <col min="14" max="14" width="12.140625" bestFit="1" customWidth="1"/>
    <col min="15" max="15" width="12.42578125" bestFit="1" customWidth="1"/>
    <col min="16" max="16" width="16.28515625" bestFit="1" customWidth="1"/>
    <col min="17" max="17" width="12.5703125" bestFit="1" customWidth="1"/>
    <col min="18" max="18" width="8.5703125" bestFit="1" customWidth="1"/>
    <col min="19" max="19" width="21.42578125" bestFit="1" customWidth="1"/>
    <col min="20" max="20" width="8.5703125" bestFit="1" customWidth="1"/>
    <col min="21" max="21" width="13.28515625" bestFit="1" customWidth="1"/>
    <col min="22" max="22" width="12.7109375" bestFit="1" customWidth="1"/>
    <col min="23" max="23" width="10" bestFit="1" customWidth="1"/>
    <col min="24" max="24" width="15.28515625" bestFit="1" customWidth="1"/>
    <col min="25" max="25" width="9.5703125" bestFit="1" customWidth="1"/>
    <col min="26" max="26" width="34.28515625" bestFit="1" customWidth="1"/>
  </cols>
  <sheetData>
    <row r="1" spans="1:26" ht="52.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208</v>
      </c>
      <c r="Z1" t="s">
        <v>215</v>
      </c>
    </row>
    <row r="2" spans="1:26" hidden="1">
      <c r="A2">
        <v>21045</v>
      </c>
      <c r="B2" t="s">
        <v>93</v>
      </c>
      <c r="C2" t="s">
        <v>118</v>
      </c>
      <c r="D2" s="1">
        <v>40977</v>
      </c>
      <c r="E2" s="1">
        <v>40977</v>
      </c>
      <c r="F2" s="1">
        <v>73049</v>
      </c>
      <c r="G2" t="s">
        <v>114</v>
      </c>
      <c r="H2" t="s">
        <v>25</v>
      </c>
      <c r="I2">
        <v>599</v>
      </c>
      <c r="J2" t="s">
        <v>26</v>
      </c>
      <c r="K2">
        <v>599</v>
      </c>
      <c r="L2">
        <v>37.090000000000003</v>
      </c>
      <c r="M2">
        <v>599</v>
      </c>
      <c r="N2">
        <v>0</v>
      </c>
      <c r="O2">
        <v>1</v>
      </c>
      <c r="P2">
        <v>3</v>
      </c>
      <c r="Q2" t="s">
        <v>115</v>
      </c>
      <c r="R2" t="s">
        <v>35</v>
      </c>
      <c r="S2" t="s">
        <v>27</v>
      </c>
      <c r="T2" t="s">
        <v>102</v>
      </c>
      <c r="U2" t="s">
        <v>116</v>
      </c>
      <c r="V2" t="s">
        <v>26</v>
      </c>
      <c r="W2">
        <v>562</v>
      </c>
      <c r="X2" t="s">
        <v>26</v>
      </c>
      <c r="Y2" t="s">
        <v>25</v>
      </c>
      <c r="Z2" t="s">
        <v>210</v>
      </c>
    </row>
    <row r="3" spans="1:26" hidden="1">
      <c r="A3">
        <v>20351</v>
      </c>
      <c r="B3" t="s">
        <v>81</v>
      </c>
      <c r="C3" t="s">
        <v>149</v>
      </c>
      <c r="D3" s="1">
        <v>40778</v>
      </c>
      <c r="E3" s="1">
        <v>40778</v>
      </c>
      <c r="F3" s="1">
        <v>42181</v>
      </c>
      <c r="G3" t="s">
        <v>107</v>
      </c>
      <c r="H3" t="s">
        <v>25</v>
      </c>
      <c r="I3" s="4">
        <v>660</v>
      </c>
      <c r="J3" t="s">
        <v>26</v>
      </c>
      <c r="K3">
        <v>660</v>
      </c>
      <c r="L3" s="4">
        <v>32.01</v>
      </c>
      <c r="M3">
        <v>253.7</v>
      </c>
      <c r="N3">
        <v>406.3</v>
      </c>
      <c r="O3">
        <v>10</v>
      </c>
      <c r="P3">
        <v>10</v>
      </c>
      <c r="Q3" t="s">
        <v>108</v>
      </c>
      <c r="R3" t="s">
        <v>92</v>
      </c>
      <c r="S3" t="s">
        <v>27</v>
      </c>
      <c r="T3" t="s">
        <v>95</v>
      </c>
      <c r="U3" t="s">
        <v>150</v>
      </c>
      <c r="V3" t="s">
        <v>26</v>
      </c>
      <c r="W3">
        <v>222</v>
      </c>
      <c r="X3" t="s">
        <v>26</v>
      </c>
      <c r="Y3" t="s">
        <v>25</v>
      </c>
      <c r="Z3" t="s">
        <v>30</v>
      </c>
    </row>
    <row r="4" spans="1:26" hidden="1">
      <c r="A4">
        <v>18749</v>
      </c>
      <c r="B4" t="s">
        <v>98</v>
      </c>
      <c r="C4" t="s">
        <v>74</v>
      </c>
      <c r="D4" s="1">
        <v>40907</v>
      </c>
      <c r="E4" s="1">
        <v>40907</v>
      </c>
      <c r="F4" s="1">
        <v>73049</v>
      </c>
      <c r="G4" t="s">
        <v>142</v>
      </c>
      <c r="H4" t="s">
        <v>143</v>
      </c>
      <c r="I4">
        <v>2615</v>
      </c>
      <c r="J4" t="s">
        <v>26</v>
      </c>
      <c r="K4">
        <v>2615</v>
      </c>
      <c r="L4">
        <v>108.49</v>
      </c>
      <c r="M4">
        <v>669.88</v>
      </c>
      <c r="N4">
        <v>1945.12</v>
      </c>
      <c r="O4">
        <v>10</v>
      </c>
      <c r="P4">
        <v>14</v>
      </c>
      <c r="Q4" t="s">
        <v>75</v>
      </c>
      <c r="R4" t="s">
        <v>99</v>
      </c>
      <c r="S4" t="s">
        <v>65</v>
      </c>
      <c r="T4" t="s">
        <v>144</v>
      </c>
      <c r="U4" t="s">
        <v>145</v>
      </c>
      <c r="V4" t="s">
        <v>26</v>
      </c>
      <c r="W4">
        <v>561</v>
      </c>
      <c r="X4" t="s">
        <v>26</v>
      </c>
      <c r="Y4" t="s">
        <v>25</v>
      </c>
      <c r="Z4" t="s">
        <v>210</v>
      </c>
    </row>
    <row r="5" spans="1:26" hidden="1">
      <c r="A5">
        <v>18433</v>
      </c>
      <c r="B5" t="s">
        <v>73</v>
      </c>
      <c r="C5" t="s">
        <v>74</v>
      </c>
      <c r="D5" s="1">
        <v>40907</v>
      </c>
      <c r="E5" s="1">
        <v>40907</v>
      </c>
      <c r="F5" s="1">
        <v>73049</v>
      </c>
      <c r="G5" t="s">
        <v>86</v>
      </c>
      <c r="H5" t="s">
        <v>135</v>
      </c>
      <c r="I5" s="4">
        <v>5672</v>
      </c>
      <c r="J5" t="s">
        <v>26</v>
      </c>
      <c r="K5">
        <v>5672.09</v>
      </c>
      <c r="L5" s="4">
        <v>235.33</v>
      </c>
      <c r="M5">
        <v>1453.03</v>
      </c>
      <c r="N5">
        <v>4219.0600000000004</v>
      </c>
      <c r="O5">
        <v>7</v>
      </c>
      <c r="P5">
        <v>14</v>
      </c>
      <c r="Q5" t="s">
        <v>75</v>
      </c>
      <c r="R5" t="s">
        <v>76</v>
      </c>
      <c r="S5" t="s">
        <v>65</v>
      </c>
      <c r="T5" t="s">
        <v>126</v>
      </c>
      <c r="U5" t="s">
        <v>136</v>
      </c>
      <c r="V5" t="s">
        <v>26</v>
      </c>
      <c r="W5">
        <v>1218</v>
      </c>
      <c r="X5" t="s">
        <v>30</v>
      </c>
      <c r="Y5" t="s">
        <v>25</v>
      </c>
      <c r="Z5" t="s">
        <v>210</v>
      </c>
    </row>
    <row r="6" spans="1:26">
      <c r="A6">
        <v>22368</v>
      </c>
      <c r="B6" t="s">
        <v>34</v>
      </c>
      <c r="C6" t="s">
        <v>60</v>
      </c>
      <c r="D6" s="1">
        <v>41332</v>
      </c>
      <c r="E6" s="1">
        <v>41332</v>
      </c>
      <c r="F6" s="1">
        <v>73049</v>
      </c>
      <c r="G6" t="s">
        <v>61</v>
      </c>
      <c r="H6" t="s">
        <v>25</v>
      </c>
      <c r="I6" s="4">
        <v>8734</v>
      </c>
      <c r="J6" t="s">
        <v>26</v>
      </c>
      <c r="K6">
        <v>8733.58</v>
      </c>
      <c r="L6" s="4">
        <v>507.27</v>
      </c>
      <c r="M6">
        <v>2117.6</v>
      </c>
      <c r="N6">
        <v>6615.98</v>
      </c>
      <c r="O6">
        <v>7</v>
      </c>
      <c r="P6">
        <v>10</v>
      </c>
      <c r="Q6" t="s">
        <v>62</v>
      </c>
      <c r="R6" t="s">
        <v>29</v>
      </c>
      <c r="S6" t="s">
        <v>27</v>
      </c>
      <c r="T6" t="s">
        <v>63</v>
      </c>
      <c r="U6" t="s">
        <v>64</v>
      </c>
      <c r="V6" t="s">
        <v>26</v>
      </c>
      <c r="W6">
        <v>1610</v>
      </c>
      <c r="X6" t="s">
        <v>30</v>
      </c>
      <c r="Y6" t="s">
        <v>25</v>
      </c>
      <c r="Z6" t="s">
        <v>210</v>
      </c>
    </row>
    <row r="7" spans="1:26">
      <c r="A7">
        <v>9612</v>
      </c>
      <c r="B7" t="s">
        <v>36</v>
      </c>
      <c r="C7" t="s">
        <v>88</v>
      </c>
      <c r="D7" s="1">
        <v>37337</v>
      </c>
      <c r="E7" s="1">
        <v>37337</v>
      </c>
      <c r="F7" s="1">
        <v>73049</v>
      </c>
      <c r="G7" t="s">
        <v>89</v>
      </c>
      <c r="H7" t="s">
        <v>25</v>
      </c>
      <c r="I7" s="4">
        <v>818</v>
      </c>
      <c r="J7" t="s">
        <v>26</v>
      </c>
      <c r="K7">
        <v>818.34</v>
      </c>
      <c r="L7" s="4">
        <v>29.54</v>
      </c>
      <c r="M7">
        <v>785.77</v>
      </c>
      <c r="N7">
        <v>32.57</v>
      </c>
      <c r="O7">
        <v>7</v>
      </c>
      <c r="P7">
        <v>14</v>
      </c>
      <c r="Q7" t="s">
        <v>90</v>
      </c>
      <c r="R7" t="s">
        <v>80</v>
      </c>
      <c r="S7" t="s">
        <v>27</v>
      </c>
      <c r="T7" t="s">
        <v>66</v>
      </c>
      <c r="U7" t="s">
        <v>91</v>
      </c>
      <c r="V7" t="s">
        <v>26</v>
      </c>
      <c r="W7">
        <v>756</v>
      </c>
      <c r="X7" t="s">
        <v>30</v>
      </c>
      <c r="Y7" t="s">
        <v>25</v>
      </c>
      <c r="Z7" t="s">
        <v>210</v>
      </c>
    </row>
    <row r="8" spans="1:26">
      <c r="A8">
        <v>21068</v>
      </c>
      <c r="B8" t="s">
        <v>36</v>
      </c>
      <c r="C8" t="s">
        <v>125</v>
      </c>
      <c r="D8" s="1">
        <v>40970</v>
      </c>
      <c r="E8" s="1">
        <v>40970</v>
      </c>
      <c r="F8" s="1">
        <v>73049</v>
      </c>
      <c r="G8" t="s">
        <v>109</v>
      </c>
      <c r="H8" t="s">
        <v>67</v>
      </c>
      <c r="I8" s="4">
        <v>1150</v>
      </c>
      <c r="J8" t="s">
        <v>26</v>
      </c>
      <c r="K8">
        <v>1150</v>
      </c>
      <c r="L8" s="4">
        <v>55.66</v>
      </c>
      <c r="M8">
        <v>327.18</v>
      </c>
      <c r="N8">
        <v>822.82</v>
      </c>
      <c r="O8">
        <v>7</v>
      </c>
      <c r="P8">
        <v>12</v>
      </c>
      <c r="Q8" t="s">
        <v>110</v>
      </c>
      <c r="R8" t="s">
        <v>33</v>
      </c>
      <c r="S8" t="s">
        <v>27</v>
      </c>
      <c r="T8" t="s">
        <v>96</v>
      </c>
      <c r="U8" t="s">
        <v>111</v>
      </c>
      <c r="V8" t="s">
        <v>26</v>
      </c>
      <c r="W8">
        <v>272</v>
      </c>
      <c r="X8" t="s">
        <v>30</v>
      </c>
      <c r="Y8" t="s">
        <v>25</v>
      </c>
      <c r="Z8" t="s">
        <v>210</v>
      </c>
    </row>
    <row r="9" spans="1:26">
      <c r="A9">
        <v>15448</v>
      </c>
      <c r="B9" t="s">
        <v>36</v>
      </c>
      <c r="C9" t="s">
        <v>156</v>
      </c>
      <c r="D9" s="1">
        <v>39645</v>
      </c>
      <c r="E9" s="1">
        <v>39645</v>
      </c>
      <c r="F9" s="1">
        <v>73049</v>
      </c>
      <c r="G9" t="s">
        <v>157</v>
      </c>
      <c r="H9" t="s">
        <v>25</v>
      </c>
      <c r="I9" s="4">
        <v>672</v>
      </c>
      <c r="J9" t="s">
        <v>26</v>
      </c>
      <c r="K9">
        <v>672.21</v>
      </c>
      <c r="L9" s="4">
        <v>27.89</v>
      </c>
      <c r="M9">
        <v>338.18</v>
      </c>
      <c r="N9">
        <v>334.03</v>
      </c>
      <c r="O9">
        <v>7</v>
      </c>
      <c r="P9">
        <v>14</v>
      </c>
      <c r="Q9" t="s">
        <v>129</v>
      </c>
      <c r="R9" t="s">
        <v>33</v>
      </c>
      <c r="S9" t="s">
        <v>27</v>
      </c>
      <c r="T9" t="s">
        <v>96</v>
      </c>
      <c r="U9" t="s">
        <v>158</v>
      </c>
      <c r="V9" t="s">
        <v>26</v>
      </c>
      <c r="W9">
        <v>310</v>
      </c>
      <c r="X9" t="s">
        <v>30</v>
      </c>
      <c r="Y9" t="s">
        <v>25</v>
      </c>
      <c r="Z9" t="s">
        <v>210</v>
      </c>
    </row>
    <row r="10" spans="1:26">
      <c r="A10">
        <v>21364</v>
      </c>
      <c r="B10" t="s">
        <v>36</v>
      </c>
      <c r="C10" t="s">
        <v>119</v>
      </c>
      <c r="D10" s="1">
        <v>41074</v>
      </c>
      <c r="E10" s="1">
        <v>41074</v>
      </c>
      <c r="F10" s="1">
        <v>73049</v>
      </c>
      <c r="G10" t="s">
        <v>120</v>
      </c>
      <c r="H10" t="s">
        <v>67</v>
      </c>
      <c r="I10" s="4">
        <v>1082</v>
      </c>
      <c r="J10" t="s">
        <v>26</v>
      </c>
      <c r="K10">
        <v>1081.71</v>
      </c>
      <c r="L10" s="4">
        <v>44.88</v>
      </c>
      <c r="M10">
        <v>241.85</v>
      </c>
      <c r="N10">
        <v>839.86</v>
      </c>
      <c r="O10">
        <v>7</v>
      </c>
      <c r="P10">
        <v>14</v>
      </c>
      <c r="Q10" t="s">
        <v>112</v>
      </c>
      <c r="R10" t="s">
        <v>33</v>
      </c>
      <c r="S10" t="s">
        <v>27</v>
      </c>
      <c r="T10" t="s">
        <v>96</v>
      </c>
      <c r="U10" t="s">
        <v>121</v>
      </c>
      <c r="V10" t="s">
        <v>26</v>
      </c>
      <c r="W10">
        <v>197</v>
      </c>
      <c r="X10" t="s">
        <v>30</v>
      </c>
      <c r="Y10" t="s">
        <v>25</v>
      </c>
      <c r="Z10" t="s">
        <v>210</v>
      </c>
    </row>
    <row r="11" spans="1:26">
      <c r="A11">
        <v>20225</v>
      </c>
      <c r="B11" t="s">
        <v>36</v>
      </c>
      <c r="C11" t="s">
        <v>146</v>
      </c>
      <c r="D11" s="1">
        <v>40716</v>
      </c>
      <c r="E11" s="1">
        <v>40716</v>
      </c>
      <c r="F11" s="1">
        <v>73049</v>
      </c>
      <c r="G11" t="s">
        <v>97</v>
      </c>
      <c r="H11" t="s">
        <v>147</v>
      </c>
      <c r="I11">
        <v>9403</v>
      </c>
      <c r="J11" t="s">
        <v>26</v>
      </c>
      <c r="K11">
        <v>9403.0400000000009</v>
      </c>
      <c r="L11">
        <v>390.11</v>
      </c>
      <c r="M11">
        <v>2760.24</v>
      </c>
      <c r="N11">
        <v>6642.8</v>
      </c>
      <c r="O11">
        <v>10</v>
      </c>
      <c r="P11">
        <v>14</v>
      </c>
      <c r="Q11" t="s">
        <v>100</v>
      </c>
      <c r="R11" t="s">
        <v>85</v>
      </c>
      <c r="S11" t="s">
        <v>27</v>
      </c>
      <c r="T11" t="s">
        <v>101</v>
      </c>
      <c r="U11" t="s">
        <v>148</v>
      </c>
      <c r="V11" t="s">
        <v>26</v>
      </c>
      <c r="W11">
        <v>2370</v>
      </c>
      <c r="X11" t="s">
        <v>26</v>
      </c>
      <c r="Y11" t="s">
        <v>25</v>
      </c>
      <c r="Z11" t="s">
        <v>210</v>
      </c>
    </row>
    <row r="12" spans="1:26">
      <c r="A12">
        <v>22360</v>
      </c>
      <c r="B12" t="s">
        <v>31</v>
      </c>
      <c r="C12" t="s">
        <v>54</v>
      </c>
      <c r="D12" s="1">
        <v>41331</v>
      </c>
      <c r="E12" s="1">
        <v>41331</v>
      </c>
      <c r="F12" s="1">
        <v>73049</v>
      </c>
      <c r="G12" t="s">
        <v>55</v>
      </c>
      <c r="H12" t="s">
        <v>25</v>
      </c>
      <c r="I12" s="4">
        <v>2050</v>
      </c>
      <c r="J12" t="s">
        <v>26</v>
      </c>
      <c r="K12">
        <v>2050</v>
      </c>
      <c r="L12" s="4">
        <v>396.89</v>
      </c>
      <c r="M12">
        <v>1658.71</v>
      </c>
      <c r="N12">
        <v>391.29</v>
      </c>
      <c r="O12">
        <v>7</v>
      </c>
      <c r="P12">
        <v>3</v>
      </c>
      <c r="Q12" t="s">
        <v>56</v>
      </c>
      <c r="R12" t="s">
        <v>57</v>
      </c>
      <c r="S12" t="s">
        <v>27</v>
      </c>
      <c r="T12" t="s">
        <v>58</v>
      </c>
      <c r="U12" t="s">
        <v>59</v>
      </c>
      <c r="V12" t="s">
        <v>26</v>
      </c>
      <c r="W12">
        <v>1262</v>
      </c>
      <c r="X12" t="s">
        <v>30</v>
      </c>
      <c r="Y12" t="s">
        <v>25</v>
      </c>
      <c r="Z12" t="s">
        <v>210</v>
      </c>
    </row>
    <row r="13" spans="1:26">
      <c r="A13">
        <v>16490</v>
      </c>
      <c r="B13" t="s">
        <v>31</v>
      </c>
      <c r="C13" t="s">
        <v>166</v>
      </c>
      <c r="D13" s="1">
        <v>39986</v>
      </c>
      <c r="E13" s="1">
        <v>39986</v>
      </c>
      <c r="F13" s="1">
        <v>73049</v>
      </c>
      <c r="G13" t="s">
        <v>167</v>
      </c>
      <c r="H13" t="s">
        <v>25</v>
      </c>
      <c r="I13" s="4">
        <v>8675</v>
      </c>
      <c r="J13" t="s">
        <v>26</v>
      </c>
      <c r="K13">
        <v>8674.58</v>
      </c>
      <c r="L13" s="4">
        <v>629.79999999999995</v>
      </c>
      <c r="M13">
        <v>6624.75</v>
      </c>
      <c r="N13">
        <v>2049.83</v>
      </c>
      <c r="O13">
        <v>7</v>
      </c>
      <c r="P13">
        <v>8</v>
      </c>
      <c r="Q13" t="s">
        <v>168</v>
      </c>
      <c r="R13" t="s">
        <v>94</v>
      </c>
      <c r="S13" t="s">
        <v>65</v>
      </c>
      <c r="T13" t="s">
        <v>169</v>
      </c>
      <c r="U13" t="s">
        <v>170</v>
      </c>
      <c r="V13" t="s">
        <v>26</v>
      </c>
      <c r="W13">
        <v>5995</v>
      </c>
      <c r="X13" t="s">
        <v>30</v>
      </c>
      <c r="Y13" t="s">
        <v>25</v>
      </c>
      <c r="Z13" t="s">
        <v>210</v>
      </c>
    </row>
    <row r="14" spans="1:26">
      <c r="A14">
        <v>16385</v>
      </c>
      <c r="B14" t="s">
        <v>31</v>
      </c>
      <c r="C14" t="s">
        <v>159</v>
      </c>
      <c r="D14" s="1">
        <v>39972</v>
      </c>
      <c r="E14" s="1">
        <v>39972</v>
      </c>
      <c r="F14" s="1">
        <v>73049</v>
      </c>
      <c r="G14" t="s">
        <v>160</v>
      </c>
      <c r="H14" t="s">
        <v>161</v>
      </c>
      <c r="I14" s="4">
        <v>3212</v>
      </c>
      <c r="J14" t="s">
        <v>26</v>
      </c>
      <c r="K14">
        <v>3212.44</v>
      </c>
      <c r="L14" s="4">
        <v>290.60000000000002</v>
      </c>
      <c r="M14">
        <v>3084.96</v>
      </c>
      <c r="N14">
        <v>127.48</v>
      </c>
      <c r="O14">
        <v>7</v>
      </c>
      <c r="P14">
        <v>6</v>
      </c>
      <c r="Q14" t="s">
        <v>162</v>
      </c>
      <c r="R14" t="s">
        <v>33</v>
      </c>
      <c r="S14" t="s">
        <v>65</v>
      </c>
      <c r="T14" t="s">
        <v>40</v>
      </c>
      <c r="U14" t="s">
        <v>163</v>
      </c>
      <c r="V14" t="s">
        <v>26</v>
      </c>
      <c r="W14">
        <v>2794</v>
      </c>
      <c r="X14" t="s">
        <v>30</v>
      </c>
      <c r="Y14" t="s">
        <v>25</v>
      </c>
      <c r="Z14" t="s">
        <v>210</v>
      </c>
    </row>
    <row r="15" spans="1:26">
      <c r="A15">
        <v>20973</v>
      </c>
      <c r="B15" t="s">
        <v>31</v>
      </c>
      <c r="C15" t="s">
        <v>127</v>
      </c>
      <c r="D15" s="1">
        <v>40968</v>
      </c>
      <c r="E15" s="1">
        <v>40968</v>
      </c>
      <c r="F15" s="1">
        <v>73049</v>
      </c>
      <c r="G15" t="s">
        <v>103</v>
      </c>
      <c r="H15" t="s">
        <v>25</v>
      </c>
      <c r="I15" s="4">
        <v>1090</v>
      </c>
      <c r="J15" t="s">
        <v>26</v>
      </c>
      <c r="K15">
        <v>1090</v>
      </c>
      <c r="L15" s="4">
        <v>58.58</v>
      </c>
      <c r="M15">
        <v>1090</v>
      </c>
      <c r="N15">
        <v>0</v>
      </c>
      <c r="O15">
        <v>7</v>
      </c>
      <c r="P15">
        <v>3</v>
      </c>
      <c r="Q15" t="s">
        <v>104</v>
      </c>
      <c r="R15" t="s">
        <v>33</v>
      </c>
      <c r="S15" t="s">
        <v>65</v>
      </c>
      <c r="T15" t="s">
        <v>45</v>
      </c>
      <c r="U15" t="s">
        <v>106</v>
      </c>
      <c r="V15" t="s">
        <v>26</v>
      </c>
      <c r="W15">
        <v>1031</v>
      </c>
      <c r="X15" t="s">
        <v>30</v>
      </c>
      <c r="Y15" t="s">
        <v>25</v>
      </c>
      <c r="Z15" t="s">
        <v>210</v>
      </c>
    </row>
    <row r="16" spans="1:26">
      <c r="A16">
        <v>18607</v>
      </c>
      <c r="B16" t="s">
        <v>28</v>
      </c>
      <c r="C16" t="s">
        <v>137</v>
      </c>
      <c r="D16" s="1">
        <v>40268</v>
      </c>
      <c r="E16" s="1">
        <v>40268</v>
      </c>
      <c r="F16" s="1">
        <v>73049</v>
      </c>
      <c r="G16" t="s">
        <v>77</v>
      </c>
      <c r="H16" t="s">
        <v>25</v>
      </c>
      <c r="I16" s="4">
        <v>1500</v>
      </c>
      <c r="J16" t="s">
        <v>26</v>
      </c>
      <c r="K16">
        <v>1500.38</v>
      </c>
      <c r="L16" s="4">
        <v>72.62</v>
      </c>
      <c r="M16">
        <v>667.28</v>
      </c>
      <c r="N16">
        <v>833.1</v>
      </c>
      <c r="O16">
        <v>5</v>
      </c>
      <c r="P16">
        <v>12</v>
      </c>
      <c r="Q16" t="s">
        <v>75</v>
      </c>
      <c r="R16" t="s">
        <v>33</v>
      </c>
      <c r="S16" t="s">
        <v>65</v>
      </c>
      <c r="T16" t="s">
        <v>78</v>
      </c>
      <c r="U16" t="s">
        <v>79</v>
      </c>
      <c r="V16" t="s">
        <v>26</v>
      </c>
      <c r="W16">
        <v>595</v>
      </c>
      <c r="X16" t="s">
        <v>30</v>
      </c>
      <c r="Y16" t="s">
        <v>25</v>
      </c>
      <c r="Z16" t="s">
        <v>210</v>
      </c>
    </row>
    <row r="17" spans="1:26">
      <c r="A17">
        <v>18684</v>
      </c>
      <c r="B17" t="s">
        <v>28</v>
      </c>
      <c r="C17" t="s">
        <v>138</v>
      </c>
      <c r="D17" s="1">
        <v>40345</v>
      </c>
      <c r="E17" s="1">
        <v>40345</v>
      </c>
      <c r="F17" s="1">
        <v>73049</v>
      </c>
      <c r="G17" t="s">
        <v>139</v>
      </c>
      <c r="H17" t="s">
        <v>140</v>
      </c>
      <c r="I17">
        <v>775</v>
      </c>
      <c r="J17" t="s">
        <v>26</v>
      </c>
      <c r="K17">
        <v>775</v>
      </c>
      <c r="L17">
        <v>56.27</v>
      </c>
      <c r="M17">
        <v>496.61</v>
      </c>
      <c r="N17">
        <v>278.39</v>
      </c>
      <c r="O17">
        <v>5</v>
      </c>
      <c r="P17">
        <v>8</v>
      </c>
      <c r="Q17" t="s">
        <v>75</v>
      </c>
      <c r="R17" t="s">
        <v>29</v>
      </c>
      <c r="S17" t="s">
        <v>65</v>
      </c>
      <c r="T17" t="s">
        <v>113</v>
      </c>
      <c r="U17" t="s">
        <v>141</v>
      </c>
      <c r="V17" t="s">
        <v>26</v>
      </c>
      <c r="W17">
        <v>440</v>
      </c>
      <c r="X17" t="s">
        <v>30</v>
      </c>
      <c r="Y17" t="s">
        <v>25</v>
      </c>
      <c r="Z17" t="s">
        <v>210</v>
      </c>
    </row>
    <row r="18" spans="1:26">
      <c r="A18">
        <v>21896</v>
      </c>
      <c r="B18" t="s">
        <v>28</v>
      </c>
      <c r="C18" t="s">
        <v>37</v>
      </c>
      <c r="D18" s="1">
        <v>41229</v>
      </c>
      <c r="E18" s="1">
        <v>41229</v>
      </c>
      <c r="F18" s="1">
        <v>73049</v>
      </c>
      <c r="G18" t="s">
        <v>38</v>
      </c>
      <c r="H18" t="s">
        <v>25</v>
      </c>
      <c r="I18" s="4">
        <v>1414</v>
      </c>
      <c r="J18" t="s">
        <v>26</v>
      </c>
      <c r="K18">
        <v>1414.08</v>
      </c>
      <c r="L18" s="4">
        <v>102.67</v>
      </c>
      <c r="M18">
        <v>478.41</v>
      </c>
      <c r="N18">
        <v>935.67</v>
      </c>
      <c r="O18">
        <v>5</v>
      </c>
      <c r="P18">
        <v>8</v>
      </c>
      <c r="Q18" t="s">
        <v>39</v>
      </c>
      <c r="R18" t="s">
        <v>209</v>
      </c>
      <c r="S18" t="s">
        <v>27</v>
      </c>
      <c r="T18" t="s">
        <v>40</v>
      </c>
      <c r="U18" t="s">
        <v>41</v>
      </c>
      <c r="V18" t="s">
        <v>26</v>
      </c>
      <c r="W18">
        <v>376</v>
      </c>
      <c r="X18" t="s">
        <v>30</v>
      </c>
      <c r="Y18" t="s">
        <v>25</v>
      </c>
      <c r="Z18" t="s">
        <v>210</v>
      </c>
    </row>
    <row r="19" spans="1:26">
      <c r="A19">
        <v>22221</v>
      </c>
      <c r="B19" t="s">
        <v>28</v>
      </c>
      <c r="C19" t="s">
        <v>42</v>
      </c>
      <c r="D19" s="1">
        <v>41332</v>
      </c>
      <c r="E19" s="1">
        <v>41332</v>
      </c>
      <c r="F19" s="1">
        <v>73049</v>
      </c>
      <c r="G19" t="s">
        <v>43</v>
      </c>
      <c r="H19" t="s">
        <v>25</v>
      </c>
      <c r="I19" s="4">
        <v>5225</v>
      </c>
      <c r="J19" t="s">
        <v>26</v>
      </c>
      <c r="K19">
        <v>5225</v>
      </c>
      <c r="L19" s="4">
        <v>379.35</v>
      </c>
      <c r="M19">
        <v>1583.6</v>
      </c>
      <c r="N19">
        <v>3641.4</v>
      </c>
      <c r="O19">
        <v>5</v>
      </c>
      <c r="P19">
        <v>8</v>
      </c>
      <c r="Q19" t="s">
        <v>44</v>
      </c>
      <c r="R19" t="s">
        <v>33</v>
      </c>
      <c r="S19" t="s">
        <v>27</v>
      </c>
      <c r="T19" t="s">
        <v>45</v>
      </c>
      <c r="U19" t="s">
        <v>46</v>
      </c>
      <c r="V19" t="s">
        <v>26</v>
      </c>
      <c r="W19">
        <v>1204</v>
      </c>
      <c r="X19" t="s">
        <v>30</v>
      </c>
      <c r="Y19" t="s">
        <v>25</v>
      </c>
      <c r="Z19" t="s">
        <v>210</v>
      </c>
    </row>
    <row r="20" spans="1:26">
      <c r="A20">
        <v>22284</v>
      </c>
      <c r="B20" t="s">
        <v>28</v>
      </c>
      <c r="C20" t="s">
        <v>47</v>
      </c>
      <c r="D20" s="1">
        <v>41346</v>
      </c>
      <c r="E20" s="1">
        <v>41346</v>
      </c>
      <c r="F20" s="1">
        <v>73049</v>
      </c>
      <c r="G20" t="s">
        <v>48</v>
      </c>
      <c r="H20" t="s">
        <v>49</v>
      </c>
      <c r="I20" s="4">
        <v>1223</v>
      </c>
      <c r="J20" t="s">
        <v>26</v>
      </c>
      <c r="K20">
        <v>1222.5</v>
      </c>
      <c r="L20" s="4">
        <v>88.76</v>
      </c>
      <c r="M20">
        <v>364.66</v>
      </c>
      <c r="N20">
        <v>857.84</v>
      </c>
      <c r="O20">
        <v>5</v>
      </c>
      <c r="P20">
        <v>8</v>
      </c>
      <c r="Q20" t="s">
        <v>50</v>
      </c>
      <c r="R20" t="s">
        <v>51</v>
      </c>
      <c r="S20" t="s">
        <v>27</v>
      </c>
      <c r="T20" t="s">
        <v>52</v>
      </c>
      <c r="U20" t="s">
        <v>53</v>
      </c>
      <c r="V20" t="s">
        <v>26</v>
      </c>
      <c r="W20">
        <v>276</v>
      </c>
      <c r="X20" t="s">
        <v>30</v>
      </c>
      <c r="Y20" t="s">
        <v>25</v>
      </c>
      <c r="Z20" t="s">
        <v>210</v>
      </c>
    </row>
    <row r="21" spans="1:26">
      <c r="A21">
        <v>17306</v>
      </c>
      <c r="B21" t="s">
        <v>28</v>
      </c>
      <c r="C21" t="s">
        <v>155</v>
      </c>
      <c r="D21" s="1">
        <v>40228</v>
      </c>
      <c r="E21" s="1">
        <v>40228</v>
      </c>
      <c r="F21" s="1">
        <v>73049</v>
      </c>
      <c r="G21" t="s">
        <v>122</v>
      </c>
      <c r="H21" t="s">
        <v>25</v>
      </c>
      <c r="I21">
        <v>1352</v>
      </c>
      <c r="J21" t="s">
        <v>26</v>
      </c>
      <c r="K21">
        <v>1351.62</v>
      </c>
      <c r="L21">
        <v>98.13</v>
      </c>
      <c r="M21">
        <v>920.2</v>
      </c>
      <c r="N21">
        <v>431.42</v>
      </c>
      <c r="O21">
        <v>5</v>
      </c>
      <c r="P21">
        <v>8</v>
      </c>
      <c r="Q21" t="s">
        <v>123</v>
      </c>
      <c r="R21" t="s">
        <v>80</v>
      </c>
      <c r="S21" t="s">
        <v>27</v>
      </c>
      <c r="T21" t="s">
        <v>117</v>
      </c>
      <c r="U21" t="s">
        <v>124</v>
      </c>
      <c r="V21" t="s">
        <v>26</v>
      </c>
      <c r="W21">
        <v>822</v>
      </c>
      <c r="X21" t="s">
        <v>30</v>
      </c>
      <c r="Y21" t="s">
        <v>25</v>
      </c>
      <c r="Z21" t="s">
        <v>210</v>
      </c>
    </row>
    <row r="22" spans="1:26">
      <c r="A22">
        <v>17763</v>
      </c>
      <c r="B22" t="s">
        <v>28</v>
      </c>
      <c r="C22" t="s">
        <v>164</v>
      </c>
      <c r="D22" s="1">
        <v>40268</v>
      </c>
      <c r="E22" s="1">
        <v>40268</v>
      </c>
      <c r="F22" s="1">
        <v>73049</v>
      </c>
      <c r="G22" t="s">
        <v>151</v>
      </c>
      <c r="H22" t="s">
        <v>152</v>
      </c>
      <c r="I22" s="4">
        <v>635</v>
      </c>
      <c r="J22" t="s">
        <v>26</v>
      </c>
      <c r="K22">
        <v>635</v>
      </c>
      <c r="L22" s="4">
        <v>30.74</v>
      </c>
      <c r="M22">
        <v>282.43</v>
      </c>
      <c r="N22">
        <v>352.57</v>
      </c>
      <c r="O22">
        <v>5</v>
      </c>
      <c r="P22">
        <v>12</v>
      </c>
      <c r="Q22" t="s">
        <v>75</v>
      </c>
      <c r="R22" t="s">
        <v>209</v>
      </c>
      <c r="S22" t="s">
        <v>65</v>
      </c>
      <c r="T22" t="s">
        <v>78</v>
      </c>
      <c r="U22" t="s">
        <v>153</v>
      </c>
      <c r="V22" t="s">
        <v>26</v>
      </c>
      <c r="W22">
        <v>252</v>
      </c>
      <c r="X22" t="s">
        <v>30</v>
      </c>
      <c r="Y22" t="s">
        <v>25</v>
      </c>
      <c r="Z22" t="s">
        <v>210</v>
      </c>
    </row>
    <row r="23" spans="1:26">
      <c r="A23">
        <v>17288</v>
      </c>
      <c r="B23" t="s">
        <v>28</v>
      </c>
      <c r="C23" t="s">
        <v>68</v>
      </c>
      <c r="D23" s="1">
        <v>40211</v>
      </c>
      <c r="E23" s="1">
        <v>40211</v>
      </c>
      <c r="F23" s="1">
        <v>73049</v>
      </c>
      <c r="G23" t="s">
        <v>69</v>
      </c>
      <c r="H23" t="s">
        <v>25</v>
      </c>
      <c r="I23" s="4">
        <v>4741</v>
      </c>
      <c r="J23" t="s">
        <v>26</v>
      </c>
      <c r="K23">
        <v>4740.5</v>
      </c>
      <c r="L23" s="4">
        <v>344.17</v>
      </c>
      <c r="M23">
        <v>3255.02</v>
      </c>
      <c r="N23">
        <v>1485.48</v>
      </c>
      <c r="O23">
        <v>5</v>
      </c>
      <c r="P23">
        <v>8</v>
      </c>
      <c r="Q23" t="s">
        <v>70</v>
      </c>
      <c r="R23" t="s">
        <v>154</v>
      </c>
      <c r="S23" t="s">
        <v>27</v>
      </c>
      <c r="T23" t="s">
        <v>71</v>
      </c>
      <c r="U23" t="s">
        <v>72</v>
      </c>
      <c r="V23" t="s">
        <v>26</v>
      </c>
      <c r="W23">
        <v>2911</v>
      </c>
      <c r="X23" t="s">
        <v>30</v>
      </c>
      <c r="Y23" t="s">
        <v>25</v>
      </c>
      <c r="Z23" t="s">
        <v>210</v>
      </c>
    </row>
    <row r="24" spans="1:26">
      <c r="A24">
        <v>18369</v>
      </c>
      <c r="B24" t="s">
        <v>24</v>
      </c>
      <c r="C24" t="s">
        <v>128</v>
      </c>
      <c r="D24" s="1">
        <v>40374</v>
      </c>
      <c r="E24" s="1">
        <v>40374</v>
      </c>
      <c r="F24" s="1">
        <v>73049</v>
      </c>
      <c r="G24" t="s">
        <v>87</v>
      </c>
      <c r="H24" t="s">
        <v>25</v>
      </c>
      <c r="I24" s="4">
        <v>1306</v>
      </c>
      <c r="J24" t="s">
        <v>26</v>
      </c>
      <c r="K24">
        <v>1305.51</v>
      </c>
      <c r="L24" s="4">
        <v>58.33</v>
      </c>
      <c r="M24">
        <v>506.78</v>
      </c>
      <c r="N24">
        <v>798.73</v>
      </c>
      <c r="O24">
        <v>10</v>
      </c>
      <c r="P24">
        <v>13</v>
      </c>
      <c r="Q24" t="s">
        <v>82</v>
      </c>
      <c r="R24" t="s">
        <v>32</v>
      </c>
      <c r="S24" t="s">
        <v>27</v>
      </c>
      <c r="T24" t="s">
        <v>83</v>
      </c>
      <c r="U24" t="s">
        <v>84</v>
      </c>
      <c r="V24" t="s">
        <v>26</v>
      </c>
      <c r="W24">
        <v>448</v>
      </c>
      <c r="X24" t="s">
        <v>26</v>
      </c>
      <c r="Y24" t="s">
        <v>25</v>
      </c>
      <c r="Z24" t="s">
        <v>210</v>
      </c>
    </row>
    <row r="25" spans="1:26">
      <c r="A25">
        <v>17959</v>
      </c>
      <c r="B25" t="s">
        <v>24</v>
      </c>
      <c r="C25" t="s">
        <v>165</v>
      </c>
      <c r="D25" s="1">
        <v>40291</v>
      </c>
      <c r="E25" s="1">
        <v>40291</v>
      </c>
      <c r="F25" s="1">
        <v>73049</v>
      </c>
      <c r="G25" t="s">
        <v>130</v>
      </c>
      <c r="H25" t="s">
        <v>131</v>
      </c>
      <c r="I25" s="4">
        <v>680</v>
      </c>
      <c r="J25" t="s">
        <v>26</v>
      </c>
      <c r="K25">
        <v>680</v>
      </c>
      <c r="L25" s="4">
        <v>30.38</v>
      </c>
      <c r="M25">
        <v>275.88</v>
      </c>
      <c r="N25">
        <v>404.12</v>
      </c>
      <c r="O25">
        <v>10</v>
      </c>
      <c r="P25">
        <v>13</v>
      </c>
      <c r="Q25" t="s">
        <v>132</v>
      </c>
      <c r="R25" t="s">
        <v>105</v>
      </c>
      <c r="S25" t="s">
        <v>27</v>
      </c>
      <c r="T25" t="s">
        <v>133</v>
      </c>
      <c r="U25" t="s">
        <v>134</v>
      </c>
      <c r="V25" t="s">
        <v>26</v>
      </c>
      <c r="W25">
        <v>246</v>
      </c>
      <c r="X25" t="s">
        <v>26</v>
      </c>
      <c r="Y25" t="s">
        <v>25</v>
      </c>
      <c r="Z25" t="s">
        <v>210</v>
      </c>
    </row>
  </sheetData>
  <autoFilter ref="A1:Z25">
    <filterColumn colId="1">
      <filters>
        <filter val="213530"/>
        <filter val="213540"/>
        <filter val="215400"/>
        <filter val="215500"/>
        <filter val="218400"/>
      </filters>
    </filterColumn>
    <sortState ref="A2:Z25">
      <sortCondition ref="B1:B25"/>
    </sortState>
  </autoFilter>
  <sortState ref="A2:Y4809">
    <sortCondition ref="R2:R4809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79998168889431442"/>
  </sheetPr>
  <dimension ref="A1:F109"/>
  <sheetViews>
    <sheetView workbookViewId="0">
      <selection activeCell="C21" sqref="C21"/>
    </sheetView>
  </sheetViews>
  <sheetFormatPr baseColWidth="10" defaultRowHeight="15"/>
  <cols>
    <col min="1" max="1" width="21" bestFit="1" customWidth="1"/>
    <col min="2" max="2" width="18.7109375" style="4" bestFit="1" customWidth="1"/>
  </cols>
  <sheetData>
    <row r="1" spans="1:2">
      <c r="B1"/>
    </row>
    <row r="3" spans="1:2">
      <c r="A3" s="2" t="s">
        <v>171</v>
      </c>
      <c r="B3" s="4" t="s">
        <v>173</v>
      </c>
    </row>
    <row r="4" spans="1:2">
      <c r="A4" s="3" t="s">
        <v>99</v>
      </c>
      <c r="B4" s="4">
        <v>108.49</v>
      </c>
    </row>
    <row r="5" spans="1:2">
      <c r="A5" s="3" t="s">
        <v>76</v>
      </c>
      <c r="B5" s="4">
        <v>235.33</v>
      </c>
    </row>
    <row r="6" spans="1:2">
      <c r="A6" s="3" t="s">
        <v>105</v>
      </c>
      <c r="B6" s="4">
        <v>30.38</v>
      </c>
    </row>
    <row r="7" spans="1:2">
      <c r="A7" s="3" t="s">
        <v>51</v>
      </c>
      <c r="B7" s="4">
        <v>88.76</v>
      </c>
    </row>
    <row r="8" spans="1:2">
      <c r="A8" s="3" t="s">
        <v>92</v>
      </c>
      <c r="B8" s="4">
        <v>32.01</v>
      </c>
    </row>
    <row r="9" spans="1:2">
      <c r="A9" s="3" t="s">
        <v>85</v>
      </c>
      <c r="B9" s="4">
        <v>390.11</v>
      </c>
    </row>
    <row r="10" spans="1:2">
      <c r="A10" s="3" t="s">
        <v>154</v>
      </c>
      <c r="B10" s="4">
        <v>344.17</v>
      </c>
    </row>
    <row r="11" spans="1:2">
      <c r="A11" s="3" t="s">
        <v>32</v>
      </c>
      <c r="B11" s="4">
        <v>58.33</v>
      </c>
    </row>
    <row r="12" spans="1:2">
      <c r="A12" s="3" t="s">
        <v>94</v>
      </c>
      <c r="B12" s="4">
        <v>629.79999999999995</v>
      </c>
    </row>
    <row r="13" spans="1:2">
      <c r="A13" s="3" t="s">
        <v>35</v>
      </c>
      <c r="B13" s="4">
        <v>37.090000000000003</v>
      </c>
    </row>
    <row r="14" spans="1:2">
      <c r="A14" s="3" t="s">
        <v>29</v>
      </c>
      <c r="B14" s="4">
        <v>563.54</v>
      </c>
    </row>
    <row r="15" spans="1:2">
      <c r="A15" s="3" t="s">
        <v>80</v>
      </c>
      <c r="B15" s="4">
        <v>127.66999999999999</v>
      </c>
    </row>
    <row r="16" spans="1:2">
      <c r="A16" s="3" t="s">
        <v>209</v>
      </c>
      <c r="B16" s="4">
        <v>133.41</v>
      </c>
    </row>
    <row r="17" spans="1:2">
      <c r="A17" s="3" t="s">
        <v>33</v>
      </c>
      <c r="B17" s="4">
        <v>929.58</v>
      </c>
    </row>
    <row r="18" spans="1:2">
      <c r="A18" s="3" t="s">
        <v>57</v>
      </c>
      <c r="B18" s="4">
        <v>396.89</v>
      </c>
    </row>
    <row r="19" spans="1:2">
      <c r="A19" s="3" t="s">
        <v>172</v>
      </c>
      <c r="B19" s="4">
        <v>4105.5599999999995</v>
      </c>
    </row>
    <row r="20" spans="1:2">
      <c r="B20"/>
    </row>
    <row r="21" spans="1:2">
      <c r="B21"/>
    </row>
    <row r="22" spans="1:2">
      <c r="B22"/>
    </row>
    <row r="23" spans="1:2"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  <row r="31" spans="1:2">
      <c r="B31"/>
    </row>
    <row r="32" spans="1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6">
      <c r="B81"/>
    </row>
    <row r="82" spans="2:6">
      <c r="B82"/>
    </row>
    <row r="83" spans="2:6">
      <c r="B83"/>
    </row>
    <row r="84" spans="2:6">
      <c r="B84"/>
    </row>
    <row r="85" spans="2:6">
      <c r="B85"/>
    </row>
    <row r="86" spans="2:6">
      <c r="B86"/>
    </row>
    <row r="87" spans="2:6">
      <c r="B87"/>
    </row>
    <row r="88" spans="2:6">
      <c r="B88"/>
    </row>
    <row r="89" spans="2:6">
      <c r="B89"/>
    </row>
    <row r="90" spans="2:6">
      <c r="B90"/>
    </row>
    <row r="91" spans="2:6">
      <c r="B91"/>
    </row>
    <row r="92" spans="2:6">
      <c r="B92"/>
    </row>
    <row r="93" spans="2:6">
      <c r="B93"/>
    </row>
    <row r="94" spans="2:6">
      <c r="B94"/>
    </row>
    <row r="95" spans="2:6">
      <c r="B95"/>
      <c r="E95" s="40" t="s">
        <v>211</v>
      </c>
      <c r="F95" s="4">
        <f>+Base!J29-GETPIVOTDATA("Dotation",$A$3)</f>
        <v>0</v>
      </c>
    </row>
    <row r="96" spans="2:6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  <pageSetUpPr fitToPage="1"/>
  </sheetPr>
  <dimension ref="A1:Y28"/>
  <sheetViews>
    <sheetView tabSelected="1" zoomScaleNormal="100" workbookViewId="0">
      <selection activeCell="V17" sqref="V17"/>
    </sheetView>
  </sheetViews>
  <sheetFormatPr baseColWidth="10" defaultRowHeight="15"/>
  <cols>
    <col min="1" max="1" width="7" bestFit="1" customWidth="1"/>
    <col min="2" max="2" width="1.5703125" bestFit="1" customWidth="1"/>
    <col min="3" max="3" width="5.42578125" bestFit="1" customWidth="1"/>
    <col min="4" max="4" width="1.5703125" bestFit="1" customWidth="1"/>
    <col min="5" max="5" width="2.28515625" customWidth="1"/>
    <col min="6" max="6" width="1.5703125" bestFit="1" customWidth="1"/>
    <col min="7" max="7" width="2.28515625" customWidth="1"/>
    <col min="8" max="8" width="13.5703125" customWidth="1"/>
    <col min="9" max="9" width="2.28515625" customWidth="1"/>
    <col min="10" max="10" width="1.5703125" bestFit="1" customWidth="1"/>
    <col min="11" max="11" width="2.28515625" customWidth="1"/>
    <col min="12" max="12" width="1.5703125" bestFit="1" customWidth="1"/>
    <col min="13" max="13" width="44.7109375" bestFit="1" customWidth="1"/>
    <col min="14" max="14" width="1.5703125" bestFit="1" customWidth="1"/>
    <col min="15" max="15" width="2" bestFit="1" customWidth="1"/>
    <col min="16" max="16" width="1.5703125" bestFit="1" customWidth="1"/>
    <col min="17" max="17" width="11.5703125" style="41" bestFit="1" customWidth="1"/>
    <col min="20" max="20" width="16.140625" bestFit="1" customWidth="1"/>
    <col min="21" max="21" width="14" style="4" customWidth="1"/>
    <col min="22" max="22" width="14" customWidth="1"/>
  </cols>
  <sheetData>
    <row r="1" spans="1:25">
      <c r="A1" t="s">
        <v>1</v>
      </c>
      <c r="B1" t="s">
        <v>174</v>
      </c>
      <c r="C1" t="s">
        <v>179</v>
      </c>
      <c r="D1" t="s">
        <v>174</v>
      </c>
      <c r="E1" t="s">
        <v>174</v>
      </c>
      <c r="F1" t="s">
        <v>174</v>
      </c>
      <c r="G1" t="s">
        <v>174</v>
      </c>
      <c r="H1" t="s">
        <v>174</v>
      </c>
      <c r="I1" t="s">
        <v>174</v>
      </c>
      <c r="J1" t="s">
        <v>174</v>
      </c>
      <c r="K1" t="s">
        <v>174</v>
      </c>
      <c r="L1" t="s">
        <v>174</v>
      </c>
      <c r="M1" t="s">
        <v>6</v>
      </c>
      <c r="N1" t="s">
        <v>174</v>
      </c>
      <c r="O1" t="s">
        <v>212</v>
      </c>
      <c r="P1" t="s">
        <v>174</v>
      </c>
      <c r="Q1" s="41" t="s">
        <v>213</v>
      </c>
    </row>
    <row r="2" spans="1:25">
      <c r="A2">
        <v>280510</v>
      </c>
      <c r="B2" t="s">
        <v>174</v>
      </c>
      <c r="D2" t="s">
        <v>174</v>
      </c>
      <c r="F2" t="s">
        <v>174</v>
      </c>
      <c r="H2" t="s">
        <v>174</v>
      </c>
      <c r="J2" t="s">
        <v>174</v>
      </c>
      <c r="L2" t="s">
        <v>174</v>
      </c>
      <c r="M2" t="str">
        <f>CONCATENATE(Base!G4," ",Base!$J$2)</f>
        <v>Amort. Logiciels au 31/07/2015</v>
      </c>
      <c r="N2" t="s">
        <v>174</v>
      </c>
      <c r="O2">
        <v>2</v>
      </c>
      <c r="P2" t="s">
        <v>174</v>
      </c>
      <c r="Q2" s="42">
        <f>(-1)*(-1)*(-1)*(-1)*(-1)*(-1)*ROUND(VLOOKUP(A2,Base!A4:K13,10,FALSE),2)</f>
        <v>37.090000000000003</v>
      </c>
    </row>
    <row r="3" spans="1:25">
      <c r="A3">
        <v>281200</v>
      </c>
      <c r="B3" t="s">
        <v>174</v>
      </c>
      <c r="C3" t="s">
        <v>25</v>
      </c>
      <c r="D3" t="s">
        <v>174</v>
      </c>
      <c r="E3" t="s">
        <v>25</v>
      </c>
      <c r="F3" t="s">
        <v>174</v>
      </c>
      <c r="G3" t="s">
        <v>25</v>
      </c>
      <c r="H3" t="s">
        <v>174</v>
      </c>
      <c r="I3" t="s">
        <v>25</v>
      </c>
      <c r="J3" t="s">
        <v>174</v>
      </c>
      <c r="K3" t="s">
        <v>25</v>
      </c>
      <c r="L3" t="s">
        <v>174</v>
      </c>
      <c r="M3" t="str">
        <f>CONCATENATE(Base!G5," ",Base!$J$2)</f>
        <v>Amort. agenc. cours et terrain au 31/07/2015</v>
      </c>
      <c r="N3" t="s">
        <v>174</v>
      </c>
      <c r="O3">
        <v>2</v>
      </c>
      <c r="P3" t="s">
        <v>174</v>
      </c>
      <c r="Q3" s="42">
        <f>(-1)*(-1)*(-1)*(-1)*(-1)*(-1)*ROUND(VLOOKUP(A3,Base!A5:K14,10,FALSE),2)</f>
        <v>32.01</v>
      </c>
      <c r="T3" s="49" t="s">
        <v>205</v>
      </c>
      <c r="U3" s="49"/>
    </row>
    <row r="4" spans="1:25">
      <c r="A4">
        <v>283010</v>
      </c>
      <c r="B4" t="s">
        <v>174</v>
      </c>
      <c r="D4" t="s">
        <v>174</v>
      </c>
      <c r="F4" t="s">
        <v>174</v>
      </c>
      <c r="H4" t="s">
        <v>174</v>
      </c>
      <c r="J4" t="s">
        <v>174</v>
      </c>
      <c r="L4" t="s">
        <v>174</v>
      </c>
      <c r="M4" t="str">
        <f>CONCATENATE(Base!G6," ",Base!$J$2)</f>
        <v>Amort. Batiment administratif au 31/07/2015</v>
      </c>
      <c r="N4" t="s">
        <v>174</v>
      </c>
      <c r="O4">
        <v>2</v>
      </c>
      <c r="P4" t="s">
        <v>174</v>
      </c>
      <c r="Q4" s="42">
        <f>(-1)*(-1)*(-1)*(-1)*(-1)*(-1)*ROUND(VLOOKUP(A4,Base!A6:K15,10,FALSE),2)</f>
        <v>108.49</v>
      </c>
    </row>
    <row r="5" spans="1:25">
      <c r="A5">
        <v>285900</v>
      </c>
      <c r="B5" t="s">
        <v>174</v>
      </c>
      <c r="D5" t="s">
        <v>174</v>
      </c>
      <c r="F5" t="s">
        <v>174</v>
      </c>
      <c r="H5" t="s">
        <v>174</v>
      </c>
      <c r="J5" t="s">
        <v>174</v>
      </c>
      <c r="L5" t="s">
        <v>174</v>
      </c>
      <c r="M5" t="str">
        <f>CONCATENATE(Base!G7," ",Base!$J$2)</f>
        <v>Amort. Prototypes au 31/07/2015</v>
      </c>
      <c r="N5" t="s">
        <v>174</v>
      </c>
      <c r="O5">
        <v>2</v>
      </c>
      <c r="P5" t="s">
        <v>174</v>
      </c>
      <c r="Q5" s="42">
        <f>(-1)*(-1)*(-1)*(-1)*(-1)*(-1)*ROUND(VLOOKUP(A5,Base!A7:K16,10,FALSE),2)</f>
        <v>0</v>
      </c>
    </row>
    <row r="6" spans="1:25">
      <c r="A6">
        <v>288100</v>
      </c>
      <c r="B6" t="s">
        <v>174</v>
      </c>
      <c r="D6" t="s">
        <v>174</v>
      </c>
      <c r="F6" t="s">
        <v>174</v>
      </c>
      <c r="H6" t="s">
        <v>174</v>
      </c>
      <c r="J6" t="s">
        <v>174</v>
      </c>
      <c r="L6" t="s">
        <v>174</v>
      </c>
      <c r="M6" t="str">
        <f>CONCATENATE(Base!G8," ",Base!$J$2)</f>
        <v>Amort. Véh. De tourisme au  31/07/2015</v>
      </c>
      <c r="N6" t="s">
        <v>174</v>
      </c>
      <c r="O6">
        <v>2</v>
      </c>
      <c r="P6" t="s">
        <v>174</v>
      </c>
      <c r="Q6" s="42">
        <f>(-1)*(-1)*(-1)*(-1)*(-1)*(-1)*ROUND(VLOOKUP(A6,Base!A8:K17,10,FALSE),2)</f>
        <v>235.33</v>
      </c>
      <c r="T6" t="s">
        <v>175</v>
      </c>
      <c r="U6" s="5">
        <f>(-1)*SUM(Q2:Q11)-Base!J27</f>
        <v>-8211.119999999999</v>
      </c>
      <c r="V6" s="35" t="str">
        <f>IF(U6=0,"OK","FAUX")</f>
        <v>FAUX</v>
      </c>
    </row>
    <row r="7" spans="1:25">
      <c r="A7">
        <v>288200</v>
      </c>
      <c r="B7" t="s">
        <v>174</v>
      </c>
      <c r="C7" t="s">
        <v>25</v>
      </c>
      <c r="D7" t="s">
        <v>174</v>
      </c>
      <c r="E7" t="s">
        <v>25</v>
      </c>
      <c r="F7" t="s">
        <v>174</v>
      </c>
      <c r="G7" t="s">
        <v>25</v>
      </c>
      <c r="H7" t="s">
        <v>174</v>
      </c>
      <c r="I7" t="s">
        <v>25</v>
      </c>
      <c r="J7" t="s">
        <v>174</v>
      </c>
      <c r="K7" t="s">
        <v>25</v>
      </c>
      <c r="L7" t="s">
        <v>174</v>
      </c>
      <c r="M7" t="str">
        <f>CONCATENATE(Base!G9," ",Base!$J$2)</f>
        <v>Amort. parc voitures  au  31/07/2015</v>
      </c>
      <c r="N7" t="s">
        <v>174</v>
      </c>
      <c r="O7">
        <v>2</v>
      </c>
      <c r="P7" t="s">
        <v>174</v>
      </c>
      <c r="Q7" s="42">
        <f>(-1)*(-1)*(-1)*(-1)*(-1)*(-1)*ROUND(VLOOKUP(A7,Base!A9:K18,10,FALSE),2)</f>
        <v>507.27</v>
      </c>
      <c r="T7" t="s">
        <v>176</v>
      </c>
      <c r="U7" s="5">
        <f>(-1)*SUM(Q2:Q11)+Q28-Base!K27</f>
        <v>-8211.119999999999</v>
      </c>
      <c r="V7" s="35" t="str">
        <f>IF(U7=0,"OK","FAUX")</f>
        <v>FAUX</v>
      </c>
      <c r="W7" s="36" t="s">
        <v>207</v>
      </c>
      <c r="X7" s="37"/>
      <c r="Y7" s="37"/>
    </row>
    <row r="8" spans="1:25">
      <c r="A8">
        <v>288250</v>
      </c>
      <c r="B8" t="s">
        <v>174</v>
      </c>
      <c r="D8" t="s">
        <v>174</v>
      </c>
      <c r="F8" t="s">
        <v>174</v>
      </c>
      <c r="H8" t="s">
        <v>174</v>
      </c>
      <c r="J8" t="s">
        <v>174</v>
      </c>
      <c r="L8" t="s">
        <v>174</v>
      </c>
      <c r="M8" t="str">
        <f>CONCATENATE(Base!G10," ",Base!$J$2)</f>
        <v>Amort Camions au  31/07/2015</v>
      </c>
      <c r="N8" t="s">
        <v>174</v>
      </c>
      <c r="O8">
        <v>2</v>
      </c>
      <c r="P8" t="s">
        <v>174</v>
      </c>
      <c r="Q8" s="42">
        <f>(-1)*(-1)*(-1)*(-1)*(-1)*(-1)*ROUND(VLOOKUP(A8,Base!A10:K19,10,FALSE),2)</f>
        <v>1923.95</v>
      </c>
      <c r="W8" s="4"/>
      <c r="X8" s="4"/>
      <c r="Y8" s="4"/>
    </row>
    <row r="9" spans="1:25">
      <c r="A9">
        <v>288300</v>
      </c>
      <c r="B9" t="s">
        <v>174</v>
      </c>
      <c r="C9" t="s">
        <v>25</v>
      </c>
      <c r="D9" t="s">
        <v>174</v>
      </c>
      <c r="E9" t="s">
        <v>25</v>
      </c>
      <c r="F9" t="s">
        <v>174</v>
      </c>
      <c r="G9" t="s">
        <v>25</v>
      </c>
      <c r="H9" t="s">
        <v>174</v>
      </c>
      <c r="I9" t="s">
        <v>25</v>
      </c>
      <c r="J9" t="s">
        <v>174</v>
      </c>
      <c r="K9" t="s">
        <v>25</v>
      </c>
      <c r="L9" t="s">
        <v>174</v>
      </c>
      <c r="M9" t="str">
        <f>CONCATENATE(Base!G11," ",Base!$J$2)</f>
        <v>Amort. Mat info au  31/07/2015</v>
      </c>
      <c r="N9" t="s">
        <v>174</v>
      </c>
      <c r="O9">
        <v>2</v>
      </c>
      <c r="P9" t="s">
        <v>174</v>
      </c>
      <c r="Q9" s="42">
        <f>(-1)*(-1)*(-1)*(-1)*(-1)*(-1)*ROUND(VLOOKUP(A9,Base!A11:K20,10,FALSE),2)</f>
        <v>231.56</v>
      </c>
      <c r="T9" t="s">
        <v>206</v>
      </c>
      <c r="U9" s="5">
        <f>ROUND(SUM(Q2:Q11)-SUM(Q12:Q26),2)</f>
        <v>0</v>
      </c>
      <c r="V9" s="35" t="str">
        <f>IF(U9=0,"OK","FAUX")</f>
        <v>OK</v>
      </c>
    </row>
    <row r="10" spans="1:25">
      <c r="A10">
        <v>288350</v>
      </c>
      <c r="B10" t="s">
        <v>174</v>
      </c>
      <c r="D10" t="s">
        <v>174</v>
      </c>
      <c r="F10" t="s">
        <v>174</v>
      </c>
      <c r="H10" t="s">
        <v>174</v>
      </c>
      <c r="J10" t="s">
        <v>174</v>
      </c>
      <c r="L10" t="s">
        <v>174</v>
      </c>
      <c r="M10" t="str">
        <f>CONCATENATE(Base!G12," ",Base!$J$2)</f>
        <v>Amort PC au  31/07/2015</v>
      </c>
      <c r="N10" t="s">
        <v>174</v>
      </c>
      <c r="O10">
        <v>2</v>
      </c>
      <c r="P10" t="s">
        <v>174</v>
      </c>
      <c r="Q10" s="42">
        <f>(-1)*(-1)*(-1)*(-1)*(-1)*(-1)*ROUND(VLOOKUP(A10,Base!A12:K21,10,FALSE),2)</f>
        <v>941.15</v>
      </c>
    </row>
    <row r="11" spans="1:25">
      <c r="A11">
        <v>288400</v>
      </c>
      <c r="B11" t="s">
        <v>174</v>
      </c>
      <c r="C11" t="s">
        <v>25</v>
      </c>
      <c r="D11" t="s">
        <v>174</v>
      </c>
      <c r="E11" t="s">
        <v>25</v>
      </c>
      <c r="F11" t="s">
        <v>174</v>
      </c>
      <c r="G11" t="s">
        <v>25</v>
      </c>
      <c r="H11" t="s">
        <v>174</v>
      </c>
      <c r="I11" t="s">
        <v>25</v>
      </c>
      <c r="J11" t="s">
        <v>174</v>
      </c>
      <c r="K11" t="s">
        <v>25</v>
      </c>
      <c r="L11" t="s">
        <v>174</v>
      </c>
      <c r="M11" t="str">
        <f>CONCATENATE(Base!G13," ",Base!$J$2)</f>
        <v>Amort. mobilier  au  31/07/2015</v>
      </c>
      <c r="N11" t="s">
        <v>174</v>
      </c>
      <c r="O11">
        <v>2</v>
      </c>
      <c r="P11" t="s">
        <v>174</v>
      </c>
      <c r="Q11" s="42">
        <f>(-1)*(-1)*(-1)*(-1)*(-1)*(-1)*ROUND(VLOOKUP(A11,Base!A13:K22,10,FALSE),2)</f>
        <v>88.71</v>
      </c>
      <c r="V11" s="35"/>
    </row>
    <row r="12" spans="1:25">
      <c r="A12">
        <v>681100</v>
      </c>
      <c r="B12" t="s">
        <v>174</v>
      </c>
      <c r="C12" t="str">
        <f>TCD!A4</f>
        <v>1CE</v>
      </c>
      <c r="D12" t="s">
        <v>174</v>
      </c>
      <c r="F12" t="s">
        <v>174</v>
      </c>
      <c r="H12" t="s">
        <v>174</v>
      </c>
      <c r="J12" t="s">
        <v>174</v>
      </c>
      <c r="L12" t="s">
        <v>174</v>
      </c>
      <c r="M12" t="str">
        <f>CONCATENATE("Ext Amort. Au ",Base!$J$2)</f>
        <v>Ext Amort. Au 31/07/2015</v>
      </c>
      <c r="N12" t="s">
        <v>174</v>
      </c>
      <c r="O12">
        <v>1</v>
      </c>
      <c r="P12" t="s">
        <v>174</v>
      </c>
      <c r="Q12" s="42">
        <f>(-1)*(-1)*(-1)*(-1)*(-1)*(-1)*ROUND(VLOOKUP(C12,TCD!A:B,2,FALSE),2)</f>
        <v>108.49</v>
      </c>
      <c r="T12" s="39"/>
    </row>
    <row r="13" spans="1:25">
      <c r="A13">
        <v>681100</v>
      </c>
      <c r="B13" t="s">
        <v>174</v>
      </c>
      <c r="C13" t="str">
        <f>TCD!A5</f>
        <v>1CN</v>
      </c>
      <c r="D13" t="s">
        <v>174</v>
      </c>
      <c r="F13" t="s">
        <v>174</v>
      </c>
      <c r="H13" t="s">
        <v>174</v>
      </c>
      <c r="J13" t="s">
        <v>174</v>
      </c>
      <c r="L13" t="s">
        <v>174</v>
      </c>
      <c r="M13" t="str">
        <f>CONCATENATE("Ext Amort. Au ",Base!$J$2)</f>
        <v>Ext Amort. Au 31/07/2015</v>
      </c>
      <c r="N13" t="s">
        <v>174</v>
      </c>
      <c r="O13">
        <v>1</v>
      </c>
      <c r="P13" t="s">
        <v>174</v>
      </c>
      <c r="Q13" s="42">
        <f>(-1)*(-1)*(-1)*(-1)*(-1)*(-1)*ROUND(VLOOKUP(C13,TCD!A:B,2,FALSE),2)</f>
        <v>235.33</v>
      </c>
    </row>
    <row r="14" spans="1:25">
      <c r="A14">
        <v>681100</v>
      </c>
      <c r="B14" t="s">
        <v>174</v>
      </c>
      <c r="C14" t="str">
        <f>TCD!A6</f>
        <v>1KF</v>
      </c>
      <c r="D14" t="s">
        <v>174</v>
      </c>
      <c r="F14" t="s">
        <v>174</v>
      </c>
      <c r="H14" t="s">
        <v>174</v>
      </c>
      <c r="J14" t="s">
        <v>174</v>
      </c>
      <c r="L14" t="s">
        <v>174</v>
      </c>
      <c r="M14" t="str">
        <f>CONCATENATE("Ext Amort. Au ",Base!$J$2)</f>
        <v>Ext Amort. Au 31/07/2015</v>
      </c>
      <c r="N14" t="s">
        <v>174</v>
      </c>
      <c r="O14">
        <v>1</v>
      </c>
      <c r="P14" t="s">
        <v>174</v>
      </c>
      <c r="Q14" s="42">
        <f>(-1)*(-1)*(-1)*(-1)*(-1)*(-1)*ROUND(VLOOKUP(C14,TCD!A:B,2,FALSE),2)</f>
        <v>30.38</v>
      </c>
    </row>
    <row r="15" spans="1:25">
      <c r="A15">
        <v>681100</v>
      </c>
      <c r="B15" t="s">
        <v>174</v>
      </c>
      <c r="C15" t="str">
        <f>TCD!A7</f>
        <v>2AR</v>
      </c>
      <c r="D15" t="s">
        <v>174</v>
      </c>
      <c r="F15" t="s">
        <v>174</v>
      </c>
      <c r="H15" t="s">
        <v>174</v>
      </c>
      <c r="J15" t="s">
        <v>174</v>
      </c>
      <c r="L15" t="s">
        <v>174</v>
      </c>
      <c r="M15" t="str">
        <f>CONCATENATE("Ext Amort. Au ",Base!$J$2)</f>
        <v>Ext Amort. Au 31/07/2015</v>
      </c>
      <c r="N15" t="s">
        <v>174</v>
      </c>
      <c r="O15">
        <v>1</v>
      </c>
      <c r="P15" t="s">
        <v>174</v>
      </c>
      <c r="Q15" s="42">
        <f>(-1)*(-1)*(-1)*(-1)*(-1)*(-1)*ROUND(VLOOKUP(C15,TCD!A:B,2,FALSE),2)</f>
        <v>88.76</v>
      </c>
    </row>
    <row r="16" spans="1:25">
      <c r="A16">
        <v>681100</v>
      </c>
      <c r="B16" t="s">
        <v>174</v>
      </c>
      <c r="C16" t="str">
        <f>TCD!A8</f>
        <v>2BK</v>
      </c>
      <c r="D16" t="s">
        <v>174</v>
      </c>
      <c r="F16" t="s">
        <v>174</v>
      </c>
      <c r="H16" t="s">
        <v>174</v>
      </c>
      <c r="J16" t="s">
        <v>174</v>
      </c>
      <c r="L16" t="s">
        <v>174</v>
      </c>
      <c r="M16" t="str">
        <f>CONCATENATE("Ext Amort. Au ",Base!$J$2)</f>
        <v>Ext Amort. Au 31/07/2015</v>
      </c>
      <c r="N16" t="s">
        <v>174</v>
      </c>
      <c r="O16">
        <v>1</v>
      </c>
      <c r="P16" t="s">
        <v>174</v>
      </c>
      <c r="Q16" s="42">
        <f>(-1)*(-1)*(-1)*(-1)*(-1)*(-1)*ROUND(VLOOKUP(C16,TCD!A:B,2,FALSE),2)</f>
        <v>32.01</v>
      </c>
      <c r="T16" s="7"/>
      <c r="U16"/>
    </row>
    <row r="17" spans="1:21">
      <c r="A17">
        <v>681100</v>
      </c>
      <c r="B17" t="s">
        <v>174</v>
      </c>
      <c r="C17" t="str">
        <f>TCD!A9</f>
        <v>2KM</v>
      </c>
      <c r="D17" t="s">
        <v>174</v>
      </c>
      <c r="F17" t="s">
        <v>174</v>
      </c>
      <c r="H17" t="s">
        <v>174</v>
      </c>
      <c r="J17" t="s">
        <v>174</v>
      </c>
      <c r="L17" t="s">
        <v>174</v>
      </c>
      <c r="M17" t="str">
        <f>CONCATENATE("Ext Amort. Au ",Base!$J$2)</f>
        <v>Ext Amort. Au 31/07/2015</v>
      </c>
      <c r="N17" t="s">
        <v>174</v>
      </c>
      <c r="O17">
        <v>1</v>
      </c>
      <c r="P17" t="s">
        <v>174</v>
      </c>
      <c r="Q17" s="42">
        <f>(-1)*(-1)*(-1)*(-1)*(-1)*(-1)*ROUND(VLOOKUP(C17,TCD!A:B,2,FALSE),2)</f>
        <v>390.11</v>
      </c>
      <c r="U17"/>
    </row>
    <row r="18" spans="1:21">
      <c r="A18">
        <v>681100</v>
      </c>
      <c r="B18" t="s">
        <v>174</v>
      </c>
      <c r="C18" t="str">
        <f>TCD!A10</f>
        <v>2NR</v>
      </c>
      <c r="D18" t="s">
        <v>174</v>
      </c>
      <c r="F18" t="s">
        <v>174</v>
      </c>
      <c r="H18" t="s">
        <v>174</v>
      </c>
      <c r="J18" t="s">
        <v>174</v>
      </c>
      <c r="L18" t="s">
        <v>174</v>
      </c>
      <c r="M18" t="str">
        <f>CONCATENATE("Ext Amort. Au ",Base!$J$2)</f>
        <v>Ext Amort. Au 31/07/2015</v>
      </c>
      <c r="N18" t="s">
        <v>174</v>
      </c>
      <c r="O18">
        <v>1</v>
      </c>
      <c r="P18" t="s">
        <v>174</v>
      </c>
      <c r="Q18" s="42">
        <f>(-1)*(-1)*(-1)*(-1)*(-1)*(-1)*ROUND(VLOOKUP(C18,TCD!A:B,2,FALSE),2)</f>
        <v>344.17</v>
      </c>
      <c r="U18"/>
    </row>
    <row r="19" spans="1:21">
      <c r="A19">
        <v>681100</v>
      </c>
      <c r="B19" t="s">
        <v>174</v>
      </c>
      <c r="C19" t="str">
        <f>TCD!A11</f>
        <v>3LK</v>
      </c>
      <c r="D19" t="s">
        <v>174</v>
      </c>
      <c r="F19" t="s">
        <v>174</v>
      </c>
      <c r="H19" t="s">
        <v>174</v>
      </c>
      <c r="J19" t="s">
        <v>174</v>
      </c>
      <c r="L19" t="s">
        <v>174</v>
      </c>
      <c r="M19" t="str">
        <f>CONCATENATE("Ext Amort. Au ",Base!$J$2)</f>
        <v>Ext Amort. Au 31/07/2015</v>
      </c>
      <c r="N19" t="s">
        <v>174</v>
      </c>
      <c r="O19">
        <v>1</v>
      </c>
      <c r="P19" t="s">
        <v>174</v>
      </c>
      <c r="Q19" s="42">
        <f>(-1)*(-1)*(-1)*(-1)*(-1)*(-1)*ROUND(VLOOKUP(C19,TCD!A:B,2,FALSE),2)</f>
        <v>58.33</v>
      </c>
    </row>
    <row r="20" spans="1:21">
      <c r="A20">
        <v>681100</v>
      </c>
      <c r="B20" t="s">
        <v>174</v>
      </c>
      <c r="C20" t="str">
        <f>TCD!A12</f>
        <v>4KI</v>
      </c>
      <c r="D20" t="s">
        <v>174</v>
      </c>
      <c r="F20" t="s">
        <v>174</v>
      </c>
      <c r="H20" t="s">
        <v>174</v>
      </c>
      <c r="J20" t="s">
        <v>174</v>
      </c>
      <c r="L20" t="s">
        <v>174</v>
      </c>
      <c r="M20" t="str">
        <f>CONCATENATE("Ext Amort. Au ",Base!$J$2)</f>
        <v>Ext Amort. Au 31/07/2015</v>
      </c>
      <c r="N20" t="s">
        <v>174</v>
      </c>
      <c r="O20">
        <v>1</v>
      </c>
      <c r="P20" t="s">
        <v>174</v>
      </c>
      <c r="Q20" s="42">
        <f>(-1)*(-1)*(-1)*(-1)*(-1)*(-1)*ROUND(VLOOKUP(C20,TCD!A:B,2,FALSE),2)</f>
        <v>629.79999999999995</v>
      </c>
    </row>
    <row r="21" spans="1:21">
      <c r="A21">
        <v>681100</v>
      </c>
      <c r="B21" t="s">
        <v>174</v>
      </c>
      <c r="C21" t="str">
        <f>TCD!A13</f>
        <v>4MM</v>
      </c>
      <c r="D21" t="s">
        <v>174</v>
      </c>
      <c r="F21" t="s">
        <v>174</v>
      </c>
      <c r="H21" t="s">
        <v>174</v>
      </c>
      <c r="J21" t="s">
        <v>174</v>
      </c>
      <c r="L21" t="s">
        <v>174</v>
      </c>
      <c r="M21" t="str">
        <f>CONCATENATE("Ext Amort. Au ",Base!$J$2)</f>
        <v>Ext Amort. Au 31/07/2015</v>
      </c>
      <c r="N21" t="s">
        <v>174</v>
      </c>
      <c r="O21">
        <v>1</v>
      </c>
      <c r="P21" t="s">
        <v>174</v>
      </c>
      <c r="Q21" s="42">
        <f>(-1)*(-1)*(-1)*(-1)*(-1)*(-1)*ROUND(VLOOKUP(C21,TCD!A:B,2,FALSE),2)</f>
        <v>37.090000000000003</v>
      </c>
    </row>
    <row r="22" spans="1:21">
      <c r="A22">
        <v>681100</v>
      </c>
      <c r="B22" t="s">
        <v>174</v>
      </c>
      <c r="C22" t="str">
        <f>TCD!A14</f>
        <v>4UM</v>
      </c>
      <c r="D22" t="s">
        <v>174</v>
      </c>
      <c r="F22" t="s">
        <v>174</v>
      </c>
      <c r="H22" t="s">
        <v>174</v>
      </c>
      <c r="J22" t="s">
        <v>174</v>
      </c>
      <c r="L22" t="s">
        <v>174</v>
      </c>
      <c r="M22" t="str">
        <f>CONCATENATE("Ext Amort. Au ",Base!$J$2)</f>
        <v>Ext Amort. Au 31/07/2015</v>
      </c>
      <c r="N22" t="s">
        <v>174</v>
      </c>
      <c r="O22">
        <v>1</v>
      </c>
      <c r="P22" t="s">
        <v>174</v>
      </c>
      <c r="Q22" s="42">
        <f>(-1)*(-1)*(-1)*(-1)*(-1)*(-1)*ROUND(VLOOKUP(C22,TCD!A:B,2,FALSE),2)</f>
        <v>563.54</v>
      </c>
    </row>
    <row r="23" spans="1:21">
      <c r="A23">
        <v>681100</v>
      </c>
      <c r="B23" t="s">
        <v>174</v>
      </c>
      <c r="C23" t="str">
        <f>TCD!A15</f>
        <v>ZAM</v>
      </c>
      <c r="D23" t="s">
        <v>174</v>
      </c>
      <c r="F23" t="s">
        <v>174</v>
      </c>
      <c r="H23" t="s">
        <v>174</v>
      </c>
      <c r="J23" t="s">
        <v>174</v>
      </c>
      <c r="L23" t="s">
        <v>174</v>
      </c>
      <c r="M23" t="str">
        <f>CONCATENATE("Ext Amort. Au ",Base!$J$2)</f>
        <v>Ext Amort. Au 31/07/2015</v>
      </c>
      <c r="N23" t="s">
        <v>174</v>
      </c>
      <c r="O23">
        <v>1</v>
      </c>
      <c r="P23" t="s">
        <v>174</v>
      </c>
      <c r="Q23" s="42">
        <f>(-1)*(-1)*(-1)*(-1)*(-1)*(-1)*ROUND(VLOOKUP(C23,TCD!A:B,2,FALSE),2)</f>
        <v>127.67</v>
      </c>
    </row>
    <row r="24" spans="1:21">
      <c r="A24">
        <v>681100</v>
      </c>
      <c r="B24" t="s">
        <v>174</v>
      </c>
      <c r="C24" t="str">
        <f>TCD!A16</f>
        <v>ZAU</v>
      </c>
      <c r="D24" t="s">
        <v>174</v>
      </c>
      <c r="F24" t="s">
        <v>174</v>
      </c>
      <c r="H24" t="s">
        <v>174</v>
      </c>
      <c r="J24" t="s">
        <v>174</v>
      </c>
      <c r="L24" t="s">
        <v>174</v>
      </c>
      <c r="M24" t="str">
        <f>CONCATENATE("Ext Amort. Au ",Base!$J$2)</f>
        <v>Ext Amort. Au 31/07/2015</v>
      </c>
      <c r="N24" t="s">
        <v>174</v>
      </c>
      <c r="O24">
        <v>1</v>
      </c>
      <c r="P24" t="s">
        <v>174</v>
      </c>
      <c r="Q24" s="42">
        <f>(-1)*(-1)*(-1)*(-1)*(-1)*(-1)*ROUND(VLOOKUP(C24,TCD!A:B,2,FALSE),2)</f>
        <v>133.41</v>
      </c>
    </row>
    <row r="25" spans="1:21">
      <c r="A25">
        <v>681100</v>
      </c>
      <c r="B25" t="s">
        <v>174</v>
      </c>
      <c r="C25" t="str">
        <f>TCD!A17</f>
        <v>ZBI</v>
      </c>
      <c r="D25" t="s">
        <v>174</v>
      </c>
      <c r="F25" t="s">
        <v>174</v>
      </c>
      <c r="H25" t="s">
        <v>174</v>
      </c>
      <c r="J25" t="s">
        <v>174</v>
      </c>
      <c r="L25" t="s">
        <v>174</v>
      </c>
      <c r="M25" t="str">
        <f>CONCATENATE("Ext Amort. Au ",Base!$J$2)</f>
        <v>Ext Amort. Au 31/07/2015</v>
      </c>
      <c r="N25" t="s">
        <v>174</v>
      </c>
      <c r="O25">
        <v>1</v>
      </c>
      <c r="P25" t="s">
        <v>174</v>
      </c>
      <c r="Q25" s="42">
        <f>(-1)*(-1)*(-1)*(-1)*(-1)*(-1)*ROUND(VLOOKUP(C25,TCD!A:B,2,FALSE),2)</f>
        <v>929.58</v>
      </c>
    </row>
    <row r="26" spans="1:21">
      <c r="A26">
        <v>681100</v>
      </c>
      <c r="B26" t="s">
        <v>174</v>
      </c>
      <c r="C26" t="str">
        <f>TCD!A18</f>
        <v>ZPM</v>
      </c>
      <c r="D26" t="s">
        <v>174</v>
      </c>
      <c r="F26" t="s">
        <v>174</v>
      </c>
      <c r="H26" t="s">
        <v>174</v>
      </c>
      <c r="J26" t="s">
        <v>174</v>
      </c>
      <c r="L26" t="s">
        <v>174</v>
      </c>
      <c r="M26" t="str">
        <f>CONCATENATE("Ext Amort. Au ",Base!$J$2)</f>
        <v>Ext Amort. Au 31/07/2015</v>
      </c>
      <c r="N26" t="s">
        <v>174</v>
      </c>
      <c r="O26">
        <v>1</v>
      </c>
      <c r="P26" t="s">
        <v>174</v>
      </c>
      <c r="Q26" s="42">
        <f>(-1)*(-1)*(-1)*(-1)*(-1)*(-1)*ROUND(VLOOKUP(C26,TCD!A:B,2,FALSE),2)</f>
        <v>396.89</v>
      </c>
    </row>
    <row r="27" spans="1:21">
      <c r="A27">
        <v>687251</v>
      </c>
      <c r="B27" t="s">
        <v>174</v>
      </c>
      <c r="D27" t="s">
        <v>174</v>
      </c>
      <c r="F27" t="s">
        <v>174</v>
      </c>
      <c r="H27" t="s">
        <v>174</v>
      </c>
      <c r="J27" t="s">
        <v>174</v>
      </c>
      <c r="L27" t="s">
        <v>174</v>
      </c>
      <c r="M27" t="str">
        <f>CONCATENATE(Base!G24," ",Base!H24)</f>
        <v>Amort.dérogatoire au 31/07/2015</v>
      </c>
      <c r="N27" t="s">
        <v>174</v>
      </c>
      <c r="O27">
        <v>1</v>
      </c>
      <c r="P27" t="s">
        <v>174</v>
      </c>
      <c r="Q27" s="42">
        <f>(-1)*(-1)*(-1)*(-1)*(-1)*(-1)*ROUND(Base!J24,2)</f>
        <v>-90.56</v>
      </c>
    </row>
    <row r="28" spans="1:21">
      <c r="A28">
        <v>145100</v>
      </c>
      <c r="B28" t="s">
        <v>174</v>
      </c>
      <c r="D28" t="s">
        <v>174</v>
      </c>
      <c r="F28" t="s">
        <v>174</v>
      </c>
      <c r="H28" t="s">
        <v>174</v>
      </c>
      <c r="J28" t="s">
        <v>174</v>
      </c>
      <c r="L28" t="s">
        <v>174</v>
      </c>
      <c r="M28" t="str">
        <f>CONCATENATE(Base!G25," ",Base!H25)</f>
        <v>Amort.dérogatoire au 31/07/2015</v>
      </c>
      <c r="N28" t="s">
        <v>174</v>
      </c>
      <c r="O28">
        <v>2</v>
      </c>
      <c r="P28" t="s">
        <v>174</v>
      </c>
      <c r="Q28" s="42">
        <f>(-1)*(-1)*(-1)*(-1)*(-1)*(-1)*ROUND(Q27,2)</f>
        <v>-90.56</v>
      </c>
    </row>
  </sheetData>
  <autoFilter ref="A1:Q28"/>
  <mergeCells count="1">
    <mergeCell ref="T3:U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90" fitToHeight="2" orientation="portrait" r:id="rId1"/>
  <headerFooter>
    <oddHeader>&amp;C&amp;A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Y28"/>
  <sheetViews>
    <sheetView zoomScaleNormal="100" workbookViewId="0">
      <selection activeCell="A2" sqref="A2:Q28"/>
    </sheetView>
  </sheetViews>
  <sheetFormatPr baseColWidth="10" defaultRowHeight="15"/>
  <cols>
    <col min="1" max="1" width="7" bestFit="1" customWidth="1"/>
    <col min="2" max="2" width="1.5703125" bestFit="1" customWidth="1"/>
    <col min="3" max="3" width="5.42578125" bestFit="1" customWidth="1"/>
    <col min="4" max="4" width="1.5703125" bestFit="1" customWidth="1"/>
    <col min="5" max="5" width="2.28515625" customWidth="1"/>
    <col min="6" max="6" width="1.5703125" bestFit="1" customWidth="1"/>
    <col min="7" max="7" width="2.28515625" customWidth="1"/>
    <col min="8" max="8" width="13.5703125" customWidth="1"/>
    <col min="9" max="9" width="2.28515625" customWidth="1"/>
    <col min="10" max="10" width="1.5703125" bestFit="1" customWidth="1"/>
    <col min="11" max="11" width="2.28515625" customWidth="1"/>
    <col min="12" max="12" width="1.5703125" bestFit="1" customWidth="1"/>
    <col min="13" max="13" width="44.7109375" bestFit="1" customWidth="1"/>
    <col min="14" max="14" width="1.5703125" bestFit="1" customWidth="1"/>
    <col min="15" max="15" width="2" bestFit="1" customWidth="1"/>
    <col min="16" max="16" width="1.5703125" bestFit="1" customWidth="1"/>
    <col min="17" max="17" width="11.5703125" style="41" bestFit="1" customWidth="1"/>
    <col min="20" max="20" width="16.140625" bestFit="1" customWidth="1"/>
    <col min="21" max="21" width="14" style="4" customWidth="1"/>
    <col min="22" max="22" width="14" customWidth="1"/>
  </cols>
  <sheetData>
    <row r="1" spans="1:25">
      <c r="A1" t="s">
        <v>1</v>
      </c>
      <c r="B1" t="s">
        <v>174</v>
      </c>
      <c r="C1" t="s">
        <v>179</v>
      </c>
      <c r="D1" t="s">
        <v>174</v>
      </c>
      <c r="E1" t="s">
        <v>174</v>
      </c>
      <c r="F1" t="s">
        <v>174</v>
      </c>
      <c r="G1" t="s">
        <v>174</v>
      </c>
      <c r="H1" t="s">
        <v>174</v>
      </c>
      <c r="I1" t="s">
        <v>174</v>
      </c>
      <c r="J1" t="s">
        <v>174</v>
      </c>
      <c r="K1" t="s">
        <v>174</v>
      </c>
      <c r="L1" t="s">
        <v>174</v>
      </c>
      <c r="M1" t="s">
        <v>6</v>
      </c>
      <c r="N1" t="s">
        <v>174</v>
      </c>
      <c r="O1" t="s">
        <v>212</v>
      </c>
      <c r="P1" t="s">
        <v>174</v>
      </c>
      <c r="Q1" s="41" t="s">
        <v>213</v>
      </c>
    </row>
    <row r="2" spans="1:25">
      <c r="A2">
        <v>280510</v>
      </c>
      <c r="B2" t="s">
        <v>174</v>
      </c>
      <c r="D2" t="s">
        <v>174</v>
      </c>
      <c r="F2" t="s">
        <v>174</v>
      </c>
      <c r="H2" t="s">
        <v>174</v>
      </c>
      <c r="J2" t="s">
        <v>174</v>
      </c>
      <c r="L2" t="s">
        <v>174</v>
      </c>
      <c r="M2" t="str">
        <f>CONCATENATE(Base!G4," ",Base!$J$2)</f>
        <v>Amort. Logiciels au 31/07/2015</v>
      </c>
      <c r="N2" t="s">
        <v>174</v>
      </c>
      <c r="O2">
        <v>2</v>
      </c>
      <c r="P2" t="s">
        <v>174</v>
      </c>
      <c r="Q2" s="42">
        <f>(-1)*ROUND(VLOOKUP(A2,Base!A4:K13,10,FALSE),2)</f>
        <v>-37.090000000000003</v>
      </c>
    </row>
    <row r="3" spans="1:25">
      <c r="A3">
        <v>281200</v>
      </c>
      <c r="B3" t="s">
        <v>174</v>
      </c>
      <c r="C3" t="s">
        <v>25</v>
      </c>
      <c r="D3" t="s">
        <v>174</v>
      </c>
      <c r="E3" t="s">
        <v>25</v>
      </c>
      <c r="F3" t="s">
        <v>174</v>
      </c>
      <c r="G3" t="s">
        <v>25</v>
      </c>
      <c r="H3" t="s">
        <v>174</v>
      </c>
      <c r="I3" t="s">
        <v>25</v>
      </c>
      <c r="J3" t="s">
        <v>174</v>
      </c>
      <c r="K3" t="s">
        <v>25</v>
      </c>
      <c r="L3" t="s">
        <v>174</v>
      </c>
      <c r="M3" t="str">
        <f>CONCATENATE(Base!G5," ",Base!$J$2)</f>
        <v>Amort. agenc. cours et terrain au 31/07/2015</v>
      </c>
      <c r="N3" t="s">
        <v>174</v>
      </c>
      <c r="O3">
        <v>2</v>
      </c>
      <c r="P3" t="s">
        <v>174</v>
      </c>
      <c r="Q3" s="42">
        <f>(-1)*ROUND(VLOOKUP(A3,Base!A5:K14,10,FALSE),2)</f>
        <v>-32.01</v>
      </c>
      <c r="T3" s="49" t="s">
        <v>205</v>
      </c>
      <c r="U3" s="49"/>
    </row>
    <row r="4" spans="1:25">
      <c r="A4">
        <v>283010</v>
      </c>
      <c r="B4" t="s">
        <v>174</v>
      </c>
      <c r="D4" t="s">
        <v>174</v>
      </c>
      <c r="F4" t="s">
        <v>174</v>
      </c>
      <c r="H4" t="s">
        <v>174</v>
      </c>
      <c r="J4" t="s">
        <v>174</v>
      </c>
      <c r="L4" t="s">
        <v>174</v>
      </c>
      <c r="M4" t="str">
        <f>CONCATENATE(Base!G6," ",Base!$J$2)</f>
        <v>Amort. Batiment administratif au 31/07/2015</v>
      </c>
      <c r="N4" t="s">
        <v>174</v>
      </c>
      <c r="O4">
        <v>2</v>
      </c>
      <c r="P4" t="s">
        <v>174</v>
      </c>
      <c r="Q4" s="42">
        <f>(-1)*ROUND(VLOOKUP(A4,Base!A6:K15,10,FALSE),2)</f>
        <v>-108.49</v>
      </c>
    </row>
    <row r="5" spans="1:25">
      <c r="A5">
        <v>285900</v>
      </c>
      <c r="B5" t="s">
        <v>174</v>
      </c>
      <c r="D5" t="s">
        <v>174</v>
      </c>
      <c r="F5" t="s">
        <v>174</v>
      </c>
      <c r="H5" t="s">
        <v>174</v>
      </c>
      <c r="J5" t="s">
        <v>174</v>
      </c>
      <c r="L5" t="s">
        <v>174</v>
      </c>
      <c r="M5" t="str">
        <f>CONCATENATE(Base!G7," ",Base!$J$2)</f>
        <v>Amort. Prototypes au 31/07/2015</v>
      </c>
      <c r="N5" t="s">
        <v>174</v>
      </c>
      <c r="O5">
        <v>2</v>
      </c>
      <c r="P5" t="s">
        <v>174</v>
      </c>
      <c r="Q5" s="42">
        <f>(-1)*ROUND(VLOOKUP(A5,Base!A7:K16,10,FALSE),2)</f>
        <v>0</v>
      </c>
    </row>
    <row r="6" spans="1:25">
      <c r="A6">
        <v>288100</v>
      </c>
      <c r="B6" t="s">
        <v>174</v>
      </c>
      <c r="D6" t="s">
        <v>174</v>
      </c>
      <c r="F6" t="s">
        <v>174</v>
      </c>
      <c r="H6" t="s">
        <v>174</v>
      </c>
      <c r="J6" t="s">
        <v>174</v>
      </c>
      <c r="L6" t="s">
        <v>174</v>
      </c>
      <c r="M6" t="str">
        <f>CONCATENATE(Base!G8," ",Base!$J$2)</f>
        <v>Amort. Véh. De tourisme au  31/07/2015</v>
      </c>
      <c r="N6" t="s">
        <v>174</v>
      </c>
      <c r="O6">
        <v>2</v>
      </c>
      <c r="P6" t="s">
        <v>174</v>
      </c>
      <c r="Q6" s="42">
        <f>(-1)*ROUND(VLOOKUP(A6,Base!A8:K17,10,FALSE),2)</f>
        <v>-235.33</v>
      </c>
      <c r="T6" t="s">
        <v>175</v>
      </c>
      <c r="U6" s="5">
        <f>SUM(Q2:Q11)-Base!J27</f>
        <v>-8211.119999999999</v>
      </c>
      <c r="V6" s="35" t="str">
        <f>IF(U6=0,"OK","FAUX")</f>
        <v>FAUX</v>
      </c>
    </row>
    <row r="7" spans="1:25">
      <c r="A7">
        <v>288200</v>
      </c>
      <c r="B7" t="s">
        <v>174</v>
      </c>
      <c r="C7" t="s">
        <v>25</v>
      </c>
      <c r="D7" t="s">
        <v>174</v>
      </c>
      <c r="E7" t="s">
        <v>25</v>
      </c>
      <c r="F7" t="s">
        <v>174</v>
      </c>
      <c r="G7" t="s">
        <v>25</v>
      </c>
      <c r="H7" t="s">
        <v>174</v>
      </c>
      <c r="I7" t="s">
        <v>25</v>
      </c>
      <c r="J7" t="s">
        <v>174</v>
      </c>
      <c r="K7" t="s">
        <v>25</v>
      </c>
      <c r="L7" t="s">
        <v>174</v>
      </c>
      <c r="M7" t="str">
        <f>CONCATENATE(Base!G9," ",Base!$J$2)</f>
        <v>Amort. parc voitures  au  31/07/2015</v>
      </c>
      <c r="N7" t="s">
        <v>174</v>
      </c>
      <c r="O7">
        <v>2</v>
      </c>
      <c r="P7" t="s">
        <v>174</v>
      </c>
      <c r="Q7" s="42">
        <f>(-1)*ROUND(VLOOKUP(A7,Base!A9:K18,10,FALSE),2)</f>
        <v>-507.27</v>
      </c>
      <c r="T7" t="s">
        <v>176</v>
      </c>
      <c r="U7" s="5">
        <f>SUM(Q2:Q11)+Q28-Base!K27</f>
        <v>-8211.119999999999</v>
      </c>
      <c r="V7" s="35" t="str">
        <f>IF(U7=0,"OK","FAUX")</f>
        <v>FAUX</v>
      </c>
      <c r="W7" s="36" t="s">
        <v>207</v>
      </c>
      <c r="X7" s="37"/>
      <c r="Y7" s="37"/>
    </row>
    <row r="8" spans="1:25">
      <c r="A8">
        <v>288250</v>
      </c>
      <c r="B8" t="s">
        <v>174</v>
      </c>
      <c r="D8" t="s">
        <v>174</v>
      </c>
      <c r="F8" t="s">
        <v>174</v>
      </c>
      <c r="H8" t="s">
        <v>174</v>
      </c>
      <c r="J8" t="s">
        <v>174</v>
      </c>
      <c r="L8" t="s">
        <v>174</v>
      </c>
      <c r="M8" t="str">
        <f>CONCATENATE(Base!G10," ",Base!$J$2)</f>
        <v>Amort Camions au  31/07/2015</v>
      </c>
      <c r="N8" t="s">
        <v>174</v>
      </c>
      <c r="O8">
        <v>2</v>
      </c>
      <c r="P8" t="s">
        <v>174</v>
      </c>
      <c r="Q8" s="42">
        <f>(-1)*ROUND(VLOOKUP(A8,Base!A10:K19,10,FALSE),2)</f>
        <v>-1923.95</v>
      </c>
      <c r="W8" s="4"/>
      <c r="X8" s="4"/>
      <c r="Y8" s="4"/>
    </row>
    <row r="9" spans="1:25">
      <c r="A9">
        <v>288300</v>
      </c>
      <c r="B9" t="s">
        <v>174</v>
      </c>
      <c r="C9" t="s">
        <v>25</v>
      </c>
      <c r="D9" t="s">
        <v>174</v>
      </c>
      <c r="E9" t="s">
        <v>25</v>
      </c>
      <c r="F9" t="s">
        <v>174</v>
      </c>
      <c r="G9" t="s">
        <v>25</v>
      </c>
      <c r="H9" t="s">
        <v>174</v>
      </c>
      <c r="I9" t="s">
        <v>25</v>
      </c>
      <c r="J9" t="s">
        <v>174</v>
      </c>
      <c r="K9" t="s">
        <v>25</v>
      </c>
      <c r="L9" t="s">
        <v>174</v>
      </c>
      <c r="M9" t="str">
        <f>CONCATENATE(Base!G11," ",Base!$J$2)</f>
        <v>Amort. Mat info au  31/07/2015</v>
      </c>
      <c r="N9" t="s">
        <v>174</v>
      </c>
      <c r="O9">
        <v>2</v>
      </c>
      <c r="P9" t="s">
        <v>174</v>
      </c>
      <c r="Q9" s="42">
        <f>(-1)*ROUND(VLOOKUP(A9,Base!A11:K20,10,FALSE),2)</f>
        <v>-231.56</v>
      </c>
      <c r="T9" t="s">
        <v>206</v>
      </c>
      <c r="U9" s="5">
        <f>ROUND(SUM(Q2:Q11)-SUM(Q12:Q26),2)</f>
        <v>0</v>
      </c>
      <c r="V9" s="35" t="str">
        <f>IF(U9=0,"OK","FAUX")</f>
        <v>OK</v>
      </c>
    </row>
    <row r="10" spans="1:25">
      <c r="A10">
        <v>288350</v>
      </c>
      <c r="B10" t="s">
        <v>174</v>
      </c>
      <c r="D10" t="s">
        <v>174</v>
      </c>
      <c r="F10" t="s">
        <v>174</v>
      </c>
      <c r="H10" t="s">
        <v>174</v>
      </c>
      <c r="J10" t="s">
        <v>174</v>
      </c>
      <c r="L10" t="s">
        <v>174</v>
      </c>
      <c r="M10" t="str">
        <f>CONCATENATE(Base!G12," ",Base!$J$2)</f>
        <v>Amort PC au  31/07/2015</v>
      </c>
      <c r="N10" t="s">
        <v>174</v>
      </c>
      <c r="O10">
        <v>2</v>
      </c>
      <c r="P10" t="s">
        <v>174</v>
      </c>
      <c r="Q10" s="42">
        <f>(-1)*ROUND(VLOOKUP(A10,Base!A12:K21,10,FALSE),2)</f>
        <v>-941.15</v>
      </c>
    </row>
    <row r="11" spans="1:25">
      <c r="A11">
        <v>288400</v>
      </c>
      <c r="B11" t="s">
        <v>174</v>
      </c>
      <c r="C11" t="s">
        <v>25</v>
      </c>
      <c r="D11" t="s">
        <v>174</v>
      </c>
      <c r="E11" t="s">
        <v>25</v>
      </c>
      <c r="F11" t="s">
        <v>174</v>
      </c>
      <c r="G11" t="s">
        <v>25</v>
      </c>
      <c r="H11" t="s">
        <v>174</v>
      </c>
      <c r="I11" t="s">
        <v>25</v>
      </c>
      <c r="J11" t="s">
        <v>174</v>
      </c>
      <c r="K11" t="s">
        <v>25</v>
      </c>
      <c r="L11" t="s">
        <v>174</v>
      </c>
      <c r="M11" t="str">
        <f>CONCATENATE(Base!G13," ",Base!$J$2)</f>
        <v>Amort. mobilier  au  31/07/2015</v>
      </c>
      <c r="N11" t="s">
        <v>174</v>
      </c>
      <c r="O11">
        <v>2</v>
      </c>
      <c r="P11" t="s">
        <v>174</v>
      </c>
      <c r="Q11" s="42">
        <f>(-1)*ROUND(VLOOKUP(A11,Base!A13:K22,10,FALSE),2)</f>
        <v>-88.71</v>
      </c>
      <c r="V11" s="35"/>
    </row>
    <row r="12" spans="1:25">
      <c r="A12">
        <v>681100</v>
      </c>
      <c r="B12" t="s">
        <v>174</v>
      </c>
      <c r="C12" t="str">
        <f>TCD!A4</f>
        <v>1CE</v>
      </c>
      <c r="D12" t="s">
        <v>174</v>
      </c>
      <c r="F12" t="s">
        <v>174</v>
      </c>
      <c r="H12" t="s">
        <v>174</v>
      </c>
      <c r="J12" t="s">
        <v>174</v>
      </c>
      <c r="L12" t="s">
        <v>174</v>
      </c>
      <c r="M12" t="str">
        <f>CONCATENATE("Ext Amort. Au ",Base!$J$2)</f>
        <v>Ext Amort. Au 31/07/2015</v>
      </c>
      <c r="N12" t="s">
        <v>174</v>
      </c>
      <c r="O12">
        <v>1</v>
      </c>
      <c r="P12" t="s">
        <v>174</v>
      </c>
      <c r="Q12" s="42">
        <f>(-1)*ROUND(VLOOKUP(C12,TCD!A:B,2,FALSE),2)</f>
        <v>-108.49</v>
      </c>
      <c r="T12" s="39"/>
    </row>
    <row r="13" spans="1:25">
      <c r="A13">
        <v>681100</v>
      </c>
      <c r="B13" t="s">
        <v>174</v>
      </c>
      <c r="C13" t="str">
        <f>TCD!A5</f>
        <v>1CN</v>
      </c>
      <c r="D13" t="s">
        <v>174</v>
      </c>
      <c r="F13" t="s">
        <v>174</v>
      </c>
      <c r="H13" t="s">
        <v>174</v>
      </c>
      <c r="J13" t="s">
        <v>174</v>
      </c>
      <c r="L13" t="s">
        <v>174</v>
      </c>
      <c r="M13" t="str">
        <f>CONCATENATE("Ext Amort. Au ",Base!$J$2)</f>
        <v>Ext Amort. Au 31/07/2015</v>
      </c>
      <c r="N13" t="s">
        <v>174</v>
      </c>
      <c r="O13">
        <v>1</v>
      </c>
      <c r="P13" t="s">
        <v>174</v>
      </c>
      <c r="Q13" s="42">
        <f>(-1)*ROUND(VLOOKUP(C13,TCD!A:B,2,FALSE),2)</f>
        <v>-235.33</v>
      </c>
    </row>
    <row r="14" spans="1:25">
      <c r="A14">
        <v>681100</v>
      </c>
      <c r="B14" t="s">
        <v>174</v>
      </c>
      <c r="C14" t="str">
        <f>TCD!A6</f>
        <v>1KF</v>
      </c>
      <c r="D14" t="s">
        <v>174</v>
      </c>
      <c r="F14" t="s">
        <v>174</v>
      </c>
      <c r="H14" t="s">
        <v>174</v>
      </c>
      <c r="J14" t="s">
        <v>174</v>
      </c>
      <c r="L14" t="s">
        <v>174</v>
      </c>
      <c r="M14" t="str">
        <f>CONCATENATE("Ext Amort. Au ",Base!$J$2)</f>
        <v>Ext Amort. Au 31/07/2015</v>
      </c>
      <c r="N14" t="s">
        <v>174</v>
      </c>
      <c r="O14">
        <v>1</v>
      </c>
      <c r="P14" t="s">
        <v>174</v>
      </c>
      <c r="Q14" s="42">
        <f>(-1)*ROUND(VLOOKUP(C14,TCD!A:B,2,FALSE),2)</f>
        <v>-30.38</v>
      </c>
    </row>
    <row r="15" spans="1:25">
      <c r="A15">
        <v>681100</v>
      </c>
      <c r="B15" t="s">
        <v>174</v>
      </c>
      <c r="C15" t="str">
        <f>TCD!A7</f>
        <v>2AR</v>
      </c>
      <c r="D15" t="s">
        <v>174</v>
      </c>
      <c r="F15" t="s">
        <v>174</v>
      </c>
      <c r="H15" t="s">
        <v>174</v>
      </c>
      <c r="J15" t="s">
        <v>174</v>
      </c>
      <c r="L15" t="s">
        <v>174</v>
      </c>
      <c r="M15" t="str">
        <f>CONCATENATE("Ext Amort. Au ",Base!$J$2)</f>
        <v>Ext Amort. Au 31/07/2015</v>
      </c>
      <c r="N15" t="s">
        <v>174</v>
      </c>
      <c r="O15">
        <v>1</v>
      </c>
      <c r="P15" t="s">
        <v>174</v>
      </c>
      <c r="Q15" s="42">
        <f>(-1)*ROUND(VLOOKUP(C15,TCD!A:B,2,FALSE),2)</f>
        <v>-88.76</v>
      </c>
    </row>
    <row r="16" spans="1:25">
      <c r="A16">
        <v>681100</v>
      </c>
      <c r="B16" t="s">
        <v>174</v>
      </c>
      <c r="C16" t="str">
        <f>TCD!A8</f>
        <v>2BK</v>
      </c>
      <c r="D16" t="s">
        <v>174</v>
      </c>
      <c r="F16" t="s">
        <v>174</v>
      </c>
      <c r="H16" t="s">
        <v>174</v>
      </c>
      <c r="J16" t="s">
        <v>174</v>
      </c>
      <c r="L16" t="s">
        <v>174</v>
      </c>
      <c r="M16" t="str">
        <f>CONCATENATE("Ext Amort. Au ",Base!$J$2)</f>
        <v>Ext Amort. Au 31/07/2015</v>
      </c>
      <c r="N16" t="s">
        <v>174</v>
      </c>
      <c r="O16">
        <v>1</v>
      </c>
      <c r="P16" t="s">
        <v>174</v>
      </c>
      <c r="Q16" s="42">
        <f>(-1)*ROUND(VLOOKUP(C16,TCD!A:B,2,FALSE),2)</f>
        <v>-32.01</v>
      </c>
      <c r="T16" s="7"/>
      <c r="U16"/>
    </row>
    <row r="17" spans="1:21">
      <c r="A17">
        <v>681100</v>
      </c>
      <c r="B17" t="s">
        <v>174</v>
      </c>
      <c r="C17" t="str">
        <f>TCD!A9</f>
        <v>2KM</v>
      </c>
      <c r="D17" t="s">
        <v>174</v>
      </c>
      <c r="F17" t="s">
        <v>174</v>
      </c>
      <c r="H17" t="s">
        <v>174</v>
      </c>
      <c r="J17" t="s">
        <v>174</v>
      </c>
      <c r="L17" t="s">
        <v>174</v>
      </c>
      <c r="M17" t="str">
        <f>CONCATENATE("Ext Amort. Au ",Base!$J$2)</f>
        <v>Ext Amort. Au 31/07/2015</v>
      </c>
      <c r="N17" t="s">
        <v>174</v>
      </c>
      <c r="O17">
        <v>1</v>
      </c>
      <c r="P17" t="s">
        <v>174</v>
      </c>
      <c r="Q17" s="42">
        <f>(-1)*ROUND(VLOOKUP(C17,TCD!A:B,2,FALSE),2)</f>
        <v>-390.11</v>
      </c>
      <c r="U17"/>
    </row>
    <row r="18" spans="1:21">
      <c r="A18">
        <v>681100</v>
      </c>
      <c r="B18" t="s">
        <v>174</v>
      </c>
      <c r="C18" t="str">
        <f>TCD!A10</f>
        <v>2NR</v>
      </c>
      <c r="D18" t="s">
        <v>174</v>
      </c>
      <c r="F18" t="s">
        <v>174</v>
      </c>
      <c r="H18" t="s">
        <v>174</v>
      </c>
      <c r="J18" t="s">
        <v>174</v>
      </c>
      <c r="L18" t="s">
        <v>174</v>
      </c>
      <c r="M18" t="str">
        <f>CONCATENATE("Ext Amort. Au ",Base!$J$2)</f>
        <v>Ext Amort. Au 31/07/2015</v>
      </c>
      <c r="N18" t="s">
        <v>174</v>
      </c>
      <c r="O18">
        <v>1</v>
      </c>
      <c r="P18" t="s">
        <v>174</v>
      </c>
      <c r="Q18" s="42">
        <f>(-1)*ROUND(VLOOKUP(C18,TCD!A:B,2,FALSE),2)</f>
        <v>-344.17</v>
      </c>
      <c r="U18"/>
    </row>
    <row r="19" spans="1:21">
      <c r="A19">
        <v>681100</v>
      </c>
      <c r="B19" t="s">
        <v>174</v>
      </c>
      <c r="C19" t="str">
        <f>TCD!A11</f>
        <v>3LK</v>
      </c>
      <c r="D19" t="s">
        <v>174</v>
      </c>
      <c r="F19" t="s">
        <v>174</v>
      </c>
      <c r="H19" t="s">
        <v>174</v>
      </c>
      <c r="J19" t="s">
        <v>174</v>
      </c>
      <c r="L19" t="s">
        <v>174</v>
      </c>
      <c r="M19" t="str">
        <f>CONCATENATE("Ext Amort. Au ",Base!$J$2)</f>
        <v>Ext Amort. Au 31/07/2015</v>
      </c>
      <c r="N19" t="s">
        <v>174</v>
      </c>
      <c r="O19">
        <v>1</v>
      </c>
      <c r="P19" t="s">
        <v>174</v>
      </c>
      <c r="Q19" s="42">
        <f>(-1)*ROUND(VLOOKUP(C19,TCD!A:B,2,FALSE),2)</f>
        <v>-58.33</v>
      </c>
    </row>
    <row r="20" spans="1:21">
      <c r="A20">
        <v>681100</v>
      </c>
      <c r="B20" t="s">
        <v>174</v>
      </c>
      <c r="C20" t="str">
        <f>TCD!A12</f>
        <v>4KI</v>
      </c>
      <c r="D20" t="s">
        <v>174</v>
      </c>
      <c r="F20" t="s">
        <v>174</v>
      </c>
      <c r="H20" t="s">
        <v>174</v>
      </c>
      <c r="J20" t="s">
        <v>174</v>
      </c>
      <c r="L20" t="s">
        <v>174</v>
      </c>
      <c r="M20" t="str">
        <f>CONCATENATE("Ext Amort. Au ",Base!$J$2)</f>
        <v>Ext Amort. Au 31/07/2015</v>
      </c>
      <c r="N20" t="s">
        <v>174</v>
      </c>
      <c r="O20">
        <v>1</v>
      </c>
      <c r="P20" t="s">
        <v>174</v>
      </c>
      <c r="Q20" s="42">
        <f>(-1)*ROUND(VLOOKUP(C20,TCD!A:B,2,FALSE),2)</f>
        <v>-629.79999999999995</v>
      </c>
    </row>
    <row r="21" spans="1:21">
      <c r="A21">
        <v>681100</v>
      </c>
      <c r="B21" t="s">
        <v>174</v>
      </c>
      <c r="C21" t="str">
        <f>TCD!A13</f>
        <v>4MM</v>
      </c>
      <c r="D21" t="s">
        <v>174</v>
      </c>
      <c r="F21" t="s">
        <v>174</v>
      </c>
      <c r="H21" t="s">
        <v>174</v>
      </c>
      <c r="J21" t="s">
        <v>174</v>
      </c>
      <c r="L21" t="s">
        <v>174</v>
      </c>
      <c r="M21" t="str">
        <f>CONCATENATE("Ext Amort. Au ",Base!$J$2)</f>
        <v>Ext Amort. Au 31/07/2015</v>
      </c>
      <c r="N21" t="s">
        <v>174</v>
      </c>
      <c r="O21">
        <v>1</v>
      </c>
      <c r="P21" t="s">
        <v>174</v>
      </c>
      <c r="Q21" s="42">
        <f>(-1)*ROUND(VLOOKUP(C21,TCD!A:B,2,FALSE),2)</f>
        <v>-37.090000000000003</v>
      </c>
    </row>
    <row r="22" spans="1:21">
      <c r="A22">
        <v>681100</v>
      </c>
      <c r="B22" t="s">
        <v>174</v>
      </c>
      <c r="C22" t="str">
        <f>TCD!A14</f>
        <v>4UM</v>
      </c>
      <c r="D22" t="s">
        <v>174</v>
      </c>
      <c r="F22" t="s">
        <v>174</v>
      </c>
      <c r="H22" t="s">
        <v>174</v>
      </c>
      <c r="J22" t="s">
        <v>174</v>
      </c>
      <c r="L22" t="s">
        <v>174</v>
      </c>
      <c r="M22" t="str">
        <f>CONCATENATE("Ext Amort. Au ",Base!$J$2)</f>
        <v>Ext Amort. Au 31/07/2015</v>
      </c>
      <c r="N22" t="s">
        <v>174</v>
      </c>
      <c r="O22">
        <v>1</v>
      </c>
      <c r="P22" t="s">
        <v>174</v>
      </c>
      <c r="Q22" s="42">
        <f>(-1)*ROUND(VLOOKUP(C22,TCD!A:B,2,FALSE),2)</f>
        <v>-563.54</v>
      </c>
    </row>
    <row r="23" spans="1:21">
      <c r="A23">
        <v>681100</v>
      </c>
      <c r="B23" t="s">
        <v>174</v>
      </c>
      <c r="C23" t="str">
        <f>TCD!A15</f>
        <v>ZAM</v>
      </c>
      <c r="D23" t="s">
        <v>174</v>
      </c>
      <c r="F23" t="s">
        <v>174</v>
      </c>
      <c r="H23" t="s">
        <v>174</v>
      </c>
      <c r="J23" t="s">
        <v>174</v>
      </c>
      <c r="L23" t="s">
        <v>174</v>
      </c>
      <c r="M23" t="str">
        <f>CONCATENATE("Ext Amort. Au ",Base!$J$2)</f>
        <v>Ext Amort. Au 31/07/2015</v>
      </c>
      <c r="N23" t="s">
        <v>174</v>
      </c>
      <c r="O23">
        <v>1</v>
      </c>
      <c r="P23" t="s">
        <v>174</v>
      </c>
      <c r="Q23" s="42">
        <f>(-1)*ROUND(VLOOKUP(C23,TCD!A:B,2,FALSE),2)</f>
        <v>-127.67</v>
      </c>
    </row>
    <row r="24" spans="1:21">
      <c r="A24">
        <v>681100</v>
      </c>
      <c r="B24" t="s">
        <v>174</v>
      </c>
      <c r="C24" t="str">
        <f>TCD!A16</f>
        <v>ZAU</v>
      </c>
      <c r="D24" t="s">
        <v>174</v>
      </c>
      <c r="F24" t="s">
        <v>174</v>
      </c>
      <c r="H24" t="s">
        <v>174</v>
      </c>
      <c r="J24" t="s">
        <v>174</v>
      </c>
      <c r="L24" t="s">
        <v>174</v>
      </c>
      <c r="M24" t="str">
        <f>CONCATENATE("Ext Amort. Au ",Base!$J$2)</f>
        <v>Ext Amort. Au 31/07/2015</v>
      </c>
      <c r="N24" t="s">
        <v>174</v>
      </c>
      <c r="O24">
        <v>1</v>
      </c>
      <c r="P24" t="s">
        <v>174</v>
      </c>
      <c r="Q24" s="42">
        <f>(-1)*ROUND(VLOOKUP(C24,TCD!A:B,2,FALSE),2)</f>
        <v>-133.41</v>
      </c>
    </row>
    <row r="25" spans="1:21">
      <c r="A25">
        <v>681100</v>
      </c>
      <c r="B25" t="s">
        <v>174</v>
      </c>
      <c r="C25" t="str">
        <f>TCD!A17</f>
        <v>ZBI</v>
      </c>
      <c r="D25" t="s">
        <v>174</v>
      </c>
      <c r="F25" t="s">
        <v>174</v>
      </c>
      <c r="H25" t="s">
        <v>174</v>
      </c>
      <c r="J25" t="s">
        <v>174</v>
      </c>
      <c r="L25" t="s">
        <v>174</v>
      </c>
      <c r="M25" t="str">
        <f>CONCATENATE("Ext Amort. Au ",Base!$J$2)</f>
        <v>Ext Amort. Au 31/07/2015</v>
      </c>
      <c r="N25" t="s">
        <v>174</v>
      </c>
      <c r="O25">
        <v>1</v>
      </c>
      <c r="P25" t="s">
        <v>174</v>
      </c>
      <c r="Q25" s="42">
        <f>(-1)*ROUND(VLOOKUP(C25,TCD!A:B,2,FALSE),2)</f>
        <v>-929.58</v>
      </c>
    </row>
    <row r="26" spans="1:21">
      <c r="A26">
        <v>681100</v>
      </c>
      <c r="B26" t="s">
        <v>174</v>
      </c>
      <c r="C26" t="str">
        <f>TCD!A18</f>
        <v>ZPM</v>
      </c>
      <c r="D26" t="s">
        <v>174</v>
      </c>
      <c r="F26" t="s">
        <v>174</v>
      </c>
      <c r="H26" t="s">
        <v>174</v>
      </c>
      <c r="J26" t="s">
        <v>174</v>
      </c>
      <c r="L26" t="s">
        <v>174</v>
      </c>
      <c r="M26" t="str">
        <f>CONCATENATE("Ext Amort. Au ",Base!$J$2)</f>
        <v>Ext Amort. Au 31/07/2015</v>
      </c>
      <c r="N26" t="s">
        <v>174</v>
      </c>
      <c r="O26">
        <v>1</v>
      </c>
      <c r="P26" t="s">
        <v>174</v>
      </c>
      <c r="Q26" s="42">
        <f>(-1)*ROUND(VLOOKUP(C26,TCD!A:B,2,FALSE),2)</f>
        <v>-396.89</v>
      </c>
    </row>
    <row r="27" spans="1:21">
      <c r="A27">
        <v>687251</v>
      </c>
      <c r="B27" t="s">
        <v>174</v>
      </c>
      <c r="D27" t="s">
        <v>174</v>
      </c>
      <c r="F27" t="s">
        <v>174</v>
      </c>
      <c r="H27" t="s">
        <v>174</v>
      </c>
      <c r="J27" t="s">
        <v>174</v>
      </c>
      <c r="L27" t="s">
        <v>174</v>
      </c>
      <c r="M27" t="str">
        <f>CONCATENATE(Base!G24," ",Base!H24)</f>
        <v>Amort.dérogatoire au 31/07/2015</v>
      </c>
      <c r="N27" t="s">
        <v>174</v>
      </c>
      <c r="O27">
        <v>1</v>
      </c>
      <c r="P27" t="s">
        <v>174</v>
      </c>
      <c r="Q27" s="42">
        <f>(-1)*ROUND(Base!J24,2)</f>
        <v>90.56</v>
      </c>
    </row>
    <row r="28" spans="1:21">
      <c r="A28">
        <v>145100</v>
      </c>
      <c r="B28" t="s">
        <v>174</v>
      </c>
      <c r="D28" t="s">
        <v>174</v>
      </c>
      <c r="F28" t="s">
        <v>174</v>
      </c>
      <c r="H28" t="s">
        <v>174</v>
      </c>
      <c r="J28" t="s">
        <v>174</v>
      </c>
      <c r="L28" t="s">
        <v>174</v>
      </c>
      <c r="M28" t="str">
        <f>CONCATENATE(Base!G25," ",Base!H25)</f>
        <v>Amort.dérogatoire au 31/07/2015</v>
      </c>
      <c r="N28" t="s">
        <v>174</v>
      </c>
      <c r="O28">
        <v>2</v>
      </c>
      <c r="P28" t="s">
        <v>174</v>
      </c>
      <c r="Q28" s="42">
        <f>(-1)*ROUND(Q27,2)</f>
        <v>-90.56</v>
      </c>
    </row>
  </sheetData>
  <autoFilter ref="A1:Q28"/>
  <mergeCells count="1">
    <mergeCell ref="T3:U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90" fitToHeight="2" orientation="portrait" r:id="rId1"/>
  <headerFooter>
    <oddHeader>&amp;C&amp;A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Convert</vt:lpstr>
      <vt:lpstr>TCD</vt:lpstr>
      <vt:lpstr>Amortissements 07.15</vt:lpstr>
      <vt:lpstr>Amortissements 07.15 (2)</vt:lpstr>
      <vt:lpstr>'Amortissements 07.15'!Zone_d_impression</vt:lpstr>
      <vt:lpstr>'Amortissements 07.15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Clement (LEC-STA)</dc:creator>
  <cp:lastModifiedBy>gmb</cp:lastModifiedBy>
  <cp:lastPrinted>2015-08-06T07:34:32Z</cp:lastPrinted>
  <dcterms:created xsi:type="dcterms:W3CDTF">2014-11-03T13:35:36Z</dcterms:created>
  <dcterms:modified xsi:type="dcterms:W3CDTF">2015-08-06T10:51:12Z</dcterms:modified>
</cp:coreProperties>
</file>