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755" firstSheet="1" activeTab="4"/>
  </bookViews>
  <sheets>
    <sheet name="Données" sheetId="1" r:id="rId1"/>
    <sheet name="Contrats Engagements" sheetId="2" r:id="rId2"/>
    <sheet name="Etat des lieux" sheetId="3" r:id="rId3"/>
    <sheet name="Plan de tresorerie CT" sheetId="6" r:id="rId4"/>
    <sheet name="Détail" sheetId="7" r:id="rId5"/>
    <sheet name="Plan Trésorerie" sheetId="4" r:id="rId6"/>
  </sheets>
  <definedNames>
    <definedName name="DateJour">'Contrats Engagements'!$D$3</definedName>
    <definedName name="Format">'Plan Trésorerie'!$C$6</definedName>
    <definedName name="Formule_client_CT">'Plan de tresorerie CT'!$B$4</definedName>
    <definedName name="Formule_clients">'Plan Trésorerie'!$C$5</definedName>
    <definedName name="Formule_frss">'Plan Trésorerie'!$C$4</definedName>
    <definedName name="Formule_frss_CT">'Plan de tresorerie CT'!$B$3</definedName>
    <definedName name="_xlnm.Print_Titles" localSheetId="3">'Plan de tresorerie CT'!$C:$D</definedName>
    <definedName name="LesMois">Données!$S$8:$S$19</definedName>
    <definedName name="Nbr_Max_Restant">12-MONTH(DateJour)+1</definedName>
    <definedName name="Nom_client">ListeClient[Nom client]</definedName>
    <definedName name="Nom_debiteurs">ListeDébiteur[Nom Débiteurs]</definedName>
    <definedName name="Nom_tresor">Liste_treso[Nom]</definedName>
    <definedName name="Plan_client_CT">'Plan de tresorerie CT'!$E$9:$R$38</definedName>
    <definedName name="Plan_clients">'Plan Trésorerie'!$F$10:$Q$39</definedName>
    <definedName name="Plan_frss">'Plan Trésorerie'!$F$42:$Q$71</definedName>
    <definedName name="Plan_frss_CT">'Plan de tresorerie CT'!$E$41:$R$70</definedName>
    <definedName name="TotalCreancier">'Etat des lieux'!$T$7</definedName>
    <definedName name="TotalDebiteur">'Etat des lieux'!$V$7</definedName>
    <definedName name="_xlnm.Print_Area" localSheetId="2">'Etat des lieux'!$C$3:$P$40</definedName>
    <definedName name="_xlnm.Print_Area" localSheetId="3">'Plan de tresorerie CT'!$C$3:$S$73</definedName>
    <definedName name="_xlnm.Print_Area" localSheetId="5">'Plan Trésorerie'!$D$3:$R$74</definedName>
  </definedNames>
  <calcPr calcId="152511"/>
</workbook>
</file>

<file path=xl/calcChain.xml><?xml version="1.0" encoding="utf-8"?>
<calcChain xmlns="http://schemas.openxmlformats.org/spreadsheetml/2006/main">
  <c r="A11" i="4" l="1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43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A10" i="4"/>
  <c r="F6" i="4"/>
  <c r="B4" i="6" l="1" a="1"/>
  <c r="B4" i="6" s="1"/>
  <c r="C42" i="6" l="1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41" i="6"/>
  <c r="D43" i="4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9" i="6"/>
  <c r="D10" i="4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G39" i="6"/>
  <c r="H39" i="6"/>
  <c r="I39" i="6"/>
  <c r="J39" i="6"/>
  <c r="K39" i="6"/>
  <c r="L39" i="6"/>
  <c r="M39" i="6"/>
  <c r="N39" i="6"/>
  <c r="O39" i="6"/>
  <c r="P39" i="6"/>
  <c r="Q39" i="6"/>
  <c r="R39" i="6"/>
  <c r="E5" i="6"/>
  <c r="C7" i="6" s="1"/>
  <c r="F5" i="6" l="1"/>
  <c r="T7" i="3"/>
  <c r="D6" i="4"/>
  <c r="G5" i="6" l="1"/>
  <c r="H5" i="6" s="1"/>
  <c r="I5" i="6" s="1"/>
  <c r="J5" i="6" s="1"/>
  <c r="K5" i="6" s="1"/>
  <c r="L5" i="6" s="1"/>
  <c r="M5" i="6" s="1"/>
  <c r="N5" i="6" s="1"/>
  <c r="O5" i="6" s="1"/>
  <c r="P5" i="6" s="1"/>
  <c r="Q5" i="6" s="1"/>
  <c r="R5" i="6" s="1"/>
  <c r="S7" i="6" s="1"/>
  <c r="F39" i="6"/>
  <c r="D3" i="6"/>
  <c r="B3" i="6" s="1" a="1"/>
  <c r="B3" i="6" s="1"/>
  <c r="V7" i="3"/>
  <c r="C3" i="3"/>
  <c r="E9" i="3"/>
  <c r="J8" i="3"/>
  <c r="K8" i="3"/>
  <c r="E10" i="3"/>
  <c r="E8" i="3"/>
  <c r="P8" i="3"/>
  <c r="P11" i="3"/>
  <c r="P12" i="3"/>
  <c r="P9" i="3"/>
  <c r="P10" i="3"/>
  <c r="J9" i="3"/>
  <c r="J10" i="3"/>
  <c r="J11" i="3"/>
  <c r="J12" i="3"/>
  <c r="Q11" i="3"/>
  <c r="Q12" i="3"/>
  <c r="Q9" i="3"/>
  <c r="Q10" i="3"/>
  <c r="Q8" i="3"/>
  <c r="K10" i="3"/>
  <c r="K11" i="3"/>
  <c r="K12" i="3"/>
  <c r="K9" i="3"/>
  <c r="C10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42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42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O6" i="3"/>
  <c r="I6" i="3"/>
  <c r="D6" i="3"/>
  <c r="A1" i="2"/>
  <c r="S9" i="6" l="1"/>
  <c r="S11" i="6"/>
  <c r="S13" i="6"/>
  <c r="S15" i="6"/>
  <c r="S17" i="6"/>
  <c r="S19" i="6"/>
  <c r="S21" i="6"/>
  <c r="S23" i="6"/>
  <c r="S25" i="6"/>
  <c r="S27" i="6"/>
  <c r="S29" i="6"/>
  <c r="S31" i="6"/>
  <c r="S33" i="6"/>
  <c r="S35" i="6"/>
  <c r="S37" i="6"/>
  <c r="S41" i="6"/>
  <c r="S43" i="6"/>
  <c r="S45" i="6"/>
  <c r="S47" i="6"/>
  <c r="S49" i="6"/>
  <c r="S51" i="6"/>
  <c r="S53" i="6"/>
  <c r="S55" i="6"/>
  <c r="S57" i="6"/>
  <c r="S59" i="6"/>
  <c r="S61" i="6"/>
  <c r="S63" i="6"/>
  <c r="S65" i="6"/>
  <c r="S67" i="6"/>
  <c r="S69" i="6"/>
  <c r="S10" i="6"/>
  <c r="S12" i="6"/>
  <c r="S14" i="6"/>
  <c r="S16" i="6"/>
  <c r="S18" i="6"/>
  <c r="S20" i="6"/>
  <c r="S22" i="6"/>
  <c r="S24" i="6"/>
  <c r="S26" i="6"/>
  <c r="S28" i="6"/>
  <c r="S30" i="6"/>
  <c r="S32" i="6"/>
  <c r="S34" i="6"/>
  <c r="S36" i="6"/>
  <c r="S38" i="6"/>
  <c r="S42" i="6"/>
  <c r="S44" i="6"/>
  <c r="S46" i="6"/>
  <c r="S48" i="6"/>
  <c r="S50" i="6"/>
  <c r="S52" i="6"/>
  <c r="S54" i="6"/>
  <c r="S56" i="6"/>
  <c r="S58" i="6"/>
  <c r="S60" i="6"/>
  <c r="S62" i="6"/>
  <c r="S64" i="6"/>
  <c r="S66" i="6"/>
  <c r="S68" i="6"/>
  <c r="S70" i="6"/>
  <c r="E71" i="6"/>
  <c r="F7" i="4"/>
  <c r="E6" i="6"/>
  <c r="G6" i="4"/>
  <c r="H6" i="4" s="1"/>
  <c r="I6" i="4" s="1"/>
  <c r="J6" i="4" s="1"/>
  <c r="K6" i="4" s="1"/>
  <c r="L6" i="4" s="1"/>
  <c r="M6" i="4" s="1"/>
  <c r="N6" i="4" s="1"/>
  <c r="O6" i="4" s="1"/>
  <c r="P6" i="4" s="1"/>
  <c r="Q6" i="4" s="1"/>
  <c r="R6" i="4" s="1"/>
  <c r="F5" i="4"/>
  <c r="G5" i="4"/>
  <c r="J5" i="4" l="1"/>
  <c r="I5" i="4"/>
  <c r="H5" i="4"/>
  <c r="E39" i="6"/>
  <c r="E73" i="6" s="1"/>
  <c r="F6" i="6" s="1"/>
  <c r="F73" i="6" s="1"/>
  <c r="G6" i="6" s="1"/>
  <c r="G73" i="6" s="1"/>
  <c r="H6" i="6" s="1"/>
  <c r="H73" i="6" s="1"/>
  <c r="I6" i="6" s="1"/>
  <c r="I73" i="6" s="1"/>
  <c r="J6" i="6" s="1"/>
  <c r="J73" i="6" s="1"/>
  <c r="K6" i="6" s="1"/>
  <c r="K73" i="6" s="1"/>
  <c r="L6" i="6" s="1"/>
  <c r="L73" i="6" s="1"/>
  <c r="M6" i="6" s="1"/>
  <c r="M73" i="6" s="1"/>
  <c r="N6" i="6" s="1"/>
  <c r="N73" i="6" s="1"/>
  <c r="O6" i="6" s="1"/>
  <c r="O73" i="6" s="1"/>
  <c r="P6" i="6" s="1"/>
  <c r="P73" i="6" s="1"/>
  <c r="Q6" i="6" s="1"/>
  <c r="Q73" i="6" s="1"/>
  <c r="R6" i="6" s="1"/>
  <c r="M5" i="4"/>
  <c r="Q5" i="4"/>
  <c r="N5" i="4"/>
  <c r="K5" i="4"/>
  <c r="O5" i="4"/>
  <c r="L5" i="4"/>
  <c r="P5" i="4"/>
  <c r="E3" i="4"/>
  <c r="R58" i="4"/>
  <c r="R66" i="4"/>
  <c r="H40" i="4"/>
  <c r="R73" i="6" l="1"/>
  <c r="L40" i="4"/>
  <c r="P40" i="4"/>
  <c r="R50" i="4"/>
  <c r="G40" i="4"/>
  <c r="Q72" i="4"/>
  <c r="P72" i="4"/>
  <c r="L72" i="4"/>
  <c r="O40" i="4"/>
  <c r="K40" i="4"/>
  <c r="K72" i="4"/>
  <c r="R62" i="4"/>
  <c r="R46" i="4"/>
  <c r="N72" i="4"/>
  <c r="R59" i="4"/>
  <c r="R63" i="4"/>
  <c r="R67" i="4"/>
  <c r="R43" i="4"/>
  <c r="R47" i="4"/>
  <c r="R51" i="4"/>
  <c r="R57" i="4"/>
  <c r="R69" i="4"/>
  <c r="R68" i="4"/>
  <c r="R60" i="4"/>
  <c r="R52" i="4"/>
  <c r="R44" i="4"/>
  <c r="J40" i="4"/>
  <c r="J72" i="4"/>
  <c r="Q40" i="4"/>
  <c r="M40" i="4"/>
  <c r="M72" i="4"/>
  <c r="H72" i="4"/>
  <c r="O72" i="4"/>
  <c r="G72" i="4"/>
  <c r="R70" i="4"/>
  <c r="R54" i="4"/>
  <c r="R53" i="4"/>
  <c r="R61" i="4"/>
  <c r="R65" i="4"/>
  <c r="R10" i="4"/>
  <c r="F40" i="4"/>
  <c r="R45" i="4"/>
  <c r="R49" i="4"/>
  <c r="R55" i="4"/>
  <c r="R71" i="4"/>
  <c r="R42" i="4"/>
  <c r="F72" i="4"/>
  <c r="R64" i="4"/>
  <c r="R56" i="4"/>
  <c r="R48" i="4"/>
  <c r="N40" i="4"/>
  <c r="I40" i="4"/>
  <c r="I72" i="4"/>
  <c r="R14" i="4"/>
  <c r="F74" i="4" l="1"/>
  <c r="G7" i="4" s="1"/>
  <c r="G74" i="4" s="1"/>
  <c r="H7" i="4" s="1"/>
  <c r="H74" i="4" s="1"/>
  <c r="I7" i="4" s="1"/>
  <c r="I74" i="4" s="1"/>
  <c r="J7" i="4" s="1"/>
  <c r="J74" i="4" s="1"/>
  <c r="K7" i="4" s="1"/>
  <c r="K74" i="4" s="1"/>
  <c r="L7" i="4" s="1"/>
  <c r="L74" i="4" s="1"/>
  <c r="M7" i="4" s="1"/>
  <c r="M74" i="4" s="1"/>
  <c r="N7" i="4" s="1"/>
  <c r="N74" i="4" s="1"/>
  <c r="O7" i="4" s="1"/>
  <c r="O74" i="4" s="1"/>
  <c r="P7" i="4" s="1"/>
  <c r="P74" i="4" s="1"/>
  <c r="Q7" i="4" s="1"/>
  <c r="Q74" i="4" s="1"/>
  <c r="R15" i="4" l="1"/>
  <c r="R22" i="4"/>
  <c r="R26" i="4"/>
  <c r="R16" i="4"/>
  <c r="R21" i="4"/>
  <c r="R28" i="4" l="1"/>
  <c r="R20" i="4"/>
  <c r="R33" i="4" l="1"/>
  <c r="R34" i="4"/>
  <c r="R27" i="4"/>
  <c r="R32" i="4"/>
  <c r="R39" i="4" l="1"/>
  <c r="R38" i="4" l="1"/>
  <c r="R11" i="4" l="1"/>
  <c r="R12" i="4" l="1"/>
  <c r="R13" i="4"/>
  <c r="R18" i="4"/>
  <c r="R17" i="4" l="1"/>
  <c r="R19" i="4"/>
  <c r="R23" i="4" l="1"/>
  <c r="R24" i="4"/>
  <c r="R35" i="4" l="1"/>
  <c r="R29" i="4"/>
  <c r="R30" i="4"/>
  <c r="R25" i="4"/>
  <c r="R37" i="4" l="1"/>
  <c r="R31" i="4"/>
  <c r="R36" i="4"/>
  <c r="C4" i="4" l="1"/>
  <c r="C5" i="4"/>
  <c r="C5" i="4" a="1"/>
  <c r="C4" i="4" a="1"/>
</calcChain>
</file>

<file path=xl/sharedStrings.xml><?xml version="1.0" encoding="utf-8"?>
<sst xmlns="http://schemas.openxmlformats.org/spreadsheetml/2006/main" count="923" uniqueCount="149">
  <si>
    <t>Nom client</t>
  </si>
  <si>
    <t>Adresse</t>
  </si>
  <si>
    <t>Email</t>
  </si>
  <si>
    <t>Téléphone</t>
  </si>
  <si>
    <t>Nom Débiteurs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</si>
  <si>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</si>
  <si>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</si>
  <si>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</si>
  <si>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</si>
  <si>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</si>
  <si>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</si>
  <si>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</si>
  <si>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</si>
  <si>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</si>
  <si>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</si>
  <si>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</si>
  <si>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</si>
  <si>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</si>
  <si>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</si>
  <si>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</si>
  <si>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</si>
  <si>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</si>
  <si>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</si>
  <si>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</si>
  <si>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</si>
  <si>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stephane.temgoua@tssperformance.com</t>
  </si>
  <si>
    <t>Téléphone1</t>
  </si>
  <si>
    <t>Téléphone2</t>
  </si>
  <si>
    <t>Téléphone3</t>
  </si>
  <si>
    <t>Téléphone4</t>
  </si>
  <si>
    <t>Téléphone5</t>
  </si>
  <si>
    <t>Téléphone6</t>
  </si>
  <si>
    <t>Téléphone7</t>
  </si>
  <si>
    <t>Téléphone8</t>
  </si>
  <si>
    <t>Téléphone9</t>
  </si>
  <si>
    <t>Téléphone10</t>
  </si>
  <si>
    <t>Débiteur1</t>
  </si>
  <si>
    <t>Débiteur3</t>
  </si>
  <si>
    <t>Débiteur4</t>
  </si>
  <si>
    <t>Débiteur5</t>
  </si>
  <si>
    <t>Débiteur6</t>
  </si>
  <si>
    <t>Débiteur7</t>
  </si>
  <si>
    <t>Débiteur8</t>
  </si>
  <si>
    <t>Débiteur10</t>
  </si>
  <si>
    <t>Adresse_Deb1</t>
  </si>
  <si>
    <t>Adresse_Deb2</t>
  </si>
  <si>
    <t>Adresse_Deb3</t>
  </si>
  <si>
    <t>Adresse_Deb4</t>
  </si>
  <si>
    <t>Adresse_Deb5</t>
  </si>
  <si>
    <t>Adresse_Deb6</t>
  </si>
  <si>
    <t>Adresse_Deb7</t>
  </si>
  <si>
    <t>Adresse_Deb8</t>
  </si>
  <si>
    <t>Adresse_Deb9</t>
  </si>
  <si>
    <t>Adresse_Deb10</t>
  </si>
  <si>
    <t>stephane.t@tssperformance.com</t>
  </si>
  <si>
    <t>Tel1</t>
  </si>
  <si>
    <t>Tel2</t>
  </si>
  <si>
    <t>Tel3</t>
  </si>
  <si>
    <t>Tel4</t>
  </si>
  <si>
    <t>Tel5</t>
  </si>
  <si>
    <t>Tel6</t>
  </si>
  <si>
    <t>Tel7</t>
  </si>
  <si>
    <t>Tel8</t>
  </si>
  <si>
    <t>Tel9</t>
  </si>
  <si>
    <t>Tel10</t>
  </si>
  <si>
    <t>Liste des clients</t>
  </si>
  <si>
    <t>Liste des débiteurs</t>
  </si>
  <si>
    <t>Liste des banques et caisses</t>
  </si>
  <si>
    <t>Nom</t>
  </si>
  <si>
    <t>Lieu</t>
  </si>
  <si>
    <t>Banque1</t>
  </si>
  <si>
    <t>Banque2</t>
  </si>
  <si>
    <t>Caisse1</t>
  </si>
  <si>
    <t>Caisse2</t>
  </si>
  <si>
    <t>Lieu1</t>
  </si>
  <si>
    <t>Lieu2</t>
  </si>
  <si>
    <t>Lieu3</t>
  </si>
  <si>
    <t>Lieu4</t>
  </si>
  <si>
    <t>Type</t>
  </si>
  <si>
    <t>Banque</t>
  </si>
  <si>
    <t>Caisse</t>
  </si>
  <si>
    <t>Mensualité</t>
  </si>
  <si>
    <t>Prochain Paiement</t>
  </si>
  <si>
    <t>Date</t>
  </si>
  <si>
    <t>Rest_Mensualité</t>
  </si>
  <si>
    <t>Nom débiteur</t>
  </si>
  <si>
    <t>Service+ Prdt</t>
  </si>
  <si>
    <t>Loyer</t>
  </si>
  <si>
    <t>Salaire</t>
  </si>
  <si>
    <t>Employé</t>
  </si>
  <si>
    <t>Assurance</t>
  </si>
  <si>
    <t>Training</t>
  </si>
  <si>
    <t>Materiel</t>
  </si>
  <si>
    <t>Imprimante</t>
  </si>
  <si>
    <t>Divers</t>
  </si>
  <si>
    <t>Journaux</t>
  </si>
  <si>
    <t>Jus</t>
  </si>
  <si>
    <t>Cotisation</t>
  </si>
  <si>
    <t>Trésorerie</t>
  </si>
  <si>
    <t>Solde</t>
  </si>
  <si>
    <t>Graph</t>
  </si>
  <si>
    <t>Créanciers</t>
  </si>
  <si>
    <t>Débiteur</t>
  </si>
  <si>
    <t>Date paiement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</si>
  <si>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</si>
  <si>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</si>
  <si>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</si>
  <si>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</si>
  <si>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</si>
  <si>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</si>
  <si>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</si>
  <si>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</si>
  <si>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</si>
  <si>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</si>
  <si>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</si>
  <si>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</si>
  <si>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Créances</t>
  </si>
  <si>
    <t>Total encaissement</t>
  </si>
  <si>
    <t>Débiteurs</t>
  </si>
  <si>
    <t>Solde final</t>
  </si>
  <si>
    <t>Nbre</t>
  </si>
  <si>
    <t>Mois an</t>
  </si>
  <si>
    <t>Contrat et engagements clients</t>
  </si>
  <si>
    <t>Contrats et engagement récurrents fournisseurs</t>
  </si>
  <si>
    <t>Dettes</t>
  </si>
  <si>
    <t>Nbr total Creanciers</t>
  </si>
  <si>
    <t>Nbr total debiteurs</t>
  </si>
  <si>
    <t/>
  </si>
  <si>
    <t>Solde Initial</t>
  </si>
  <si>
    <t>Total décaissement</t>
  </si>
  <si>
    <t>Total Encaissement</t>
  </si>
  <si>
    <t>Total Décaissements</t>
  </si>
  <si>
    <t>Solde au</t>
  </si>
  <si>
    <t xml:space="preserve">Solde au </t>
  </si>
  <si>
    <t>Mtt découvert</t>
  </si>
  <si>
    <t>Tel</t>
  </si>
  <si>
    <t>Date menualité</t>
  </si>
  <si>
    <t>Colonne1</t>
  </si>
  <si>
    <t>CB</t>
  </si>
  <si>
    <t>PNF</t>
  </si>
  <si>
    <t>SECU + MUTUELLE</t>
  </si>
  <si>
    <t>CHEQUE</t>
  </si>
  <si>
    <t>ESPECES</t>
  </si>
  <si>
    <t>test1</t>
  </si>
  <si>
    <t>test2</t>
  </si>
  <si>
    <t>test3</t>
  </si>
  <si>
    <t>test4</t>
  </si>
  <si>
    <t>test5</t>
  </si>
  <si>
    <t>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</si>
</sst>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[$-40C]mmm\-yy;@"/>
    <numFmt numFmtId="165" formatCode="#,##0_ ;[Red]\-#,##0\ "/>
    <numFmt numFmtId="166" formatCode="ddd\ dd\ mm\ yy"/>
    <numFmt numFmtId="167" formatCode="#,##0,;\-#,##0,;;"/>
    <numFmt numFmtId="168" formatCode="#,##0,;[Red]\-#,##0,"/>
    <numFmt numFmtId="169" formatCode="#,##0,;#,##0,;;"/>
    <numFmt numFmtId="170" formatCode="#,##0,"/>
    <numFmt numFmtId="171" formatCode="_-* #,##0\ _€_-;\-* #,##0\ _€_-;_-* &quot;-&quot;??\ _€_-;_-@_-"/>
  </numFmts>
  <fonts count="24" x14ac:knownFonts="1">
    <font>
      <sz val="8"/>
      <color theme="1"/>
      <name val="verdana"/>
      <family val="2"/>
    </font>
    <font>
      <u/>
      <sz val="8"/>
      <color theme="10"/>
      <name val="verdana"/>
      <family val="2"/>
    </font>
    <font>
      <u/>
      <sz val="8"/>
      <color theme="1"/>
      <name val="verdana"/>
      <family val="2"/>
    </font>
    <font>
      <sz val="8"/>
      <color theme="1" tint="0.499984740745262"/>
      <name val="verdana"/>
      <family val="2"/>
    </font>
    <font>
      <u/>
      <sz val="8"/>
      <color theme="1" tint="0.499984740745262"/>
      <name val="verdana"/>
      <family val="2"/>
    </font>
    <font>
      <sz val="14"/>
      <color theme="1"/>
      <name val="verdana"/>
      <family val="2"/>
    </font>
    <font>
      <sz val="14"/>
      <color rgb="FFC00000"/>
      <name val="verdana"/>
      <family val="2"/>
    </font>
    <font>
      <u/>
      <sz val="14"/>
      <color theme="1"/>
      <name val="verdana"/>
      <family val="2"/>
    </font>
    <font>
      <sz val="15"/>
      <color theme="1"/>
      <name val="verdana"/>
      <family val="2"/>
    </font>
    <font>
      <i/>
      <sz val="14"/>
      <color theme="1"/>
      <name val="verdana"/>
      <family val="2"/>
    </font>
    <font>
      <u/>
      <sz val="10"/>
      <color theme="1"/>
      <name val="verdana"/>
      <family val="2"/>
    </font>
    <font>
      <sz val="10"/>
      <color theme="1"/>
      <name val="verdana"/>
      <family val="2"/>
    </font>
    <font>
      <i/>
      <u/>
      <sz val="10"/>
      <color theme="1"/>
      <name val="verdana"/>
      <family val="2"/>
    </font>
    <font>
      <i/>
      <u/>
      <sz val="8"/>
      <color theme="1"/>
      <name val="verdana"/>
      <family val="2"/>
    </font>
    <font>
      <sz val="16"/>
      <color theme="1"/>
      <name val="verdana"/>
      <family val="2"/>
    </font>
    <font>
      <sz val="8"/>
      <color theme="0"/>
      <name val="verdana"/>
      <family val="2"/>
    </font>
    <font>
      <i/>
      <sz val="9"/>
      <color theme="1"/>
      <name val="verdana"/>
      <family val="2"/>
    </font>
    <font>
      <i/>
      <u/>
      <sz val="9"/>
      <color theme="1"/>
      <name val="verdana"/>
      <family val="2"/>
    </font>
    <font>
      <u/>
      <sz val="7"/>
      <color theme="1"/>
      <name val="verdana"/>
      <family val="2"/>
    </font>
    <font>
      <u/>
      <sz val="7"/>
      <color theme="1" tint="0.499984740745262"/>
      <name val="verdana"/>
      <family val="2"/>
    </font>
    <font>
      <sz val="8"/>
      <color theme="1"/>
      <name val="verdana"/>
      <family val="2"/>
    </font>
    <font>
      <b/>
      <i/>
      <u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E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double">
        <color theme="2" tint="-9.9948118533890809E-2"/>
      </right>
      <top/>
      <bottom/>
      <diagonal/>
    </border>
    <border>
      <left style="double">
        <color theme="2" tint="-9.9917600024414813E-2"/>
      </left>
      <right/>
      <top/>
      <bottom/>
      <diagonal/>
    </border>
    <border>
      <left style="double">
        <color theme="0" tint="-0.14996795556505021"/>
      </left>
      <right/>
      <top/>
      <bottom/>
      <diagonal/>
    </border>
    <border>
      <left/>
      <right style="double">
        <color theme="0" tint="-0.14996795556505021"/>
      </right>
      <top/>
      <bottom/>
      <diagonal/>
    </border>
    <border>
      <left/>
      <right style="double">
        <color theme="0" tint="-4.9989318521683403E-2"/>
      </right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double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4" fillId="0" borderId="0" xfId="1" applyFont="1"/>
    <xf numFmtId="0" fontId="5" fillId="0" borderId="0" xfId="0" applyFont="1"/>
    <xf numFmtId="0" fontId="5" fillId="0" borderId="1" xfId="0" applyFont="1" applyBorder="1"/>
    <xf numFmtId="3" fontId="5" fillId="0" borderId="1" xfId="0" applyNumberFormat="1" applyFont="1" applyBorder="1"/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14" fontId="3" fillId="0" borderId="0" xfId="0" applyNumberFormat="1" applyFont="1"/>
    <xf numFmtId="0" fontId="3" fillId="0" borderId="0" xfId="0" applyNumberFormat="1" applyFont="1"/>
    <xf numFmtId="0" fontId="2" fillId="0" borderId="0" xfId="0" applyFont="1" applyAlignment="1"/>
    <xf numFmtId="3" fontId="2" fillId="0" borderId="0" xfId="0" applyNumberFormat="1" applyFont="1" applyAlignment="1"/>
    <xf numFmtId="0" fontId="8" fillId="0" borderId="1" xfId="0" applyFont="1" applyBorder="1"/>
    <xf numFmtId="3" fontId="8" fillId="0" borderId="1" xfId="0" applyNumberFormat="1" applyFont="1" applyBorder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165" fontId="3" fillId="0" borderId="0" xfId="0" applyNumberFormat="1" applyFont="1"/>
    <xf numFmtId="0" fontId="10" fillId="0" borderId="0" xfId="0" applyFont="1"/>
    <xf numFmtId="164" fontId="10" fillId="0" borderId="0" xfId="0" applyNumberFormat="1" applyFont="1"/>
    <xf numFmtId="165" fontId="3" fillId="0" borderId="2" xfId="0" applyNumberFormat="1" applyFont="1" applyBorder="1"/>
    <xf numFmtId="0" fontId="3" fillId="0" borderId="2" xfId="0" applyFont="1" applyBorder="1" applyAlignment="1">
      <alignment horizontal="left" indent="1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3" fontId="3" fillId="2" borderId="3" xfId="0" applyNumberFormat="1" applyFont="1" applyFill="1" applyBorder="1"/>
    <xf numFmtId="3" fontId="3" fillId="2" borderId="4" xfId="0" applyNumberFormat="1" applyFont="1" applyFill="1" applyBorder="1"/>
    <xf numFmtId="0" fontId="7" fillId="0" borderId="1" xfId="0" applyFont="1" applyBorder="1"/>
    <xf numFmtId="14" fontId="11" fillId="0" borderId="0" xfId="0" applyNumberFormat="1" applyFont="1" applyAlignment="1"/>
    <xf numFmtId="0" fontId="7" fillId="0" borderId="0" xfId="0" applyFont="1" applyAlignment="1">
      <alignment horizontal="left"/>
    </xf>
    <xf numFmtId="164" fontId="12" fillId="0" borderId="0" xfId="0" applyNumberFormat="1" applyFont="1"/>
    <xf numFmtId="0" fontId="11" fillId="0" borderId="0" xfId="0" applyFont="1"/>
    <xf numFmtId="0" fontId="3" fillId="2" borderId="5" xfId="0" applyFont="1" applyFill="1" applyBorder="1"/>
    <xf numFmtId="0" fontId="3" fillId="2" borderId="6" xfId="0" applyFont="1" applyFill="1" applyBorder="1"/>
    <xf numFmtId="3" fontId="3" fillId="2" borderId="6" xfId="0" applyNumberFormat="1" applyFont="1" applyFill="1" applyBorder="1"/>
    <xf numFmtId="0" fontId="14" fillId="0" borderId="1" xfId="0" applyFont="1" applyBorder="1"/>
    <xf numFmtId="0" fontId="15" fillId="0" borderId="0" xfId="0" applyFont="1"/>
    <xf numFmtId="165" fontId="15" fillId="0" borderId="2" xfId="0" applyNumberFormat="1" applyFont="1" applyBorder="1"/>
    <xf numFmtId="14" fontId="15" fillId="0" borderId="0" xfId="0" applyNumberFormat="1" applyFont="1"/>
    <xf numFmtId="0" fontId="15" fillId="0" borderId="0" xfId="0" applyNumberFormat="1" applyFont="1"/>
    <xf numFmtId="0" fontId="16" fillId="0" borderId="0" xfId="0" applyFont="1"/>
    <xf numFmtId="0" fontId="17" fillId="0" borderId="0" xfId="0" applyFont="1" applyAlignment="1">
      <alignment vertical="center"/>
    </xf>
    <xf numFmtId="167" fontId="3" fillId="0" borderId="2" xfId="0" applyNumberFormat="1" applyFont="1" applyBorder="1"/>
    <xf numFmtId="168" fontId="11" fillId="0" borderId="0" xfId="0" applyNumberFormat="1" applyFont="1"/>
    <xf numFmtId="169" fontId="3" fillId="0" borderId="8" xfId="0" applyNumberFormat="1" applyFont="1" applyBorder="1"/>
    <xf numFmtId="169" fontId="3" fillId="0" borderId="7" xfId="0" applyNumberFormat="1" applyFont="1" applyBorder="1"/>
    <xf numFmtId="169" fontId="3" fillId="0" borderId="2" xfId="0" applyNumberFormat="1" applyFont="1" applyBorder="1"/>
    <xf numFmtId="169" fontId="3" fillId="0" borderId="9" xfId="0" applyNumberFormat="1" applyFont="1" applyBorder="1"/>
    <xf numFmtId="168" fontId="16" fillId="0" borderId="0" xfId="0" applyNumberFormat="1" applyFont="1"/>
    <xf numFmtId="166" fontId="18" fillId="0" borderId="0" xfId="0" applyNumberFormat="1" applyFont="1"/>
    <xf numFmtId="170" fontId="3" fillId="2" borderId="6" xfId="0" applyNumberFormat="1" applyFont="1" applyFill="1" applyBorder="1"/>
    <xf numFmtId="170" fontId="3" fillId="2" borderId="5" xfId="0" applyNumberFormat="1" applyFont="1" applyFill="1" applyBorder="1"/>
    <xf numFmtId="170" fontId="3" fillId="0" borderId="0" xfId="0" applyNumberFormat="1" applyFont="1"/>
    <xf numFmtId="170" fontId="3" fillId="2" borderId="0" xfId="0" applyNumberFormat="1" applyFont="1" applyFill="1" applyBorder="1"/>
    <xf numFmtId="170" fontId="3" fillId="2" borderId="0" xfId="0" applyNumberFormat="1" applyFont="1" applyFill="1"/>
    <xf numFmtId="166" fontId="18" fillId="2" borderId="0" xfId="0" applyNumberFormat="1" applyFont="1" applyFill="1"/>
    <xf numFmtId="166" fontId="19" fillId="2" borderId="0" xfId="0" applyNumberFormat="1" applyFont="1" applyFill="1"/>
    <xf numFmtId="168" fontId="3" fillId="0" borderId="2" xfId="0" applyNumberFormat="1" applyFont="1" applyBorder="1"/>
    <xf numFmtId="170" fontId="3" fillId="2" borderId="3" xfId="0" applyNumberFormat="1" applyFont="1" applyFill="1" applyBorder="1"/>
    <xf numFmtId="170" fontId="3" fillId="2" borderId="4" xfId="0" applyNumberFormat="1" applyFont="1" applyFill="1" applyBorder="1"/>
    <xf numFmtId="14" fontId="6" fillId="0" borderId="0" xfId="0" applyNumberFormat="1" applyFont="1" applyAlignment="1">
      <alignment horizontal="center"/>
    </xf>
    <xf numFmtId="3" fontId="9" fillId="0" borderId="1" xfId="0" applyNumberFormat="1" applyFont="1" applyBorder="1" applyAlignment="1">
      <alignment horizontal="right" vertical="center"/>
    </xf>
    <xf numFmtId="14" fontId="3" fillId="2" borderId="0" xfId="0" applyNumberFormat="1" applyFont="1" applyFill="1" applyAlignment="1">
      <alignment horizontal="left" wrapText="1"/>
    </xf>
    <xf numFmtId="0" fontId="21" fillId="3" borderId="0" xfId="0" applyFont="1" applyFill="1" applyAlignment="1">
      <alignment shrinkToFit="1"/>
    </xf>
    <xf numFmtId="171" fontId="22" fillId="3" borderId="0" xfId="2" applyNumberFormat="1" applyFont="1" applyFill="1" applyAlignment="1">
      <alignment shrinkToFit="1"/>
    </xf>
    <xf numFmtId="0" fontId="23" fillId="0" borderId="0" xfId="0" applyFont="1" applyAlignment="1"/>
    <xf numFmtId="171" fontId="23" fillId="0" borderId="0" xfId="2" applyNumberFormat="1" applyFont="1" applyAlignment="1"/>
  </cellXfs>
  <cellStyles count="3">
    <cellStyle name="Lien hypertexte" xfId="1" builtinId="8"/>
    <cellStyle name="Milliers" xfId="2" builtinId="3"/>
    <cellStyle name="Normal" xfId="0" builtinId="0"/>
  </cellStyles>
  <dxfs count="53">
    <dxf>
      <fill>
        <patternFill>
          <bgColor rgb="FFF3F9FB"/>
        </patternFill>
      </fill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/>
        <name val="verdana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/>
        <name val="verdana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/>
        <name val="verdana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general" vertical="center" textRotation="0" wrapText="0" indent="0" justifyLastLine="0" shrinkToFit="0" readingOrder="0"/>
    </dxf>
    <dxf>
      <font>
        <u/>
        <color theme="1"/>
      </font>
      <border>
        <top/>
      </border>
    </dxf>
    <dxf>
      <border>
        <top style="thin">
          <color theme="0" tint="-0.14996795556505021"/>
        </top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1" pivot="0" count="2">
      <tableStyleElement type="wholeTable" dxfId="52"/>
      <tableStyleElement type="headerRow" dxfId="51"/>
    </tableStyle>
  </tableStyles>
  <colors>
    <mruColors>
      <color rgb="FFFFFFE1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66675</xdr:colOff>
      <xdr:row>1</xdr:row>
      <xdr:rowOff>0</xdr:rowOff>
    </xdr:from>
    <xdr:to>
      <xdr:col>3</xdr:col>
      <xdr:colOff>1220391</xdr:colOff>
      <xdr:row>1</xdr:row>
      <xdr:rowOff>236934</xdr:rowOff>
    </xdr:to>
    <xdr:sp macro="[0]!suppDoublonZ" textlink="">
      <xdr:nvSpPr>
        <xdr:cNvPr id="2" name="Rectangle à coins arrondis 1"/>
        <xdr:cNvSpPr/>
      </xdr:nvSpPr>
      <xdr:spPr>
        <a:xfrm>
          <a:off x="904875" y="133350"/>
          <a:ext cx="1153716" cy="236934"/>
        </a:xfrm>
        <a:prstGeom prst="roundRect">
          <a:avLst/>
        </a:prstGeom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2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Mise</a:t>
          </a:r>
          <a:r>
            <a:rPr lang="fr-FR" sz="1000" baseline="0">
              <a:solidFill>
                <a:schemeClr val="tx2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à jour</a:t>
          </a:r>
          <a:endParaRPr lang="fr-FR" sz="1000">
            <a:solidFill>
              <a:schemeClr val="tx2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54912</xdr:colOff>
      <xdr:row>0</xdr:row>
      <xdr:rowOff>87710</xdr:rowOff>
    </xdr:from>
    <xdr:to>
      <xdr:col>5</xdr:col>
      <xdr:colOff>65628</xdr:colOff>
      <xdr:row>1</xdr:row>
      <xdr:rowOff>67469</xdr:rowOff>
    </xdr:to>
    <xdr:sp macro="[0]!suppDoublon" textlink="">
      <xdr:nvSpPr>
        <xdr:cNvPr id="2" name="Rectangle à coins arrondis 1"/>
        <xdr:cNvSpPr/>
      </xdr:nvSpPr>
      <xdr:spPr>
        <a:xfrm>
          <a:off x="1918944" y="87710"/>
          <a:ext cx="1157813" cy="235807"/>
        </a:xfrm>
        <a:prstGeom prst="roundRect">
          <a:avLst/>
        </a:prstGeom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2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Mise</a:t>
          </a:r>
          <a:r>
            <a:rPr lang="fr-FR" sz="1000" baseline="0">
              <a:solidFill>
                <a:schemeClr val="tx2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à jour</a:t>
          </a:r>
          <a:endParaRPr lang="fr-FR" sz="1000">
            <a:solidFill>
              <a:schemeClr val="tx2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ListeClient" displayName="ListeClient" ref="B7:E17" totalsRowShown="0" headerRowDxfId="50" dataDxfId="49">
  <tableColumns count="4">
    <tableColumn id="1" name="Nom client" dataDxfId="48"/>
    <tableColumn id="2" name="Adresse" dataDxfId="47"/>
    <tableColumn id="3" name="Email" dataDxfId="46" dataCellStyle="Lien hypertexte"/>
    <tableColumn id="4" name="Téléphone" dataDxfId="45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ListeDébiteur" displayName="ListeDébiteur" ref="G7:K17" totalsRowShown="0" headerRowDxfId="44" dataDxfId="43">
  <tableColumns count="5">
    <tableColumn id="1" name="Nom Débiteurs" dataDxfId="42"/>
    <tableColumn id="5" name="Service+ Prdt" dataDxfId="41"/>
    <tableColumn id="2" name="Adresse" dataDxfId="40"/>
    <tableColumn id="3" name="Email" dataDxfId="39" dataCellStyle="Lien hypertexte"/>
    <tableColumn id="4" name="Tel" dataDxfId="38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Liste_treso" displayName="Liste_treso" ref="M7:P11" totalsRowShown="0" headerRowDxfId="37" dataDxfId="36">
  <tableColumns count="4">
    <tableColumn id="1" name="Nom" dataDxfId="35"/>
    <tableColumn id="2" name="Type" dataDxfId="34"/>
    <tableColumn id="3" name="Lieu" dataDxfId="33"/>
    <tableColumn id="4" name="Mtt découvert" dataDxfId="32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EngagementsClients" displayName="EngagementsClients" ref="C7:F10" totalsRowShown="0" headerRowDxfId="31" dataDxfId="30">
  <tableColumns count="4">
    <tableColumn id="1" name="Nom client" dataDxfId="29"/>
    <tableColumn id="2" name="Mensualité" dataDxfId="28"/>
    <tableColumn id="3" name="Rest_Mensualité" dataDxfId="27"/>
    <tableColumn id="4" name="Prochain Paiement" dataDxfId="26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5" name="Engagements_Débiteurs" displayName="Engagements_Débiteurs" ref="H7:L11" totalsRowShown="0" headerRowDxfId="25" dataDxfId="24">
  <tableColumns count="5">
    <tableColumn id="1" name="Nom débiteur" dataDxfId="23"/>
    <tableColumn id="2" name="Mensualité" dataDxfId="22"/>
    <tableColumn id="3" name="Rest_Mensualité" dataDxfId="21"/>
    <tableColumn id="4" name="Prochain Paiement" dataDxfId="20"/>
    <tableColumn id="5" name="Colonne1" dataDxfId="1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6" name="Tresoreries" displayName="Tresoreries" ref="C7:E10" totalsRowShown="0" headerRowDxfId="19">
  <sortState ref="C8:E9">
    <sortCondition descending="1" ref="D8:D9"/>
  </sortState>
  <tableColumns count="3">
    <tableColumn id="1" name="Trésorerie" dataDxfId="18"/>
    <tableColumn id="2" name="Solde" dataDxfId="17"/>
    <tableColumn id="3" name="Graph" dataDxfId="16">
      <calculatedColumnFormula>D8</calculatedColumnFormula>
    </tableColumn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7" name="Creanciers" displayName="Creanciers" ref="G7:K12" totalsRowShown="0" headerRowDxfId="15" dataDxfId="14">
  <tableColumns count="5">
    <tableColumn id="1" name="Créanciers" dataDxfId="13"/>
    <tableColumn id="2" name="Solde" dataDxfId="12"/>
    <tableColumn id="3" name="Date paiement" dataDxfId="11"/>
    <tableColumn id="4" name="Graph" dataDxfId="10">
      <calculatedColumnFormula>H8</calculatedColumnFormula>
    </tableColumn>
    <tableColumn id="5" name="Mois an" dataDxfId="9">
      <calculatedColumnFormula>MONTH(I8)&amp;YEAR(I8)</calculatedColumnFormula>
    </tableColumn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8" name="Debiteurs" displayName="Debiteurs" ref="M7:Q12" totalsRowShown="0" headerRowDxfId="8" dataDxfId="7">
  <tableColumns count="5">
    <tableColumn id="1" name="Débiteur" dataDxfId="6"/>
    <tableColumn id="2" name="Solde" dataDxfId="5"/>
    <tableColumn id="3" name="Date paiement" dataDxfId="4"/>
    <tableColumn id="4" name="Graph" dataDxfId="3">
      <calculatedColumnFormula>N8</calculatedColumnFormula>
    </tableColumn>
    <tableColumn id="5" name="Mois an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tephane.temgoua@tssperformance.com" TargetMode="External"/><Relationship Id="rId7" Type="http://schemas.openxmlformats.org/officeDocument/2006/relationships/table" Target="../tables/table3.xml"/><Relationship Id="rId2" Type="http://schemas.openxmlformats.org/officeDocument/2006/relationships/hyperlink" Target="mailto:stephane.t@tssperformance.com" TargetMode="External"/><Relationship Id="rId1" Type="http://schemas.openxmlformats.org/officeDocument/2006/relationships/hyperlink" Target="mailto:stephane.t@tssperformance.com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hyperlink" Target="mailto:stephane.temgoua@tssperformance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S19"/>
  <sheetViews>
    <sheetView showGridLines="0" topLeftCell="A4" zoomScaleNormal="100" workbookViewId="0">
      <selection activeCell="B8" sqref="B8"/>
    </sheetView>
  </sheetViews>
  <sheetFormatPr baseColWidth="10" defaultColWidth="0" defaultRowHeight="10.5" x14ac:dyDescent="0.15"/>
  <cols>
    <col min="1" max="1" width="3.28515625" style="1" customWidth="1"/>
    <col min="2" max="2" width="9.140625" style="1" customWidth="1"/>
    <col min="3" max="3" width="9.85546875" style="1" customWidth="1"/>
    <col min="4" max="4" width="28.5703125" style="1" customWidth="1"/>
    <col min="5" max="5" width="11.42578125" style="1" customWidth="1"/>
    <col min="6" max="6" width="4.5703125" style="1" customWidth="1"/>
    <col min="7" max="7" width="12.7109375" style="1" customWidth="1"/>
    <col min="8" max="8" width="11" style="1" customWidth="1"/>
    <col min="9" max="9" width="12.140625" style="1" customWidth="1"/>
    <col min="10" max="10" width="28.140625" style="1" bestFit="1" customWidth="1"/>
    <col min="11" max="11" width="7.140625" style="1" customWidth="1"/>
    <col min="12" max="12" width="2.5703125" style="1" customWidth="1"/>
    <col min="13" max="13" width="8.28515625" style="1" customWidth="1"/>
    <col min="14" max="14" width="8" style="1" customWidth="1"/>
    <col min="15" max="15" width="8.28515625" style="2" customWidth="1"/>
    <col min="16" max="16" width="11.28515625" style="1" customWidth="1"/>
    <col min="17" max="17" width="11.42578125" style="1" customWidth="1"/>
    <col min="18" max="18" width="11.42578125" style="1" hidden="1" customWidth="1"/>
    <col min="19" max="19" width="0" style="1" hidden="1" customWidth="1"/>
    <col min="20" max="16384" width="11.42578125" style="1" hidden="1"/>
  </cols>
  <sheetData>
    <row r="5" spans="2:19" s="4" customFormat="1" ht="20.25" customHeight="1" x14ac:dyDescent="0.25">
      <c r="B5" s="5" t="s">
        <v>65</v>
      </c>
      <c r="C5" s="5"/>
      <c r="D5" s="5"/>
      <c r="E5" s="5"/>
      <c r="G5" s="5" t="s">
        <v>66</v>
      </c>
      <c r="H5" s="5"/>
      <c r="I5" s="5"/>
      <c r="J5" s="5"/>
      <c r="K5" s="5"/>
      <c r="M5" s="5" t="s">
        <v>67</v>
      </c>
      <c r="N5" s="5"/>
      <c r="O5" s="6"/>
      <c r="P5" s="5"/>
    </row>
    <row r="7" spans="2:19" s="7" customFormat="1" ht="16.5" customHeight="1" x14ac:dyDescent="0.15">
      <c r="B7" s="7" t="s">
        <v>0</v>
      </c>
      <c r="C7" s="7" t="s">
        <v>1</v>
      </c>
      <c r="D7" s="7" t="s">
        <v>2</v>
      </c>
      <c r="E7" s="7" t="s">
        <v>3</v>
      </c>
      <c r="G7" s="7" t="s">
        <v>4</v>
      </c>
      <c r="H7" s="7" t="s">
        <v>86</v>
      </c>
      <c r="I7" s="7" t="s">
        <v>1</v>
      </c>
      <c r="J7" s="7" t="s">
        <v>2</v>
      </c>
      <c r="K7" s="7" t="s">
        <v>135</v>
      </c>
      <c r="M7" s="7" t="s">
        <v>68</v>
      </c>
      <c r="N7" s="7" t="s">
        <v>78</v>
      </c>
      <c r="O7" s="7" t="s">
        <v>69</v>
      </c>
      <c r="P7" s="8" t="s">
        <v>134</v>
      </c>
    </row>
    <row r="8" spans="2:19" x14ac:dyDescent="0.15">
      <c r="B8" s="1" t="s">
        <v>5</v>
      </c>
      <c r="C8" s="1" t="s">
        <v>15</v>
      </c>
      <c r="D8" s="3" t="s">
        <v>25</v>
      </c>
      <c r="E8" s="1" t="s">
        <v>26</v>
      </c>
      <c r="G8" s="1" t="s">
        <v>36</v>
      </c>
      <c r="H8" s="1" t="s">
        <v>87</v>
      </c>
      <c r="I8" s="1" t="s">
        <v>44</v>
      </c>
      <c r="J8" s="3" t="s">
        <v>54</v>
      </c>
      <c r="K8" s="1" t="s">
        <v>55</v>
      </c>
      <c r="M8" s="1" t="s">
        <v>70</v>
      </c>
      <c r="N8" s="1" t="s">
        <v>79</v>
      </c>
      <c r="O8" s="1" t="s">
        <v>74</v>
      </c>
      <c r="P8" s="2">
        <v>40000000</v>
      </c>
      <c r="S8" s="1" t="s">
        <v>104</v>
      </c>
    </row>
    <row r="9" spans="2:19" x14ac:dyDescent="0.15">
      <c r="B9" s="1" t="s">
        <v>6</v>
      </c>
      <c r="C9" s="1" t="s">
        <v>16</v>
      </c>
      <c r="D9" s="3" t="s">
        <v>25</v>
      </c>
      <c r="E9" s="1" t="s">
        <v>27</v>
      </c>
      <c r="G9" s="1" t="s">
        <v>89</v>
      </c>
      <c r="H9" s="1" t="s">
        <v>88</v>
      </c>
      <c r="I9" s="1" t="s">
        <v>45</v>
      </c>
      <c r="J9" s="3" t="s">
        <v>54</v>
      </c>
      <c r="K9" s="1" t="s">
        <v>56</v>
      </c>
      <c r="M9" s="1" t="s">
        <v>71</v>
      </c>
      <c r="N9" s="1" t="s">
        <v>79</v>
      </c>
      <c r="O9" s="1" t="s">
        <v>75</v>
      </c>
      <c r="P9" s="2">
        <v>30000000</v>
      </c>
      <c r="S9" s="1" t="s">
        <v>105</v>
      </c>
    </row>
    <row r="10" spans="2:19" x14ac:dyDescent="0.15">
      <c r="B10" s="1" t="s">
        <v>7</v>
      </c>
      <c r="C10" s="1" t="s">
        <v>17</v>
      </c>
      <c r="D10" s="3" t="s">
        <v>25</v>
      </c>
      <c r="E10" s="1" t="s">
        <v>28</v>
      </c>
      <c r="G10" s="1" t="s">
        <v>37</v>
      </c>
      <c r="H10" s="1" t="s">
        <v>90</v>
      </c>
      <c r="I10" s="1" t="s">
        <v>46</v>
      </c>
      <c r="J10" s="3" t="s">
        <v>54</v>
      </c>
      <c r="K10" s="1" t="s">
        <v>57</v>
      </c>
      <c r="M10" s="1" t="s">
        <v>72</v>
      </c>
      <c r="N10" s="1" t="s">
        <v>80</v>
      </c>
      <c r="O10" s="1" t="s">
        <v>76</v>
      </c>
      <c r="P10" s="2"/>
      <c r="S10" s="1" t="s">
        <v>106</v>
      </c>
    </row>
    <row r="11" spans="2:19" x14ac:dyDescent="0.15">
      <c r="B11" s="1" t="s">
        <v>8</v>
      </c>
      <c r="C11" s="1" t="s">
        <v>18</v>
      </c>
      <c r="D11" s="3" t="s">
        <v>25</v>
      </c>
      <c r="E11" s="1" t="s">
        <v>29</v>
      </c>
      <c r="G11" s="1" t="s">
        <v>38</v>
      </c>
      <c r="H11" s="1" t="s">
        <v>91</v>
      </c>
      <c r="I11" s="1" t="s">
        <v>47</v>
      </c>
      <c r="J11" s="3" t="s">
        <v>54</v>
      </c>
      <c r="K11" s="1" t="s">
        <v>58</v>
      </c>
      <c r="M11" s="1" t="s">
        <v>73</v>
      </c>
      <c r="N11" s="1" t="s">
        <v>80</v>
      </c>
      <c r="O11" s="1" t="s">
        <v>77</v>
      </c>
      <c r="P11" s="2"/>
      <c r="S11" s="1" t="s">
        <v>107</v>
      </c>
    </row>
    <row r="12" spans="2:19" x14ac:dyDescent="0.15">
      <c r="B12" s="1" t="s">
        <v>9</v>
      </c>
      <c r="C12" s="1" t="s">
        <v>19</v>
      </c>
      <c r="D12" s="3" t="s">
        <v>25</v>
      </c>
      <c r="E12" s="1" t="s">
        <v>30</v>
      </c>
      <c r="G12" s="1" t="s">
        <v>39</v>
      </c>
      <c r="H12" s="1" t="s">
        <v>92</v>
      </c>
      <c r="I12" s="1" t="s">
        <v>48</v>
      </c>
      <c r="J12" s="3" t="s">
        <v>54</v>
      </c>
      <c r="K12" s="1" t="s">
        <v>59</v>
      </c>
      <c r="O12" s="1"/>
      <c r="P12" s="2"/>
      <c r="S12" s="1" t="s">
        <v>108</v>
      </c>
    </row>
    <row r="13" spans="2:19" x14ac:dyDescent="0.15">
      <c r="B13" s="1" t="s">
        <v>10</v>
      </c>
      <c r="C13" s="1" t="s">
        <v>20</v>
      </c>
      <c r="D13" s="3" t="s">
        <v>25</v>
      </c>
      <c r="E13" s="1" t="s">
        <v>31</v>
      </c>
      <c r="G13" s="1" t="s">
        <v>40</v>
      </c>
      <c r="H13" s="1" t="s">
        <v>93</v>
      </c>
      <c r="I13" s="1" t="s">
        <v>49</v>
      </c>
      <c r="J13" s="3" t="s">
        <v>54</v>
      </c>
      <c r="K13" s="1" t="s">
        <v>60</v>
      </c>
      <c r="O13" s="1"/>
      <c r="P13" s="2"/>
      <c r="S13" s="1" t="s">
        <v>109</v>
      </c>
    </row>
    <row r="14" spans="2:19" x14ac:dyDescent="0.15">
      <c r="B14" s="1" t="s">
        <v>11</v>
      </c>
      <c r="C14" s="1" t="s">
        <v>21</v>
      </c>
      <c r="D14" s="3" t="s">
        <v>25</v>
      </c>
      <c r="E14" s="1" t="s">
        <v>32</v>
      </c>
      <c r="G14" s="1" t="s">
        <v>41</v>
      </c>
      <c r="H14" s="1" t="s">
        <v>94</v>
      </c>
      <c r="I14" s="1" t="s">
        <v>50</v>
      </c>
      <c r="J14" s="3" t="s">
        <v>54</v>
      </c>
      <c r="K14" s="1" t="s">
        <v>61</v>
      </c>
      <c r="O14" s="1"/>
      <c r="P14" s="2"/>
      <c r="S14" s="1" t="s">
        <v>110</v>
      </c>
    </row>
    <row r="15" spans="2:19" x14ac:dyDescent="0.15">
      <c r="B15" s="1" t="s">
        <v>12</v>
      </c>
      <c r="C15" s="1" t="s">
        <v>22</v>
      </c>
      <c r="D15" s="3" t="s">
        <v>25</v>
      </c>
      <c r="E15" s="1" t="s">
        <v>33</v>
      </c>
      <c r="G15" s="1" t="s">
        <v>42</v>
      </c>
      <c r="H15" s="1" t="s">
        <v>95</v>
      </c>
      <c r="I15" s="1" t="s">
        <v>51</v>
      </c>
      <c r="J15" s="3" t="s">
        <v>54</v>
      </c>
      <c r="K15" s="1" t="s">
        <v>62</v>
      </c>
      <c r="O15" s="1"/>
      <c r="P15" s="2"/>
      <c r="S15" s="1" t="s">
        <v>111</v>
      </c>
    </row>
    <row r="16" spans="2:19" x14ac:dyDescent="0.15">
      <c r="B16" s="1" t="s">
        <v>13</v>
      </c>
      <c r="C16" s="1" t="s">
        <v>23</v>
      </c>
      <c r="D16" s="3" t="s">
        <v>25</v>
      </c>
      <c r="E16" s="1" t="s">
        <v>34</v>
      </c>
      <c r="G16" s="1" t="s">
        <v>79</v>
      </c>
      <c r="H16" s="1" t="s">
        <v>97</v>
      </c>
      <c r="I16" s="1" t="s">
        <v>52</v>
      </c>
      <c r="J16" s="3" t="s">
        <v>54</v>
      </c>
      <c r="K16" s="1" t="s">
        <v>63</v>
      </c>
      <c r="O16" s="1"/>
      <c r="P16" s="2"/>
      <c r="S16" s="1" t="s">
        <v>112</v>
      </c>
    </row>
    <row r="17" spans="2:19" x14ac:dyDescent="0.15">
      <c r="B17" s="1" t="s">
        <v>14</v>
      </c>
      <c r="C17" s="1" t="s">
        <v>24</v>
      </c>
      <c r="D17" s="3" t="s">
        <v>25</v>
      </c>
      <c r="E17" s="1" t="s">
        <v>35</v>
      </c>
      <c r="G17" s="1" t="s">
        <v>43</v>
      </c>
      <c r="H17" s="1" t="s">
        <v>96</v>
      </c>
      <c r="I17" s="1" t="s">
        <v>53</v>
      </c>
      <c r="J17" s="3" t="s">
        <v>54</v>
      </c>
      <c r="K17" s="1" t="s">
        <v>64</v>
      </c>
      <c r="O17" s="1"/>
      <c r="P17" s="2"/>
      <c r="S17" s="1" t="s">
        <v>113</v>
      </c>
    </row>
    <row r="18" spans="2:19" x14ac:dyDescent="0.15">
      <c r="I18" s="3"/>
      <c r="S18" s="1" t="s">
        <v>114</v>
      </c>
    </row>
    <row r="19" spans="2:19" x14ac:dyDescent="0.15">
      <c r="S19" s="1" t="s">
        <v>115</v>
      </c>
    </row>
  </sheetData>
  <hyperlinks>
    <hyperlink ref="I9:I18" r:id="rId1" display="stephane.t@tssperformance.com"/>
    <hyperlink ref="J8" r:id="rId2"/>
    <hyperlink ref="D9:D17" r:id="rId3" display="stephane.temgoua@tssperformance.com"/>
    <hyperlink ref="D8" r:id="rId4"/>
  </hyperlinks>
  <pageMargins left="0.7" right="0.7" top="0.75" bottom="0.75" header="0.3" footer="0.3"/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"/>
  <sheetViews>
    <sheetView showGridLines="0" topLeftCell="C2" workbookViewId="0">
      <selection activeCell="L11" sqref="L11"/>
    </sheetView>
  </sheetViews>
  <sheetFormatPr baseColWidth="10" defaultColWidth="0" defaultRowHeight="10.5" x14ac:dyDescent="0.15"/>
  <cols>
    <col min="1" max="1" width="0" style="1" hidden="1" customWidth="1"/>
    <col min="2" max="2" width="6.140625" style="1" customWidth="1"/>
    <col min="3" max="3" width="17.85546875" style="1" customWidth="1"/>
    <col min="4" max="4" width="11" style="2" customWidth="1"/>
    <col min="5" max="5" width="15.85546875" style="1" customWidth="1"/>
    <col min="6" max="6" width="17.85546875" style="1" customWidth="1"/>
    <col min="7" max="7" width="6.7109375" style="1" customWidth="1"/>
    <col min="8" max="8" width="23.28515625" style="1" customWidth="1"/>
    <col min="9" max="9" width="11.42578125" style="2" customWidth="1"/>
    <col min="10" max="10" width="15.85546875" style="1" customWidth="1"/>
    <col min="11" max="11" width="16.28515625" style="1" customWidth="1"/>
    <col min="12" max="12" width="11.42578125" style="1" customWidth="1"/>
    <col min="13" max="13" width="0" style="1" hidden="1" customWidth="1"/>
    <col min="14" max="16384" width="11.42578125" style="1" hidden="1"/>
  </cols>
  <sheetData>
    <row r="1" spans="1:12" x14ac:dyDescent="0.15">
      <c r="A1" s="1">
        <f>+Nbr_Max_Restant</f>
        <v>10</v>
      </c>
    </row>
    <row r="3" spans="1:12" ht="18" x14ac:dyDescent="0.25">
      <c r="C3" s="30" t="s">
        <v>83</v>
      </c>
      <c r="D3" s="61">
        <v>41342</v>
      </c>
      <c r="E3" s="61"/>
    </row>
    <row r="4" spans="1:12" x14ac:dyDescent="0.15">
      <c r="C4" s="10"/>
    </row>
    <row r="5" spans="1:12" s="4" customFormat="1" ht="18" x14ac:dyDescent="0.25">
      <c r="C5" s="5" t="s">
        <v>122</v>
      </c>
      <c r="D5" s="6"/>
      <c r="E5" s="5"/>
      <c r="F5" s="5"/>
      <c r="H5" s="5" t="s">
        <v>123</v>
      </c>
      <c r="I5" s="6"/>
      <c r="J5" s="5"/>
      <c r="K5" s="5"/>
    </row>
    <row r="7" spans="1:12" s="7" customFormat="1" ht="12" customHeight="1" x14ac:dyDescent="0.15">
      <c r="C7" s="7" t="s">
        <v>0</v>
      </c>
      <c r="D7" s="8" t="s">
        <v>81</v>
      </c>
      <c r="E7" s="7" t="s">
        <v>84</v>
      </c>
      <c r="F7" s="7" t="s">
        <v>82</v>
      </c>
      <c r="H7" s="7" t="s">
        <v>85</v>
      </c>
      <c r="I7" s="8" t="s">
        <v>81</v>
      </c>
      <c r="J7" s="7" t="s">
        <v>84</v>
      </c>
      <c r="K7" s="7" t="s">
        <v>82</v>
      </c>
      <c r="L7" s="7" t="s">
        <v>137</v>
      </c>
    </row>
    <row r="8" spans="1:12" x14ac:dyDescent="0.15">
      <c r="C8" s="1" t="s">
        <v>9</v>
      </c>
      <c r="D8" s="2">
        <v>4500000</v>
      </c>
      <c r="E8" s="1">
        <v>3</v>
      </c>
      <c r="F8" s="9">
        <v>41434</v>
      </c>
      <c r="H8" s="1" t="s">
        <v>36</v>
      </c>
      <c r="I8" s="2">
        <v>650000</v>
      </c>
      <c r="J8" s="1">
        <v>10</v>
      </c>
      <c r="K8" s="9">
        <v>41342</v>
      </c>
      <c r="L8" s="1">
        <v>612</v>
      </c>
    </row>
    <row r="9" spans="1:12" x14ac:dyDescent="0.15">
      <c r="C9" s="1" t="s">
        <v>10</v>
      </c>
      <c r="D9" s="2">
        <v>1000000</v>
      </c>
      <c r="E9" s="1">
        <v>11</v>
      </c>
      <c r="F9" s="9">
        <v>41487</v>
      </c>
      <c r="H9" s="1" t="s">
        <v>89</v>
      </c>
      <c r="I9" s="2">
        <v>2000000</v>
      </c>
      <c r="J9" s="1">
        <v>10</v>
      </c>
      <c r="K9" s="9">
        <v>41363</v>
      </c>
      <c r="L9" s="1">
        <v>613</v>
      </c>
    </row>
    <row r="10" spans="1:12" x14ac:dyDescent="0.15">
      <c r="C10" s="1" t="s">
        <v>11</v>
      </c>
      <c r="D10" s="2">
        <v>650000</v>
      </c>
      <c r="E10" s="1">
        <v>7</v>
      </c>
      <c r="F10" s="9">
        <v>41365</v>
      </c>
      <c r="H10" s="1" t="s">
        <v>37</v>
      </c>
      <c r="I10" s="2">
        <v>450000</v>
      </c>
      <c r="J10" s="1">
        <v>7</v>
      </c>
      <c r="K10" s="9">
        <v>41398</v>
      </c>
      <c r="L10" s="1">
        <v>614</v>
      </c>
    </row>
    <row r="11" spans="1:12" x14ac:dyDescent="0.15">
      <c r="H11" s="1" t="s">
        <v>79</v>
      </c>
      <c r="I11" s="2">
        <v>1200000</v>
      </c>
      <c r="J11" s="1">
        <v>6</v>
      </c>
      <c r="K11" s="9">
        <v>41369</v>
      </c>
    </row>
  </sheetData>
  <mergeCells count="1">
    <mergeCell ref="D3:E3"/>
  </mergeCells>
  <dataValidations count="3">
    <dataValidation type="list" allowBlank="1" showInputMessage="1" showErrorMessage="1" sqref="C8:C1048576">
      <formula1>Nom_client</formula1>
    </dataValidation>
    <dataValidation type="whole" allowBlank="1" showInputMessage="1" showErrorMessage="1" sqref="E8:E1048576 J8:J1048576">
      <formula1>1</formula1>
      <formula2>$A$1</formula2>
    </dataValidation>
    <dataValidation type="list" allowBlank="1" showInputMessage="1" showErrorMessage="1" sqref="H8:H1048576">
      <formula1>Nom_debiteurs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3:V37"/>
  <sheetViews>
    <sheetView showGridLines="0" workbookViewId="0">
      <selection activeCell="I12" sqref="I12"/>
    </sheetView>
  </sheetViews>
  <sheetFormatPr baseColWidth="10" defaultColWidth="0" defaultRowHeight="10.5" x14ac:dyDescent="0.15"/>
  <cols>
    <col min="1" max="1" width="4.28515625" style="1" customWidth="1"/>
    <col min="2" max="2" width="6.7109375" style="1" hidden="1" customWidth="1"/>
    <col min="3" max="3" width="16.42578125" style="1" customWidth="1"/>
    <col min="4" max="4" width="11.42578125" style="2" customWidth="1"/>
    <col min="5" max="5" width="11.140625" style="1" customWidth="1"/>
    <col min="6" max="6" width="5.28515625" style="1" customWidth="1"/>
    <col min="7" max="7" width="17.7109375" style="1" customWidth="1"/>
    <col min="8" max="8" width="11.42578125" style="2" customWidth="1"/>
    <col min="9" max="9" width="13" style="1" bestFit="1" customWidth="1"/>
    <col min="10" max="10" width="11.140625" style="1" customWidth="1"/>
    <col min="11" max="11" width="11.42578125" style="1" hidden="1" customWidth="1"/>
    <col min="12" max="12" width="6" style="1" customWidth="1"/>
    <col min="13" max="13" width="17.7109375" style="1" customWidth="1"/>
    <col min="14" max="14" width="11.42578125" style="2" customWidth="1"/>
    <col min="15" max="15" width="13" style="1" bestFit="1" customWidth="1"/>
    <col min="16" max="16" width="11.140625" style="1" customWidth="1"/>
    <col min="17" max="17" width="11.42578125" style="1" hidden="1" customWidth="1"/>
    <col min="18" max="18" width="11.42578125" style="1" customWidth="1"/>
    <col min="19" max="22" width="0" style="1" hidden="1" customWidth="1"/>
    <col min="23" max="16384" width="11.42578125" style="1" hidden="1"/>
  </cols>
  <sheetData>
    <row r="3" spans="3:22" ht="20.25" x14ac:dyDescent="0.3">
      <c r="C3" s="13" t="str">
        <f>"Etat des lieux du "&amp;PROPER(TEXT(DateJour,"jjJJ JJ mmMM aaAA"))</f>
        <v>Etat des lieux du Samedi 09 Mars 2013</v>
      </c>
      <c r="D3" s="14"/>
      <c r="E3" s="13"/>
      <c r="F3" s="13"/>
      <c r="G3" s="13"/>
      <c r="H3" s="14"/>
      <c r="I3" s="13"/>
      <c r="J3" s="13"/>
      <c r="K3" s="13"/>
      <c r="L3" s="13"/>
      <c r="M3" s="13"/>
      <c r="N3" s="14"/>
      <c r="O3" s="13"/>
      <c r="P3" s="13"/>
    </row>
    <row r="6" spans="3:22" s="15" customFormat="1" ht="18" x14ac:dyDescent="0.15">
      <c r="C6" s="16" t="s">
        <v>98</v>
      </c>
      <c r="D6" s="62">
        <f>SUM(D8:D10000)</f>
        <v>2400000</v>
      </c>
      <c r="E6" s="62"/>
      <c r="G6" s="16" t="s">
        <v>116</v>
      </c>
      <c r="H6" s="17"/>
      <c r="I6" s="62">
        <f>SUM(H8:H10000)</f>
        <v>13850000</v>
      </c>
      <c r="J6" s="62"/>
      <c r="M6" s="16" t="s">
        <v>124</v>
      </c>
      <c r="N6" s="17"/>
      <c r="O6" s="62">
        <f>SUM(N8:N10000)</f>
        <v>4780000</v>
      </c>
      <c r="P6" s="62"/>
      <c r="T6" s="15" t="s">
        <v>125</v>
      </c>
      <c r="V6" s="15" t="s">
        <v>126</v>
      </c>
    </row>
    <row r="7" spans="3:22" s="11" customFormat="1" ht="20.25" customHeight="1" x14ac:dyDescent="0.15">
      <c r="C7" s="11" t="s">
        <v>98</v>
      </c>
      <c r="D7" s="12" t="s">
        <v>99</v>
      </c>
      <c r="E7" s="11" t="s">
        <v>100</v>
      </c>
      <c r="G7" s="11" t="s">
        <v>101</v>
      </c>
      <c r="H7" s="12" t="s">
        <v>99</v>
      </c>
      <c r="I7" s="11" t="s">
        <v>103</v>
      </c>
      <c r="J7" s="11" t="s">
        <v>100</v>
      </c>
      <c r="K7" s="11" t="s">
        <v>121</v>
      </c>
      <c r="M7" s="11" t="s">
        <v>102</v>
      </c>
      <c r="N7" s="12" t="s">
        <v>99</v>
      </c>
      <c r="O7" s="11" t="s">
        <v>103</v>
      </c>
      <c r="P7" s="11" t="s">
        <v>100</v>
      </c>
      <c r="Q7" s="11" t="s">
        <v>121</v>
      </c>
      <c r="T7" s="11">
        <f>COUNTA(Creanciers[Créanciers])+COUNTA(EngagementsClients[Nom client])</f>
        <v>8</v>
      </c>
      <c r="V7" s="11">
        <f>COUNTA(Debiteurs[Débiteur])+COUNTA(Engagements_Débiteurs[Nom débiteur])</f>
        <v>9</v>
      </c>
    </row>
    <row r="8" spans="3:22" x14ac:dyDescent="0.15">
      <c r="C8" s="1" t="s">
        <v>70</v>
      </c>
      <c r="D8" s="2">
        <v>1200000</v>
      </c>
      <c r="E8" s="2">
        <f>D8</f>
        <v>1200000</v>
      </c>
      <c r="G8" s="1" t="s">
        <v>11</v>
      </c>
      <c r="H8" s="2">
        <v>6540000</v>
      </c>
      <c r="I8" s="9">
        <v>41406</v>
      </c>
      <c r="J8" s="2">
        <f>H8</f>
        <v>6540000</v>
      </c>
      <c r="K8" s="9" t="str">
        <f>MONTH(I8)&amp;YEAR(I8)</f>
        <v>52013</v>
      </c>
      <c r="M8" s="1" t="s">
        <v>40</v>
      </c>
      <c r="N8" s="2">
        <v>1560000</v>
      </c>
      <c r="O8" s="9">
        <v>41363</v>
      </c>
      <c r="P8" s="2">
        <f>N8</f>
        <v>1560000</v>
      </c>
      <c r="Q8" s="9" t="str">
        <f>MONTH(O8)&amp;YEAR(O8)</f>
        <v>32013</v>
      </c>
    </row>
    <row r="9" spans="3:22" x14ac:dyDescent="0.15">
      <c r="C9" s="1" t="s">
        <v>73</v>
      </c>
      <c r="D9" s="2">
        <v>800000</v>
      </c>
      <c r="E9" s="2">
        <f>D9</f>
        <v>800000</v>
      </c>
      <c r="G9" s="1" t="s">
        <v>9</v>
      </c>
      <c r="H9" s="2">
        <v>2500000</v>
      </c>
      <c r="I9" s="9">
        <v>41345</v>
      </c>
      <c r="J9" s="2">
        <f>H9</f>
        <v>2500000</v>
      </c>
      <c r="K9" s="9" t="str">
        <f>MONTH(I9)&amp;YEAR(I9)</f>
        <v>32013</v>
      </c>
      <c r="M9" s="1" t="s">
        <v>40</v>
      </c>
      <c r="N9" s="2">
        <v>1540000</v>
      </c>
      <c r="O9" s="9">
        <v>41345</v>
      </c>
      <c r="P9" s="2">
        <f>N9</f>
        <v>1540000</v>
      </c>
      <c r="Q9" s="9" t="str">
        <f>MONTH(O9)&amp;YEAR(O9)</f>
        <v>32013</v>
      </c>
    </row>
    <row r="10" spans="3:22" x14ac:dyDescent="0.15">
      <c r="C10" s="1" t="s">
        <v>72</v>
      </c>
      <c r="D10" s="2">
        <v>400000</v>
      </c>
      <c r="E10" s="2">
        <f>D10</f>
        <v>400000</v>
      </c>
      <c r="G10" s="1" t="s">
        <v>8</v>
      </c>
      <c r="H10" s="2">
        <v>2300000</v>
      </c>
      <c r="I10" s="9">
        <v>41347</v>
      </c>
      <c r="J10" s="2">
        <f>H10</f>
        <v>2300000</v>
      </c>
      <c r="K10" s="9" t="str">
        <f>MONTH(I10)&amp;YEAR(I10)</f>
        <v>32013</v>
      </c>
      <c r="M10" s="1" t="s">
        <v>36</v>
      </c>
      <c r="N10" s="2">
        <v>1000000</v>
      </c>
      <c r="O10" s="9">
        <v>41347</v>
      </c>
      <c r="P10" s="2">
        <f>N10</f>
        <v>1000000</v>
      </c>
      <c r="Q10" s="9" t="str">
        <f>MONTH(O10)&amp;YEAR(O10)</f>
        <v>32013</v>
      </c>
    </row>
    <row r="11" spans="3:22" x14ac:dyDescent="0.15">
      <c r="E11" s="2"/>
      <c r="G11" s="1" t="s">
        <v>6</v>
      </c>
      <c r="H11" s="2">
        <v>2210000</v>
      </c>
      <c r="I11" s="9">
        <v>41352</v>
      </c>
      <c r="J11" s="2">
        <f>H11</f>
        <v>2210000</v>
      </c>
      <c r="K11" s="9" t="str">
        <f>MONTH(I11)&amp;YEAR(I11)</f>
        <v>32013</v>
      </c>
      <c r="M11" s="1" t="s">
        <v>43</v>
      </c>
      <c r="N11" s="2">
        <v>450000</v>
      </c>
      <c r="O11" s="9">
        <v>41379</v>
      </c>
      <c r="P11" s="2">
        <f>N11</f>
        <v>450000</v>
      </c>
      <c r="Q11" s="9" t="str">
        <f>MONTH(O11)&amp;YEAR(O11)</f>
        <v>42013</v>
      </c>
    </row>
    <row r="12" spans="3:22" x14ac:dyDescent="0.15">
      <c r="E12" s="2"/>
      <c r="G12" s="1" t="s">
        <v>7</v>
      </c>
      <c r="H12" s="2">
        <v>300000</v>
      </c>
      <c r="I12" s="9">
        <v>41363</v>
      </c>
      <c r="J12" s="2">
        <f>H12</f>
        <v>300000</v>
      </c>
      <c r="K12" s="9" t="str">
        <f>MONTH(I12)&amp;YEAR(I12)</f>
        <v>32013</v>
      </c>
      <c r="M12" s="1" t="s">
        <v>41</v>
      </c>
      <c r="N12" s="2">
        <v>230000</v>
      </c>
      <c r="O12" s="9">
        <v>41353</v>
      </c>
      <c r="P12" s="2">
        <f>N12</f>
        <v>230000</v>
      </c>
      <c r="Q12" s="9" t="str">
        <f>MONTH(O12)&amp;YEAR(O12)</f>
        <v>32013</v>
      </c>
    </row>
    <row r="13" spans="3:22" x14ac:dyDescent="0.15">
      <c r="E13" s="2"/>
      <c r="J13" s="2"/>
      <c r="P13" s="2"/>
    </row>
    <row r="14" spans="3:22" x14ac:dyDescent="0.15">
      <c r="E14" s="2"/>
      <c r="J14" s="2"/>
      <c r="P14" s="2"/>
    </row>
    <row r="15" spans="3:22" x14ac:dyDescent="0.15">
      <c r="E15" s="2"/>
      <c r="J15" s="2"/>
      <c r="P15" s="2"/>
    </row>
    <row r="16" spans="3:22" x14ac:dyDescent="0.15">
      <c r="E16" s="2"/>
      <c r="J16" s="2"/>
      <c r="P16" s="2"/>
    </row>
    <row r="17" spans="5:16" x14ac:dyDescent="0.15">
      <c r="E17" s="2"/>
      <c r="J17" s="2"/>
      <c r="P17" s="2"/>
    </row>
    <row r="18" spans="5:16" x14ac:dyDescent="0.15">
      <c r="E18" s="2"/>
      <c r="J18" s="2"/>
      <c r="P18" s="2"/>
    </row>
    <row r="19" spans="5:16" x14ac:dyDescent="0.15">
      <c r="E19" s="2"/>
      <c r="J19" s="2"/>
      <c r="P19" s="2"/>
    </row>
    <row r="20" spans="5:16" x14ac:dyDescent="0.15">
      <c r="E20" s="2"/>
      <c r="J20" s="2"/>
      <c r="P20" s="2"/>
    </row>
    <row r="21" spans="5:16" x14ac:dyDescent="0.15">
      <c r="E21" s="2"/>
      <c r="J21" s="2"/>
      <c r="P21" s="2"/>
    </row>
    <row r="22" spans="5:16" x14ac:dyDescent="0.15">
      <c r="E22" s="2"/>
      <c r="J22" s="2"/>
      <c r="P22" s="2"/>
    </row>
    <row r="23" spans="5:16" x14ac:dyDescent="0.15">
      <c r="E23" s="2"/>
      <c r="J23" s="2"/>
      <c r="P23" s="2"/>
    </row>
    <row r="24" spans="5:16" x14ac:dyDescent="0.15">
      <c r="E24" s="2"/>
      <c r="J24" s="2"/>
      <c r="P24" s="2"/>
    </row>
    <row r="25" spans="5:16" x14ac:dyDescent="0.15">
      <c r="E25" s="2"/>
      <c r="J25" s="2"/>
      <c r="P25" s="2"/>
    </row>
    <row r="26" spans="5:16" x14ac:dyDescent="0.15">
      <c r="E26" s="2"/>
      <c r="J26" s="2"/>
      <c r="P26" s="2"/>
    </row>
    <row r="27" spans="5:16" x14ac:dyDescent="0.15">
      <c r="E27" s="2"/>
      <c r="J27" s="2"/>
      <c r="P27" s="2"/>
    </row>
    <row r="28" spans="5:16" x14ac:dyDescent="0.15">
      <c r="E28" s="2"/>
      <c r="J28" s="2"/>
      <c r="P28" s="2"/>
    </row>
    <row r="29" spans="5:16" x14ac:dyDescent="0.15">
      <c r="E29" s="2"/>
      <c r="J29" s="2"/>
      <c r="P29" s="2"/>
    </row>
    <row r="30" spans="5:16" x14ac:dyDescent="0.15">
      <c r="E30" s="2"/>
      <c r="J30" s="2"/>
      <c r="P30" s="2"/>
    </row>
    <row r="31" spans="5:16" x14ac:dyDescent="0.15">
      <c r="E31" s="2"/>
      <c r="J31" s="2"/>
      <c r="P31" s="2"/>
    </row>
    <row r="32" spans="5:16" x14ac:dyDescent="0.15">
      <c r="E32" s="2"/>
      <c r="J32" s="2"/>
      <c r="P32" s="2"/>
    </row>
    <row r="33" spans="5:16" x14ac:dyDescent="0.15">
      <c r="E33" s="2"/>
      <c r="J33" s="2"/>
      <c r="P33" s="2"/>
    </row>
    <row r="34" spans="5:16" x14ac:dyDescent="0.15">
      <c r="E34" s="2"/>
      <c r="J34" s="2"/>
      <c r="P34" s="2"/>
    </row>
    <row r="35" spans="5:16" x14ac:dyDescent="0.15">
      <c r="E35" s="2"/>
      <c r="J35" s="2"/>
      <c r="P35" s="2"/>
    </row>
    <row r="36" spans="5:16" x14ac:dyDescent="0.15">
      <c r="E36" s="2"/>
      <c r="J36" s="2"/>
      <c r="P36" s="2"/>
    </row>
    <row r="37" spans="5:16" x14ac:dyDescent="0.15">
      <c r="E37" s="2"/>
      <c r="J37" s="2"/>
      <c r="P37" s="2"/>
    </row>
  </sheetData>
  <sortState ref="G7:K12">
    <sortCondition descending="1" ref="H8"/>
  </sortState>
  <mergeCells count="3">
    <mergeCell ref="I6:J6"/>
    <mergeCell ref="O6:P6"/>
    <mergeCell ref="D6:E6"/>
  </mergeCells>
  <conditionalFormatting sqref="J8:J37">
    <cfRule type="dataBar" priority="3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{AF5156E2-4A32-46E2-BC92-9E6B95339116}</x14:id>
        </ext>
      </extLst>
    </cfRule>
  </conditionalFormatting>
  <conditionalFormatting sqref="P8:P12">
    <cfRule type="dataBar" priority="2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{66076061-0A9B-4B7F-B942-6B326121C600}</x14:id>
        </ext>
      </extLst>
    </cfRule>
  </conditionalFormatting>
  <conditionalFormatting sqref="E8:E10">
    <cfRule type="dataBar" priority="1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{589FDE32-E9B1-4EAF-A0C4-3C4A8B7E9D14}</x14:id>
        </ext>
      </extLst>
    </cfRule>
  </conditionalFormatting>
  <dataValidations count="3">
    <dataValidation type="list" allowBlank="1" showInputMessage="1" showErrorMessage="1" sqref="C8:C1048576">
      <formula1>Nom_tresor</formula1>
    </dataValidation>
    <dataValidation type="list" allowBlank="1" showInputMessage="1" showErrorMessage="1" sqref="G8:G1048576">
      <formula1>Nom_client</formula1>
    </dataValidation>
    <dataValidation type="list" allowBlank="1" showInputMessage="1" showErrorMessage="1" sqref="M8:M1048576">
      <formula1>Nom_debiteurs</formula1>
    </dataValidation>
  </dataValidations>
  <pageMargins left="0.4" right="0.48" top="0.75" bottom="0.75" header="0.3" footer="0.3"/>
  <pageSetup scale="89" orientation="landscape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5156E2-4A32-46E2-BC92-9E6B953391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J8:J37</xm:sqref>
        </x14:conditionalFormatting>
        <x14:conditionalFormatting xmlns:xm="http://schemas.microsoft.com/office/excel/2006/main">
          <x14:cfRule type="dataBar" id="{66076061-0A9B-4B7F-B942-6B326121C60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P8:P12</xm:sqref>
        </x14:conditionalFormatting>
        <x14:conditionalFormatting xmlns:xm="http://schemas.microsoft.com/office/excel/2006/main">
          <x14:cfRule type="dataBar" id="{589FDE32-E9B1-4EAF-A0C4-3C4A8B7E9D1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E8:E10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T73"/>
  <sheetViews>
    <sheetView showGridLines="0" zoomScaleNormal="100" workbookViewId="0">
      <selection activeCell="F7" sqref="F7"/>
    </sheetView>
  </sheetViews>
  <sheetFormatPr baseColWidth="10" defaultColWidth="0" defaultRowHeight="10.5" x14ac:dyDescent="0.15"/>
  <cols>
    <col min="1" max="1" width="1.85546875" style="1" customWidth="1"/>
    <col min="2" max="2" width="6.7109375" style="1" hidden="1" customWidth="1"/>
    <col min="3" max="3" width="10.7109375" style="1" customWidth="1"/>
    <col min="4" max="4" width="20.140625" style="1" customWidth="1"/>
    <col min="5" max="18" width="10.140625" style="1" customWidth="1"/>
    <col min="19" max="19" width="10" style="1" customWidth="1"/>
    <col min="20" max="20" width="11.42578125" style="1" customWidth="1"/>
    <col min="21" max="16384" width="11.42578125" style="1" hidden="1"/>
  </cols>
  <sheetData>
    <row r="2" spans="2:19" ht="20.25" customHeight="1" x14ac:dyDescent="0.15"/>
    <row r="3" spans="2:19" ht="19.5" x14ac:dyDescent="0.25">
      <c r="B3" s="1">
        <f t="array" ref="B3">IFERROR(INDEX(Debiteurs[Solde],MATCH('Plan de tresorerie CT'!$D3&amp;'Plan de tresorerie CT'!B$5,Debiteurs[Débiteur]&amp;Debiteurs[Date paiement],0)),0)+
IFERROR(INDEX(Engagements_Débiteurs[Mensualité],MATCH('Plan de tresorerie CT'!$D3&amp;'Plan de tresorerie CT'!B$5,Engagements_Débiteurs[Nom débiteur]&amp;Engagements_Débiteurs[Prochain Paiement],0)),0)</f>
        <v>0</v>
      </c>
      <c r="D3" s="36" t="str">
        <f>"Plan de trésorerie du "&amp;TEXT(E5,"jjjj jj mmm aaaa")&amp;" au "&amp;TEXT(R5,"jjjj jj mmm aaaa")</f>
        <v>Plan de trésorerie du samedi 09 mars 2013 au vendredi 22 mars 2013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2:19" ht="16.5" customHeight="1" x14ac:dyDescent="0.15">
      <c r="B4" s="1">
        <f t="array" ref="B4">IFERROR(INDEX(Creanciers[Solde],MATCH('Plan de tresorerie CT'!$D4&amp;'Plan de tresorerie CT'!B$5,Creanciers[Créanciers]&amp;Creanciers[Date paiement],0)),0)+
IFERROR(INDEX(EngagementsClients[Mensualité],MATCH('Plan de tresorerie CT'!$D4&amp;'Plan de tresorerie CT'!B$5,EngagementsClients[Nom client]&amp;EngagementsClients[Prochain Paiement],0)),0)</f>
        <v>0</v>
      </c>
    </row>
    <row r="5" spans="2:19" x14ac:dyDescent="0.15">
      <c r="E5" s="50">
        <f>+DateJour</f>
        <v>41342</v>
      </c>
      <c r="F5" s="50">
        <f>+E5+1</f>
        <v>41343</v>
      </c>
      <c r="G5" s="50">
        <f t="shared" ref="G5:R5" si="0">+F5+1</f>
        <v>41344</v>
      </c>
      <c r="H5" s="50">
        <f t="shared" si="0"/>
        <v>41345</v>
      </c>
      <c r="I5" s="50">
        <f t="shared" si="0"/>
        <v>41346</v>
      </c>
      <c r="J5" s="50">
        <f t="shared" si="0"/>
        <v>41347</v>
      </c>
      <c r="K5" s="50">
        <f t="shared" si="0"/>
        <v>41348</v>
      </c>
      <c r="L5" s="50">
        <f t="shared" si="0"/>
        <v>41349</v>
      </c>
      <c r="M5" s="50">
        <f t="shared" si="0"/>
        <v>41350</v>
      </c>
      <c r="N5" s="50">
        <f t="shared" si="0"/>
        <v>41351</v>
      </c>
      <c r="O5" s="50">
        <f t="shared" si="0"/>
        <v>41352</v>
      </c>
      <c r="P5" s="50">
        <f t="shared" si="0"/>
        <v>41353</v>
      </c>
      <c r="Q5" s="50">
        <f t="shared" si="0"/>
        <v>41354</v>
      </c>
      <c r="R5" s="50">
        <f t="shared" si="0"/>
        <v>41355</v>
      </c>
    </row>
    <row r="6" spans="2:19" ht="15" customHeight="1" x14ac:dyDescent="0.2">
      <c r="C6" s="34" t="s">
        <v>132</v>
      </c>
      <c r="D6" s="32" t="s">
        <v>128</v>
      </c>
      <c r="E6" s="44">
        <f>'Etat des lieux'!D6</f>
        <v>2400000</v>
      </c>
      <c r="F6" s="44">
        <f>E73</f>
        <v>1100000</v>
      </c>
      <c r="G6" s="44">
        <f t="shared" ref="G6:R6" si="1">F73</f>
        <v>1100000</v>
      </c>
      <c r="H6" s="44">
        <f t="shared" si="1"/>
        <v>1100000</v>
      </c>
      <c r="I6" s="44">
        <f t="shared" si="1"/>
        <v>520000</v>
      </c>
      <c r="J6" s="44">
        <f t="shared" si="1"/>
        <v>520000</v>
      </c>
      <c r="K6" s="44">
        <f t="shared" si="1"/>
        <v>820000</v>
      </c>
      <c r="L6" s="44">
        <f t="shared" si="1"/>
        <v>820000</v>
      </c>
      <c r="M6" s="44">
        <f t="shared" si="1"/>
        <v>820000</v>
      </c>
      <c r="N6" s="44">
        <f t="shared" si="1"/>
        <v>820000</v>
      </c>
      <c r="O6" s="44">
        <f t="shared" si="1"/>
        <v>820000</v>
      </c>
      <c r="P6" s="44">
        <f t="shared" si="1"/>
        <v>3030000</v>
      </c>
      <c r="Q6" s="44">
        <f t="shared" si="1"/>
        <v>2800000</v>
      </c>
      <c r="R6" s="44">
        <f t="shared" si="1"/>
        <v>2800000</v>
      </c>
      <c r="S6" s="33" t="s">
        <v>133</v>
      </c>
    </row>
    <row r="7" spans="2:19" ht="8.25" customHeight="1" x14ac:dyDescent="0.15">
      <c r="C7" s="57">
        <f>E5</f>
        <v>41342</v>
      </c>
      <c r="S7" s="56">
        <f>R5</f>
        <v>41355</v>
      </c>
    </row>
    <row r="8" spans="2:19" ht="13.5" customHeight="1" x14ac:dyDescent="0.15">
      <c r="C8" s="34"/>
      <c r="D8" s="42" t="s">
        <v>116</v>
      </c>
      <c r="S8" s="33"/>
    </row>
    <row r="9" spans="2:19" x14ac:dyDescent="0.15">
      <c r="C9" s="51">
        <f>IFERROR(INDEX('Etat des lieux'!$H$8:$H$20000,MATCH(D9,'Etat des lieux'!$G$8:$G$20000,0)),0)</f>
        <v>2500000</v>
      </c>
      <c r="D9" s="22" t="s">
        <v>9</v>
      </c>
      <c r="E9" s="43">
        <v>0</v>
      </c>
      <c r="F9" s="43">
        <v>0</v>
      </c>
      <c r="G9" s="43">
        <v>0</v>
      </c>
      <c r="H9" s="43">
        <v>2500000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52">
        <f>IF(MONTH(R$5)&lt;&gt;MONTH(DateJour),IFERROR(VLOOKUP(D9,EngagementsClients[],2,0),0)+C9-SUM(E9:R9),C9-SUM(E9:R9))</f>
        <v>0</v>
      </c>
    </row>
    <row r="10" spans="2:19" x14ac:dyDescent="0.15">
      <c r="C10" s="51">
        <f>IFERROR(INDEX('Etat des lieux'!$H$8:$H$20000,MATCH(D10,'Etat des lieux'!$G$8:$G$20000,0)),0)</f>
        <v>0</v>
      </c>
      <c r="D10" s="22" t="s">
        <v>10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0</v>
      </c>
      <c r="O10" s="43">
        <v>0</v>
      </c>
      <c r="P10" s="43">
        <v>0</v>
      </c>
      <c r="Q10" s="43">
        <v>0</v>
      </c>
      <c r="R10" s="43">
        <v>0</v>
      </c>
      <c r="S10" s="52">
        <f>IF(MONTH(R$5)&lt;&gt;MONTH(DateJour),IFERROR(VLOOKUP(D10,EngagementsClients[],2,0),0)+C10-SUM(E10:R10),C10-SUM(E10:R10))</f>
        <v>0</v>
      </c>
    </row>
    <row r="11" spans="2:19" x14ac:dyDescent="0.15">
      <c r="C11" s="51">
        <f>IFERROR(INDEX('Etat des lieux'!$H$8:$H$20000,MATCH(D11,'Etat des lieux'!$G$8:$G$20000,0)),0)</f>
        <v>6540000</v>
      </c>
      <c r="D11" s="22" t="s">
        <v>11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52">
        <f>IF(MONTH(R$5)&lt;&gt;MONTH(DateJour),IFERROR(VLOOKUP(D11,EngagementsClients[],2,0),0)+C11-SUM(E11:R11),C11-SUM(E11:R11))</f>
        <v>6540000</v>
      </c>
    </row>
    <row r="12" spans="2:19" x14ac:dyDescent="0.15">
      <c r="C12" s="51">
        <f>IFERROR(INDEX('Etat des lieux'!$H$8:$H$20000,MATCH(D12,'Etat des lieux'!$G$8:$G$20000,0)),0)</f>
        <v>2300000</v>
      </c>
      <c r="D12" s="22" t="s">
        <v>8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2300000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52">
        <f>IF(MONTH(R$5)&lt;&gt;MONTH(DateJour),IFERROR(VLOOKUP(D12,EngagementsClients[],2,0),0)+C12-SUM(E12:R12),C12-SUM(E12:R12))</f>
        <v>0</v>
      </c>
    </row>
    <row r="13" spans="2:19" x14ac:dyDescent="0.15">
      <c r="C13" s="51">
        <f>IFERROR(INDEX('Etat des lieux'!$H$8:$H$20000,MATCH(D13,'Etat des lieux'!$G$8:$G$20000,0)),0)</f>
        <v>2210000</v>
      </c>
      <c r="D13" s="22" t="s">
        <v>6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2210000</v>
      </c>
      <c r="P13" s="43">
        <v>0</v>
      </c>
      <c r="Q13" s="43">
        <v>0</v>
      </c>
      <c r="R13" s="43">
        <v>0</v>
      </c>
      <c r="S13" s="52">
        <f>IF(MONTH(R$5)&lt;&gt;MONTH(DateJour),IFERROR(VLOOKUP(D13,EngagementsClients[],2,0),0)+C13-SUM(E13:R13),C13-SUM(E13:R13))</f>
        <v>0</v>
      </c>
    </row>
    <row r="14" spans="2:19" hidden="1" x14ac:dyDescent="0.15">
      <c r="C14" s="51">
        <f>IFERROR(INDEX('Etat des lieux'!$H$8:$H$20000,MATCH(D14,'Etat des lieux'!$G$8:$G$20000,0)),0)</f>
        <v>0</v>
      </c>
      <c r="D14" s="22"/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52">
        <f>IF(MONTH(R$5)&lt;&gt;MONTH(DateJour),IFERROR(VLOOKUP(D14,EngagementsClients[],2,0),0)+C14-SUM(E14:R14),C14-SUM(E14:R14))</f>
        <v>0</v>
      </c>
    </row>
    <row r="15" spans="2:19" hidden="1" x14ac:dyDescent="0.15">
      <c r="C15" s="51">
        <f>IFERROR(INDEX('Etat des lieux'!$H$8:$H$20000,MATCH(D15,'Etat des lieux'!$G$8:$G$20000,0)),0)</f>
        <v>0</v>
      </c>
      <c r="D15" s="22"/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52">
        <f>IF(MONTH(R$5)&lt;&gt;MONTH(DateJour),IFERROR(VLOOKUP(D15,EngagementsClients[],2,0),0)+C15-SUM(E15:R15),C15-SUM(E15:R15))</f>
        <v>0</v>
      </c>
    </row>
    <row r="16" spans="2:19" x14ac:dyDescent="0.15">
      <c r="C16" s="51">
        <f>IFERROR(INDEX('Etat des lieux'!$H$8:$H$20000,MATCH(D16,'Etat des lieux'!$G$8:$G$20000,0)),0)</f>
        <v>300000</v>
      </c>
      <c r="D16" s="22" t="s">
        <v>7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52">
        <f>IF(MONTH(R$5)&lt;&gt;MONTH(DateJour),IFERROR(VLOOKUP(D16,EngagementsClients[],2,0),0)+C16-SUM(E16:R16),C16-SUM(E16:R16))</f>
        <v>300000</v>
      </c>
    </row>
    <row r="17" spans="3:19" hidden="1" x14ac:dyDescent="0.15">
      <c r="C17" s="51">
        <f>IFERROR(INDEX('Etat des lieux'!$H$8:$H$20000,MATCH(D17,'Etat des lieux'!$G$8:$G$20000,0)),0)</f>
        <v>0</v>
      </c>
      <c r="D17" s="22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52">
        <f>IF(MONTH(R$5)&lt;&gt;MONTH(DateJour),IFERROR(VLOOKUP(D17,EngagementsClients[],2,0),0)+C17-SUM(E17:R17),C17-SUM(E17:R17))</f>
        <v>0</v>
      </c>
    </row>
    <row r="18" spans="3:19" hidden="1" x14ac:dyDescent="0.15">
      <c r="C18" s="51">
        <f>IFERROR(INDEX('Etat des lieux'!$H$8:$H$20000,MATCH(D18,'Etat des lieux'!$G$8:$G$20000,0)),0)</f>
        <v>0</v>
      </c>
      <c r="D18" s="22"/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52">
        <f>IF(MONTH(R$5)&lt;&gt;MONTH(DateJour),IFERROR(VLOOKUP(D18,EngagementsClients[],2,0),0)+C18-SUM(E18:R18),C18-SUM(E18:R18))</f>
        <v>0</v>
      </c>
    </row>
    <row r="19" spans="3:19" hidden="1" x14ac:dyDescent="0.15">
      <c r="C19" s="51">
        <f>IFERROR(INDEX('Etat des lieux'!$H$8:$H$20000,MATCH(D19,'Etat des lieux'!$G$8:$G$20000,0)),0)</f>
        <v>0</v>
      </c>
      <c r="D19" s="22"/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52">
        <f>IF(MONTH(R$5)&lt;&gt;MONTH(DateJour),IFERROR(VLOOKUP(D19,EngagementsClients[],2,0),0)+C19-SUM(E19:R19),C19-SUM(E19:R19))</f>
        <v>0</v>
      </c>
    </row>
    <row r="20" spans="3:19" hidden="1" x14ac:dyDescent="0.15">
      <c r="C20" s="51">
        <f>IFERROR(INDEX('Etat des lieux'!$H$8:$H$20000,MATCH(D20,'Etat des lieux'!$G$8:$G$20000,0)),0)</f>
        <v>0</v>
      </c>
      <c r="D20" s="22"/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52">
        <f>IF(MONTH(R$5)&lt;&gt;MONTH(DateJour),IFERROR(VLOOKUP(D20,EngagementsClients[],2,0),0)+C20-SUM(E20:R20),C20-SUM(E20:R20))</f>
        <v>0</v>
      </c>
    </row>
    <row r="21" spans="3:19" hidden="1" x14ac:dyDescent="0.15">
      <c r="C21" s="51">
        <f>IFERROR(INDEX('Etat des lieux'!$H$8:$H$20000,MATCH(D21,'Etat des lieux'!$G$8:$G$20000,0)),0)</f>
        <v>0</v>
      </c>
      <c r="D21" s="22"/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52">
        <f>IF(MONTH(R$5)&lt;&gt;MONTH(DateJour),IFERROR(VLOOKUP(D21,EngagementsClients[],2,0),0)+C21-SUM(E21:R21),C21-SUM(E21:R21))</f>
        <v>0</v>
      </c>
    </row>
    <row r="22" spans="3:19" hidden="1" x14ac:dyDescent="0.15">
      <c r="C22" s="51">
        <f>IFERROR(INDEX('Etat des lieux'!$H$8:$H$20000,MATCH(D22,'Etat des lieux'!$G$8:$G$20000,0)),0)</f>
        <v>0</v>
      </c>
      <c r="D22" s="22"/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52">
        <f>IF(MONTH(R$5)&lt;&gt;MONTH(DateJour),IFERROR(VLOOKUP(D22,EngagementsClients[],2,0),0)+C22-SUM(E22:R22),C22-SUM(E22:R22))</f>
        <v>0</v>
      </c>
    </row>
    <row r="23" spans="3:19" hidden="1" x14ac:dyDescent="0.15">
      <c r="C23" s="51">
        <f>IFERROR(INDEX('Etat des lieux'!$H$8:$H$20000,MATCH(D23,'Etat des lieux'!$G$8:$G$20000,0)),0)</f>
        <v>0</v>
      </c>
      <c r="D23" s="22"/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52">
        <f>IF(MONTH(R$5)&lt;&gt;MONTH(DateJour),IFERROR(VLOOKUP(D23,EngagementsClients[],2,0),0)+C23-SUM(E23:R23),C23-SUM(E23:R23))</f>
        <v>0</v>
      </c>
    </row>
    <row r="24" spans="3:19" hidden="1" x14ac:dyDescent="0.15">
      <c r="C24" s="51">
        <f>IFERROR(INDEX('Etat des lieux'!$H$8:$H$20000,MATCH(D24,'Etat des lieux'!$G$8:$G$20000,0)),0)</f>
        <v>0</v>
      </c>
      <c r="D24" s="22"/>
      <c r="E24" s="43">
        <v>0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52">
        <f>IF(MONTH(R$5)&lt;&gt;MONTH(DateJour),IFERROR(VLOOKUP(D24,EngagementsClients[],2,0),0)+C24-SUM(E24:R24),C24-SUM(E24:R24))</f>
        <v>0</v>
      </c>
    </row>
    <row r="25" spans="3:19" hidden="1" x14ac:dyDescent="0.15">
      <c r="C25" s="51">
        <f>IFERROR(INDEX('Etat des lieux'!$H$8:$H$20000,MATCH(D25,'Etat des lieux'!$G$8:$G$20000,0)),0)</f>
        <v>0</v>
      </c>
      <c r="D25" s="22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52">
        <f>IF(MONTH(R$5)&lt;&gt;MONTH(DateJour),IFERROR(VLOOKUP(D25,EngagementsClients[],2,0),0)+C25-SUM(E25:R25),C25-SUM(E25:R25))</f>
        <v>0</v>
      </c>
    </row>
    <row r="26" spans="3:19" hidden="1" x14ac:dyDescent="0.15">
      <c r="C26" s="51">
        <f>IFERROR(INDEX('Etat des lieux'!$H$8:$H$20000,MATCH(D26,'Etat des lieux'!$G$8:$G$20000,0)),0)</f>
        <v>0</v>
      </c>
      <c r="D26" s="22"/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52">
        <f>IF(MONTH(R$5)&lt;&gt;MONTH(DateJour),IFERROR(VLOOKUP(D26,EngagementsClients[],2,0),0)+C26-SUM(E26:R26),C26-SUM(E26:R26))</f>
        <v>0</v>
      </c>
    </row>
    <row r="27" spans="3:19" hidden="1" x14ac:dyDescent="0.15">
      <c r="C27" s="51">
        <f>IFERROR(INDEX('Etat des lieux'!$H$8:$H$20000,MATCH(D27,'Etat des lieux'!$G$8:$G$20000,0)),0)</f>
        <v>0</v>
      </c>
      <c r="D27" s="22"/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52">
        <f>IF(MONTH(R$5)&lt;&gt;MONTH(DateJour),IFERROR(VLOOKUP(D27,EngagementsClients[],2,0),0)+C27-SUM(E27:R27),C27-SUM(E27:R27))</f>
        <v>0</v>
      </c>
    </row>
    <row r="28" spans="3:19" hidden="1" x14ac:dyDescent="0.15">
      <c r="C28" s="51">
        <f>IFERROR(INDEX('Etat des lieux'!$H$8:$H$20000,MATCH(D28,'Etat des lieux'!$G$8:$G$20000,0)),0)</f>
        <v>0</v>
      </c>
      <c r="D28" s="22"/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52">
        <f>IF(MONTH(R$5)&lt;&gt;MONTH(DateJour),IFERROR(VLOOKUP(D28,EngagementsClients[],2,0),0)+C28-SUM(E28:R28),C28-SUM(E28:R28))</f>
        <v>0</v>
      </c>
    </row>
    <row r="29" spans="3:19" hidden="1" x14ac:dyDescent="0.15">
      <c r="C29" s="51">
        <f>IFERROR(INDEX('Etat des lieux'!$H$8:$H$20000,MATCH(D29,'Etat des lieux'!$G$8:$G$20000,0)),0)</f>
        <v>0</v>
      </c>
      <c r="D29" s="22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52">
        <f>IF(MONTH(R$5)&lt;&gt;MONTH(DateJour),IFERROR(VLOOKUP(D29,EngagementsClients[],2,0),0)+C29-SUM(E29:R29),C29-SUM(E29:R29))</f>
        <v>0</v>
      </c>
    </row>
    <row r="30" spans="3:19" hidden="1" x14ac:dyDescent="0.15">
      <c r="C30" s="51">
        <f>IFERROR(INDEX('Etat des lieux'!$H$8:$H$20000,MATCH(D30,'Etat des lieux'!$G$8:$G$20000,0)),0)</f>
        <v>0</v>
      </c>
      <c r="D30" s="22"/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52">
        <f>IF(MONTH(R$5)&lt;&gt;MONTH(DateJour),IFERROR(VLOOKUP(D30,EngagementsClients[],2,0),0)+C30-SUM(E30:R30),C30-SUM(E30:R30))</f>
        <v>0</v>
      </c>
    </row>
    <row r="31" spans="3:19" hidden="1" x14ac:dyDescent="0.15">
      <c r="C31" s="51">
        <f>IFERROR(INDEX('Etat des lieux'!$H$8:$H$20000,MATCH(D31,'Etat des lieux'!$G$8:$G$20000,0)),0)</f>
        <v>0</v>
      </c>
      <c r="D31" s="22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52">
        <f>IF(MONTH(R$5)&lt;&gt;MONTH(DateJour),IFERROR(VLOOKUP(D31,EngagementsClients[],2,0),0)+C31-SUM(E31:R31),C31-SUM(E31:R31))</f>
        <v>0</v>
      </c>
    </row>
    <row r="32" spans="3:19" hidden="1" x14ac:dyDescent="0.15">
      <c r="C32" s="51">
        <f>IFERROR(INDEX('Etat des lieux'!$H$8:$H$20000,MATCH(D32,'Etat des lieux'!$G$8:$G$20000,0)),0)</f>
        <v>0</v>
      </c>
      <c r="D32" s="22"/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52">
        <f>IF(MONTH(R$5)&lt;&gt;MONTH(DateJour),IFERROR(VLOOKUP(D32,EngagementsClients[],2,0),0)+C32-SUM(E32:R32),C32-SUM(E32:R32))</f>
        <v>0</v>
      </c>
    </row>
    <row r="33" spans="3:19" hidden="1" x14ac:dyDescent="0.15">
      <c r="C33" s="51">
        <f>IFERROR(INDEX('Etat des lieux'!$H$8:$H$20000,MATCH(D33,'Etat des lieux'!$G$8:$G$20000,0)),0)</f>
        <v>0</v>
      </c>
      <c r="D33" s="22"/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52">
        <f>IF(MONTH(R$5)&lt;&gt;MONTH(DateJour),IFERROR(VLOOKUP(D33,EngagementsClients[],2,0),0)+C33-SUM(E33:R33),C33-SUM(E33:R33))</f>
        <v>0</v>
      </c>
    </row>
    <row r="34" spans="3:19" hidden="1" x14ac:dyDescent="0.15">
      <c r="C34" s="51">
        <f>IFERROR(INDEX('Etat des lieux'!$H$8:$H$20000,MATCH(D34,'Etat des lieux'!$G$8:$G$20000,0)),0)</f>
        <v>0</v>
      </c>
      <c r="D34" s="22"/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52">
        <f>IF(MONTH(R$5)&lt;&gt;MONTH(DateJour),IFERROR(VLOOKUP(D34,EngagementsClients[],2,0),0)+C34-SUM(E34:R34),C34-SUM(E34:R34))</f>
        <v>0</v>
      </c>
    </row>
    <row r="35" spans="3:19" hidden="1" x14ac:dyDescent="0.15">
      <c r="C35" s="51">
        <f>IFERROR(INDEX('Etat des lieux'!$H$8:$H$20000,MATCH(D35,'Etat des lieux'!$G$8:$G$20000,0)),0)</f>
        <v>0</v>
      </c>
      <c r="D35" s="22"/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52">
        <f>IF(MONTH(R$5)&lt;&gt;MONTH(DateJour),IFERROR(VLOOKUP(D35,EngagementsClients[],2,0),0)+C35-SUM(E35:R35),C35-SUM(E35:R35))</f>
        <v>0</v>
      </c>
    </row>
    <row r="36" spans="3:19" hidden="1" x14ac:dyDescent="0.15">
      <c r="C36" s="51">
        <f>IFERROR(INDEX('Etat des lieux'!$H$8:$H$20000,MATCH(D36,'Etat des lieux'!$G$8:$G$20000,0)),0)</f>
        <v>0</v>
      </c>
      <c r="D36" s="22"/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52">
        <f>IF(MONTH(R$5)&lt;&gt;MONTH(DateJour),IFERROR(VLOOKUP(D36,EngagementsClients[],2,0),0)+C36-SUM(E36:R36),C36-SUM(E36:R36))</f>
        <v>0</v>
      </c>
    </row>
    <row r="37" spans="3:19" hidden="1" x14ac:dyDescent="0.15">
      <c r="C37" s="51">
        <f>IFERROR(INDEX('Etat des lieux'!$H$8:$H$20000,MATCH(D37,'Etat des lieux'!$G$8:$G$20000,0)),0)</f>
        <v>0</v>
      </c>
      <c r="D37" s="22"/>
      <c r="E37" s="43">
        <v>0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52">
        <f>IF(MONTH(R$5)&lt;&gt;MONTH(DateJour),IFERROR(VLOOKUP(D37,EngagementsClients[],2,0),0)+C37-SUM(E37:R37),C37-SUM(E37:R37))</f>
        <v>0</v>
      </c>
    </row>
    <row r="38" spans="3:19" hidden="1" x14ac:dyDescent="0.15">
      <c r="C38" s="51">
        <f>IFERROR(INDEX('Etat des lieux'!$H$8:$H$20000,MATCH(D38,'Etat des lieux'!$G$8:$G$20000,0)),0)</f>
        <v>0</v>
      </c>
      <c r="D38" s="2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52">
        <f>IF(MONTH(R$5)&lt;&gt;MONTH(DateJour),IFERROR(VLOOKUP(D38,EngagementsClients[],2,0),0)+C38-SUM(E38:R38),C38-SUM(E38:R38))</f>
        <v>0</v>
      </c>
    </row>
    <row r="39" spans="3:19" ht="14.25" customHeight="1" x14ac:dyDescent="0.15">
      <c r="C39" s="35"/>
      <c r="D39" s="41" t="s">
        <v>130</v>
      </c>
      <c r="E39" s="49">
        <f>+SUM(E9:E38)</f>
        <v>0</v>
      </c>
      <c r="F39" s="49">
        <f t="shared" ref="F39:R39" si="2">+SUM(F9:F38)</f>
        <v>0</v>
      </c>
      <c r="G39" s="49">
        <f t="shared" si="2"/>
        <v>0</v>
      </c>
      <c r="H39" s="49">
        <f t="shared" si="2"/>
        <v>2500000</v>
      </c>
      <c r="I39" s="49">
        <f t="shared" si="2"/>
        <v>0</v>
      </c>
      <c r="J39" s="49">
        <f t="shared" si="2"/>
        <v>2300000</v>
      </c>
      <c r="K39" s="49">
        <f t="shared" si="2"/>
        <v>0</v>
      </c>
      <c r="L39" s="49">
        <f t="shared" si="2"/>
        <v>0</v>
      </c>
      <c r="M39" s="49">
        <f t="shared" si="2"/>
        <v>0</v>
      </c>
      <c r="N39" s="49">
        <f t="shared" si="2"/>
        <v>0</v>
      </c>
      <c r="O39" s="49">
        <f t="shared" si="2"/>
        <v>2210000</v>
      </c>
      <c r="P39" s="49">
        <f t="shared" si="2"/>
        <v>0</v>
      </c>
      <c r="Q39" s="49">
        <f t="shared" si="2"/>
        <v>0</v>
      </c>
      <c r="R39" s="49">
        <f t="shared" si="2"/>
        <v>0</v>
      </c>
      <c r="S39" s="53"/>
    </row>
    <row r="40" spans="3:19" ht="24" customHeight="1" x14ac:dyDescent="0.15">
      <c r="C40" s="35"/>
      <c r="D40" s="42" t="s">
        <v>118</v>
      </c>
      <c r="S40" s="53"/>
    </row>
    <row r="41" spans="3:19" x14ac:dyDescent="0.15">
      <c r="C41" s="51">
        <f>IFERROR(INDEX('Etat des lieux'!$N$8:$N$20000,MATCH(D41,'Etat des lieux'!$M$8:$M$20000,0)),0)</f>
        <v>1000000</v>
      </c>
      <c r="D41" s="22" t="s">
        <v>36</v>
      </c>
      <c r="E41" s="45">
        <v>650000</v>
      </c>
      <c r="F41" s="45">
        <v>0</v>
      </c>
      <c r="G41" s="45">
        <v>0</v>
      </c>
      <c r="H41" s="45">
        <v>0</v>
      </c>
      <c r="I41" s="45">
        <v>0</v>
      </c>
      <c r="J41" s="45">
        <v>1000000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6">
        <v>0</v>
      </c>
      <c r="S41" s="54">
        <f>IF(MONTH(R$5)&lt;&gt;MONTH(DateJour),IFERROR(VLOOKUP(D41,EngagementsClients[],2,0),0)+C41-SUM(E41:R41),C41-SUM(E41:R41))</f>
        <v>-650000</v>
      </c>
    </row>
    <row r="42" spans="3:19" x14ac:dyDescent="0.15">
      <c r="C42" s="51">
        <f>IFERROR(INDEX('Etat des lieux'!$N$8:$N$20000,MATCH(D42,'Etat des lieux'!$M$8:$M$20000,0)),0)</f>
        <v>0</v>
      </c>
      <c r="D42" s="22" t="s">
        <v>89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8">
        <v>0</v>
      </c>
      <c r="S42" s="54">
        <f>IF(MONTH(R$5)&lt;&gt;MONTH(DateJour),IFERROR(VLOOKUP(D42,EngagementsClients[],2,0),0)+C42-SUM(E42:R42),C42-SUM(E42:R42))</f>
        <v>0</v>
      </c>
    </row>
    <row r="43" spans="3:19" x14ac:dyDescent="0.15">
      <c r="C43" s="51">
        <f>IFERROR(INDEX('Etat des lieux'!$N$8:$N$20000,MATCH(D43,'Etat des lieux'!$M$8:$M$20000,0)),0)</f>
        <v>0</v>
      </c>
      <c r="D43" s="22" t="s">
        <v>37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8">
        <v>0</v>
      </c>
      <c r="S43" s="54">
        <f>IF(MONTH(R$5)&lt;&gt;MONTH(DateJour),IFERROR(VLOOKUP(D43,EngagementsClients[],2,0),0)+C43-SUM(E43:R43),C43-SUM(E43:R43))</f>
        <v>0</v>
      </c>
    </row>
    <row r="44" spans="3:19" x14ac:dyDescent="0.15">
      <c r="C44" s="51">
        <f>IFERROR(INDEX('Etat des lieux'!$N$8:$N$20000,MATCH(D44,'Etat des lieux'!$M$8:$M$20000,0)),0)</f>
        <v>0</v>
      </c>
      <c r="D44" s="22" t="s">
        <v>79</v>
      </c>
      <c r="E44" s="47">
        <v>0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8">
        <v>0</v>
      </c>
      <c r="S44" s="54">
        <f>IF(MONTH(R$5)&lt;&gt;MONTH(DateJour),IFERROR(VLOOKUP(D44,EngagementsClients[],2,0),0)+C44-SUM(E44:R44),C44-SUM(E44:R44))</f>
        <v>0</v>
      </c>
    </row>
    <row r="45" spans="3:19" x14ac:dyDescent="0.15">
      <c r="C45" s="51">
        <f>IFERROR(INDEX('Etat des lieux'!$N$8:$N$20000,MATCH(D45,'Etat des lieux'!$M$8:$M$20000,0)),0)</f>
        <v>1560000</v>
      </c>
      <c r="D45" s="22" t="s">
        <v>40</v>
      </c>
      <c r="E45" s="47">
        <v>0</v>
      </c>
      <c r="F45" s="47">
        <v>0</v>
      </c>
      <c r="G45" s="47">
        <v>0</v>
      </c>
      <c r="H45" s="47">
        <v>1540000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8">
        <v>0</v>
      </c>
      <c r="S45" s="54">
        <f>IF(MONTH(R$5)&lt;&gt;MONTH(DateJour),IFERROR(VLOOKUP(D45,EngagementsClients[],2,0),0)+C45-SUM(E45:R45),C45-SUM(E45:R45))</f>
        <v>20000</v>
      </c>
    </row>
    <row r="46" spans="3:19" x14ac:dyDescent="0.15">
      <c r="C46" s="51">
        <f>IFERROR(INDEX('Etat des lieux'!$N$8:$N$20000,MATCH(D46,'Etat des lieux'!$M$8:$M$20000,0)),0)</f>
        <v>1560000</v>
      </c>
      <c r="D46" s="22" t="s">
        <v>40</v>
      </c>
      <c r="E46" s="47">
        <v>0</v>
      </c>
      <c r="F46" s="47">
        <v>0</v>
      </c>
      <c r="G46" s="47">
        <v>0</v>
      </c>
      <c r="H46" s="47">
        <v>1540000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8">
        <v>0</v>
      </c>
      <c r="S46" s="54">
        <f>IF(MONTH(R$5)&lt;&gt;MONTH(DateJour),IFERROR(VLOOKUP(D46,EngagementsClients[],2,0),0)+C46-SUM(E46:R46),C46-SUM(E46:R46))</f>
        <v>20000</v>
      </c>
    </row>
    <row r="47" spans="3:19" x14ac:dyDescent="0.15">
      <c r="C47" s="51">
        <f>IFERROR(INDEX('Etat des lieux'!$N$8:$N$20000,MATCH(D47,'Etat des lieux'!$M$8:$M$20000,0)),0)</f>
        <v>1000000</v>
      </c>
      <c r="D47" s="22" t="s">
        <v>36</v>
      </c>
      <c r="E47" s="47">
        <v>650000</v>
      </c>
      <c r="F47" s="47">
        <v>0</v>
      </c>
      <c r="G47" s="47">
        <v>0</v>
      </c>
      <c r="H47" s="47">
        <v>0</v>
      </c>
      <c r="I47" s="47">
        <v>0</v>
      </c>
      <c r="J47" s="47">
        <v>1000000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8">
        <v>0</v>
      </c>
      <c r="S47" s="54">
        <f>IF(MONTH(R$5)&lt;&gt;MONTH(DateJour),IFERROR(VLOOKUP(D47,EngagementsClients[],2,0),0)+C47-SUM(E47:R47),C47-SUM(E47:R47))</f>
        <v>-650000</v>
      </c>
    </row>
    <row r="48" spans="3:19" x14ac:dyDescent="0.15">
      <c r="C48" s="51">
        <f>IFERROR(INDEX('Etat des lieux'!$N$8:$N$20000,MATCH(D48,'Etat des lieux'!$M$8:$M$20000,0)),0)</f>
        <v>450000</v>
      </c>
      <c r="D48" s="22" t="s">
        <v>43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8">
        <v>0</v>
      </c>
      <c r="S48" s="54">
        <f>IF(MONTH(R$5)&lt;&gt;MONTH(DateJour),IFERROR(VLOOKUP(D48,EngagementsClients[],2,0),0)+C48-SUM(E48:R48),C48-SUM(E48:R48))</f>
        <v>450000</v>
      </c>
    </row>
    <row r="49" spans="3:19" x14ac:dyDescent="0.15">
      <c r="C49" s="51">
        <f>IFERROR(INDEX('Etat des lieux'!$N$8:$N$20000,MATCH(D49,'Etat des lieux'!$M$8:$M$20000,0)),0)</f>
        <v>230000</v>
      </c>
      <c r="D49" s="22" t="s">
        <v>41</v>
      </c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230000</v>
      </c>
      <c r="Q49" s="47">
        <v>0</v>
      </c>
      <c r="R49" s="48">
        <v>0</v>
      </c>
      <c r="S49" s="54">
        <f>IF(MONTH(R$5)&lt;&gt;MONTH(DateJour),IFERROR(VLOOKUP(D49,EngagementsClients[],2,0),0)+C49-SUM(E49:R49),C49-SUM(E49:R49))</f>
        <v>0</v>
      </c>
    </row>
    <row r="50" spans="3:19" hidden="1" x14ac:dyDescent="0.15">
      <c r="C50" s="51">
        <f>IFERROR(INDEX('Etat des lieux'!$N$8:$N$20000,MATCH(D50,'Etat des lieux'!$M$8:$M$20000,0)),0)</f>
        <v>0</v>
      </c>
      <c r="D50" s="22"/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8">
        <v>0</v>
      </c>
      <c r="S50" s="55">
        <f>IF(MONTH(R$5)&lt;&gt;MONTH(DateJour),IFERROR(VLOOKUP(D50,EngagementsClients[],2,0),0)+C50-SUM(E50:R50),C50-SUM(E50:R50))</f>
        <v>0</v>
      </c>
    </row>
    <row r="51" spans="3:19" hidden="1" x14ac:dyDescent="0.15">
      <c r="C51" s="51">
        <f>IFERROR(INDEX('Etat des lieux'!$N$8:$N$20000,MATCH(D51,'Etat des lieux'!$M$8:$M$20000,0)),0)</f>
        <v>0</v>
      </c>
      <c r="D51" s="22"/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8">
        <v>0</v>
      </c>
      <c r="S51" s="55">
        <f>IF(MONTH(R$5)&lt;&gt;MONTH(DateJour),IFERROR(VLOOKUP(D51,EngagementsClients[],2,0),0)+C51-SUM(E51:R51),C51-SUM(E51:R51))</f>
        <v>0</v>
      </c>
    </row>
    <row r="52" spans="3:19" hidden="1" x14ac:dyDescent="0.15">
      <c r="C52" s="51">
        <f>IFERROR(INDEX('Etat des lieux'!$N$8:$N$20000,MATCH(D52,'Etat des lieux'!$M$8:$M$20000,0)),0)</f>
        <v>0</v>
      </c>
      <c r="D52" s="22"/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8">
        <v>0</v>
      </c>
      <c r="S52" s="55">
        <f>IF(MONTH(R$5)&lt;&gt;MONTH(DateJour),IFERROR(VLOOKUP(D52,EngagementsClients[],2,0),0)+C52-SUM(E52:R52),C52-SUM(E52:R52))</f>
        <v>0</v>
      </c>
    </row>
    <row r="53" spans="3:19" hidden="1" x14ac:dyDescent="0.15">
      <c r="C53" s="51">
        <f>IFERROR(INDEX('Etat des lieux'!$N$8:$N$20000,MATCH(D53,'Etat des lieux'!$M$8:$M$20000,0)),0)</f>
        <v>0</v>
      </c>
      <c r="D53" s="22"/>
      <c r="E53" s="47">
        <v>0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8">
        <v>0</v>
      </c>
      <c r="S53" s="55">
        <f>IF(MONTH(R$5)&lt;&gt;MONTH(DateJour),IFERROR(VLOOKUP(D53,EngagementsClients[],2,0),0)+C53-SUM(E53:R53),C53-SUM(E53:R53))</f>
        <v>0</v>
      </c>
    </row>
    <row r="54" spans="3:19" hidden="1" x14ac:dyDescent="0.15">
      <c r="C54" s="51">
        <f>IFERROR(INDEX('Etat des lieux'!$N$8:$N$20000,MATCH(D54,'Etat des lieux'!$M$8:$M$20000,0)),0)</f>
        <v>0</v>
      </c>
      <c r="D54" s="22"/>
      <c r="E54" s="47">
        <v>0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8">
        <v>0</v>
      </c>
      <c r="S54" s="55">
        <f>IF(MONTH(R$5)&lt;&gt;MONTH(DateJour),IFERROR(VLOOKUP(D54,EngagementsClients[],2,0),0)+C54-SUM(E54:R54),C54-SUM(E54:R54))</f>
        <v>0</v>
      </c>
    </row>
    <row r="55" spans="3:19" hidden="1" x14ac:dyDescent="0.15">
      <c r="C55" s="51">
        <f>IFERROR(INDEX('Etat des lieux'!$N$8:$N$20000,MATCH(D55,'Etat des lieux'!$M$8:$M$20000,0)),0)</f>
        <v>0</v>
      </c>
      <c r="D55" s="22"/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8">
        <v>0</v>
      </c>
      <c r="S55" s="55">
        <f>IF(MONTH(R$5)&lt;&gt;MONTH(DateJour),IFERROR(VLOOKUP(D55,EngagementsClients[],2,0),0)+C55-SUM(E55:R55),C55-SUM(E55:R55))</f>
        <v>0</v>
      </c>
    </row>
    <row r="56" spans="3:19" hidden="1" x14ac:dyDescent="0.15">
      <c r="C56" s="51">
        <f>IFERROR(INDEX('Etat des lieux'!$N$8:$N$20000,MATCH(D56,'Etat des lieux'!$M$8:$M$20000,0)),0)</f>
        <v>0</v>
      </c>
      <c r="D56" s="22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8">
        <v>0</v>
      </c>
      <c r="S56" s="55">
        <f>IF(MONTH(R$5)&lt;&gt;MONTH(DateJour),IFERROR(VLOOKUP(D56,EngagementsClients[],2,0),0)+C56-SUM(E56:R56),C56-SUM(E56:R56))</f>
        <v>0</v>
      </c>
    </row>
    <row r="57" spans="3:19" hidden="1" x14ac:dyDescent="0.15">
      <c r="C57" s="51">
        <f>IFERROR(INDEX('Etat des lieux'!$N$8:$N$20000,MATCH(D57,'Etat des lieux'!$M$8:$M$20000,0)),0)</f>
        <v>0</v>
      </c>
      <c r="D57" s="22"/>
      <c r="E57" s="47">
        <v>0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8">
        <v>0</v>
      </c>
      <c r="S57" s="55">
        <f>IF(MONTH(R$5)&lt;&gt;MONTH(DateJour),IFERROR(VLOOKUP(D57,EngagementsClients[],2,0),0)+C57-SUM(E57:R57),C57-SUM(E57:R57))</f>
        <v>0</v>
      </c>
    </row>
    <row r="58" spans="3:19" hidden="1" x14ac:dyDescent="0.15">
      <c r="C58" s="51">
        <f>IFERROR(INDEX('Etat des lieux'!$N$8:$N$20000,MATCH(D58,'Etat des lieux'!$M$8:$M$20000,0)),0)</f>
        <v>0</v>
      </c>
      <c r="D58" s="22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8">
        <v>0</v>
      </c>
      <c r="S58" s="55">
        <f>IF(MONTH(R$5)&lt;&gt;MONTH(DateJour),IFERROR(VLOOKUP(D58,EngagementsClients[],2,0),0)+C58-SUM(E58:R58),C58-SUM(E58:R58))</f>
        <v>0</v>
      </c>
    </row>
    <row r="59" spans="3:19" hidden="1" x14ac:dyDescent="0.15">
      <c r="C59" s="51">
        <f>IFERROR(INDEX('Etat des lieux'!$N$8:$N$20000,MATCH(D59,'Etat des lieux'!$M$8:$M$20000,0)),0)</f>
        <v>0</v>
      </c>
      <c r="D59" s="22"/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8">
        <v>0</v>
      </c>
      <c r="S59" s="55">
        <f>IF(MONTH(R$5)&lt;&gt;MONTH(DateJour),IFERROR(VLOOKUP(D59,EngagementsClients[],2,0),0)+C59-SUM(E59:R59),C59-SUM(E59:R59))</f>
        <v>0</v>
      </c>
    </row>
    <row r="60" spans="3:19" hidden="1" x14ac:dyDescent="0.15">
      <c r="C60" s="51">
        <f>IFERROR(INDEX('Etat des lieux'!$N$8:$N$20000,MATCH(D60,'Etat des lieux'!$M$8:$M$20000,0)),0)</f>
        <v>0</v>
      </c>
      <c r="D60" s="22"/>
      <c r="E60" s="47">
        <v>0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0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8">
        <v>0</v>
      </c>
      <c r="S60" s="55">
        <f>IF(MONTH(R$5)&lt;&gt;MONTH(DateJour),IFERROR(VLOOKUP(D60,EngagementsClients[],2,0),0)+C60-SUM(E60:R60),C60-SUM(E60:R60))</f>
        <v>0</v>
      </c>
    </row>
    <row r="61" spans="3:19" hidden="1" x14ac:dyDescent="0.15">
      <c r="C61" s="51">
        <f>IFERROR(INDEX('Etat des lieux'!$N$8:$N$20000,MATCH(D61,'Etat des lieux'!$M$8:$M$20000,0)),0)</f>
        <v>0</v>
      </c>
      <c r="D61" s="22"/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8">
        <v>0</v>
      </c>
      <c r="S61" s="55">
        <f>IF(MONTH(R$5)&lt;&gt;MONTH(DateJour),IFERROR(VLOOKUP(D61,EngagementsClients[],2,0),0)+C61-SUM(E61:R61),C61-SUM(E61:R61))</f>
        <v>0</v>
      </c>
    </row>
    <row r="62" spans="3:19" hidden="1" x14ac:dyDescent="0.15">
      <c r="C62" s="51">
        <f>IFERROR(INDEX('Etat des lieux'!$N$8:$N$20000,MATCH(D62,'Etat des lieux'!$M$8:$M$20000,0)),0)</f>
        <v>0</v>
      </c>
      <c r="D62" s="22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8">
        <v>0</v>
      </c>
      <c r="S62" s="55">
        <f>IF(MONTH(R$5)&lt;&gt;MONTH(DateJour),IFERROR(VLOOKUP(D62,EngagementsClients[],2,0),0)+C62-SUM(E62:R62),C62-SUM(E62:R62))</f>
        <v>0</v>
      </c>
    </row>
    <row r="63" spans="3:19" hidden="1" x14ac:dyDescent="0.15">
      <c r="C63" s="51">
        <f>IFERROR(INDEX('Etat des lieux'!$N$8:$N$20000,MATCH(D63,'Etat des lieux'!$M$8:$M$20000,0)),0)</f>
        <v>0</v>
      </c>
      <c r="D63" s="22"/>
      <c r="E63" s="47">
        <v>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8">
        <v>0</v>
      </c>
      <c r="S63" s="55">
        <f>IF(MONTH(R$5)&lt;&gt;MONTH(DateJour),IFERROR(VLOOKUP(D63,EngagementsClients[],2,0),0)+C63-SUM(E63:R63),C63-SUM(E63:R63))</f>
        <v>0</v>
      </c>
    </row>
    <row r="64" spans="3:19" hidden="1" x14ac:dyDescent="0.15">
      <c r="C64" s="51">
        <f>IFERROR(INDEX('Etat des lieux'!$N$8:$N$20000,MATCH(D64,'Etat des lieux'!$M$8:$M$20000,0)),0)</f>
        <v>0</v>
      </c>
      <c r="D64" s="22"/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8">
        <v>0</v>
      </c>
      <c r="S64" s="55">
        <f>IF(MONTH(R$5)&lt;&gt;MONTH(DateJour),IFERROR(VLOOKUP(D64,EngagementsClients[],2,0),0)+C64-SUM(E64:R64),C64-SUM(E64:R64))</f>
        <v>0</v>
      </c>
    </row>
    <row r="65" spans="3:19" hidden="1" x14ac:dyDescent="0.15">
      <c r="C65" s="51">
        <f>IFERROR(INDEX('Etat des lieux'!$N$8:$N$20000,MATCH(D65,'Etat des lieux'!$M$8:$M$20000,0)),0)</f>
        <v>0</v>
      </c>
      <c r="D65" s="22"/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8">
        <v>0</v>
      </c>
      <c r="S65" s="55">
        <f>IF(MONTH(R$5)&lt;&gt;MONTH(DateJour),IFERROR(VLOOKUP(D65,EngagementsClients[],2,0),0)+C65-SUM(E65:R65),C65-SUM(E65:R65))</f>
        <v>0</v>
      </c>
    </row>
    <row r="66" spans="3:19" hidden="1" x14ac:dyDescent="0.15">
      <c r="C66" s="51">
        <f>IFERROR(INDEX('Etat des lieux'!$N$8:$N$20000,MATCH(D66,'Etat des lieux'!$M$8:$M$20000,0)),0)</f>
        <v>0</v>
      </c>
      <c r="D66" s="22"/>
      <c r="E66" s="47">
        <v>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48">
        <v>0</v>
      </c>
      <c r="S66" s="55">
        <f>IF(MONTH(R$5)&lt;&gt;MONTH(DateJour),IFERROR(VLOOKUP(D66,EngagementsClients[],2,0),0)+C66-SUM(E66:R66),C66-SUM(E66:R66))</f>
        <v>0</v>
      </c>
    </row>
    <row r="67" spans="3:19" hidden="1" x14ac:dyDescent="0.15">
      <c r="C67" s="51">
        <f>IFERROR(INDEX('Etat des lieux'!$N$8:$N$20000,MATCH(D67,'Etat des lieux'!$M$8:$M$20000,0)),0)</f>
        <v>0</v>
      </c>
      <c r="D67" s="22"/>
      <c r="E67" s="47">
        <v>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0</v>
      </c>
      <c r="L67" s="47">
        <v>0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8">
        <v>0</v>
      </c>
      <c r="S67" s="55">
        <f>IF(MONTH(R$5)&lt;&gt;MONTH(DateJour),IFERROR(VLOOKUP(D67,EngagementsClients[],2,0),0)+C67-SUM(E67:R67),C67-SUM(E67:R67))</f>
        <v>0</v>
      </c>
    </row>
    <row r="68" spans="3:19" hidden="1" x14ac:dyDescent="0.15">
      <c r="C68" s="51">
        <f>IFERROR(INDEX('Etat des lieux'!$N$8:$N$20000,MATCH(D68,'Etat des lieux'!$M$8:$M$20000,0)),0)</f>
        <v>0</v>
      </c>
      <c r="D68" s="22"/>
      <c r="E68" s="47">
        <v>0</v>
      </c>
      <c r="F68" s="47">
        <v>0</v>
      </c>
      <c r="G68" s="47">
        <v>0</v>
      </c>
      <c r="H68" s="47">
        <v>0</v>
      </c>
      <c r="I68" s="47">
        <v>0</v>
      </c>
      <c r="J68" s="47">
        <v>0</v>
      </c>
      <c r="K68" s="47">
        <v>0</v>
      </c>
      <c r="L68" s="47">
        <v>0</v>
      </c>
      <c r="M68" s="47">
        <v>0</v>
      </c>
      <c r="N68" s="47">
        <v>0</v>
      </c>
      <c r="O68" s="47">
        <v>0</v>
      </c>
      <c r="P68" s="47">
        <v>0</v>
      </c>
      <c r="Q68" s="47">
        <v>0</v>
      </c>
      <c r="R68" s="48">
        <v>0</v>
      </c>
      <c r="S68" s="55">
        <f>IF(MONTH(R$5)&lt;&gt;MONTH(DateJour),IFERROR(VLOOKUP(D68,EngagementsClients[],2,0),0)+C68-SUM(E68:R68),C68-SUM(E68:R68))</f>
        <v>0</v>
      </c>
    </row>
    <row r="69" spans="3:19" hidden="1" x14ac:dyDescent="0.15">
      <c r="C69" s="51">
        <f>IFERROR(INDEX('Etat des lieux'!$N$8:$N$20000,MATCH(D69,'Etat des lieux'!$M$8:$M$20000,0)),0)</f>
        <v>0</v>
      </c>
      <c r="D69" s="22"/>
      <c r="E69" s="47">
        <v>0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0</v>
      </c>
      <c r="L69" s="47">
        <v>0</v>
      </c>
      <c r="M69" s="47">
        <v>0</v>
      </c>
      <c r="N69" s="47">
        <v>0</v>
      </c>
      <c r="O69" s="47">
        <v>0</v>
      </c>
      <c r="P69" s="47">
        <v>0</v>
      </c>
      <c r="Q69" s="47">
        <v>0</v>
      </c>
      <c r="R69" s="48">
        <v>0</v>
      </c>
      <c r="S69" s="55">
        <f>IF(MONTH(R$5)&lt;&gt;MONTH(DateJour),IFERROR(VLOOKUP(D69,EngagementsClients[],2,0),0)+C69-SUM(E69:R69),C69-SUM(E69:R69))</f>
        <v>0</v>
      </c>
    </row>
    <row r="70" spans="3:19" hidden="1" x14ac:dyDescent="0.15">
      <c r="C70" s="51">
        <f>IFERROR(INDEX('Etat des lieux'!$N$8:$N$20000,MATCH(D70,'Etat des lieux'!$M$8:$M$20000,0)),0)</f>
        <v>0</v>
      </c>
      <c r="D70" s="22"/>
      <c r="E70" s="47">
        <v>0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8">
        <v>0</v>
      </c>
      <c r="S70" s="55">
        <f>IF(MONTH(R$5)&lt;&gt;MONTH(DateJour),IFERROR(VLOOKUP(D70,EngagementsClients[],2,0),0)+C70-SUM(E70:R70),C70-SUM(E70:R70))</f>
        <v>0</v>
      </c>
    </row>
    <row r="71" spans="3:19" ht="13.5" customHeight="1" x14ac:dyDescent="0.15">
      <c r="D71" s="41" t="s">
        <v>131</v>
      </c>
      <c r="E71" s="49">
        <f>+SUM(E41:E70)</f>
        <v>1300000</v>
      </c>
      <c r="F71" s="49">
        <f t="shared" ref="F71:R71" si="3">+SUM(F41:F70)</f>
        <v>0</v>
      </c>
      <c r="G71" s="49">
        <f t="shared" si="3"/>
        <v>0</v>
      </c>
      <c r="H71" s="49">
        <f t="shared" si="3"/>
        <v>3080000</v>
      </c>
      <c r="I71" s="49">
        <f t="shared" si="3"/>
        <v>0</v>
      </c>
      <c r="J71" s="49">
        <f t="shared" si="3"/>
        <v>2000000</v>
      </c>
      <c r="K71" s="49">
        <f t="shared" si="3"/>
        <v>0</v>
      </c>
      <c r="L71" s="49">
        <f t="shared" si="3"/>
        <v>0</v>
      </c>
      <c r="M71" s="49">
        <f t="shared" si="3"/>
        <v>0</v>
      </c>
      <c r="N71" s="49">
        <f t="shared" si="3"/>
        <v>0</v>
      </c>
      <c r="O71" s="49">
        <f t="shared" si="3"/>
        <v>0</v>
      </c>
      <c r="P71" s="49">
        <f t="shared" si="3"/>
        <v>230000</v>
      </c>
      <c r="Q71" s="49">
        <f t="shared" si="3"/>
        <v>0</v>
      </c>
      <c r="R71" s="49">
        <f t="shared" si="3"/>
        <v>0</v>
      </c>
    </row>
    <row r="73" spans="3:19" ht="12.75" x14ac:dyDescent="0.2">
      <c r="D73" s="32" t="s">
        <v>119</v>
      </c>
      <c r="E73" s="44">
        <f>+E6+E39-E71</f>
        <v>1100000</v>
      </c>
      <c r="F73" s="44">
        <f t="shared" ref="F73:R73" si="4">+F6+F39-F71</f>
        <v>1100000</v>
      </c>
      <c r="G73" s="44">
        <f t="shared" si="4"/>
        <v>1100000</v>
      </c>
      <c r="H73" s="44">
        <f t="shared" si="4"/>
        <v>520000</v>
      </c>
      <c r="I73" s="44">
        <f t="shared" si="4"/>
        <v>520000</v>
      </c>
      <c r="J73" s="44">
        <f t="shared" si="4"/>
        <v>820000</v>
      </c>
      <c r="K73" s="44">
        <f t="shared" si="4"/>
        <v>820000</v>
      </c>
      <c r="L73" s="44">
        <f t="shared" si="4"/>
        <v>820000</v>
      </c>
      <c r="M73" s="44">
        <f t="shared" si="4"/>
        <v>820000</v>
      </c>
      <c r="N73" s="44">
        <f t="shared" si="4"/>
        <v>820000</v>
      </c>
      <c r="O73" s="44">
        <f t="shared" si="4"/>
        <v>3030000</v>
      </c>
      <c r="P73" s="44">
        <f t="shared" si="4"/>
        <v>2800000</v>
      </c>
      <c r="Q73" s="44">
        <f t="shared" si="4"/>
        <v>2800000</v>
      </c>
      <c r="R73" s="44">
        <f t="shared" si="4"/>
        <v>2800000</v>
      </c>
    </row>
  </sheetData>
  <conditionalFormatting sqref="E5:R73">
    <cfRule type="expression" dxfId="0" priority="3">
      <formula>WEEKDAY(E$5,2)&gt;5</formula>
    </cfRule>
  </conditionalFormatting>
  <pageMargins left="0.31496062992125984" right="0.47244094488188981" top="0.74803149606299213" bottom="0.74803149606299213" header="0.31496062992125984" footer="0.31496062992125984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6" sqref="A6"/>
    </sheetView>
  </sheetViews>
  <sheetFormatPr baseColWidth="10" defaultRowHeight="10.5" x14ac:dyDescent="0.15"/>
  <sheetData>
    <row r="1" spans="1:2" ht="11.25" x14ac:dyDescent="0.2">
      <c r="A1" s="64" t="s">
        <v>143</v>
      </c>
      <c r="B1" s="65">
        <v>524.06840053035228</v>
      </c>
    </row>
    <row r="2" spans="1:2" ht="11.25" x14ac:dyDescent="0.2">
      <c r="A2" s="66" t="s">
        <v>138</v>
      </c>
      <c r="B2" s="67">
        <v>14.020392109948355</v>
      </c>
    </row>
    <row r="3" spans="1:2" ht="11.25" x14ac:dyDescent="0.2">
      <c r="A3" s="66" t="s">
        <v>139</v>
      </c>
      <c r="B3" s="67">
        <v>2.4846806410331985</v>
      </c>
    </row>
    <row r="4" spans="1:2" ht="11.25" x14ac:dyDescent="0.2">
      <c r="A4" s="66" t="s">
        <v>140</v>
      </c>
      <c r="B4" s="67">
        <v>142.71954504326212</v>
      </c>
    </row>
    <row r="5" spans="1:2" ht="11.25" x14ac:dyDescent="0.2">
      <c r="A5" s="66" t="s">
        <v>141</v>
      </c>
      <c r="B5" s="67">
        <v>171.31504764779768</v>
      </c>
    </row>
    <row r="6" spans="1:2" ht="11.25" x14ac:dyDescent="0.2">
      <c r="A6" s="66" t="s">
        <v>148</v>
      </c>
      <c r="B6" s="67">
        <v>189.39684006296505</v>
      </c>
    </row>
    <row r="7" spans="1:2" ht="11.25" x14ac:dyDescent="0.2">
      <c r="A7" s="66" t="s">
        <v>142</v>
      </c>
      <c r="B7" s="67">
        <v>4.1318950253458766</v>
      </c>
    </row>
    <row r="8" spans="1:2" ht="11.25" x14ac:dyDescent="0.2">
      <c r="A8" s="64" t="s">
        <v>144</v>
      </c>
      <c r="B8" s="65">
        <v>1633.6097064812711</v>
      </c>
    </row>
    <row r="9" spans="1:2" ht="11.25" x14ac:dyDescent="0.2">
      <c r="A9" s="66" t="s">
        <v>138</v>
      </c>
      <c r="B9" s="67">
        <v>83.051466989438424</v>
      </c>
    </row>
    <row r="10" spans="1:2" ht="11.25" x14ac:dyDescent="0.2">
      <c r="A10" s="66" t="s">
        <v>139</v>
      </c>
      <c r="B10" s="67">
        <v>0</v>
      </c>
    </row>
    <row r="11" spans="1:2" ht="11.25" x14ac:dyDescent="0.2">
      <c r="A11" s="66" t="s">
        <v>140</v>
      </c>
      <c r="B11" s="67">
        <v>161.04461099993182</v>
      </c>
    </row>
    <row r="12" spans="1:2" ht="11.25" x14ac:dyDescent="0.2">
      <c r="A12" s="66" t="s">
        <v>141</v>
      </c>
      <c r="B12" s="67">
        <v>670.31971880724893</v>
      </c>
    </row>
    <row r="13" spans="1:2" ht="11.25" x14ac:dyDescent="0.2">
      <c r="A13" s="66" t="s">
        <v>148</v>
      </c>
      <c r="B13" s="67">
        <v>679.01444612780551</v>
      </c>
    </row>
    <row r="14" spans="1:2" ht="11.25" x14ac:dyDescent="0.2">
      <c r="A14" s="66" t="s">
        <v>142</v>
      </c>
      <c r="B14" s="67">
        <v>40.179463556846095</v>
      </c>
    </row>
    <row r="15" spans="1:2" ht="11.25" x14ac:dyDescent="0.2">
      <c r="A15" s="64" t="s">
        <v>145</v>
      </c>
      <c r="B15" s="65">
        <v>1622.6212174751263</v>
      </c>
    </row>
    <row r="16" spans="1:2" ht="11.25" x14ac:dyDescent="0.2">
      <c r="A16" s="66" t="s">
        <v>138</v>
      </c>
      <c r="B16" s="67">
        <v>141.26618917059776</v>
      </c>
    </row>
    <row r="17" spans="1:2" ht="11.25" x14ac:dyDescent="0.2">
      <c r="A17" s="66" t="s">
        <v>139</v>
      </c>
      <c r="B17" s="67">
        <v>70.006888499229476</v>
      </c>
    </row>
    <row r="18" spans="1:2" ht="11.25" x14ac:dyDescent="0.2">
      <c r="A18" s="66" t="s">
        <v>140</v>
      </c>
      <c r="B18" s="67">
        <v>205.58400767269995</v>
      </c>
    </row>
    <row r="19" spans="1:2" ht="11.25" x14ac:dyDescent="0.2">
      <c r="A19" s="66" t="s">
        <v>141</v>
      </c>
      <c r="B19" s="67">
        <v>663.68165805308649</v>
      </c>
    </row>
    <row r="20" spans="1:2" ht="11.25" x14ac:dyDescent="0.2">
      <c r="A20" s="66" t="s">
        <v>148</v>
      </c>
      <c r="B20" s="67">
        <v>521.20342808757948</v>
      </c>
    </row>
    <row r="21" spans="1:2" ht="11.25" x14ac:dyDescent="0.2">
      <c r="A21" s="66" t="s">
        <v>142</v>
      </c>
      <c r="B21" s="67">
        <v>20.879045991933239</v>
      </c>
    </row>
    <row r="22" spans="1:2" ht="11.25" x14ac:dyDescent="0.2">
      <c r="A22" s="64" t="s">
        <v>146</v>
      </c>
      <c r="B22" s="65">
        <v>0</v>
      </c>
    </row>
    <row r="23" spans="1:2" ht="11.25" x14ac:dyDescent="0.2">
      <c r="A23" s="66" t="s">
        <v>138</v>
      </c>
      <c r="B23" s="67">
        <v>0</v>
      </c>
    </row>
    <row r="24" spans="1:2" ht="11.25" x14ac:dyDescent="0.2">
      <c r="A24" s="66" t="s">
        <v>139</v>
      </c>
      <c r="B24" s="67">
        <v>0</v>
      </c>
    </row>
    <row r="25" spans="1:2" ht="11.25" x14ac:dyDescent="0.2">
      <c r="A25" s="66" t="s">
        <v>140</v>
      </c>
      <c r="B25" s="67">
        <v>0</v>
      </c>
    </row>
    <row r="26" spans="1:2" ht="11.25" x14ac:dyDescent="0.2">
      <c r="A26" s="66" t="s">
        <v>141</v>
      </c>
      <c r="B26" s="67">
        <v>0</v>
      </c>
    </row>
    <row r="27" spans="1:2" ht="11.25" x14ac:dyDescent="0.2">
      <c r="A27" s="66" t="s">
        <v>148</v>
      </c>
      <c r="B27" s="67">
        <v>0</v>
      </c>
    </row>
    <row r="28" spans="1:2" ht="11.25" x14ac:dyDescent="0.2">
      <c r="A28" s="66" t="s">
        <v>142</v>
      </c>
      <c r="B28" s="67">
        <v>0</v>
      </c>
    </row>
    <row r="29" spans="1:2" ht="11.25" x14ac:dyDescent="0.2">
      <c r="A29" s="64" t="s">
        <v>147</v>
      </c>
      <c r="B29" s="65">
        <v>6889.8992306712953</v>
      </c>
    </row>
    <row r="30" spans="1:2" ht="11.25" x14ac:dyDescent="0.2">
      <c r="A30" s="66" t="s">
        <v>138</v>
      </c>
      <c r="B30" s="67">
        <v>226.62204896044386</v>
      </c>
    </row>
    <row r="31" spans="1:2" ht="11.25" x14ac:dyDescent="0.2">
      <c r="A31" s="66" t="s">
        <v>139</v>
      </c>
      <c r="B31" s="67">
        <v>99.34343254316677</v>
      </c>
    </row>
    <row r="32" spans="1:2" ht="11.25" x14ac:dyDescent="0.2">
      <c r="A32" s="66" t="s">
        <v>140</v>
      </c>
      <c r="B32" s="67">
        <v>432.15429713609359</v>
      </c>
    </row>
    <row r="33" spans="1:2" ht="11.25" x14ac:dyDescent="0.2">
      <c r="A33" s="66" t="s">
        <v>141</v>
      </c>
      <c r="B33" s="67">
        <v>2100.2938101329214</v>
      </c>
    </row>
    <row r="34" spans="1:2" ht="11.25" x14ac:dyDescent="0.2">
      <c r="A34" s="66" t="s">
        <v>148</v>
      </c>
      <c r="B34" s="67">
        <v>3940.4096051981178</v>
      </c>
    </row>
    <row r="35" spans="1:2" ht="11.25" x14ac:dyDescent="0.2">
      <c r="A35" s="66" t="s">
        <v>142</v>
      </c>
      <c r="B35" s="67">
        <v>91.076036700552109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S74"/>
  <sheetViews>
    <sheetView showGridLines="0" topLeftCell="D1" zoomScaleNormal="100" workbookViewId="0">
      <selection activeCell="R11" sqref="R11"/>
    </sheetView>
  </sheetViews>
  <sheetFormatPr baseColWidth="10" defaultColWidth="0" defaultRowHeight="10.5" x14ac:dyDescent="0.15"/>
  <cols>
    <col min="1" max="1" width="11.42578125" style="37" customWidth="1"/>
    <col min="2" max="2" width="5.28515625" style="37" customWidth="1"/>
    <col min="3" max="3" width="6" style="1" hidden="1" customWidth="1"/>
    <col min="4" max="4" width="11.42578125" style="2" customWidth="1"/>
    <col min="5" max="5" width="17.140625" style="1" bestFit="1" customWidth="1"/>
    <col min="6" max="17" width="12" style="1" customWidth="1"/>
    <col min="18" max="18" width="9.7109375" style="1" customWidth="1"/>
    <col min="19" max="19" width="6.42578125" style="1" customWidth="1"/>
    <col min="20" max="16384" width="11.42578125" style="1" hidden="1"/>
  </cols>
  <sheetData>
    <row r="1" spans="1:19" ht="20.25" customHeight="1" x14ac:dyDescent="0.15"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3" spans="1:19" ht="18" x14ac:dyDescent="0.25">
      <c r="E3" s="5" t="str">
        <f>"Plan de trésorerie de "&amp;PROPER(TEXT(F6,"mmmm aaaa"))&amp;" à "&amp;PROPER(TEXT(Q6,"mmmm aaaa"))</f>
        <v>Plan de trésorerie de Mars 2013 à Février 2014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9" ht="14.25" customHeight="1" x14ac:dyDescent="0.2">
      <c r="B4" s="38"/>
      <c r="C4" s="1">
        <f t="array" aca="1" ref="C4" ca="1">IF(IF(AND(C$6&gt;=$A4,(EDATE($A4,$C4)&gt;=C$6)),$B4,0)+IFERROR(INDEX(Debiteurs[Solde],MATCH('Plan Trésorerie'!$E4&amp;'Plan Trésorerie'!C$5,Debiteurs[Débiteur]&amp;Debiteurs[Mois an],0)),0)=0,"",
IF(AND(C$6&gt;=$A4,(EDATE($A4,$C4)&gt;=C$6)),$B4,0)+IFERROR(INDEX(Debiteurs[Solde],MATCH('Plan Trésorerie'!$E4&amp;'Plan Trésorerie'!C$5,Debiteurs[Débiteur]&amp;Debiteurs[Mois an],0)),0))</f>
        <v>1650000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9" ht="18.75" hidden="1" customHeight="1" x14ac:dyDescent="0.2">
      <c r="C5" s="1">
        <f t="array" aca="1" ref="C5" ca="1">IF(IF(AND(C$6&gt;=$A5,(EDATE($A5,$C5)&gt;=C$6)),$B5,0)+IFERROR(INDEX(Creanciers[Solde],MATCH('Plan Trésorerie'!$E5&amp;'Plan Trésorerie'!C$5,Creanciers[Créanciers]&amp;Creanciers[Mois an],0)),0)=0,"",
IF(AND(C$6&gt;=$A5,(EDATE($A5,$C5)&gt;=C$6)),$B5,0)+IFERROR(INDEX(Creanciers[Solde],MATCH('Plan Trésorerie'!$E5&amp;'Plan Trésorerie'!C$5,Creanciers[Créanciers]&amp;Creanciers[Mois an],0)),0))</f>
        <v>2500000</v>
      </c>
      <c r="F5" s="20" t="str">
        <f>MONTH(F6)&amp;YEAR(F6)</f>
        <v>32013</v>
      </c>
      <c r="G5" s="20" t="str">
        <f t="shared" ref="G5:Q5" si="0">MONTH(G6)&amp;YEAR(G6)</f>
        <v>42013</v>
      </c>
      <c r="H5" s="20" t="str">
        <f t="shared" si="0"/>
        <v>52013</v>
      </c>
      <c r="I5" s="20" t="str">
        <f t="shared" si="0"/>
        <v>62013</v>
      </c>
      <c r="J5" s="20" t="str">
        <f t="shared" si="0"/>
        <v>72013</v>
      </c>
      <c r="K5" s="20" t="str">
        <f t="shared" si="0"/>
        <v>82013</v>
      </c>
      <c r="L5" s="20" t="str">
        <f t="shared" si="0"/>
        <v>92013</v>
      </c>
      <c r="M5" s="20" t="str">
        <f t="shared" si="0"/>
        <v>102013</v>
      </c>
      <c r="N5" s="20" t="str">
        <f t="shared" si="0"/>
        <v>112013</v>
      </c>
      <c r="O5" s="20" t="str">
        <f t="shared" si="0"/>
        <v>122013</v>
      </c>
      <c r="P5" s="20" t="str">
        <f t="shared" si="0"/>
        <v>12014</v>
      </c>
      <c r="Q5" s="20" t="str">
        <f t="shared" si="0"/>
        <v>22014</v>
      </c>
    </row>
    <row r="6" spans="1:19" ht="20.25" customHeight="1" x14ac:dyDescent="0.2">
      <c r="C6" s="22"/>
      <c r="D6" s="63" t="str">
        <f>"Solde au "&amp;TEXT(DateJour,"jj/mm/aa")</f>
        <v>Solde au 09/03/13</v>
      </c>
      <c r="F6" s="31">
        <f>DATE(YEAR(DateJour),MONTH(DateJour)+1,0)</f>
        <v>41364</v>
      </c>
      <c r="G6" s="31">
        <f>DATE(YEAR(F6),MONTH(F6)+2,0)</f>
        <v>41394</v>
      </c>
      <c r="H6" s="31">
        <f t="shared" ref="H6:Q6" si="1">DATE(YEAR(G6),MONTH(G6)+2,0)</f>
        <v>41425</v>
      </c>
      <c r="I6" s="31">
        <f t="shared" si="1"/>
        <v>41455</v>
      </c>
      <c r="J6" s="31">
        <f t="shared" si="1"/>
        <v>41486</v>
      </c>
      <c r="K6" s="31">
        <f t="shared" si="1"/>
        <v>41517</v>
      </c>
      <c r="L6" s="31">
        <f t="shared" si="1"/>
        <v>41547</v>
      </c>
      <c r="M6" s="31">
        <f t="shared" si="1"/>
        <v>41578</v>
      </c>
      <c r="N6" s="31">
        <f t="shared" si="1"/>
        <v>41608</v>
      </c>
      <c r="O6" s="31">
        <f t="shared" si="1"/>
        <v>41639</v>
      </c>
      <c r="P6" s="31">
        <f t="shared" si="1"/>
        <v>41670</v>
      </c>
      <c r="Q6" s="31">
        <f t="shared" si="1"/>
        <v>41698</v>
      </c>
      <c r="R6" s="63" t="str">
        <f>"Solde au "&amp;TEXT(Q6,"jj/mm/aa")</f>
        <v>Solde au 28/02/14</v>
      </c>
    </row>
    <row r="7" spans="1:19" ht="15" customHeight="1" x14ac:dyDescent="0.2">
      <c r="D7" s="63"/>
      <c r="E7" s="29" t="s">
        <v>128</v>
      </c>
      <c r="F7" s="44">
        <f>+'Etat des lieux'!D6</f>
        <v>2400000</v>
      </c>
      <c r="G7" s="44">
        <f>F74</f>
        <v>4270000</v>
      </c>
      <c r="H7" s="44">
        <f t="shared" ref="H7:Q7" si="2">G74</f>
        <v>620000</v>
      </c>
      <c r="I7" s="44">
        <f t="shared" si="2"/>
        <v>3510000</v>
      </c>
      <c r="J7" s="44">
        <f t="shared" si="2"/>
        <v>4360000</v>
      </c>
      <c r="K7" s="44">
        <f t="shared" si="2"/>
        <v>5210000</v>
      </c>
      <c r="L7" s="44">
        <f t="shared" si="2"/>
        <v>7060000</v>
      </c>
      <c r="M7" s="44">
        <f t="shared" si="2"/>
        <v>4410000</v>
      </c>
      <c r="N7" s="44">
        <f t="shared" si="2"/>
        <v>2960000</v>
      </c>
      <c r="O7" s="44">
        <f t="shared" si="2"/>
        <v>860000</v>
      </c>
      <c r="P7" s="44">
        <f t="shared" si="2"/>
        <v>-790000</v>
      </c>
      <c r="Q7" s="44">
        <f t="shared" si="2"/>
        <v>210000</v>
      </c>
      <c r="R7" s="63"/>
    </row>
    <row r="8" spans="1:19" ht="11.25" customHeight="1" x14ac:dyDescent="0.15">
      <c r="A8" s="37" t="s">
        <v>136</v>
      </c>
      <c r="B8" s="37" t="s">
        <v>81</v>
      </c>
      <c r="C8" s="1" t="s">
        <v>120</v>
      </c>
      <c r="D8" s="26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27"/>
    </row>
    <row r="9" spans="1:19" ht="14.25" customHeight="1" x14ac:dyDescent="0.15">
      <c r="D9" s="26"/>
      <c r="E9" s="25" t="s">
        <v>116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27"/>
    </row>
    <row r="10" spans="1:19" x14ac:dyDescent="0.15">
      <c r="A10" s="39">
        <f>IFERROR(INDEX(EngagementsClients[Prochain Paiement],MATCH('Plan Trésorerie'!E10,EngagementsClients[Nom client],0)),0)</f>
        <v>41434</v>
      </c>
      <c r="B10" s="40">
        <f>IFERROR(INDEX(EngagementsClients[Mensualité],MATCH('Plan Trésorerie'!E10,EngagementsClients[Nom client],0)),0)</f>
        <v>4500000</v>
      </c>
      <c r="C10" s="1">
        <f>IFERROR(INDEX('Contrats Engagements'!$E$8:$E$20000,MATCH('Plan Trésorerie'!E10,'Contrats Engagements'!$C$8:$C$20000,0)),)</f>
        <v>3</v>
      </c>
      <c r="D10" s="59">
        <f>IFERROR(INDEX('Etat des lieux'!$H$8:$H$20000,MATCH('Plan Trésorerie'!E10,'Etat des lieux'!$G$8:$G$20000,0)),0)</f>
        <v>2500000</v>
      </c>
      <c r="E10" s="22" t="s">
        <v>9</v>
      </c>
      <c r="F10" s="58">
        <v>2500000</v>
      </c>
      <c r="G10" s="58" t="s">
        <v>127</v>
      </c>
      <c r="H10" s="58" t="s">
        <v>127</v>
      </c>
      <c r="I10" s="58">
        <v>4500000</v>
      </c>
      <c r="J10" s="58">
        <v>4500000</v>
      </c>
      <c r="K10" s="58">
        <v>4500000</v>
      </c>
      <c r="L10" s="58" t="s">
        <v>127</v>
      </c>
      <c r="M10" s="58" t="s">
        <v>127</v>
      </c>
      <c r="N10" s="58" t="s">
        <v>127</v>
      </c>
      <c r="O10" s="58" t="s">
        <v>127</v>
      </c>
      <c r="P10" s="58" t="s">
        <v>127</v>
      </c>
      <c r="Q10" s="58" t="s">
        <v>127</v>
      </c>
      <c r="R10" s="60">
        <f t="shared" ref="R10:R39" si="3">D10-SUM(F10:Q10)+B10*C10</f>
        <v>0</v>
      </c>
      <c r="S10" s="9"/>
    </row>
    <row r="11" spans="1:19" x14ac:dyDescent="0.15">
      <c r="A11" s="39">
        <f>IFERROR(INDEX(EngagementsClients[Prochain Paiement],MATCH('Plan Trésorerie'!E11,EngagementsClients[Nom client],0)),0)</f>
        <v>41487</v>
      </c>
      <c r="B11" s="40">
        <f>IFERROR(INDEX(EngagementsClients[Mensualité],MATCH('Plan Trésorerie'!E11,EngagementsClients[Nom client],0)),0)</f>
        <v>1000000</v>
      </c>
      <c r="C11" s="1">
        <f>IFERROR(INDEX('Contrats Engagements'!$E$8:$E$20000,MATCH('Plan Trésorerie'!E11,'Contrats Engagements'!$C$8:$C$20000,0)),)</f>
        <v>11</v>
      </c>
      <c r="D11" s="59">
        <f>IFERROR(INDEX('Etat des lieux'!$H$8:$H$20000,MATCH('Plan Trésorerie'!E11,'Etat des lieux'!$G$8:$G$20000,0)),0)</f>
        <v>0</v>
      </c>
      <c r="E11" s="22" t="s">
        <v>10</v>
      </c>
      <c r="F11" s="58" t="s">
        <v>127</v>
      </c>
      <c r="G11" s="58" t="s">
        <v>127</v>
      </c>
      <c r="H11" s="58" t="s">
        <v>127</v>
      </c>
      <c r="I11" s="58" t="s">
        <v>127</v>
      </c>
      <c r="J11" s="58" t="s">
        <v>127</v>
      </c>
      <c r="K11" s="58">
        <v>1000000</v>
      </c>
      <c r="L11" s="58">
        <v>1000000</v>
      </c>
      <c r="M11" s="58">
        <v>1000000</v>
      </c>
      <c r="N11" s="58">
        <v>1000000</v>
      </c>
      <c r="O11" s="58">
        <v>1000000</v>
      </c>
      <c r="P11" s="58">
        <v>1000000</v>
      </c>
      <c r="Q11" s="58">
        <v>1000000</v>
      </c>
      <c r="R11" s="60">
        <f t="shared" si="3"/>
        <v>4000000</v>
      </c>
      <c r="S11" s="9"/>
    </row>
    <row r="12" spans="1:19" x14ac:dyDescent="0.15">
      <c r="A12" s="39">
        <f>IFERROR(INDEX(EngagementsClients[Prochain Paiement],MATCH('Plan Trésorerie'!E12,EngagementsClients[Nom client],0)),0)</f>
        <v>41365</v>
      </c>
      <c r="B12" s="40">
        <f>IFERROR(INDEX(EngagementsClients[Mensualité],MATCH('Plan Trésorerie'!E12,EngagementsClients[Nom client],0)),0)</f>
        <v>650000</v>
      </c>
      <c r="C12" s="1">
        <f>IFERROR(INDEX('Contrats Engagements'!$E$8:$E$20000,MATCH('Plan Trésorerie'!E12,'Contrats Engagements'!$C$8:$C$20000,0)),)</f>
        <v>7</v>
      </c>
      <c r="D12" s="59">
        <f>IFERROR(INDEX('Etat des lieux'!$H$8:$H$20000,MATCH('Plan Trésorerie'!E12,'Etat des lieux'!$G$8:$G$20000,0)),0)</f>
        <v>6540000</v>
      </c>
      <c r="E12" s="22" t="s">
        <v>11</v>
      </c>
      <c r="F12" s="58" t="s">
        <v>127</v>
      </c>
      <c r="G12" s="58">
        <v>650000</v>
      </c>
      <c r="H12" s="58">
        <v>7190000</v>
      </c>
      <c r="I12" s="58">
        <v>650000</v>
      </c>
      <c r="J12" s="58">
        <v>650000</v>
      </c>
      <c r="K12" s="58">
        <v>650000</v>
      </c>
      <c r="L12" s="58">
        <v>650000</v>
      </c>
      <c r="M12" s="58">
        <v>650000</v>
      </c>
      <c r="N12" s="58" t="s">
        <v>127</v>
      </c>
      <c r="O12" s="58" t="s">
        <v>127</v>
      </c>
      <c r="P12" s="58" t="s">
        <v>127</v>
      </c>
      <c r="Q12" s="58" t="s">
        <v>127</v>
      </c>
      <c r="R12" s="60">
        <f t="shared" si="3"/>
        <v>0</v>
      </c>
      <c r="S12" s="9"/>
    </row>
    <row r="13" spans="1:19" x14ac:dyDescent="0.15">
      <c r="A13" s="39">
        <f>IFERROR(INDEX(EngagementsClients[Prochain Paiement],MATCH('Plan Trésorerie'!E13,EngagementsClients[Nom client],0)),0)</f>
        <v>0</v>
      </c>
      <c r="B13" s="40">
        <f>IFERROR(INDEX(EngagementsClients[Mensualité],MATCH('Plan Trésorerie'!E13,EngagementsClients[Nom client],0)),0)</f>
        <v>0</v>
      </c>
      <c r="C13" s="1">
        <f>IFERROR(INDEX('Contrats Engagements'!$E$8:$E$20000,MATCH('Plan Trésorerie'!E13,'Contrats Engagements'!$C$8:$C$20000,0)),)</f>
        <v>0</v>
      </c>
      <c r="D13" s="59">
        <f>IFERROR(INDEX('Etat des lieux'!$H$8:$H$20000,MATCH('Plan Trésorerie'!E13,'Etat des lieux'!$G$8:$G$20000,0)),0)</f>
        <v>2300000</v>
      </c>
      <c r="E13" s="22" t="s">
        <v>8</v>
      </c>
      <c r="F13" s="58">
        <v>2300000</v>
      </c>
      <c r="G13" s="58" t="s">
        <v>127</v>
      </c>
      <c r="H13" s="58" t="s">
        <v>127</v>
      </c>
      <c r="I13" s="58" t="s">
        <v>127</v>
      </c>
      <c r="J13" s="58" t="s">
        <v>127</v>
      </c>
      <c r="K13" s="58" t="s">
        <v>127</v>
      </c>
      <c r="L13" s="58" t="s">
        <v>127</v>
      </c>
      <c r="M13" s="58" t="s">
        <v>127</v>
      </c>
      <c r="N13" s="58" t="s">
        <v>127</v>
      </c>
      <c r="O13" s="58" t="s">
        <v>127</v>
      </c>
      <c r="P13" s="58" t="s">
        <v>127</v>
      </c>
      <c r="Q13" s="58" t="s">
        <v>127</v>
      </c>
      <c r="R13" s="60">
        <f t="shared" si="3"/>
        <v>0</v>
      </c>
      <c r="S13" s="9"/>
    </row>
    <row r="14" spans="1:19" x14ac:dyDescent="0.15">
      <c r="A14" s="39">
        <f>IFERROR(INDEX(EngagementsClients[Prochain Paiement],MATCH('Plan Trésorerie'!E14,EngagementsClients[Nom client],0)),0)</f>
        <v>0</v>
      </c>
      <c r="B14" s="40">
        <f>IFERROR(INDEX(EngagementsClients[Mensualité],MATCH('Plan Trésorerie'!E14,EngagementsClients[Nom client],0)),0)</f>
        <v>0</v>
      </c>
      <c r="C14" s="1">
        <f>IFERROR(INDEX('Contrats Engagements'!$E$8:$E$20000,MATCH('Plan Trésorerie'!E14,'Contrats Engagements'!$C$8:$C$20000,0)),)</f>
        <v>0</v>
      </c>
      <c r="D14" s="59">
        <f>IFERROR(INDEX('Etat des lieux'!$H$8:$H$20000,MATCH('Plan Trésorerie'!E14,'Etat des lieux'!$G$8:$G$20000,0)),0)</f>
        <v>2210000</v>
      </c>
      <c r="E14" s="22" t="s">
        <v>6</v>
      </c>
      <c r="F14" s="58">
        <v>2210000</v>
      </c>
      <c r="G14" s="58" t="s">
        <v>127</v>
      </c>
      <c r="H14" s="58" t="s">
        <v>127</v>
      </c>
      <c r="I14" s="58" t="s">
        <v>127</v>
      </c>
      <c r="J14" s="58" t="s">
        <v>127</v>
      </c>
      <c r="K14" s="58" t="s">
        <v>127</v>
      </c>
      <c r="L14" s="58" t="s">
        <v>127</v>
      </c>
      <c r="M14" s="58" t="s">
        <v>127</v>
      </c>
      <c r="N14" s="58" t="s">
        <v>127</v>
      </c>
      <c r="O14" s="58" t="s">
        <v>127</v>
      </c>
      <c r="P14" s="58" t="s">
        <v>127</v>
      </c>
      <c r="Q14" s="58" t="s">
        <v>127</v>
      </c>
      <c r="R14" s="60">
        <f t="shared" si="3"/>
        <v>0</v>
      </c>
      <c r="S14" s="9"/>
    </row>
    <row r="15" spans="1:19" x14ac:dyDescent="0.15">
      <c r="A15" s="39">
        <f>IFERROR(INDEX(EngagementsClients[Prochain Paiement],MATCH('Plan Trésorerie'!E15,EngagementsClients[Nom client],0)),0)</f>
        <v>0</v>
      </c>
      <c r="B15" s="40">
        <f>IFERROR(INDEX(EngagementsClients[Mensualité],MATCH('Plan Trésorerie'!E15,EngagementsClients[Nom client],0)),0)</f>
        <v>0</v>
      </c>
      <c r="C15" s="1">
        <f>IFERROR(INDEX('Contrats Engagements'!$E$8:$E$20000,MATCH('Plan Trésorerie'!E15,'Contrats Engagements'!$C$8:$C$20000,0)),)</f>
        <v>0</v>
      </c>
      <c r="D15" s="59">
        <f>IFERROR(INDEX('Etat des lieux'!$H$8:$H$20000,MATCH('Plan Trésorerie'!E15,'Etat des lieux'!$G$8:$G$20000,0)),0)</f>
        <v>300000</v>
      </c>
      <c r="E15" s="22" t="s">
        <v>7</v>
      </c>
      <c r="F15" s="58">
        <v>300000</v>
      </c>
      <c r="G15" s="58" t="s">
        <v>127</v>
      </c>
      <c r="H15" s="58" t="s">
        <v>127</v>
      </c>
      <c r="I15" s="58" t="s">
        <v>127</v>
      </c>
      <c r="J15" s="58" t="s">
        <v>127</v>
      </c>
      <c r="K15" s="58" t="s">
        <v>127</v>
      </c>
      <c r="L15" s="58" t="s">
        <v>127</v>
      </c>
      <c r="M15" s="58" t="s">
        <v>127</v>
      </c>
      <c r="N15" s="58" t="s">
        <v>127</v>
      </c>
      <c r="O15" s="58" t="s">
        <v>127</v>
      </c>
      <c r="P15" s="58" t="s">
        <v>127</v>
      </c>
      <c r="Q15" s="58" t="s">
        <v>127</v>
      </c>
      <c r="R15" s="60">
        <f t="shared" si="3"/>
        <v>0</v>
      </c>
      <c r="S15" s="9"/>
    </row>
    <row r="16" spans="1:19" hidden="1" x14ac:dyDescent="0.15">
      <c r="A16" s="39">
        <f>IFERROR(INDEX(EngagementsClients[Prochain Paiement],MATCH('Plan Trésorerie'!E16,EngagementsClients[Nom client],0)),0)</f>
        <v>0</v>
      </c>
      <c r="B16" s="40">
        <f>IFERROR(INDEX(EngagementsClients[Mensualité],MATCH('Plan Trésorerie'!E16,EngagementsClients[Nom client],0)),0)</f>
        <v>0</v>
      </c>
      <c r="C16" s="1">
        <f>IFERROR(INDEX('Contrats Engagements'!$E$8:$E$20000,MATCH('Plan Trésorerie'!E16,'Contrats Engagements'!$C$8:$C$20000,0)),)</f>
        <v>0</v>
      </c>
      <c r="D16" s="59">
        <f>IFERROR(INDEX('Etat des lieux'!$H$8:$H$20000,MATCH('Plan Trésorerie'!E16,'Etat des lieux'!$G$8:$G$20000,0)),0)</f>
        <v>0</v>
      </c>
      <c r="E16" s="22"/>
      <c r="F16" s="58" t="s">
        <v>127</v>
      </c>
      <c r="G16" s="58" t="s">
        <v>127</v>
      </c>
      <c r="H16" s="58" t="s">
        <v>127</v>
      </c>
      <c r="I16" s="58" t="s">
        <v>127</v>
      </c>
      <c r="J16" s="58" t="s">
        <v>127</v>
      </c>
      <c r="K16" s="58" t="s">
        <v>127</v>
      </c>
      <c r="L16" s="58" t="s">
        <v>127</v>
      </c>
      <c r="M16" s="58" t="s">
        <v>127</v>
      </c>
      <c r="N16" s="58" t="s">
        <v>127</v>
      </c>
      <c r="O16" s="58" t="s">
        <v>127</v>
      </c>
      <c r="P16" s="58" t="s">
        <v>127</v>
      </c>
      <c r="Q16" s="58" t="s">
        <v>127</v>
      </c>
      <c r="R16" s="60">
        <f t="shared" si="3"/>
        <v>0</v>
      </c>
      <c r="S16" s="9"/>
    </row>
    <row r="17" spans="1:19" hidden="1" x14ac:dyDescent="0.15">
      <c r="A17" s="39">
        <f>IFERROR(INDEX(EngagementsClients[Prochain Paiement],MATCH('Plan Trésorerie'!E17,EngagementsClients[Nom client],0)),0)</f>
        <v>0</v>
      </c>
      <c r="B17" s="40">
        <f>IFERROR(INDEX(EngagementsClients[Mensualité],MATCH('Plan Trésorerie'!E17,EngagementsClients[Nom client],0)),0)</f>
        <v>0</v>
      </c>
      <c r="C17" s="1">
        <f>IFERROR(INDEX('Contrats Engagements'!$E$8:$E$20000,MATCH('Plan Trésorerie'!E17,'Contrats Engagements'!$C$8:$C$20000,0)),)</f>
        <v>0</v>
      </c>
      <c r="D17" s="59">
        <f>IFERROR(INDEX('Etat des lieux'!$H$8:$H$20000,MATCH('Plan Trésorerie'!E17,'Etat des lieux'!$G$8:$G$20000,0)),0)</f>
        <v>0</v>
      </c>
      <c r="E17" s="22"/>
      <c r="F17" s="58" t="s">
        <v>127</v>
      </c>
      <c r="G17" s="58" t="s">
        <v>127</v>
      </c>
      <c r="H17" s="58" t="s">
        <v>127</v>
      </c>
      <c r="I17" s="58" t="s">
        <v>127</v>
      </c>
      <c r="J17" s="58" t="s">
        <v>127</v>
      </c>
      <c r="K17" s="58" t="s">
        <v>127</v>
      </c>
      <c r="L17" s="58" t="s">
        <v>127</v>
      </c>
      <c r="M17" s="58" t="s">
        <v>127</v>
      </c>
      <c r="N17" s="58" t="s">
        <v>127</v>
      </c>
      <c r="O17" s="58" t="s">
        <v>127</v>
      </c>
      <c r="P17" s="58" t="s">
        <v>127</v>
      </c>
      <c r="Q17" s="58" t="s">
        <v>127</v>
      </c>
      <c r="R17" s="60">
        <f t="shared" si="3"/>
        <v>0</v>
      </c>
      <c r="S17" s="9"/>
    </row>
    <row r="18" spans="1:19" hidden="1" x14ac:dyDescent="0.15">
      <c r="A18" s="39">
        <f>IFERROR(INDEX(EngagementsClients[Prochain Paiement],MATCH('Plan Trésorerie'!E18,EngagementsClients[Nom client],0)),0)</f>
        <v>0</v>
      </c>
      <c r="B18" s="40">
        <f>IFERROR(INDEX(EngagementsClients[Mensualité],MATCH('Plan Trésorerie'!E18,EngagementsClients[Nom client],0)),0)</f>
        <v>0</v>
      </c>
      <c r="C18" s="1">
        <f>IFERROR(INDEX('Contrats Engagements'!$E$8:$E$20000,MATCH('Plan Trésorerie'!E18,'Contrats Engagements'!$C$8:$C$20000,0)),)</f>
        <v>0</v>
      </c>
      <c r="D18" s="59">
        <f>IFERROR(INDEX('Etat des lieux'!$H$8:$H$20000,MATCH('Plan Trésorerie'!E18,'Etat des lieux'!$G$8:$G$20000,0)),0)</f>
        <v>0</v>
      </c>
      <c r="E18" s="22"/>
      <c r="F18" s="58" t="s">
        <v>127</v>
      </c>
      <c r="G18" s="58" t="s">
        <v>127</v>
      </c>
      <c r="H18" s="58" t="s">
        <v>127</v>
      </c>
      <c r="I18" s="58" t="s">
        <v>127</v>
      </c>
      <c r="J18" s="58" t="s">
        <v>127</v>
      </c>
      <c r="K18" s="58" t="s">
        <v>127</v>
      </c>
      <c r="L18" s="58" t="s">
        <v>127</v>
      </c>
      <c r="M18" s="58" t="s">
        <v>127</v>
      </c>
      <c r="N18" s="58" t="s">
        <v>127</v>
      </c>
      <c r="O18" s="58" t="s">
        <v>127</v>
      </c>
      <c r="P18" s="58" t="s">
        <v>127</v>
      </c>
      <c r="Q18" s="58" t="s">
        <v>127</v>
      </c>
      <c r="R18" s="60">
        <f t="shared" si="3"/>
        <v>0</v>
      </c>
      <c r="S18" s="9"/>
    </row>
    <row r="19" spans="1:19" hidden="1" x14ac:dyDescent="0.15">
      <c r="A19" s="39">
        <f>IFERROR(INDEX(EngagementsClients[Prochain Paiement],MATCH('Plan Trésorerie'!E19,EngagementsClients[Nom client],0)),0)</f>
        <v>0</v>
      </c>
      <c r="B19" s="40">
        <f>IFERROR(INDEX(EngagementsClients[Mensualité],MATCH('Plan Trésorerie'!E19,EngagementsClients[Nom client],0)),0)</f>
        <v>0</v>
      </c>
      <c r="C19" s="1">
        <f>IFERROR(INDEX('Contrats Engagements'!$E$8:$E$20000,MATCH('Plan Trésorerie'!E19,'Contrats Engagements'!$C$8:$C$20000,0)),)</f>
        <v>0</v>
      </c>
      <c r="D19" s="59">
        <f>IFERROR(INDEX('Etat des lieux'!$H$8:$H$20000,MATCH('Plan Trésorerie'!E19,'Etat des lieux'!$G$8:$G$20000,0)),0)</f>
        <v>0</v>
      </c>
      <c r="E19" s="22"/>
      <c r="F19" s="58" t="s">
        <v>127</v>
      </c>
      <c r="G19" s="58" t="s">
        <v>127</v>
      </c>
      <c r="H19" s="58" t="s">
        <v>127</v>
      </c>
      <c r="I19" s="58" t="s">
        <v>127</v>
      </c>
      <c r="J19" s="58" t="s">
        <v>127</v>
      </c>
      <c r="K19" s="58" t="s">
        <v>127</v>
      </c>
      <c r="L19" s="58" t="s">
        <v>127</v>
      </c>
      <c r="M19" s="58" t="s">
        <v>127</v>
      </c>
      <c r="N19" s="58" t="s">
        <v>127</v>
      </c>
      <c r="O19" s="58" t="s">
        <v>127</v>
      </c>
      <c r="P19" s="58" t="s">
        <v>127</v>
      </c>
      <c r="Q19" s="58" t="s">
        <v>127</v>
      </c>
      <c r="R19" s="60">
        <f t="shared" si="3"/>
        <v>0</v>
      </c>
      <c r="S19" s="9"/>
    </row>
    <row r="20" spans="1:19" hidden="1" x14ac:dyDescent="0.15">
      <c r="A20" s="39">
        <f>IFERROR(INDEX(EngagementsClients[Prochain Paiement],MATCH('Plan Trésorerie'!E20,EngagementsClients[Nom client],0)),0)</f>
        <v>0</v>
      </c>
      <c r="B20" s="40">
        <f>IFERROR(INDEX(EngagementsClients[Mensualité],MATCH('Plan Trésorerie'!E20,EngagementsClients[Nom client],0)),0)</f>
        <v>0</v>
      </c>
      <c r="C20" s="1">
        <f>IFERROR(INDEX('Contrats Engagements'!$E$8:$E$20000,MATCH('Plan Trésorerie'!E20,'Contrats Engagements'!$C$8:$C$20000,0)),)</f>
        <v>0</v>
      </c>
      <c r="D20" s="59">
        <f>IFERROR(INDEX('Etat des lieux'!$H$8:$H$20000,MATCH('Plan Trésorerie'!E20,'Etat des lieux'!$G$8:$G$20000,0)),0)</f>
        <v>0</v>
      </c>
      <c r="E20" s="22"/>
      <c r="F20" s="58" t="s">
        <v>127</v>
      </c>
      <c r="G20" s="58" t="s">
        <v>127</v>
      </c>
      <c r="H20" s="58" t="s">
        <v>127</v>
      </c>
      <c r="I20" s="58" t="s">
        <v>127</v>
      </c>
      <c r="J20" s="58" t="s">
        <v>127</v>
      </c>
      <c r="K20" s="58" t="s">
        <v>127</v>
      </c>
      <c r="L20" s="58" t="s">
        <v>127</v>
      </c>
      <c r="M20" s="58" t="s">
        <v>127</v>
      </c>
      <c r="N20" s="58" t="s">
        <v>127</v>
      </c>
      <c r="O20" s="58" t="s">
        <v>127</v>
      </c>
      <c r="P20" s="58" t="s">
        <v>127</v>
      </c>
      <c r="Q20" s="58" t="s">
        <v>127</v>
      </c>
      <c r="R20" s="60">
        <f t="shared" si="3"/>
        <v>0</v>
      </c>
      <c r="S20" s="9"/>
    </row>
    <row r="21" spans="1:19" hidden="1" x14ac:dyDescent="0.15">
      <c r="A21" s="39">
        <f>IFERROR(INDEX(EngagementsClients[Prochain Paiement],MATCH('Plan Trésorerie'!E21,EngagementsClients[Nom client],0)),0)</f>
        <v>0</v>
      </c>
      <c r="B21" s="40">
        <f>IFERROR(INDEX(EngagementsClients[Mensualité],MATCH('Plan Trésorerie'!E21,EngagementsClients[Nom client],0)),0)</f>
        <v>0</v>
      </c>
      <c r="C21" s="1">
        <f>IFERROR(INDEX('Contrats Engagements'!$E$8:$E$20000,MATCH('Plan Trésorerie'!E21,'Contrats Engagements'!$C$8:$C$20000,0)),)</f>
        <v>0</v>
      </c>
      <c r="D21" s="59">
        <f>IFERROR(INDEX('Etat des lieux'!$H$8:$H$20000,MATCH('Plan Trésorerie'!E21,'Etat des lieux'!$G$8:$G$20000,0)),0)</f>
        <v>0</v>
      </c>
      <c r="E21" s="22"/>
      <c r="F21" s="58" t="s">
        <v>127</v>
      </c>
      <c r="G21" s="58" t="s">
        <v>127</v>
      </c>
      <c r="H21" s="58" t="s">
        <v>127</v>
      </c>
      <c r="I21" s="58" t="s">
        <v>127</v>
      </c>
      <c r="J21" s="58" t="s">
        <v>127</v>
      </c>
      <c r="K21" s="58" t="s">
        <v>127</v>
      </c>
      <c r="L21" s="58" t="s">
        <v>127</v>
      </c>
      <c r="M21" s="58" t="s">
        <v>127</v>
      </c>
      <c r="N21" s="58" t="s">
        <v>127</v>
      </c>
      <c r="O21" s="58" t="s">
        <v>127</v>
      </c>
      <c r="P21" s="58" t="s">
        <v>127</v>
      </c>
      <c r="Q21" s="58" t="s">
        <v>127</v>
      </c>
      <c r="R21" s="60">
        <f t="shared" si="3"/>
        <v>0</v>
      </c>
      <c r="S21" s="9"/>
    </row>
    <row r="22" spans="1:19" hidden="1" x14ac:dyDescent="0.15">
      <c r="A22" s="39">
        <f>IFERROR(INDEX(EngagementsClients[Prochain Paiement],MATCH('Plan Trésorerie'!E22,EngagementsClients[Nom client],0)),0)</f>
        <v>0</v>
      </c>
      <c r="B22" s="40">
        <f>IFERROR(INDEX(EngagementsClients[Mensualité],MATCH('Plan Trésorerie'!E22,EngagementsClients[Nom client],0)),0)</f>
        <v>0</v>
      </c>
      <c r="C22" s="1">
        <f>IFERROR(INDEX('Contrats Engagements'!$E$8:$E$20000,MATCH('Plan Trésorerie'!E22,'Contrats Engagements'!$C$8:$C$20000,0)),)</f>
        <v>0</v>
      </c>
      <c r="D22" s="59">
        <f>IFERROR(INDEX('Etat des lieux'!$H$8:$H$20000,MATCH('Plan Trésorerie'!E22,'Etat des lieux'!$G$8:$G$20000,0)),0)</f>
        <v>0</v>
      </c>
      <c r="E22" s="22"/>
      <c r="F22" s="58" t="s">
        <v>127</v>
      </c>
      <c r="G22" s="58" t="s">
        <v>127</v>
      </c>
      <c r="H22" s="58" t="s">
        <v>127</v>
      </c>
      <c r="I22" s="58" t="s">
        <v>127</v>
      </c>
      <c r="J22" s="58" t="s">
        <v>127</v>
      </c>
      <c r="K22" s="58" t="s">
        <v>127</v>
      </c>
      <c r="L22" s="58" t="s">
        <v>127</v>
      </c>
      <c r="M22" s="58" t="s">
        <v>127</v>
      </c>
      <c r="N22" s="58" t="s">
        <v>127</v>
      </c>
      <c r="O22" s="58" t="s">
        <v>127</v>
      </c>
      <c r="P22" s="58" t="s">
        <v>127</v>
      </c>
      <c r="Q22" s="58" t="s">
        <v>127</v>
      </c>
      <c r="R22" s="60">
        <f t="shared" si="3"/>
        <v>0</v>
      </c>
      <c r="S22" s="9"/>
    </row>
    <row r="23" spans="1:19" hidden="1" x14ac:dyDescent="0.15">
      <c r="A23" s="39">
        <f>IFERROR(INDEX(EngagementsClients[Prochain Paiement],MATCH('Plan Trésorerie'!E23,EngagementsClients[Nom client],0)),0)</f>
        <v>0</v>
      </c>
      <c r="B23" s="40">
        <f>IFERROR(INDEX(EngagementsClients[Mensualité],MATCH('Plan Trésorerie'!E23,EngagementsClients[Nom client],0)),0)</f>
        <v>0</v>
      </c>
      <c r="C23" s="1">
        <f>IFERROR(INDEX('Contrats Engagements'!$E$8:$E$20000,MATCH('Plan Trésorerie'!E23,'Contrats Engagements'!$C$8:$C$20000,0)),)</f>
        <v>0</v>
      </c>
      <c r="D23" s="59">
        <f>IFERROR(INDEX('Etat des lieux'!$H$8:$H$20000,MATCH('Plan Trésorerie'!E23,'Etat des lieux'!$G$8:$G$20000,0)),0)</f>
        <v>0</v>
      </c>
      <c r="E23" s="22"/>
      <c r="F23" s="58" t="s">
        <v>127</v>
      </c>
      <c r="G23" s="58" t="s">
        <v>127</v>
      </c>
      <c r="H23" s="58" t="s">
        <v>127</v>
      </c>
      <c r="I23" s="58" t="s">
        <v>127</v>
      </c>
      <c r="J23" s="58" t="s">
        <v>127</v>
      </c>
      <c r="K23" s="58" t="s">
        <v>127</v>
      </c>
      <c r="L23" s="58" t="s">
        <v>127</v>
      </c>
      <c r="M23" s="58" t="s">
        <v>127</v>
      </c>
      <c r="N23" s="58" t="s">
        <v>127</v>
      </c>
      <c r="O23" s="58" t="s">
        <v>127</v>
      </c>
      <c r="P23" s="58" t="s">
        <v>127</v>
      </c>
      <c r="Q23" s="58" t="s">
        <v>127</v>
      </c>
      <c r="R23" s="60">
        <f t="shared" si="3"/>
        <v>0</v>
      </c>
      <c r="S23" s="9"/>
    </row>
    <row r="24" spans="1:19" hidden="1" x14ac:dyDescent="0.15">
      <c r="A24" s="39">
        <f>IFERROR(INDEX(EngagementsClients[Prochain Paiement],MATCH('Plan Trésorerie'!E24,EngagementsClients[Nom client],0)),0)</f>
        <v>0</v>
      </c>
      <c r="B24" s="40">
        <f>IFERROR(INDEX(EngagementsClients[Mensualité],MATCH('Plan Trésorerie'!E24,EngagementsClients[Nom client],0)),0)</f>
        <v>0</v>
      </c>
      <c r="C24" s="1">
        <f>IFERROR(INDEX('Contrats Engagements'!$E$8:$E$20000,MATCH('Plan Trésorerie'!E24,'Contrats Engagements'!$C$8:$C$20000,0)),)</f>
        <v>0</v>
      </c>
      <c r="D24" s="59">
        <f>IFERROR(INDEX('Etat des lieux'!$H$8:$H$20000,MATCH('Plan Trésorerie'!E24,'Etat des lieux'!$G$8:$G$20000,0)),0)</f>
        <v>0</v>
      </c>
      <c r="E24" s="22"/>
      <c r="F24" s="58" t="s">
        <v>127</v>
      </c>
      <c r="G24" s="58" t="s">
        <v>127</v>
      </c>
      <c r="H24" s="58" t="s">
        <v>127</v>
      </c>
      <c r="I24" s="58" t="s">
        <v>127</v>
      </c>
      <c r="J24" s="58" t="s">
        <v>127</v>
      </c>
      <c r="K24" s="58" t="s">
        <v>127</v>
      </c>
      <c r="L24" s="58" t="s">
        <v>127</v>
      </c>
      <c r="M24" s="58" t="s">
        <v>127</v>
      </c>
      <c r="N24" s="58" t="s">
        <v>127</v>
      </c>
      <c r="O24" s="58" t="s">
        <v>127</v>
      </c>
      <c r="P24" s="58" t="s">
        <v>127</v>
      </c>
      <c r="Q24" s="58" t="s">
        <v>127</v>
      </c>
      <c r="R24" s="60">
        <f t="shared" si="3"/>
        <v>0</v>
      </c>
      <c r="S24" s="9"/>
    </row>
    <row r="25" spans="1:19" hidden="1" x14ac:dyDescent="0.15">
      <c r="A25" s="39">
        <f>IFERROR(INDEX(EngagementsClients[Prochain Paiement],MATCH('Plan Trésorerie'!E25,EngagementsClients[Nom client],0)),0)</f>
        <v>0</v>
      </c>
      <c r="B25" s="40">
        <f>IFERROR(INDEX(EngagementsClients[Mensualité],MATCH('Plan Trésorerie'!E25,EngagementsClients[Nom client],0)),0)</f>
        <v>0</v>
      </c>
      <c r="C25" s="1">
        <f>IFERROR(INDEX('Contrats Engagements'!$E$8:$E$20000,MATCH('Plan Trésorerie'!E25,'Contrats Engagements'!$C$8:$C$20000,0)),)</f>
        <v>0</v>
      </c>
      <c r="D25" s="59">
        <f>IFERROR(INDEX('Etat des lieux'!$H$8:$H$20000,MATCH('Plan Trésorerie'!E25,'Etat des lieux'!$G$8:$G$20000,0)),0)</f>
        <v>0</v>
      </c>
      <c r="E25" s="22"/>
      <c r="F25" s="58" t="s">
        <v>127</v>
      </c>
      <c r="G25" s="58" t="s">
        <v>127</v>
      </c>
      <c r="H25" s="58" t="s">
        <v>127</v>
      </c>
      <c r="I25" s="58" t="s">
        <v>127</v>
      </c>
      <c r="J25" s="58" t="s">
        <v>127</v>
      </c>
      <c r="K25" s="58" t="s">
        <v>127</v>
      </c>
      <c r="L25" s="58" t="s">
        <v>127</v>
      </c>
      <c r="M25" s="58" t="s">
        <v>127</v>
      </c>
      <c r="N25" s="58" t="s">
        <v>127</v>
      </c>
      <c r="O25" s="58" t="s">
        <v>127</v>
      </c>
      <c r="P25" s="58" t="s">
        <v>127</v>
      </c>
      <c r="Q25" s="58" t="s">
        <v>127</v>
      </c>
      <c r="R25" s="60">
        <f t="shared" si="3"/>
        <v>0</v>
      </c>
      <c r="S25" s="9"/>
    </row>
    <row r="26" spans="1:19" hidden="1" x14ac:dyDescent="0.15">
      <c r="A26" s="39">
        <f>IFERROR(INDEX(EngagementsClients[Prochain Paiement],MATCH('Plan Trésorerie'!E26,EngagementsClients[Nom client],0)),0)</f>
        <v>0</v>
      </c>
      <c r="B26" s="40">
        <f>IFERROR(INDEX(EngagementsClients[Mensualité],MATCH('Plan Trésorerie'!E26,EngagementsClients[Nom client],0)),0)</f>
        <v>0</v>
      </c>
      <c r="C26" s="1">
        <f>IFERROR(INDEX('Contrats Engagements'!$E$8:$E$20000,MATCH('Plan Trésorerie'!E26,'Contrats Engagements'!$C$8:$C$20000,0)),)</f>
        <v>0</v>
      </c>
      <c r="D26" s="59">
        <f>IFERROR(INDEX('Etat des lieux'!$H$8:$H$20000,MATCH('Plan Trésorerie'!E26,'Etat des lieux'!$G$8:$G$20000,0)),0)</f>
        <v>0</v>
      </c>
      <c r="E26" s="22"/>
      <c r="F26" s="58" t="s">
        <v>127</v>
      </c>
      <c r="G26" s="58" t="s">
        <v>127</v>
      </c>
      <c r="H26" s="58" t="s">
        <v>127</v>
      </c>
      <c r="I26" s="58" t="s">
        <v>127</v>
      </c>
      <c r="J26" s="58" t="s">
        <v>127</v>
      </c>
      <c r="K26" s="58" t="s">
        <v>127</v>
      </c>
      <c r="L26" s="58" t="s">
        <v>127</v>
      </c>
      <c r="M26" s="58" t="s">
        <v>127</v>
      </c>
      <c r="N26" s="58" t="s">
        <v>127</v>
      </c>
      <c r="O26" s="58" t="s">
        <v>127</v>
      </c>
      <c r="P26" s="58" t="s">
        <v>127</v>
      </c>
      <c r="Q26" s="58" t="s">
        <v>127</v>
      </c>
      <c r="R26" s="60">
        <f t="shared" si="3"/>
        <v>0</v>
      </c>
      <c r="S26" s="9"/>
    </row>
    <row r="27" spans="1:19" hidden="1" x14ac:dyDescent="0.15">
      <c r="A27" s="39">
        <f>IFERROR(INDEX(EngagementsClients[Prochain Paiement],MATCH('Plan Trésorerie'!E27,EngagementsClients[Nom client],0)),0)</f>
        <v>0</v>
      </c>
      <c r="B27" s="40">
        <f>IFERROR(INDEX(EngagementsClients[Mensualité],MATCH('Plan Trésorerie'!E27,EngagementsClients[Nom client],0)),0)</f>
        <v>0</v>
      </c>
      <c r="C27" s="1">
        <f>IFERROR(INDEX('Contrats Engagements'!$E$8:$E$20000,MATCH('Plan Trésorerie'!E27,'Contrats Engagements'!$C$8:$C$20000,0)),)</f>
        <v>0</v>
      </c>
      <c r="D27" s="59">
        <f>IFERROR(INDEX('Etat des lieux'!$H$8:$H$20000,MATCH('Plan Trésorerie'!E27,'Etat des lieux'!$G$8:$G$20000,0)),0)</f>
        <v>0</v>
      </c>
      <c r="E27" s="22"/>
      <c r="F27" s="58" t="s">
        <v>127</v>
      </c>
      <c r="G27" s="58" t="s">
        <v>127</v>
      </c>
      <c r="H27" s="58" t="s">
        <v>127</v>
      </c>
      <c r="I27" s="58" t="s">
        <v>127</v>
      </c>
      <c r="J27" s="58" t="s">
        <v>127</v>
      </c>
      <c r="K27" s="58" t="s">
        <v>127</v>
      </c>
      <c r="L27" s="58" t="s">
        <v>127</v>
      </c>
      <c r="M27" s="58" t="s">
        <v>127</v>
      </c>
      <c r="N27" s="58" t="s">
        <v>127</v>
      </c>
      <c r="O27" s="58" t="s">
        <v>127</v>
      </c>
      <c r="P27" s="58" t="s">
        <v>127</v>
      </c>
      <c r="Q27" s="58" t="s">
        <v>127</v>
      </c>
      <c r="R27" s="60">
        <f t="shared" si="3"/>
        <v>0</v>
      </c>
      <c r="S27" s="9"/>
    </row>
    <row r="28" spans="1:19" hidden="1" x14ac:dyDescent="0.15">
      <c r="A28" s="39">
        <f>IFERROR(INDEX(EngagementsClients[Prochain Paiement],MATCH('Plan Trésorerie'!E28,EngagementsClients[Nom client],0)),0)</f>
        <v>0</v>
      </c>
      <c r="B28" s="40">
        <f>IFERROR(INDEX(EngagementsClients[Mensualité],MATCH('Plan Trésorerie'!E28,EngagementsClients[Nom client],0)),0)</f>
        <v>0</v>
      </c>
      <c r="C28" s="1">
        <f>IFERROR(INDEX('Contrats Engagements'!$E$8:$E$20000,MATCH('Plan Trésorerie'!E28,'Contrats Engagements'!$C$8:$C$20000,0)),)</f>
        <v>0</v>
      </c>
      <c r="D28" s="59">
        <f>IFERROR(INDEX('Etat des lieux'!$H$8:$H$20000,MATCH('Plan Trésorerie'!E28,'Etat des lieux'!$G$8:$G$20000,0)),0)</f>
        <v>0</v>
      </c>
      <c r="E28" s="22"/>
      <c r="F28" s="58" t="s">
        <v>127</v>
      </c>
      <c r="G28" s="58" t="s">
        <v>127</v>
      </c>
      <c r="H28" s="58" t="s">
        <v>127</v>
      </c>
      <c r="I28" s="58" t="s">
        <v>127</v>
      </c>
      <c r="J28" s="58" t="s">
        <v>127</v>
      </c>
      <c r="K28" s="58" t="s">
        <v>127</v>
      </c>
      <c r="L28" s="58" t="s">
        <v>127</v>
      </c>
      <c r="M28" s="58" t="s">
        <v>127</v>
      </c>
      <c r="N28" s="58" t="s">
        <v>127</v>
      </c>
      <c r="O28" s="58" t="s">
        <v>127</v>
      </c>
      <c r="P28" s="58" t="s">
        <v>127</v>
      </c>
      <c r="Q28" s="58" t="s">
        <v>127</v>
      </c>
      <c r="R28" s="60">
        <f t="shared" si="3"/>
        <v>0</v>
      </c>
      <c r="S28" s="9"/>
    </row>
    <row r="29" spans="1:19" hidden="1" x14ac:dyDescent="0.15">
      <c r="A29" s="39">
        <f>IFERROR(INDEX(EngagementsClients[Prochain Paiement],MATCH('Plan Trésorerie'!E29,EngagementsClients[Nom client],0)),0)</f>
        <v>0</v>
      </c>
      <c r="B29" s="40">
        <f>IFERROR(INDEX(EngagementsClients[Mensualité],MATCH('Plan Trésorerie'!E29,EngagementsClients[Nom client],0)),0)</f>
        <v>0</v>
      </c>
      <c r="C29" s="1">
        <f>IFERROR(INDEX('Contrats Engagements'!$E$8:$E$20000,MATCH('Plan Trésorerie'!E29,'Contrats Engagements'!$C$8:$C$20000,0)),)</f>
        <v>0</v>
      </c>
      <c r="D29" s="59">
        <f>IFERROR(INDEX('Etat des lieux'!$H$8:$H$20000,MATCH('Plan Trésorerie'!E29,'Etat des lieux'!$G$8:$G$20000,0)),0)</f>
        <v>0</v>
      </c>
      <c r="E29" s="22"/>
      <c r="F29" s="58" t="s">
        <v>127</v>
      </c>
      <c r="G29" s="58" t="s">
        <v>127</v>
      </c>
      <c r="H29" s="58" t="s">
        <v>127</v>
      </c>
      <c r="I29" s="58" t="s">
        <v>127</v>
      </c>
      <c r="J29" s="58" t="s">
        <v>127</v>
      </c>
      <c r="K29" s="58" t="s">
        <v>127</v>
      </c>
      <c r="L29" s="58" t="s">
        <v>127</v>
      </c>
      <c r="M29" s="58" t="s">
        <v>127</v>
      </c>
      <c r="N29" s="58" t="s">
        <v>127</v>
      </c>
      <c r="O29" s="58" t="s">
        <v>127</v>
      </c>
      <c r="P29" s="58" t="s">
        <v>127</v>
      </c>
      <c r="Q29" s="58" t="s">
        <v>127</v>
      </c>
      <c r="R29" s="60">
        <f t="shared" si="3"/>
        <v>0</v>
      </c>
      <c r="S29" s="9"/>
    </row>
    <row r="30" spans="1:19" hidden="1" x14ac:dyDescent="0.15">
      <c r="A30" s="39">
        <f>IFERROR(INDEX(EngagementsClients[Prochain Paiement],MATCH('Plan Trésorerie'!E30,EngagementsClients[Nom client],0)),0)</f>
        <v>0</v>
      </c>
      <c r="B30" s="40">
        <f>IFERROR(INDEX(EngagementsClients[Mensualité],MATCH('Plan Trésorerie'!E30,EngagementsClients[Nom client],0)),0)</f>
        <v>0</v>
      </c>
      <c r="C30" s="1">
        <f>IFERROR(INDEX('Contrats Engagements'!$E$8:$E$20000,MATCH('Plan Trésorerie'!E30,'Contrats Engagements'!$C$8:$C$20000,0)),)</f>
        <v>0</v>
      </c>
      <c r="D30" s="59">
        <f>IFERROR(INDEX('Etat des lieux'!$H$8:$H$20000,MATCH('Plan Trésorerie'!E30,'Etat des lieux'!$G$8:$G$20000,0)),0)</f>
        <v>0</v>
      </c>
      <c r="E30" s="22"/>
      <c r="F30" s="58" t="s">
        <v>127</v>
      </c>
      <c r="G30" s="58" t="s">
        <v>127</v>
      </c>
      <c r="H30" s="58" t="s">
        <v>127</v>
      </c>
      <c r="I30" s="58" t="s">
        <v>127</v>
      </c>
      <c r="J30" s="58" t="s">
        <v>127</v>
      </c>
      <c r="K30" s="58" t="s">
        <v>127</v>
      </c>
      <c r="L30" s="58" t="s">
        <v>127</v>
      </c>
      <c r="M30" s="58" t="s">
        <v>127</v>
      </c>
      <c r="N30" s="58" t="s">
        <v>127</v>
      </c>
      <c r="O30" s="58" t="s">
        <v>127</v>
      </c>
      <c r="P30" s="58" t="s">
        <v>127</v>
      </c>
      <c r="Q30" s="58" t="s">
        <v>127</v>
      </c>
      <c r="R30" s="60">
        <f t="shared" si="3"/>
        <v>0</v>
      </c>
      <c r="S30" s="9"/>
    </row>
    <row r="31" spans="1:19" hidden="1" x14ac:dyDescent="0.15">
      <c r="A31" s="39">
        <f>IFERROR(INDEX(EngagementsClients[Prochain Paiement],MATCH('Plan Trésorerie'!E31,EngagementsClients[Nom client],0)),0)</f>
        <v>0</v>
      </c>
      <c r="B31" s="40">
        <f>IFERROR(INDEX(EngagementsClients[Mensualité],MATCH('Plan Trésorerie'!E31,EngagementsClients[Nom client],0)),0)</f>
        <v>0</v>
      </c>
      <c r="C31" s="1">
        <f>IFERROR(INDEX('Contrats Engagements'!$E$8:$E$20000,MATCH('Plan Trésorerie'!E31,'Contrats Engagements'!$C$8:$C$20000,0)),)</f>
        <v>0</v>
      </c>
      <c r="D31" s="59">
        <f>IFERROR(INDEX('Etat des lieux'!$H$8:$H$20000,MATCH('Plan Trésorerie'!E31,'Etat des lieux'!$G$8:$G$20000,0)),0)</f>
        <v>0</v>
      </c>
      <c r="E31" s="22"/>
      <c r="F31" s="58" t="s">
        <v>127</v>
      </c>
      <c r="G31" s="58" t="s">
        <v>127</v>
      </c>
      <c r="H31" s="58" t="s">
        <v>127</v>
      </c>
      <c r="I31" s="58" t="s">
        <v>127</v>
      </c>
      <c r="J31" s="58" t="s">
        <v>127</v>
      </c>
      <c r="K31" s="58" t="s">
        <v>127</v>
      </c>
      <c r="L31" s="58" t="s">
        <v>127</v>
      </c>
      <c r="M31" s="58" t="s">
        <v>127</v>
      </c>
      <c r="N31" s="58" t="s">
        <v>127</v>
      </c>
      <c r="O31" s="58" t="s">
        <v>127</v>
      </c>
      <c r="P31" s="58" t="s">
        <v>127</v>
      </c>
      <c r="Q31" s="58" t="s">
        <v>127</v>
      </c>
      <c r="R31" s="60">
        <f t="shared" si="3"/>
        <v>0</v>
      </c>
      <c r="S31" s="9"/>
    </row>
    <row r="32" spans="1:19" hidden="1" x14ac:dyDescent="0.15">
      <c r="A32" s="39">
        <f>IFERROR(INDEX(EngagementsClients[Prochain Paiement],MATCH('Plan Trésorerie'!E32,EngagementsClients[Nom client],0)),0)</f>
        <v>0</v>
      </c>
      <c r="B32" s="40">
        <f>IFERROR(INDEX(EngagementsClients[Mensualité],MATCH('Plan Trésorerie'!E32,EngagementsClients[Nom client],0)),0)</f>
        <v>0</v>
      </c>
      <c r="C32" s="1">
        <f>IFERROR(INDEX('Contrats Engagements'!$E$8:$E$20000,MATCH('Plan Trésorerie'!E32,'Contrats Engagements'!$C$8:$C$20000,0)),)</f>
        <v>0</v>
      </c>
      <c r="D32" s="59">
        <f>IFERROR(INDEX('Etat des lieux'!$H$8:$H$20000,MATCH('Plan Trésorerie'!E32,'Etat des lieux'!$G$8:$G$20000,0)),0)</f>
        <v>0</v>
      </c>
      <c r="E32" s="22"/>
      <c r="F32" s="58" t="s">
        <v>127</v>
      </c>
      <c r="G32" s="58" t="s">
        <v>127</v>
      </c>
      <c r="H32" s="58" t="s">
        <v>127</v>
      </c>
      <c r="I32" s="58" t="s">
        <v>127</v>
      </c>
      <c r="J32" s="58" t="s">
        <v>127</v>
      </c>
      <c r="K32" s="58" t="s">
        <v>127</v>
      </c>
      <c r="L32" s="58" t="s">
        <v>127</v>
      </c>
      <c r="M32" s="58" t="s">
        <v>127</v>
      </c>
      <c r="N32" s="58" t="s">
        <v>127</v>
      </c>
      <c r="O32" s="58" t="s">
        <v>127</v>
      </c>
      <c r="P32" s="58" t="s">
        <v>127</v>
      </c>
      <c r="Q32" s="58" t="s">
        <v>127</v>
      </c>
      <c r="R32" s="60">
        <f t="shared" si="3"/>
        <v>0</v>
      </c>
      <c r="S32" s="9"/>
    </row>
    <row r="33" spans="1:19" hidden="1" x14ac:dyDescent="0.15">
      <c r="A33" s="39">
        <f>IFERROR(INDEX(EngagementsClients[Prochain Paiement],MATCH('Plan Trésorerie'!E33,EngagementsClients[Nom client],0)),0)</f>
        <v>0</v>
      </c>
      <c r="B33" s="40">
        <f>IFERROR(INDEX(EngagementsClients[Mensualité],MATCH('Plan Trésorerie'!E33,EngagementsClients[Nom client],0)),0)</f>
        <v>0</v>
      </c>
      <c r="C33" s="1">
        <f>IFERROR(INDEX('Contrats Engagements'!$E$8:$E$20000,MATCH('Plan Trésorerie'!E33,'Contrats Engagements'!$C$8:$C$20000,0)),)</f>
        <v>0</v>
      </c>
      <c r="D33" s="59">
        <f>IFERROR(INDEX('Etat des lieux'!$H$8:$H$20000,MATCH('Plan Trésorerie'!E33,'Etat des lieux'!$G$8:$G$20000,0)),0)</f>
        <v>0</v>
      </c>
      <c r="E33" s="22"/>
      <c r="F33" s="58" t="s">
        <v>127</v>
      </c>
      <c r="G33" s="58" t="s">
        <v>127</v>
      </c>
      <c r="H33" s="58" t="s">
        <v>127</v>
      </c>
      <c r="I33" s="58" t="s">
        <v>127</v>
      </c>
      <c r="J33" s="58" t="s">
        <v>127</v>
      </c>
      <c r="K33" s="58" t="s">
        <v>127</v>
      </c>
      <c r="L33" s="58" t="s">
        <v>127</v>
      </c>
      <c r="M33" s="58" t="s">
        <v>127</v>
      </c>
      <c r="N33" s="58" t="s">
        <v>127</v>
      </c>
      <c r="O33" s="58" t="s">
        <v>127</v>
      </c>
      <c r="P33" s="58" t="s">
        <v>127</v>
      </c>
      <c r="Q33" s="58" t="s">
        <v>127</v>
      </c>
      <c r="R33" s="60">
        <f t="shared" si="3"/>
        <v>0</v>
      </c>
      <c r="S33" s="9"/>
    </row>
    <row r="34" spans="1:19" hidden="1" x14ac:dyDescent="0.15">
      <c r="A34" s="39">
        <f>IFERROR(INDEX(EngagementsClients[Prochain Paiement],MATCH('Plan Trésorerie'!E34,EngagementsClients[Nom client],0)),0)</f>
        <v>0</v>
      </c>
      <c r="B34" s="40">
        <f>IFERROR(INDEX(EngagementsClients[Mensualité],MATCH('Plan Trésorerie'!E34,EngagementsClients[Nom client],0)),0)</f>
        <v>0</v>
      </c>
      <c r="C34" s="1">
        <f>IFERROR(INDEX('Contrats Engagements'!$E$8:$E$20000,MATCH('Plan Trésorerie'!E34,'Contrats Engagements'!$C$8:$C$20000,0)),)</f>
        <v>0</v>
      </c>
      <c r="D34" s="59">
        <f>IFERROR(INDEX('Etat des lieux'!$H$8:$H$20000,MATCH('Plan Trésorerie'!E34,'Etat des lieux'!$G$8:$G$20000,0)),0)</f>
        <v>0</v>
      </c>
      <c r="E34" s="22"/>
      <c r="F34" s="58" t="s">
        <v>127</v>
      </c>
      <c r="G34" s="58" t="s">
        <v>127</v>
      </c>
      <c r="H34" s="58" t="s">
        <v>127</v>
      </c>
      <c r="I34" s="58" t="s">
        <v>127</v>
      </c>
      <c r="J34" s="58" t="s">
        <v>127</v>
      </c>
      <c r="K34" s="58" t="s">
        <v>127</v>
      </c>
      <c r="L34" s="58" t="s">
        <v>127</v>
      </c>
      <c r="M34" s="58" t="s">
        <v>127</v>
      </c>
      <c r="N34" s="58" t="s">
        <v>127</v>
      </c>
      <c r="O34" s="58" t="s">
        <v>127</v>
      </c>
      <c r="P34" s="58" t="s">
        <v>127</v>
      </c>
      <c r="Q34" s="58" t="s">
        <v>127</v>
      </c>
      <c r="R34" s="60">
        <f t="shared" si="3"/>
        <v>0</v>
      </c>
      <c r="S34" s="9"/>
    </row>
    <row r="35" spans="1:19" hidden="1" x14ac:dyDescent="0.15">
      <c r="A35" s="39">
        <f>IFERROR(INDEX(EngagementsClients[Prochain Paiement],MATCH('Plan Trésorerie'!E35,EngagementsClients[Nom client],0)),0)</f>
        <v>0</v>
      </c>
      <c r="B35" s="40">
        <f>IFERROR(INDEX(EngagementsClients[Mensualité],MATCH('Plan Trésorerie'!E35,EngagementsClients[Nom client],0)),0)</f>
        <v>0</v>
      </c>
      <c r="C35" s="1">
        <f>IFERROR(INDEX('Contrats Engagements'!$E$8:$E$20000,MATCH('Plan Trésorerie'!E35,'Contrats Engagements'!$C$8:$C$20000,0)),)</f>
        <v>0</v>
      </c>
      <c r="D35" s="59">
        <f>IFERROR(INDEX('Etat des lieux'!$H$8:$H$20000,MATCH('Plan Trésorerie'!E35,'Etat des lieux'!$G$8:$G$20000,0)),0)</f>
        <v>0</v>
      </c>
      <c r="E35" s="22"/>
      <c r="F35" s="58" t="s">
        <v>127</v>
      </c>
      <c r="G35" s="58" t="s">
        <v>127</v>
      </c>
      <c r="H35" s="58" t="s">
        <v>127</v>
      </c>
      <c r="I35" s="58" t="s">
        <v>127</v>
      </c>
      <c r="J35" s="58" t="s">
        <v>127</v>
      </c>
      <c r="K35" s="58" t="s">
        <v>127</v>
      </c>
      <c r="L35" s="58" t="s">
        <v>127</v>
      </c>
      <c r="M35" s="58" t="s">
        <v>127</v>
      </c>
      <c r="N35" s="58" t="s">
        <v>127</v>
      </c>
      <c r="O35" s="58" t="s">
        <v>127</v>
      </c>
      <c r="P35" s="58" t="s">
        <v>127</v>
      </c>
      <c r="Q35" s="58" t="s">
        <v>127</v>
      </c>
      <c r="R35" s="60">
        <f t="shared" si="3"/>
        <v>0</v>
      </c>
      <c r="S35" s="9"/>
    </row>
    <row r="36" spans="1:19" hidden="1" x14ac:dyDescent="0.15">
      <c r="A36" s="39">
        <f>IFERROR(INDEX(EngagementsClients[Prochain Paiement],MATCH('Plan Trésorerie'!E36,EngagementsClients[Nom client],0)),0)</f>
        <v>0</v>
      </c>
      <c r="B36" s="40">
        <f>IFERROR(INDEX(EngagementsClients[Mensualité],MATCH('Plan Trésorerie'!E36,EngagementsClients[Nom client],0)),0)</f>
        <v>0</v>
      </c>
      <c r="C36" s="1">
        <f>IFERROR(INDEX('Contrats Engagements'!$E$8:$E$20000,MATCH('Plan Trésorerie'!E36,'Contrats Engagements'!$C$8:$C$20000,0)),)</f>
        <v>0</v>
      </c>
      <c r="D36" s="59">
        <f>IFERROR(INDEX('Etat des lieux'!$H$8:$H$20000,MATCH('Plan Trésorerie'!E36,'Etat des lieux'!$G$8:$G$20000,0)),0)</f>
        <v>0</v>
      </c>
      <c r="E36" s="22"/>
      <c r="F36" s="58" t="s">
        <v>127</v>
      </c>
      <c r="G36" s="58" t="s">
        <v>127</v>
      </c>
      <c r="H36" s="58" t="s">
        <v>127</v>
      </c>
      <c r="I36" s="58" t="s">
        <v>127</v>
      </c>
      <c r="J36" s="58" t="s">
        <v>127</v>
      </c>
      <c r="K36" s="58" t="s">
        <v>127</v>
      </c>
      <c r="L36" s="58" t="s">
        <v>127</v>
      </c>
      <c r="M36" s="58" t="s">
        <v>127</v>
      </c>
      <c r="N36" s="58" t="s">
        <v>127</v>
      </c>
      <c r="O36" s="58" t="s">
        <v>127</v>
      </c>
      <c r="P36" s="58" t="s">
        <v>127</v>
      </c>
      <c r="Q36" s="58" t="s">
        <v>127</v>
      </c>
      <c r="R36" s="60">
        <f t="shared" si="3"/>
        <v>0</v>
      </c>
      <c r="S36" s="9"/>
    </row>
    <row r="37" spans="1:19" hidden="1" x14ac:dyDescent="0.15">
      <c r="A37" s="39">
        <f>IFERROR(INDEX(EngagementsClients[Prochain Paiement],MATCH('Plan Trésorerie'!E37,EngagementsClients[Nom client],0)),0)</f>
        <v>0</v>
      </c>
      <c r="B37" s="40">
        <f>IFERROR(INDEX(EngagementsClients[Mensualité],MATCH('Plan Trésorerie'!E37,EngagementsClients[Nom client],0)),0)</f>
        <v>0</v>
      </c>
      <c r="C37" s="1">
        <f>IFERROR(INDEX('Contrats Engagements'!$E$8:$E$20000,MATCH('Plan Trésorerie'!E37,'Contrats Engagements'!$C$8:$C$20000,0)),)</f>
        <v>0</v>
      </c>
      <c r="D37" s="59">
        <f>IFERROR(INDEX('Etat des lieux'!$H$8:$H$20000,MATCH('Plan Trésorerie'!E37,'Etat des lieux'!$G$8:$G$20000,0)),0)</f>
        <v>0</v>
      </c>
      <c r="E37" s="22"/>
      <c r="F37" s="58" t="s">
        <v>127</v>
      </c>
      <c r="G37" s="58" t="s">
        <v>127</v>
      </c>
      <c r="H37" s="58" t="s">
        <v>127</v>
      </c>
      <c r="I37" s="58" t="s">
        <v>127</v>
      </c>
      <c r="J37" s="58" t="s">
        <v>127</v>
      </c>
      <c r="K37" s="58" t="s">
        <v>127</v>
      </c>
      <c r="L37" s="58" t="s">
        <v>127</v>
      </c>
      <c r="M37" s="58" t="s">
        <v>127</v>
      </c>
      <c r="N37" s="58" t="s">
        <v>127</v>
      </c>
      <c r="O37" s="58" t="s">
        <v>127</v>
      </c>
      <c r="P37" s="58" t="s">
        <v>127</v>
      </c>
      <c r="Q37" s="58" t="s">
        <v>127</v>
      </c>
      <c r="R37" s="60">
        <f t="shared" si="3"/>
        <v>0</v>
      </c>
      <c r="S37" s="9"/>
    </row>
    <row r="38" spans="1:19" hidden="1" x14ac:dyDescent="0.15">
      <c r="A38" s="39">
        <f>IFERROR(INDEX(EngagementsClients[Prochain Paiement],MATCH('Plan Trésorerie'!E38,EngagementsClients[Nom client],0)),0)</f>
        <v>0</v>
      </c>
      <c r="B38" s="40">
        <f>IFERROR(INDEX(EngagementsClients[Mensualité],MATCH('Plan Trésorerie'!E38,EngagementsClients[Nom client],0)),0)</f>
        <v>0</v>
      </c>
      <c r="C38" s="1">
        <f>IFERROR(INDEX('Contrats Engagements'!$E$8:$E$20000,MATCH('Plan Trésorerie'!E38,'Contrats Engagements'!$C$8:$C$20000,0)),)</f>
        <v>0</v>
      </c>
      <c r="D38" s="59">
        <f>IFERROR(INDEX('Etat des lieux'!$H$8:$H$20000,MATCH('Plan Trésorerie'!E38,'Etat des lieux'!$G$8:$G$20000,0)),0)</f>
        <v>0</v>
      </c>
      <c r="E38" s="22"/>
      <c r="F38" s="58" t="s">
        <v>127</v>
      </c>
      <c r="G38" s="58" t="s">
        <v>127</v>
      </c>
      <c r="H38" s="58" t="s">
        <v>127</v>
      </c>
      <c r="I38" s="58" t="s">
        <v>127</v>
      </c>
      <c r="J38" s="58" t="s">
        <v>127</v>
      </c>
      <c r="K38" s="58" t="s">
        <v>127</v>
      </c>
      <c r="L38" s="58" t="s">
        <v>127</v>
      </c>
      <c r="M38" s="58" t="s">
        <v>127</v>
      </c>
      <c r="N38" s="58" t="s">
        <v>127</v>
      </c>
      <c r="O38" s="58" t="s">
        <v>127</v>
      </c>
      <c r="P38" s="58" t="s">
        <v>127</v>
      </c>
      <c r="Q38" s="58" t="s">
        <v>127</v>
      </c>
      <c r="R38" s="60">
        <f t="shared" si="3"/>
        <v>0</v>
      </c>
      <c r="S38" s="9"/>
    </row>
    <row r="39" spans="1:19" hidden="1" x14ac:dyDescent="0.15">
      <c r="A39" s="39">
        <f>IFERROR(INDEX(EngagementsClients[Prochain Paiement],MATCH('Plan Trésorerie'!E39,EngagementsClients[Nom client],0)),0)</f>
        <v>0</v>
      </c>
      <c r="B39" s="40">
        <f>IFERROR(INDEX(EngagementsClients[Mensualité],MATCH('Plan Trésorerie'!E39,EngagementsClients[Nom client],0)),0)</f>
        <v>0</v>
      </c>
      <c r="C39" s="1">
        <f>IFERROR(INDEX('Contrats Engagements'!$E$8:$E$20000,MATCH('Plan Trésorerie'!E39,'Contrats Engagements'!$C$8:$C$20000,0)),)</f>
        <v>0</v>
      </c>
      <c r="D39" s="59">
        <f>IFERROR(INDEX('Etat des lieux'!$H$8:$H$20000,MATCH('Plan Trésorerie'!E39,'Etat des lieux'!$G$8:$G$20000,0)),0)</f>
        <v>0</v>
      </c>
      <c r="E39" s="22"/>
      <c r="F39" s="58" t="s">
        <v>127</v>
      </c>
      <c r="G39" s="58" t="s">
        <v>127</v>
      </c>
      <c r="H39" s="58" t="s">
        <v>127</v>
      </c>
      <c r="I39" s="58" t="s">
        <v>127</v>
      </c>
      <c r="J39" s="58" t="s">
        <v>127</v>
      </c>
      <c r="K39" s="58" t="s">
        <v>127</v>
      </c>
      <c r="L39" s="58" t="s">
        <v>127</v>
      </c>
      <c r="M39" s="58" t="s">
        <v>127</v>
      </c>
      <c r="N39" s="58" t="s">
        <v>127</v>
      </c>
      <c r="O39" s="58" t="s">
        <v>127</v>
      </c>
      <c r="P39" s="58" t="s">
        <v>127</v>
      </c>
      <c r="Q39" s="58" t="s">
        <v>127</v>
      </c>
      <c r="R39" s="60">
        <f t="shared" si="3"/>
        <v>0</v>
      </c>
      <c r="S39" s="9"/>
    </row>
    <row r="40" spans="1:19" ht="12.75" x14ac:dyDescent="0.2">
      <c r="A40" s="39"/>
      <c r="B40" s="40"/>
      <c r="D40" s="59"/>
      <c r="E40" s="24" t="s">
        <v>117</v>
      </c>
      <c r="F40" s="44">
        <f>SUM(F10:F39)</f>
        <v>7310000</v>
      </c>
      <c r="G40" s="44">
        <f t="shared" ref="G40:Q40" si="4">SUM(G10:G39)</f>
        <v>650000</v>
      </c>
      <c r="H40" s="44">
        <f t="shared" si="4"/>
        <v>7190000</v>
      </c>
      <c r="I40" s="44">
        <f t="shared" si="4"/>
        <v>5150000</v>
      </c>
      <c r="J40" s="44">
        <f t="shared" si="4"/>
        <v>5150000</v>
      </c>
      <c r="K40" s="44">
        <f t="shared" si="4"/>
        <v>6150000</v>
      </c>
      <c r="L40" s="44">
        <f t="shared" si="4"/>
        <v>1650000</v>
      </c>
      <c r="M40" s="44">
        <f t="shared" si="4"/>
        <v>1650000</v>
      </c>
      <c r="N40" s="44">
        <f t="shared" si="4"/>
        <v>1000000</v>
      </c>
      <c r="O40" s="44">
        <f t="shared" si="4"/>
        <v>1000000</v>
      </c>
      <c r="P40" s="44">
        <f t="shared" si="4"/>
        <v>1000000</v>
      </c>
      <c r="Q40" s="44">
        <f t="shared" si="4"/>
        <v>1000000</v>
      </c>
      <c r="R40" s="60"/>
    </row>
    <row r="41" spans="1:19" ht="17.25" customHeight="1" x14ac:dyDescent="0.15">
      <c r="A41" s="39"/>
      <c r="B41" s="40"/>
      <c r="D41" s="59"/>
      <c r="E41" s="23" t="s">
        <v>118</v>
      </c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60"/>
    </row>
    <row r="42" spans="1:19" hidden="1" x14ac:dyDescent="0.15">
      <c r="A42" s="39"/>
      <c r="B42" s="40">
        <f>IFERROR(INDEX('Contrats Engagements'!$I$8:$I$20000,MATCH('Plan Trésorerie'!E42,'Contrats Engagements'!$H$8:$H$20000,0)),0)</f>
        <v>0</v>
      </c>
      <c r="C42" s="1">
        <f>IFERROR(INDEX('Contrats Engagements'!$J$8:$J$20000,MATCH('Plan Trésorerie'!E42,'Contrats Engagements'!$H$8:$H$20000,0)),0)</f>
        <v>0</v>
      </c>
      <c r="D42" s="59">
        <f>IFERROR(INDEX('Etat des lieux'!$N$8:$N$20000,MATCH('Plan Trésorerie'!E42,'Etat des lieux'!$M$8:$M$20000,0)),0)</f>
        <v>0</v>
      </c>
      <c r="E42" s="22"/>
      <c r="F42" s="21" t="s">
        <v>127</v>
      </c>
      <c r="G42" s="21" t="s">
        <v>127</v>
      </c>
      <c r="H42" s="21" t="s">
        <v>127</v>
      </c>
      <c r="I42" s="21" t="s">
        <v>127</v>
      </c>
      <c r="J42" s="21" t="s">
        <v>127</v>
      </c>
      <c r="K42" s="21" t="s">
        <v>127</v>
      </c>
      <c r="L42" s="21" t="s">
        <v>127</v>
      </c>
      <c r="M42" s="21" t="s">
        <v>127</v>
      </c>
      <c r="N42" s="21" t="s">
        <v>127</v>
      </c>
      <c r="O42" s="21" t="s">
        <v>127</v>
      </c>
      <c r="P42" s="21" t="s">
        <v>127</v>
      </c>
      <c r="Q42" s="21" t="s">
        <v>127</v>
      </c>
      <c r="R42" s="60">
        <f t="shared" ref="R42:R71" si="5">D42-SUM(F42:Q42)+B42*C42</f>
        <v>0</v>
      </c>
    </row>
    <row r="43" spans="1:19" x14ac:dyDescent="0.15">
      <c r="A43" s="39">
        <f>IFERROR(INDEX(Engagements_Débiteurs[Prochain Paiement],MATCH('Plan Trésorerie'!E43,Engagements_Débiteurs[Nom débiteur],0)),0)</f>
        <v>41342</v>
      </c>
      <c r="B43" s="40">
        <f>IFERROR(INDEX('Contrats Engagements'!$I$8:$I$20000,MATCH('Plan Trésorerie'!E43,'Contrats Engagements'!$H$8:$H$20000,0)),0)</f>
        <v>650000</v>
      </c>
      <c r="C43" s="1">
        <f>IFERROR(INDEX('Contrats Engagements'!$J$8:$J$20000,MATCH('Plan Trésorerie'!E43,'Contrats Engagements'!$H$8:$H$20000,0)),0)</f>
        <v>10</v>
      </c>
      <c r="D43" s="59">
        <f>IFERROR(INDEX('Etat des lieux'!$N$8:$N$20000,MATCH('Plan Trésorerie'!E43,'Etat des lieux'!$M$8:$M$20000,0)),0)</f>
        <v>1000000</v>
      </c>
      <c r="E43" s="22" t="s">
        <v>36</v>
      </c>
      <c r="F43" s="58">
        <v>1650000</v>
      </c>
      <c r="G43" s="58">
        <v>650000</v>
      </c>
      <c r="H43" s="58">
        <v>650000</v>
      </c>
      <c r="I43" s="58">
        <v>650000</v>
      </c>
      <c r="J43" s="58">
        <v>650000</v>
      </c>
      <c r="K43" s="58">
        <v>650000</v>
      </c>
      <c r="L43" s="58">
        <v>650000</v>
      </c>
      <c r="M43" s="58">
        <v>650000</v>
      </c>
      <c r="N43" s="58">
        <v>650000</v>
      </c>
      <c r="O43" s="58">
        <v>650000</v>
      </c>
      <c r="P43" s="58" t="s">
        <v>127</v>
      </c>
      <c r="Q43" s="58" t="s">
        <v>127</v>
      </c>
      <c r="R43" s="60">
        <f t="shared" si="5"/>
        <v>0</v>
      </c>
    </row>
    <row r="44" spans="1:19" x14ac:dyDescent="0.15">
      <c r="A44" s="39">
        <f>IFERROR(INDEX(Engagements_Débiteurs[Prochain Paiement],MATCH('Plan Trésorerie'!E44,Engagements_Débiteurs[Nom débiteur],0)),0)</f>
        <v>41363</v>
      </c>
      <c r="B44" s="40">
        <f>IFERROR(INDEX('Contrats Engagements'!$I$8:$I$20000,MATCH('Plan Trésorerie'!E44,'Contrats Engagements'!$H$8:$H$20000,0)),0)</f>
        <v>2000000</v>
      </c>
      <c r="C44" s="1">
        <f>IFERROR(INDEX('Contrats Engagements'!$J$8:$J$20000,MATCH('Plan Trésorerie'!E44,'Contrats Engagements'!$H$8:$H$20000,0)),0)</f>
        <v>10</v>
      </c>
      <c r="D44" s="59">
        <f>IFERROR(INDEX('Etat des lieux'!$N$8:$N$20000,MATCH('Plan Trésorerie'!E44,'Etat des lieux'!$M$8:$M$20000,0)),0)</f>
        <v>0</v>
      </c>
      <c r="E44" s="22" t="s">
        <v>89</v>
      </c>
      <c r="F44" s="58">
        <v>2000000</v>
      </c>
      <c r="G44" s="58">
        <v>2000000</v>
      </c>
      <c r="H44" s="58">
        <v>2000000</v>
      </c>
      <c r="I44" s="58">
        <v>2000000</v>
      </c>
      <c r="J44" s="58">
        <v>2000000</v>
      </c>
      <c r="K44" s="58">
        <v>2000000</v>
      </c>
      <c r="L44" s="58">
        <v>2000000</v>
      </c>
      <c r="M44" s="58">
        <v>2000000</v>
      </c>
      <c r="N44" s="58">
        <v>2000000</v>
      </c>
      <c r="O44" s="58">
        <v>2000000</v>
      </c>
      <c r="P44" s="58" t="s">
        <v>127</v>
      </c>
      <c r="Q44" s="58" t="s">
        <v>127</v>
      </c>
      <c r="R44" s="60">
        <f t="shared" si="5"/>
        <v>0</v>
      </c>
    </row>
    <row r="45" spans="1:19" x14ac:dyDescent="0.15">
      <c r="A45" s="39">
        <f>IFERROR(INDEX(Engagements_Débiteurs[Prochain Paiement],MATCH('Plan Trésorerie'!E45,Engagements_Débiteurs[Nom débiteur],0)),0)</f>
        <v>41398</v>
      </c>
      <c r="B45" s="40">
        <f>IFERROR(INDEX('Contrats Engagements'!$I$8:$I$20000,MATCH('Plan Trésorerie'!E45,'Contrats Engagements'!$H$8:$H$20000,0)),0)</f>
        <v>450000</v>
      </c>
      <c r="C45" s="1">
        <f>IFERROR(INDEX('Contrats Engagements'!$J$8:$J$20000,MATCH('Plan Trésorerie'!E45,'Contrats Engagements'!$H$8:$H$20000,0)),0)</f>
        <v>7</v>
      </c>
      <c r="D45" s="59">
        <f>IFERROR(INDEX('Etat des lieux'!$N$8:$N$20000,MATCH('Plan Trésorerie'!E45,'Etat des lieux'!$M$8:$M$20000,0)),0)</f>
        <v>0</v>
      </c>
      <c r="E45" s="22" t="s">
        <v>37</v>
      </c>
      <c r="F45" s="58" t="s">
        <v>127</v>
      </c>
      <c r="G45" s="58" t="s">
        <v>127</v>
      </c>
      <c r="H45" s="58">
        <v>450000</v>
      </c>
      <c r="I45" s="58">
        <v>450000</v>
      </c>
      <c r="J45" s="58">
        <v>450000</v>
      </c>
      <c r="K45" s="58">
        <v>450000</v>
      </c>
      <c r="L45" s="58">
        <v>450000</v>
      </c>
      <c r="M45" s="58">
        <v>450000</v>
      </c>
      <c r="N45" s="58">
        <v>450000</v>
      </c>
      <c r="O45" s="58" t="s">
        <v>127</v>
      </c>
      <c r="P45" s="58" t="s">
        <v>127</v>
      </c>
      <c r="Q45" s="58" t="s">
        <v>127</v>
      </c>
      <c r="R45" s="60">
        <f t="shared" si="5"/>
        <v>0</v>
      </c>
    </row>
    <row r="46" spans="1:19" x14ac:dyDescent="0.15">
      <c r="A46" s="39">
        <f>IFERROR(INDEX(Engagements_Débiteurs[Prochain Paiement],MATCH('Plan Trésorerie'!E46,Engagements_Débiteurs[Nom débiteur],0)),0)</f>
        <v>41369</v>
      </c>
      <c r="B46" s="40">
        <f>IFERROR(INDEX('Contrats Engagements'!$I$8:$I$20000,MATCH('Plan Trésorerie'!E46,'Contrats Engagements'!$H$8:$H$20000,0)),0)</f>
        <v>1200000</v>
      </c>
      <c r="C46" s="1">
        <f>IFERROR(INDEX('Contrats Engagements'!$J$8:$J$20000,MATCH('Plan Trésorerie'!E46,'Contrats Engagements'!$H$8:$H$20000,0)),0)</f>
        <v>6</v>
      </c>
      <c r="D46" s="59">
        <f>IFERROR(INDEX('Etat des lieux'!$N$8:$N$20000,MATCH('Plan Trésorerie'!E46,'Etat des lieux'!$M$8:$M$20000,0)),0)</f>
        <v>0</v>
      </c>
      <c r="E46" s="22" t="s">
        <v>79</v>
      </c>
      <c r="F46" s="58" t="s">
        <v>127</v>
      </c>
      <c r="G46" s="58">
        <v>1200000</v>
      </c>
      <c r="H46" s="58">
        <v>1200000</v>
      </c>
      <c r="I46" s="58">
        <v>1200000</v>
      </c>
      <c r="J46" s="58">
        <v>1200000</v>
      </c>
      <c r="K46" s="58">
        <v>1200000</v>
      </c>
      <c r="L46" s="58">
        <v>1200000</v>
      </c>
      <c r="M46" s="58" t="s">
        <v>127</v>
      </c>
      <c r="N46" s="58" t="s">
        <v>127</v>
      </c>
      <c r="O46" s="58" t="s">
        <v>127</v>
      </c>
      <c r="P46" s="58" t="s">
        <v>127</v>
      </c>
      <c r="Q46" s="58" t="s">
        <v>127</v>
      </c>
      <c r="R46" s="60">
        <f t="shared" si="5"/>
        <v>0</v>
      </c>
    </row>
    <row r="47" spans="1:19" x14ac:dyDescent="0.15">
      <c r="A47" s="39">
        <f>IFERROR(INDEX(Engagements_Débiteurs[Prochain Paiement],MATCH('Plan Trésorerie'!E47,Engagements_Débiteurs[Nom débiteur],0)),0)</f>
        <v>0</v>
      </c>
      <c r="B47" s="40">
        <f>IFERROR(INDEX('Contrats Engagements'!$I$8:$I$20000,MATCH('Plan Trésorerie'!E47,'Contrats Engagements'!$H$8:$H$20000,0)),0)</f>
        <v>0</v>
      </c>
      <c r="C47" s="1">
        <f>IFERROR(INDEX('Contrats Engagements'!$J$8:$J$20000,MATCH('Plan Trésorerie'!E47,'Contrats Engagements'!$H$8:$H$20000,0)),0)</f>
        <v>0</v>
      </c>
      <c r="D47" s="59">
        <f>IFERROR(INDEX('Etat des lieux'!$N$8:$N$20000,MATCH('Plan Trésorerie'!E47,'Etat des lieux'!$M$8:$M$20000,0)),0)</f>
        <v>1560000</v>
      </c>
      <c r="E47" s="22" t="s">
        <v>40</v>
      </c>
      <c r="F47" s="58">
        <v>1560000</v>
      </c>
      <c r="G47" s="58" t="s">
        <v>127</v>
      </c>
      <c r="H47" s="58" t="s">
        <v>127</v>
      </c>
      <c r="I47" s="58" t="s">
        <v>127</v>
      </c>
      <c r="J47" s="58" t="s">
        <v>127</v>
      </c>
      <c r="K47" s="58" t="s">
        <v>127</v>
      </c>
      <c r="L47" s="58" t="s">
        <v>127</v>
      </c>
      <c r="M47" s="58" t="s">
        <v>127</v>
      </c>
      <c r="N47" s="58" t="s">
        <v>127</v>
      </c>
      <c r="O47" s="58" t="s">
        <v>127</v>
      </c>
      <c r="P47" s="58" t="s">
        <v>127</v>
      </c>
      <c r="Q47" s="58" t="s">
        <v>127</v>
      </c>
      <c r="R47" s="60">
        <f t="shared" si="5"/>
        <v>0</v>
      </c>
    </row>
    <row r="48" spans="1:19" x14ac:dyDescent="0.15">
      <c r="A48" s="39">
        <f>IFERROR(INDEX(Engagements_Débiteurs[Prochain Paiement],MATCH('Plan Trésorerie'!E48,Engagements_Débiteurs[Nom débiteur],0)),0)</f>
        <v>0</v>
      </c>
      <c r="B48" s="40">
        <f>IFERROR(INDEX('Contrats Engagements'!$I$8:$I$20000,MATCH('Plan Trésorerie'!E48,'Contrats Engagements'!$H$8:$H$20000,0)),0)</f>
        <v>0</v>
      </c>
      <c r="C48" s="1">
        <f>IFERROR(INDEX('Contrats Engagements'!$J$8:$J$20000,MATCH('Plan Trésorerie'!E48,'Contrats Engagements'!$H$8:$H$20000,0)),0)</f>
        <v>0</v>
      </c>
      <c r="D48" s="59">
        <f>IFERROR(INDEX('Etat des lieux'!$N$8:$N$20000,MATCH('Plan Trésorerie'!E48,'Etat des lieux'!$M$8:$M$20000,0)),0)</f>
        <v>450000</v>
      </c>
      <c r="E48" s="22" t="s">
        <v>43</v>
      </c>
      <c r="F48" s="58" t="s">
        <v>127</v>
      </c>
      <c r="G48" s="58">
        <v>450000</v>
      </c>
      <c r="H48" s="58" t="s">
        <v>127</v>
      </c>
      <c r="I48" s="58" t="s">
        <v>127</v>
      </c>
      <c r="J48" s="58" t="s">
        <v>127</v>
      </c>
      <c r="K48" s="58" t="s">
        <v>127</v>
      </c>
      <c r="L48" s="58" t="s">
        <v>127</v>
      </c>
      <c r="M48" s="58" t="s">
        <v>127</v>
      </c>
      <c r="N48" s="58" t="s">
        <v>127</v>
      </c>
      <c r="O48" s="58" t="s">
        <v>127</v>
      </c>
      <c r="P48" s="58" t="s">
        <v>127</v>
      </c>
      <c r="Q48" s="58" t="s">
        <v>127</v>
      </c>
      <c r="R48" s="60">
        <f t="shared" si="5"/>
        <v>0</v>
      </c>
    </row>
    <row r="49" spans="1:18" x14ac:dyDescent="0.15">
      <c r="A49" s="39">
        <f>IFERROR(INDEX(Engagements_Débiteurs[Prochain Paiement],MATCH('Plan Trésorerie'!E49,Engagements_Débiteurs[Nom débiteur],0)),0)</f>
        <v>0</v>
      </c>
      <c r="B49" s="40">
        <f>IFERROR(INDEX('Contrats Engagements'!$I$8:$I$20000,MATCH('Plan Trésorerie'!E49,'Contrats Engagements'!$H$8:$H$20000,0)),0)</f>
        <v>0</v>
      </c>
      <c r="C49" s="1">
        <f>IFERROR(INDEX('Contrats Engagements'!$J$8:$J$20000,MATCH('Plan Trésorerie'!E49,'Contrats Engagements'!$H$8:$H$20000,0)),0)</f>
        <v>0</v>
      </c>
      <c r="D49" s="59">
        <f>IFERROR(INDEX('Etat des lieux'!$N$8:$N$20000,MATCH('Plan Trésorerie'!E49,'Etat des lieux'!$M$8:$M$20000,0)),0)</f>
        <v>230000</v>
      </c>
      <c r="E49" s="22" t="s">
        <v>41</v>
      </c>
      <c r="F49" s="58">
        <v>230000</v>
      </c>
      <c r="G49" s="58" t="s">
        <v>127</v>
      </c>
      <c r="H49" s="58" t="s">
        <v>127</v>
      </c>
      <c r="I49" s="58" t="s">
        <v>127</v>
      </c>
      <c r="J49" s="58" t="s">
        <v>127</v>
      </c>
      <c r="K49" s="58" t="s">
        <v>127</v>
      </c>
      <c r="L49" s="58" t="s">
        <v>127</v>
      </c>
      <c r="M49" s="58" t="s">
        <v>127</v>
      </c>
      <c r="N49" s="58" t="s">
        <v>127</v>
      </c>
      <c r="O49" s="58" t="s">
        <v>127</v>
      </c>
      <c r="P49" s="58" t="s">
        <v>127</v>
      </c>
      <c r="Q49" s="58" t="s">
        <v>127</v>
      </c>
      <c r="R49" s="60">
        <f t="shared" si="5"/>
        <v>0</v>
      </c>
    </row>
    <row r="50" spans="1:18" hidden="1" x14ac:dyDescent="0.15">
      <c r="A50" s="39">
        <f>IFERROR(INDEX(Engagements_Débiteurs[Prochain Paiement],MATCH('Plan Trésorerie'!E50,Engagements_Débiteurs[Nom débiteur],0)),0)</f>
        <v>0</v>
      </c>
      <c r="B50" s="40">
        <f>IFERROR(INDEX('Contrats Engagements'!$I$8:$I$20000,MATCH('Plan Trésorerie'!E50,'Contrats Engagements'!$H$8:$H$20000,0)),0)</f>
        <v>0</v>
      </c>
      <c r="C50" s="1">
        <f>IFERROR(INDEX('Contrats Engagements'!$J$8:$J$20000,MATCH('Plan Trésorerie'!E50,'Contrats Engagements'!$H$8:$H$20000,0)),0)</f>
        <v>0</v>
      </c>
      <c r="D50" s="59">
        <f>IFERROR(INDEX('Etat des lieux'!$N$8:$N$20000,MATCH('Plan Trésorerie'!E50,'Etat des lieux'!$M$8:$M$20000,0)),0)</f>
        <v>0</v>
      </c>
      <c r="E50" s="22"/>
      <c r="F50" s="58" t="s">
        <v>127</v>
      </c>
      <c r="G50" s="58" t="s">
        <v>127</v>
      </c>
      <c r="H50" s="58" t="s">
        <v>127</v>
      </c>
      <c r="I50" s="58" t="s">
        <v>127</v>
      </c>
      <c r="J50" s="58" t="s">
        <v>127</v>
      </c>
      <c r="K50" s="58" t="s">
        <v>127</v>
      </c>
      <c r="L50" s="58" t="s">
        <v>127</v>
      </c>
      <c r="M50" s="58" t="s">
        <v>127</v>
      </c>
      <c r="N50" s="58" t="s">
        <v>127</v>
      </c>
      <c r="O50" s="58" t="s">
        <v>127</v>
      </c>
      <c r="P50" s="58" t="s">
        <v>127</v>
      </c>
      <c r="Q50" s="58" t="s">
        <v>127</v>
      </c>
      <c r="R50" s="60">
        <f t="shared" si="5"/>
        <v>0</v>
      </c>
    </row>
    <row r="51" spans="1:18" hidden="1" x14ac:dyDescent="0.15">
      <c r="A51" s="39">
        <f>IFERROR(INDEX(Engagements_Débiteurs[Prochain Paiement],MATCH('Plan Trésorerie'!E51,Engagements_Débiteurs[Nom débiteur],0)),0)</f>
        <v>0</v>
      </c>
      <c r="B51" s="40">
        <f>IFERROR(INDEX('Contrats Engagements'!$I$8:$I$20000,MATCH('Plan Trésorerie'!E51,'Contrats Engagements'!$H$8:$H$20000,0)),0)</f>
        <v>0</v>
      </c>
      <c r="C51" s="1">
        <f>IFERROR(INDEX('Contrats Engagements'!$J$8:$J$20000,MATCH('Plan Trésorerie'!E51,'Contrats Engagements'!$H$8:$H$20000,0)),0)</f>
        <v>0</v>
      </c>
      <c r="D51" s="59">
        <f>IFERROR(INDEX('Etat des lieux'!$N$8:$N$20000,MATCH('Plan Trésorerie'!E51,'Etat des lieux'!$M$8:$M$20000,0)),0)</f>
        <v>0</v>
      </c>
      <c r="E51" s="22"/>
      <c r="F51" s="58" t="s">
        <v>127</v>
      </c>
      <c r="G51" s="58" t="s">
        <v>127</v>
      </c>
      <c r="H51" s="58" t="s">
        <v>127</v>
      </c>
      <c r="I51" s="58" t="s">
        <v>127</v>
      </c>
      <c r="J51" s="58" t="s">
        <v>127</v>
      </c>
      <c r="K51" s="58" t="s">
        <v>127</v>
      </c>
      <c r="L51" s="58" t="s">
        <v>127</v>
      </c>
      <c r="M51" s="58" t="s">
        <v>127</v>
      </c>
      <c r="N51" s="58" t="s">
        <v>127</v>
      </c>
      <c r="O51" s="58" t="s">
        <v>127</v>
      </c>
      <c r="P51" s="58" t="s">
        <v>127</v>
      </c>
      <c r="Q51" s="58" t="s">
        <v>127</v>
      </c>
      <c r="R51" s="60">
        <f t="shared" si="5"/>
        <v>0</v>
      </c>
    </row>
    <row r="52" spans="1:18" hidden="1" x14ac:dyDescent="0.15">
      <c r="A52" s="39">
        <f>IFERROR(INDEX(Engagements_Débiteurs[Prochain Paiement],MATCH('Plan Trésorerie'!E52,Engagements_Débiteurs[Nom débiteur],0)),0)</f>
        <v>0</v>
      </c>
      <c r="B52" s="40">
        <f>IFERROR(INDEX('Contrats Engagements'!$I$8:$I$20000,MATCH('Plan Trésorerie'!E52,'Contrats Engagements'!$H$8:$H$20000,0)),0)</f>
        <v>0</v>
      </c>
      <c r="C52" s="1">
        <f>IFERROR(INDEX('Contrats Engagements'!$J$8:$J$20000,MATCH('Plan Trésorerie'!E52,'Contrats Engagements'!$H$8:$H$20000,0)),0)</f>
        <v>0</v>
      </c>
      <c r="D52" s="59">
        <f>IFERROR(INDEX('Etat des lieux'!$N$8:$N$20000,MATCH('Plan Trésorerie'!E52,'Etat des lieux'!$M$8:$M$20000,0)),0)</f>
        <v>0</v>
      </c>
      <c r="E52" s="22"/>
      <c r="F52" s="58" t="s">
        <v>127</v>
      </c>
      <c r="G52" s="58" t="s">
        <v>127</v>
      </c>
      <c r="H52" s="58" t="s">
        <v>127</v>
      </c>
      <c r="I52" s="58" t="s">
        <v>127</v>
      </c>
      <c r="J52" s="58" t="s">
        <v>127</v>
      </c>
      <c r="K52" s="58" t="s">
        <v>127</v>
      </c>
      <c r="L52" s="58" t="s">
        <v>127</v>
      </c>
      <c r="M52" s="58" t="s">
        <v>127</v>
      </c>
      <c r="N52" s="58" t="s">
        <v>127</v>
      </c>
      <c r="O52" s="58" t="s">
        <v>127</v>
      </c>
      <c r="P52" s="58" t="s">
        <v>127</v>
      </c>
      <c r="Q52" s="58" t="s">
        <v>127</v>
      </c>
      <c r="R52" s="60">
        <f t="shared" si="5"/>
        <v>0</v>
      </c>
    </row>
    <row r="53" spans="1:18" hidden="1" x14ac:dyDescent="0.15">
      <c r="A53" s="39">
        <f>IFERROR(INDEX(Engagements_Débiteurs[Prochain Paiement],MATCH('Plan Trésorerie'!E53,Engagements_Débiteurs[Nom débiteur],0)),0)</f>
        <v>0</v>
      </c>
      <c r="B53" s="40">
        <f>IFERROR(INDEX('Contrats Engagements'!$I$8:$I$20000,MATCH('Plan Trésorerie'!E53,'Contrats Engagements'!$H$8:$H$20000,0)),0)</f>
        <v>0</v>
      </c>
      <c r="C53" s="1">
        <f>IFERROR(INDEX('Contrats Engagements'!$J$8:$J$20000,MATCH('Plan Trésorerie'!E53,'Contrats Engagements'!$H$8:$H$20000,0)),0)</f>
        <v>0</v>
      </c>
      <c r="D53" s="59">
        <f>IFERROR(INDEX('Etat des lieux'!$N$8:$N$20000,MATCH('Plan Trésorerie'!E53,'Etat des lieux'!$M$8:$M$20000,0)),0)</f>
        <v>0</v>
      </c>
      <c r="E53" s="22"/>
      <c r="F53" s="58" t="s">
        <v>127</v>
      </c>
      <c r="G53" s="58" t="s">
        <v>127</v>
      </c>
      <c r="H53" s="58" t="s">
        <v>127</v>
      </c>
      <c r="I53" s="58" t="s">
        <v>127</v>
      </c>
      <c r="J53" s="58" t="s">
        <v>127</v>
      </c>
      <c r="K53" s="58" t="s">
        <v>127</v>
      </c>
      <c r="L53" s="58" t="s">
        <v>127</v>
      </c>
      <c r="M53" s="58" t="s">
        <v>127</v>
      </c>
      <c r="N53" s="58" t="s">
        <v>127</v>
      </c>
      <c r="O53" s="58" t="s">
        <v>127</v>
      </c>
      <c r="P53" s="58" t="s">
        <v>127</v>
      </c>
      <c r="Q53" s="58" t="s">
        <v>127</v>
      </c>
      <c r="R53" s="60">
        <f t="shared" si="5"/>
        <v>0</v>
      </c>
    </row>
    <row r="54" spans="1:18" hidden="1" x14ac:dyDescent="0.15">
      <c r="A54" s="39">
        <f>IFERROR(INDEX(Engagements_Débiteurs[Prochain Paiement],MATCH('Plan Trésorerie'!E54,Engagements_Débiteurs[Nom débiteur],0)),0)</f>
        <v>0</v>
      </c>
      <c r="B54" s="40">
        <f>IFERROR(INDEX('Contrats Engagements'!$I$8:$I$20000,MATCH('Plan Trésorerie'!E54,'Contrats Engagements'!$H$8:$H$20000,0)),0)</f>
        <v>0</v>
      </c>
      <c r="C54" s="1">
        <f>IFERROR(INDEX('Contrats Engagements'!$J$8:$J$20000,MATCH('Plan Trésorerie'!E54,'Contrats Engagements'!$H$8:$H$20000,0)),0)</f>
        <v>0</v>
      </c>
      <c r="D54" s="59">
        <f>IFERROR(INDEX('Etat des lieux'!$N$8:$N$20000,MATCH('Plan Trésorerie'!E54,'Etat des lieux'!$M$8:$M$20000,0)),0)</f>
        <v>0</v>
      </c>
      <c r="E54" s="22"/>
      <c r="F54" s="58" t="s">
        <v>127</v>
      </c>
      <c r="G54" s="58" t="s">
        <v>127</v>
      </c>
      <c r="H54" s="58" t="s">
        <v>127</v>
      </c>
      <c r="I54" s="58" t="s">
        <v>127</v>
      </c>
      <c r="J54" s="58" t="s">
        <v>127</v>
      </c>
      <c r="K54" s="58" t="s">
        <v>127</v>
      </c>
      <c r="L54" s="58" t="s">
        <v>127</v>
      </c>
      <c r="M54" s="58" t="s">
        <v>127</v>
      </c>
      <c r="N54" s="58" t="s">
        <v>127</v>
      </c>
      <c r="O54" s="58" t="s">
        <v>127</v>
      </c>
      <c r="P54" s="58" t="s">
        <v>127</v>
      </c>
      <c r="Q54" s="58" t="s">
        <v>127</v>
      </c>
      <c r="R54" s="60">
        <f t="shared" si="5"/>
        <v>0</v>
      </c>
    </row>
    <row r="55" spans="1:18" hidden="1" x14ac:dyDescent="0.15">
      <c r="A55" s="39">
        <f>IFERROR(INDEX(Engagements_Débiteurs[Prochain Paiement],MATCH('Plan Trésorerie'!E55,Engagements_Débiteurs[Nom débiteur],0)),0)</f>
        <v>0</v>
      </c>
      <c r="B55" s="40">
        <f>IFERROR(INDEX('Contrats Engagements'!$I$8:$I$20000,MATCH('Plan Trésorerie'!E55,'Contrats Engagements'!$H$8:$H$20000,0)),0)</f>
        <v>0</v>
      </c>
      <c r="C55" s="1">
        <f>IFERROR(INDEX('Contrats Engagements'!$J$8:$J$20000,MATCH('Plan Trésorerie'!E55,'Contrats Engagements'!$H$8:$H$20000,0)),0)</f>
        <v>0</v>
      </c>
      <c r="D55" s="59">
        <f>IFERROR(INDEX('Etat des lieux'!$N$8:$N$20000,MATCH('Plan Trésorerie'!E55,'Etat des lieux'!$M$8:$M$20000,0)),0)</f>
        <v>0</v>
      </c>
      <c r="E55" s="22"/>
      <c r="F55" s="58" t="s">
        <v>127</v>
      </c>
      <c r="G55" s="58" t="s">
        <v>127</v>
      </c>
      <c r="H55" s="58" t="s">
        <v>127</v>
      </c>
      <c r="I55" s="58" t="s">
        <v>127</v>
      </c>
      <c r="J55" s="58" t="s">
        <v>127</v>
      </c>
      <c r="K55" s="58" t="s">
        <v>127</v>
      </c>
      <c r="L55" s="58" t="s">
        <v>127</v>
      </c>
      <c r="M55" s="58" t="s">
        <v>127</v>
      </c>
      <c r="N55" s="58" t="s">
        <v>127</v>
      </c>
      <c r="O55" s="58" t="s">
        <v>127</v>
      </c>
      <c r="P55" s="58" t="s">
        <v>127</v>
      </c>
      <c r="Q55" s="58" t="s">
        <v>127</v>
      </c>
      <c r="R55" s="60">
        <f t="shared" si="5"/>
        <v>0</v>
      </c>
    </row>
    <row r="56" spans="1:18" hidden="1" x14ac:dyDescent="0.15">
      <c r="A56" s="39">
        <f>IFERROR(INDEX(Engagements_Débiteurs[Prochain Paiement],MATCH('Plan Trésorerie'!E56,Engagements_Débiteurs[Nom débiteur],0)),0)</f>
        <v>0</v>
      </c>
      <c r="B56" s="40">
        <f>IFERROR(INDEX('Contrats Engagements'!$I$8:$I$20000,MATCH('Plan Trésorerie'!E56,'Contrats Engagements'!$H$8:$H$20000,0)),0)</f>
        <v>0</v>
      </c>
      <c r="C56" s="1">
        <f>IFERROR(INDEX('Contrats Engagements'!$J$8:$J$20000,MATCH('Plan Trésorerie'!E56,'Contrats Engagements'!$H$8:$H$20000,0)),0)</f>
        <v>0</v>
      </c>
      <c r="D56" s="59">
        <f>IFERROR(INDEX('Etat des lieux'!$N$8:$N$20000,MATCH('Plan Trésorerie'!E56,'Etat des lieux'!$M$8:$M$20000,0)),0)</f>
        <v>0</v>
      </c>
      <c r="E56" s="22"/>
      <c r="F56" s="58" t="s">
        <v>127</v>
      </c>
      <c r="G56" s="58" t="s">
        <v>127</v>
      </c>
      <c r="H56" s="58" t="s">
        <v>127</v>
      </c>
      <c r="I56" s="58" t="s">
        <v>127</v>
      </c>
      <c r="J56" s="58" t="s">
        <v>127</v>
      </c>
      <c r="K56" s="58" t="s">
        <v>127</v>
      </c>
      <c r="L56" s="58" t="s">
        <v>127</v>
      </c>
      <c r="M56" s="58" t="s">
        <v>127</v>
      </c>
      <c r="N56" s="58" t="s">
        <v>127</v>
      </c>
      <c r="O56" s="58" t="s">
        <v>127</v>
      </c>
      <c r="P56" s="58" t="s">
        <v>127</v>
      </c>
      <c r="Q56" s="58" t="s">
        <v>127</v>
      </c>
      <c r="R56" s="60">
        <f t="shared" si="5"/>
        <v>0</v>
      </c>
    </row>
    <row r="57" spans="1:18" hidden="1" x14ac:dyDescent="0.15">
      <c r="A57" s="39">
        <f>IFERROR(INDEX(Engagements_Débiteurs[Prochain Paiement],MATCH('Plan Trésorerie'!E57,Engagements_Débiteurs[Nom débiteur],0)),0)</f>
        <v>0</v>
      </c>
      <c r="B57" s="40">
        <f>IFERROR(INDEX('Contrats Engagements'!$I$8:$I$20000,MATCH('Plan Trésorerie'!E57,'Contrats Engagements'!$H$8:$H$20000,0)),0)</f>
        <v>0</v>
      </c>
      <c r="C57" s="1">
        <f>IFERROR(INDEX('Contrats Engagements'!$J$8:$J$20000,MATCH('Plan Trésorerie'!E57,'Contrats Engagements'!$H$8:$H$20000,0)),0)</f>
        <v>0</v>
      </c>
      <c r="D57" s="59">
        <f>IFERROR(INDEX('Etat des lieux'!$N$8:$N$20000,MATCH('Plan Trésorerie'!E57,'Etat des lieux'!$M$8:$M$20000,0)),0)</f>
        <v>0</v>
      </c>
      <c r="E57" s="22"/>
      <c r="F57" s="58" t="s">
        <v>127</v>
      </c>
      <c r="G57" s="58" t="s">
        <v>127</v>
      </c>
      <c r="H57" s="58" t="s">
        <v>127</v>
      </c>
      <c r="I57" s="58" t="s">
        <v>127</v>
      </c>
      <c r="J57" s="58" t="s">
        <v>127</v>
      </c>
      <c r="K57" s="58" t="s">
        <v>127</v>
      </c>
      <c r="L57" s="58" t="s">
        <v>127</v>
      </c>
      <c r="M57" s="58" t="s">
        <v>127</v>
      </c>
      <c r="N57" s="58" t="s">
        <v>127</v>
      </c>
      <c r="O57" s="58" t="s">
        <v>127</v>
      </c>
      <c r="P57" s="58" t="s">
        <v>127</v>
      </c>
      <c r="Q57" s="58" t="s">
        <v>127</v>
      </c>
      <c r="R57" s="60">
        <f t="shared" si="5"/>
        <v>0</v>
      </c>
    </row>
    <row r="58" spans="1:18" hidden="1" x14ac:dyDescent="0.15">
      <c r="A58" s="39">
        <f>IFERROR(INDEX(Engagements_Débiteurs[Prochain Paiement],MATCH('Plan Trésorerie'!E58,Engagements_Débiteurs[Nom débiteur],0)),0)</f>
        <v>0</v>
      </c>
      <c r="B58" s="40">
        <f>IFERROR(INDEX('Contrats Engagements'!$I$8:$I$20000,MATCH('Plan Trésorerie'!E58,'Contrats Engagements'!$H$8:$H$20000,0)),0)</f>
        <v>0</v>
      </c>
      <c r="C58" s="1">
        <f>IFERROR(INDEX('Contrats Engagements'!$J$8:$J$20000,MATCH('Plan Trésorerie'!E58,'Contrats Engagements'!$H$8:$H$20000,0)),0)</f>
        <v>0</v>
      </c>
      <c r="D58" s="59">
        <f>IFERROR(INDEX('Etat des lieux'!$N$8:$N$20000,MATCH('Plan Trésorerie'!E58,'Etat des lieux'!$M$8:$M$20000,0)),0)</f>
        <v>0</v>
      </c>
      <c r="E58" s="22"/>
      <c r="F58" s="58" t="s">
        <v>127</v>
      </c>
      <c r="G58" s="58" t="s">
        <v>127</v>
      </c>
      <c r="H58" s="58" t="s">
        <v>127</v>
      </c>
      <c r="I58" s="58" t="s">
        <v>127</v>
      </c>
      <c r="J58" s="58" t="s">
        <v>127</v>
      </c>
      <c r="K58" s="58" t="s">
        <v>127</v>
      </c>
      <c r="L58" s="58" t="s">
        <v>127</v>
      </c>
      <c r="M58" s="58" t="s">
        <v>127</v>
      </c>
      <c r="N58" s="58" t="s">
        <v>127</v>
      </c>
      <c r="O58" s="58" t="s">
        <v>127</v>
      </c>
      <c r="P58" s="58" t="s">
        <v>127</v>
      </c>
      <c r="Q58" s="58" t="s">
        <v>127</v>
      </c>
      <c r="R58" s="60">
        <f t="shared" si="5"/>
        <v>0</v>
      </c>
    </row>
    <row r="59" spans="1:18" hidden="1" x14ac:dyDescent="0.15">
      <c r="A59" s="39">
        <f>IFERROR(INDEX(Engagements_Débiteurs[Prochain Paiement],MATCH('Plan Trésorerie'!E59,Engagements_Débiteurs[Nom débiteur],0)),0)</f>
        <v>0</v>
      </c>
      <c r="B59" s="40">
        <f>IFERROR(INDEX('Contrats Engagements'!$I$8:$I$20000,MATCH('Plan Trésorerie'!E59,'Contrats Engagements'!$H$8:$H$20000,0)),0)</f>
        <v>0</v>
      </c>
      <c r="C59" s="1">
        <f>IFERROR(INDEX('Contrats Engagements'!$J$8:$J$20000,MATCH('Plan Trésorerie'!E59,'Contrats Engagements'!$H$8:$H$20000,0)),0)</f>
        <v>0</v>
      </c>
      <c r="D59" s="59">
        <f>IFERROR(INDEX('Etat des lieux'!$N$8:$N$20000,MATCH('Plan Trésorerie'!E59,'Etat des lieux'!$M$8:$M$20000,0)),0)</f>
        <v>0</v>
      </c>
      <c r="E59" s="22"/>
      <c r="F59" s="58" t="s">
        <v>127</v>
      </c>
      <c r="G59" s="58" t="s">
        <v>127</v>
      </c>
      <c r="H59" s="58" t="s">
        <v>127</v>
      </c>
      <c r="I59" s="58" t="s">
        <v>127</v>
      </c>
      <c r="J59" s="58" t="s">
        <v>127</v>
      </c>
      <c r="K59" s="58" t="s">
        <v>127</v>
      </c>
      <c r="L59" s="58" t="s">
        <v>127</v>
      </c>
      <c r="M59" s="58" t="s">
        <v>127</v>
      </c>
      <c r="N59" s="58" t="s">
        <v>127</v>
      </c>
      <c r="O59" s="58" t="s">
        <v>127</v>
      </c>
      <c r="P59" s="58" t="s">
        <v>127</v>
      </c>
      <c r="Q59" s="58" t="s">
        <v>127</v>
      </c>
      <c r="R59" s="60">
        <f t="shared" si="5"/>
        <v>0</v>
      </c>
    </row>
    <row r="60" spans="1:18" hidden="1" x14ac:dyDescent="0.15">
      <c r="A60" s="39">
        <f>IFERROR(INDEX(Engagements_Débiteurs[Prochain Paiement],MATCH('Plan Trésorerie'!E60,Engagements_Débiteurs[Nom débiteur],0)),0)</f>
        <v>0</v>
      </c>
      <c r="B60" s="40">
        <f>IFERROR(INDEX('Contrats Engagements'!$I$8:$I$20000,MATCH('Plan Trésorerie'!E60,'Contrats Engagements'!$H$8:$H$20000,0)),0)</f>
        <v>0</v>
      </c>
      <c r="C60" s="1">
        <f>IFERROR(INDEX('Contrats Engagements'!$J$8:$J$20000,MATCH('Plan Trésorerie'!E60,'Contrats Engagements'!$H$8:$H$20000,0)),0)</f>
        <v>0</v>
      </c>
      <c r="D60" s="59">
        <f>IFERROR(INDEX('Etat des lieux'!$N$8:$N$20000,MATCH('Plan Trésorerie'!E60,'Etat des lieux'!$M$8:$M$20000,0)),0)</f>
        <v>0</v>
      </c>
      <c r="E60" s="22"/>
      <c r="F60" s="58" t="s">
        <v>127</v>
      </c>
      <c r="G60" s="58" t="s">
        <v>127</v>
      </c>
      <c r="H60" s="58" t="s">
        <v>127</v>
      </c>
      <c r="I60" s="58" t="s">
        <v>127</v>
      </c>
      <c r="J60" s="58" t="s">
        <v>127</v>
      </c>
      <c r="K60" s="58" t="s">
        <v>127</v>
      </c>
      <c r="L60" s="58" t="s">
        <v>127</v>
      </c>
      <c r="M60" s="58" t="s">
        <v>127</v>
      </c>
      <c r="N60" s="58" t="s">
        <v>127</v>
      </c>
      <c r="O60" s="58" t="s">
        <v>127</v>
      </c>
      <c r="P60" s="58" t="s">
        <v>127</v>
      </c>
      <c r="Q60" s="58" t="s">
        <v>127</v>
      </c>
      <c r="R60" s="60">
        <f t="shared" si="5"/>
        <v>0</v>
      </c>
    </row>
    <row r="61" spans="1:18" hidden="1" x14ac:dyDescent="0.15">
      <c r="A61" s="39">
        <f>IFERROR(INDEX(Engagements_Débiteurs[Prochain Paiement],MATCH('Plan Trésorerie'!E61,Engagements_Débiteurs[Nom débiteur],0)),0)</f>
        <v>0</v>
      </c>
      <c r="B61" s="40">
        <f>IFERROR(INDEX('Contrats Engagements'!$I$8:$I$20000,MATCH('Plan Trésorerie'!E61,'Contrats Engagements'!$H$8:$H$20000,0)),0)</f>
        <v>0</v>
      </c>
      <c r="C61" s="1">
        <f>IFERROR(INDEX('Contrats Engagements'!$J$8:$J$20000,MATCH('Plan Trésorerie'!E61,'Contrats Engagements'!$H$8:$H$20000,0)),0)</f>
        <v>0</v>
      </c>
      <c r="D61" s="59">
        <f>IFERROR(INDEX('Etat des lieux'!$N$8:$N$20000,MATCH('Plan Trésorerie'!E61,'Etat des lieux'!$M$8:$M$20000,0)),0)</f>
        <v>0</v>
      </c>
      <c r="E61" s="22"/>
      <c r="F61" s="58" t="s">
        <v>127</v>
      </c>
      <c r="G61" s="58" t="s">
        <v>127</v>
      </c>
      <c r="H61" s="58" t="s">
        <v>127</v>
      </c>
      <c r="I61" s="58" t="s">
        <v>127</v>
      </c>
      <c r="J61" s="58" t="s">
        <v>127</v>
      </c>
      <c r="K61" s="58" t="s">
        <v>127</v>
      </c>
      <c r="L61" s="58" t="s">
        <v>127</v>
      </c>
      <c r="M61" s="58" t="s">
        <v>127</v>
      </c>
      <c r="N61" s="58" t="s">
        <v>127</v>
      </c>
      <c r="O61" s="58" t="s">
        <v>127</v>
      </c>
      <c r="P61" s="58" t="s">
        <v>127</v>
      </c>
      <c r="Q61" s="58" t="s">
        <v>127</v>
      </c>
      <c r="R61" s="60">
        <f t="shared" si="5"/>
        <v>0</v>
      </c>
    </row>
    <row r="62" spans="1:18" hidden="1" x14ac:dyDescent="0.15">
      <c r="A62" s="39">
        <f>IFERROR(INDEX(Engagements_Débiteurs[Prochain Paiement],MATCH('Plan Trésorerie'!E62,Engagements_Débiteurs[Nom débiteur],0)),0)</f>
        <v>0</v>
      </c>
      <c r="B62" s="40">
        <f>IFERROR(INDEX('Contrats Engagements'!$I$8:$I$20000,MATCH('Plan Trésorerie'!E62,'Contrats Engagements'!$H$8:$H$20000,0)),0)</f>
        <v>0</v>
      </c>
      <c r="C62" s="1">
        <f>IFERROR(INDEX('Contrats Engagements'!$J$8:$J$20000,MATCH('Plan Trésorerie'!E62,'Contrats Engagements'!$H$8:$H$20000,0)),0)</f>
        <v>0</v>
      </c>
      <c r="D62" s="59">
        <f>IFERROR(INDEX('Etat des lieux'!$N$8:$N$20000,MATCH('Plan Trésorerie'!E62,'Etat des lieux'!$M$8:$M$20000,0)),0)</f>
        <v>0</v>
      </c>
      <c r="E62" s="22"/>
      <c r="F62" s="58" t="s">
        <v>127</v>
      </c>
      <c r="G62" s="58" t="s">
        <v>127</v>
      </c>
      <c r="H62" s="58" t="s">
        <v>127</v>
      </c>
      <c r="I62" s="58" t="s">
        <v>127</v>
      </c>
      <c r="J62" s="58" t="s">
        <v>127</v>
      </c>
      <c r="K62" s="58" t="s">
        <v>127</v>
      </c>
      <c r="L62" s="58" t="s">
        <v>127</v>
      </c>
      <c r="M62" s="58" t="s">
        <v>127</v>
      </c>
      <c r="N62" s="58" t="s">
        <v>127</v>
      </c>
      <c r="O62" s="58" t="s">
        <v>127</v>
      </c>
      <c r="P62" s="58" t="s">
        <v>127</v>
      </c>
      <c r="Q62" s="58" t="s">
        <v>127</v>
      </c>
      <c r="R62" s="60">
        <f t="shared" si="5"/>
        <v>0</v>
      </c>
    </row>
    <row r="63" spans="1:18" hidden="1" x14ac:dyDescent="0.15">
      <c r="A63" s="39">
        <f>IFERROR(INDEX(Engagements_Débiteurs[Prochain Paiement],MATCH('Plan Trésorerie'!E63,Engagements_Débiteurs[Nom débiteur],0)),0)</f>
        <v>0</v>
      </c>
      <c r="B63" s="40">
        <f>IFERROR(INDEX('Contrats Engagements'!$I$8:$I$20000,MATCH('Plan Trésorerie'!E63,'Contrats Engagements'!$H$8:$H$20000,0)),0)</f>
        <v>0</v>
      </c>
      <c r="C63" s="1">
        <f>IFERROR(INDEX('Contrats Engagements'!$J$8:$J$20000,MATCH('Plan Trésorerie'!E63,'Contrats Engagements'!$H$8:$H$20000,0)),0)</f>
        <v>0</v>
      </c>
      <c r="D63" s="59">
        <f>IFERROR(INDEX('Etat des lieux'!$N$8:$N$20000,MATCH('Plan Trésorerie'!E63,'Etat des lieux'!$M$8:$M$20000,0)),0)</f>
        <v>0</v>
      </c>
      <c r="E63" s="22"/>
      <c r="F63" s="58" t="s">
        <v>127</v>
      </c>
      <c r="G63" s="58" t="s">
        <v>127</v>
      </c>
      <c r="H63" s="58" t="s">
        <v>127</v>
      </c>
      <c r="I63" s="58" t="s">
        <v>127</v>
      </c>
      <c r="J63" s="58" t="s">
        <v>127</v>
      </c>
      <c r="K63" s="58" t="s">
        <v>127</v>
      </c>
      <c r="L63" s="58" t="s">
        <v>127</v>
      </c>
      <c r="M63" s="58" t="s">
        <v>127</v>
      </c>
      <c r="N63" s="58" t="s">
        <v>127</v>
      </c>
      <c r="O63" s="58" t="s">
        <v>127</v>
      </c>
      <c r="P63" s="58" t="s">
        <v>127</v>
      </c>
      <c r="Q63" s="58" t="s">
        <v>127</v>
      </c>
      <c r="R63" s="60">
        <f t="shared" si="5"/>
        <v>0</v>
      </c>
    </row>
    <row r="64" spans="1:18" hidden="1" x14ac:dyDescent="0.15">
      <c r="A64" s="39">
        <f>IFERROR(INDEX(Engagements_Débiteurs[Prochain Paiement],MATCH('Plan Trésorerie'!E64,Engagements_Débiteurs[Nom débiteur],0)),0)</f>
        <v>0</v>
      </c>
      <c r="B64" s="40">
        <f>IFERROR(INDEX('Contrats Engagements'!$I$8:$I$20000,MATCH('Plan Trésorerie'!E64,'Contrats Engagements'!$H$8:$H$20000,0)),0)</f>
        <v>0</v>
      </c>
      <c r="C64" s="1">
        <f>IFERROR(INDEX('Contrats Engagements'!$J$8:$J$20000,MATCH('Plan Trésorerie'!E64,'Contrats Engagements'!$H$8:$H$20000,0)),0)</f>
        <v>0</v>
      </c>
      <c r="D64" s="59">
        <f>IFERROR(INDEX('Etat des lieux'!$N$8:$N$20000,MATCH('Plan Trésorerie'!E64,'Etat des lieux'!$M$8:$M$20000,0)),0)</f>
        <v>0</v>
      </c>
      <c r="E64" s="22"/>
      <c r="F64" s="58" t="s">
        <v>127</v>
      </c>
      <c r="G64" s="58" t="s">
        <v>127</v>
      </c>
      <c r="H64" s="58" t="s">
        <v>127</v>
      </c>
      <c r="I64" s="58" t="s">
        <v>127</v>
      </c>
      <c r="J64" s="58" t="s">
        <v>127</v>
      </c>
      <c r="K64" s="58" t="s">
        <v>127</v>
      </c>
      <c r="L64" s="58" t="s">
        <v>127</v>
      </c>
      <c r="M64" s="58" t="s">
        <v>127</v>
      </c>
      <c r="N64" s="58" t="s">
        <v>127</v>
      </c>
      <c r="O64" s="58" t="s">
        <v>127</v>
      </c>
      <c r="P64" s="58" t="s">
        <v>127</v>
      </c>
      <c r="Q64" s="58" t="s">
        <v>127</v>
      </c>
      <c r="R64" s="60">
        <f t="shared" si="5"/>
        <v>0</v>
      </c>
    </row>
    <row r="65" spans="1:18" hidden="1" x14ac:dyDescent="0.15">
      <c r="A65" s="39">
        <f>IFERROR(INDEX(Engagements_Débiteurs[Prochain Paiement],MATCH('Plan Trésorerie'!E65,Engagements_Débiteurs[Nom débiteur],0)),0)</f>
        <v>0</v>
      </c>
      <c r="B65" s="40">
        <f>IFERROR(INDEX('Contrats Engagements'!$I$8:$I$20000,MATCH('Plan Trésorerie'!E65,'Contrats Engagements'!$H$8:$H$20000,0)),0)</f>
        <v>0</v>
      </c>
      <c r="C65" s="1">
        <f>IFERROR(INDEX('Contrats Engagements'!$J$8:$J$20000,MATCH('Plan Trésorerie'!E65,'Contrats Engagements'!$H$8:$H$20000,0)),0)</f>
        <v>0</v>
      </c>
      <c r="D65" s="59">
        <f>IFERROR(INDEX('Etat des lieux'!$N$8:$N$20000,MATCH('Plan Trésorerie'!E65,'Etat des lieux'!$M$8:$M$20000,0)),0)</f>
        <v>0</v>
      </c>
      <c r="E65" s="22"/>
      <c r="F65" s="58" t="s">
        <v>127</v>
      </c>
      <c r="G65" s="58" t="s">
        <v>127</v>
      </c>
      <c r="H65" s="58" t="s">
        <v>127</v>
      </c>
      <c r="I65" s="58" t="s">
        <v>127</v>
      </c>
      <c r="J65" s="58" t="s">
        <v>127</v>
      </c>
      <c r="K65" s="58" t="s">
        <v>127</v>
      </c>
      <c r="L65" s="58" t="s">
        <v>127</v>
      </c>
      <c r="M65" s="58" t="s">
        <v>127</v>
      </c>
      <c r="N65" s="58" t="s">
        <v>127</v>
      </c>
      <c r="O65" s="58" t="s">
        <v>127</v>
      </c>
      <c r="P65" s="58" t="s">
        <v>127</v>
      </c>
      <c r="Q65" s="58" t="s">
        <v>127</v>
      </c>
      <c r="R65" s="60">
        <f t="shared" si="5"/>
        <v>0</v>
      </c>
    </row>
    <row r="66" spans="1:18" hidden="1" x14ac:dyDescent="0.15">
      <c r="A66" s="39">
        <f>IFERROR(INDEX(Engagements_Débiteurs[Prochain Paiement],MATCH('Plan Trésorerie'!E66,Engagements_Débiteurs[Nom débiteur],0)),0)</f>
        <v>0</v>
      </c>
      <c r="B66" s="40">
        <f>IFERROR(INDEX('Contrats Engagements'!$I$8:$I$20000,MATCH('Plan Trésorerie'!E66,'Contrats Engagements'!$H$8:$H$20000,0)),0)</f>
        <v>0</v>
      </c>
      <c r="C66" s="1">
        <f>IFERROR(INDEX('Contrats Engagements'!$J$8:$J$20000,MATCH('Plan Trésorerie'!E66,'Contrats Engagements'!$H$8:$H$20000,0)),0)</f>
        <v>0</v>
      </c>
      <c r="D66" s="59">
        <f>IFERROR(INDEX('Etat des lieux'!$N$8:$N$20000,MATCH('Plan Trésorerie'!E66,'Etat des lieux'!$M$8:$M$20000,0)),0)</f>
        <v>0</v>
      </c>
      <c r="E66" s="22"/>
      <c r="F66" s="58" t="s">
        <v>127</v>
      </c>
      <c r="G66" s="58" t="s">
        <v>127</v>
      </c>
      <c r="H66" s="58" t="s">
        <v>127</v>
      </c>
      <c r="I66" s="58" t="s">
        <v>127</v>
      </c>
      <c r="J66" s="58" t="s">
        <v>127</v>
      </c>
      <c r="K66" s="58" t="s">
        <v>127</v>
      </c>
      <c r="L66" s="58" t="s">
        <v>127</v>
      </c>
      <c r="M66" s="58" t="s">
        <v>127</v>
      </c>
      <c r="N66" s="58" t="s">
        <v>127</v>
      </c>
      <c r="O66" s="58" t="s">
        <v>127</v>
      </c>
      <c r="P66" s="58" t="s">
        <v>127</v>
      </c>
      <c r="Q66" s="58" t="s">
        <v>127</v>
      </c>
      <c r="R66" s="60">
        <f t="shared" si="5"/>
        <v>0</v>
      </c>
    </row>
    <row r="67" spans="1:18" hidden="1" x14ac:dyDescent="0.15">
      <c r="A67" s="39">
        <f>IFERROR(INDEX(Engagements_Débiteurs[Prochain Paiement],MATCH('Plan Trésorerie'!E67,Engagements_Débiteurs[Nom débiteur],0)),0)</f>
        <v>0</v>
      </c>
      <c r="B67" s="40">
        <f>IFERROR(INDEX('Contrats Engagements'!$I$8:$I$20000,MATCH('Plan Trésorerie'!E67,'Contrats Engagements'!$H$8:$H$20000,0)),0)</f>
        <v>0</v>
      </c>
      <c r="C67" s="1">
        <f>IFERROR(INDEX('Contrats Engagements'!$J$8:$J$20000,MATCH('Plan Trésorerie'!E67,'Contrats Engagements'!$H$8:$H$20000,0)),0)</f>
        <v>0</v>
      </c>
      <c r="D67" s="59">
        <f>IFERROR(INDEX('Etat des lieux'!$N$8:$N$20000,MATCH('Plan Trésorerie'!E67,'Etat des lieux'!$M$8:$M$20000,0)),0)</f>
        <v>0</v>
      </c>
      <c r="E67" s="22"/>
      <c r="F67" s="58" t="s">
        <v>127</v>
      </c>
      <c r="G67" s="58" t="s">
        <v>127</v>
      </c>
      <c r="H67" s="58" t="s">
        <v>127</v>
      </c>
      <c r="I67" s="58" t="s">
        <v>127</v>
      </c>
      <c r="J67" s="58" t="s">
        <v>127</v>
      </c>
      <c r="K67" s="58" t="s">
        <v>127</v>
      </c>
      <c r="L67" s="58" t="s">
        <v>127</v>
      </c>
      <c r="M67" s="58" t="s">
        <v>127</v>
      </c>
      <c r="N67" s="58" t="s">
        <v>127</v>
      </c>
      <c r="O67" s="58" t="s">
        <v>127</v>
      </c>
      <c r="P67" s="58" t="s">
        <v>127</v>
      </c>
      <c r="Q67" s="58" t="s">
        <v>127</v>
      </c>
      <c r="R67" s="60">
        <f t="shared" si="5"/>
        <v>0</v>
      </c>
    </row>
    <row r="68" spans="1:18" hidden="1" x14ac:dyDescent="0.15">
      <c r="A68" s="39">
        <f>IFERROR(INDEX(Engagements_Débiteurs[Prochain Paiement],MATCH('Plan Trésorerie'!E68,Engagements_Débiteurs[Nom débiteur],0)),0)</f>
        <v>0</v>
      </c>
      <c r="B68" s="40">
        <f>IFERROR(INDEX('Contrats Engagements'!$I$8:$I$20000,MATCH('Plan Trésorerie'!E68,'Contrats Engagements'!$H$8:$H$20000,0)),0)</f>
        <v>0</v>
      </c>
      <c r="C68" s="1">
        <f>IFERROR(INDEX('Contrats Engagements'!$J$8:$J$20000,MATCH('Plan Trésorerie'!E68,'Contrats Engagements'!$H$8:$H$20000,0)),0)</f>
        <v>0</v>
      </c>
      <c r="D68" s="59">
        <f>IFERROR(INDEX('Etat des lieux'!$N$8:$N$20000,MATCH('Plan Trésorerie'!E68,'Etat des lieux'!$M$8:$M$20000,0)),0)</f>
        <v>0</v>
      </c>
      <c r="E68" s="22"/>
      <c r="F68" s="58" t="s">
        <v>127</v>
      </c>
      <c r="G68" s="58" t="s">
        <v>127</v>
      </c>
      <c r="H68" s="58" t="s">
        <v>127</v>
      </c>
      <c r="I68" s="58" t="s">
        <v>127</v>
      </c>
      <c r="J68" s="58" t="s">
        <v>127</v>
      </c>
      <c r="K68" s="58" t="s">
        <v>127</v>
      </c>
      <c r="L68" s="58" t="s">
        <v>127</v>
      </c>
      <c r="M68" s="58" t="s">
        <v>127</v>
      </c>
      <c r="N68" s="58" t="s">
        <v>127</v>
      </c>
      <c r="O68" s="58" t="s">
        <v>127</v>
      </c>
      <c r="P68" s="58" t="s">
        <v>127</v>
      </c>
      <c r="Q68" s="58" t="s">
        <v>127</v>
      </c>
      <c r="R68" s="60">
        <f t="shared" si="5"/>
        <v>0</v>
      </c>
    </row>
    <row r="69" spans="1:18" hidden="1" x14ac:dyDescent="0.15">
      <c r="A69" s="39">
        <f>IFERROR(INDEX(Engagements_Débiteurs[Prochain Paiement],MATCH('Plan Trésorerie'!E69,Engagements_Débiteurs[Nom débiteur],0)),0)</f>
        <v>0</v>
      </c>
      <c r="B69" s="40">
        <f>IFERROR(INDEX('Contrats Engagements'!$I$8:$I$20000,MATCH('Plan Trésorerie'!E69,'Contrats Engagements'!$H$8:$H$20000,0)),0)</f>
        <v>0</v>
      </c>
      <c r="C69" s="1">
        <f>IFERROR(INDEX('Contrats Engagements'!$J$8:$J$20000,MATCH('Plan Trésorerie'!E69,'Contrats Engagements'!$H$8:$H$20000,0)),0)</f>
        <v>0</v>
      </c>
      <c r="D69" s="59">
        <f>IFERROR(INDEX('Etat des lieux'!$N$8:$N$20000,MATCH('Plan Trésorerie'!E69,'Etat des lieux'!$M$8:$M$20000,0)),0)</f>
        <v>0</v>
      </c>
      <c r="E69" s="22"/>
      <c r="F69" s="58" t="s">
        <v>127</v>
      </c>
      <c r="G69" s="58" t="s">
        <v>127</v>
      </c>
      <c r="H69" s="58" t="s">
        <v>127</v>
      </c>
      <c r="I69" s="58" t="s">
        <v>127</v>
      </c>
      <c r="J69" s="58" t="s">
        <v>127</v>
      </c>
      <c r="K69" s="58" t="s">
        <v>127</v>
      </c>
      <c r="L69" s="58" t="s">
        <v>127</v>
      </c>
      <c r="M69" s="58" t="s">
        <v>127</v>
      </c>
      <c r="N69" s="58" t="s">
        <v>127</v>
      </c>
      <c r="O69" s="58" t="s">
        <v>127</v>
      </c>
      <c r="P69" s="58" t="s">
        <v>127</v>
      </c>
      <c r="Q69" s="58" t="s">
        <v>127</v>
      </c>
      <c r="R69" s="60">
        <f t="shared" si="5"/>
        <v>0</v>
      </c>
    </row>
    <row r="70" spans="1:18" hidden="1" x14ac:dyDescent="0.15">
      <c r="A70" s="39">
        <f>IFERROR(INDEX(Engagements_Débiteurs[Prochain Paiement],MATCH('Plan Trésorerie'!E70,Engagements_Débiteurs[Nom débiteur],0)),0)</f>
        <v>0</v>
      </c>
      <c r="B70" s="40">
        <f>IFERROR(INDEX('Contrats Engagements'!$I$8:$I$20000,MATCH('Plan Trésorerie'!E70,'Contrats Engagements'!$H$8:$H$20000,0)),0)</f>
        <v>0</v>
      </c>
      <c r="C70" s="1">
        <f>IFERROR(INDEX('Contrats Engagements'!$J$8:$J$20000,MATCH('Plan Trésorerie'!E70,'Contrats Engagements'!$H$8:$H$20000,0)),0)</f>
        <v>0</v>
      </c>
      <c r="D70" s="59">
        <f>IFERROR(INDEX('Etat des lieux'!$N$8:$N$20000,MATCH('Plan Trésorerie'!E70,'Etat des lieux'!$M$8:$M$20000,0)),0)</f>
        <v>0</v>
      </c>
      <c r="E70" s="22"/>
      <c r="F70" s="58" t="s">
        <v>127</v>
      </c>
      <c r="G70" s="58" t="s">
        <v>127</v>
      </c>
      <c r="H70" s="58" t="s">
        <v>127</v>
      </c>
      <c r="I70" s="58" t="s">
        <v>127</v>
      </c>
      <c r="J70" s="58" t="s">
        <v>127</v>
      </c>
      <c r="K70" s="58" t="s">
        <v>127</v>
      </c>
      <c r="L70" s="58" t="s">
        <v>127</v>
      </c>
      <c r="M70" s="58" t="s">
        <v>127</v>
      </c>
      <c r="N70" s="58" t="s">
        <v>127</v>
      </c>
      <c r="O70" s="58" t="s">
        <v>127</v>
      </c>
      <c r="P70" s="58" t="s">
        <v>127</v>
      </c>
      <c r="Q70" s="58" t="s">
        <v>127</v>
      </c>
      <c r="R70" s="60">
        <f t="shared" si="5"/>
        <v>0</v>
      </c>
    </row>
    <row r="71" spans="1:18" hidden="1" x14ac:dyDescent="0.15">
      <c r="A71" s="39">
        <f>IFERROR(INDEX(Engagements_Débiteurs[Prochain Paiement],MATCH('Plan Trésorerie'!E71,Engagements_Débiteurs[Nom débiteur],0)),0)</f>
        <v>0</v>
      </c>
      <c r="B71" s="40">
        <f>IFERROR(INDEX('Contrats Engagements'!$I$8:$I$20000,MATCH('Plan Trésorerie'!E71,'Contrats Engagements'!$H$8:$H$20000,0)),0)</f>
        <v>0</v>
      </c>
      <c r="C71" s="1">
        <f>IFERROR(INDEX('Contrats Engagements'!$J$8:$J$20000,MATCH('Plan Trésorerie'!E71,'Contrats Engagements'!$H$8:$H$20000,0)),0)</f>
        <v>0</v>
      </c>
      <c r="D71" s="59">
        <f>IFERROR(INDEX('Etat des lieux'!$N$8:$N$20000,MATCH('Plan Trésorerie'!E71,'Etat des lieux'!$M$8:$M$20000,0)),0)</f>
        <v>0</v>
      </c>
      <c r="E71" s="22"/>
      <c r="F71" s="58" t="s">
        <v>127</v>
      </c>
      <c r="G71" s="58" t="s">
        <v>127</v>
      </c>
      <c r="H71" s="58" t="s">
        <v>127</v>
      </c>
      <c r="I71" s="58" t="s">
        <v>127</v>
      </c>
      <c r="J71" s="58" t="s">
        <v>127</v>
      </c>
      <c r="K71" s="58" t="s">
        <v>127</v>
      </c>
      <c r="L71" s="58" t="s">
        <v>127</v>
      </c>
      <c r="M71" s="58" t="s">
        <v>127</v>
      </c>
      <c r="N71" s="58" t="s">
        <v>127</v>
      </c>
      <c r="O71" s="58" t="s">
        <v>127</v>
      </c>
      <c r="P71" s="58" t="s">
        <v>127</v>
      </c>
      <c r="Q71" s="58" t="s">
        <v>127</v>
      </c>
      <c r="R71" s="60">
        <f t="shared" si="5"/>
        <v>0</v>
      </c>
    </row>
    <row r="72" spans="1:18" ht="12.75" x14ac:dyDescent="0.2">
      <c r="A72" s="39"/>
      <c r="B72" s="40"/>
      <c r="E72" s="24" t="s">
        <v>129</v>
      </c>
      <c r="F72" s="44">
        <f>SUM(F42:F71)</f>
        <v>5440000</v>
      </c>
      <c r="G72" s="44">
        <f t="shared" ref="G72:Q72" si="6">SUM(G42:G71)</f>
        <v>4300000</v>
      </c>
      <c r="H72" s="44">
        <f t="shared" si="6"/>
        <v>4300000</v>
      </c>
      <c r="I72" s="44">
        <f t="shared" si="6"/>
        <v>4300000</v>
      </c>
      <c r="J72" s="44">
        <f t="shared" si="6"/>
        <v>4300000</v>
      </c>
      <c r="K72" s="44">
        <f t="shared" si="6"/>
        <v>4300000</v>
      </c>
      <c r="L72" s="44">
        <f t="shared" si="6"/>
        <v>4300000</v>
      </c>
      <c r="M72" s="44">
        <f t="shared" si="6"/>
        <v>3100000</v>
      </c>
      <c r="N72" s="44">
        <f t="shared" si="6"/>
        <v>3100000</v>
      </c>
      <c r="O72" s="44">
        <f t="shared" si="6"/>
        <v>2650000</v>
      </c>
      <c r="P72" s="44">
        <f t="shared" si="6"/>
        <v>0</v>
      </c>
      <c r="Q72" s="44">
        <f t="shared" si="6"/>
        <v>0</v>
      </c>
      <c r="R72" s="18"/>
    </row>
    <row r="73" spans="1:18" ht="6" customHeight="1" x14ac:dyDescent="0.15">
      <c r="B73" s="40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</row>
    <row r="74" spans="1:18" ht="12.75" x14ac:dyDescent="0.2">
      <c r="E74" s="29" t="s">
        <v>119</v>
      </c>
      <c r="F74" s="44">
        <f t="shared" ref="F74:Q74" si="7">F7+F40-F72</f>
        <v>4270000</v>
      </c>
      <c r="G74" s="44">
        <f t="shared" si="7"/>
        <v>620000</v>
      </c>
      <c r="H74" s="44">
        <f t="shared" si="7"/>
        <v>3510000</v>
      </c>
      <c r="I74" s="44">
        <f t="shared" si="7"/>
        <v>4360000</v>
      </c>
      <c r="J74" s="44">
        <f t="shared" si="7"/>
        <v>5210000</v>
      </c>
      <c r="K74" s="44">
        <f t="shared" si="7"/>
        <v>7060000</v>
      </c>
      <c r="L74" s="44">
        <f t="shared" si="7"/>
        <v>4410000</v>
      </c>
      <c r="M74" s="44">
        <f t="shared" si="7"/>
        <v>2960000</v>
      </c>
      <c r="N74" s="44">
        <f t="shared" si="7"/>
        <v>860000</v>
      </c>
      <c r="O74" s="44">
        <f t="shared" si="7"/>
        <v>-790000</v>
      </c>
      <c r="P74" s="44">
        <f t="shared" si="7"/>
        <v>210000</v>
      </c>
      <c r="Q74" s="44">
        <f t="shared" si="7"/>
        <v>1210000</v>
      </c>
      <c r="R74" s="18"/>
    </row>
  </sheetData>
  <mergeCells count="2">
    <mergeCell ref="D6:D7"/>
    <mergeCell ref="R6:R7"/>
  </mergeCells>
  <pageMargins left="0.19685039370078741" right="0.47244094488188981" top="0.43307086614173229" bottom="0.43307086614173229" header="0.31496062992125984" footer="0.31496062992125984"/>
  <pageSetup paperSize="9" scale="76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Données</vt:lpstr>
      <vt:lpstr>Contrats Engagements</vt:lpstr>
      <vt:lpstr>Etat des lieux</vt:lpstr>
      <vt:lpstr>Plan de tresorerie CT</vt:lpstr>
      <vt:lpstr>Détail</vt:lpstr>
      <vt:lpstr>Plan Trésorerie</vt:lpstr>
      <vt:lpstr>DateJour</vt:lpstr>
      <vt:lpstr>Format</vt:lpstr>
      <vt:lpstr>Formule_client_CT</vt:lpstr>
      <vt:lpstr>Formule_clients</vt:lpstr>
      <vt:lpstr>Formule_frss</vt:lpstr>
      <vt:lpstr>Formule_frss_CT</vt:lpstr>
      <vt:lpstr>'Plan de tresorerie CT'!Impression_des_titres</vt:lpstr>
      <vt:lpstr>LesMois</vt:lpstr>
      <vt:lpstr>Nom_client</vt:lpstr>
      <vt:lpstr>Nom_debiteurs</vt:lpstr>
      <vt:lpstr>Nom_tresor</vt:lpstr>
      <vt:lpstr>Plan_client_CT</vt:lpstr>
      <vt:lpstr>Plan_clients</vt:lpstr>
      <vt:lpstr>Plan_frss</vt:lpstr>
      <vt:lpstr>Plan_frss_CT</vt:lpstr>
      <vt:lpstr>TotalCreancier</vt:lpstr>
      <vt:lpstr>TotalDebiteur</vt:lpstr>
      <vt:lpstr>'Etat des lieux'!Zone_d_impression</vt:lpstr>
      <vt:lpstr>'Plan de tresorerie CT'!Zone_d_impression</vt:lpstr>
      <vt:lpstr>'Plan Trésorerie'!Zone_d_impression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</dc:creator>
  <cp:lastModifiedBy>Alex</cp:lastModifiedBy>
  <cp:lastPrinted>2013-03-11T08:31:22Z</cp:lastPrinted>
  <dcterms:created xsi:type="dcterms:W3CDTF">2013-03-09T08:42:22Z</dcterms:created>
  <dcterms:modified xsi:type="dcterms:W3CDTF">2014-06-08T08:24:34Z</dcterms:modified>
</cp:coreProperties>
</file>