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1035" windowWidth="15600" windowHeight="6840" tabRatio="699"/>
  </bookViews>
  <sheets>
    <sheet name="Tous" sheetId="1" r:id="rId1"/>
    <sheet name="Stats" sheetId="2" r:id="rId2"/>
    <sheet name="Alsace" sheetId="8" r:id="rId3"/>
    <sheet name="Aquitaine" sheetId="3" r:id="rId4"/>
    <sheet name="Bretagne" sheetId="9" r:id="rId5"/>
    <sheet name="Ile de France" sheetId="10" r:id="rId6"/>
    <sheet name="Languedoc-R" sheetId="5" r:id="rId7"/>
    <sheet name="Midi-Pyrénées" sheetId="4" r:id="rId8"/>
    <sheet name="PACA" sheetId="6" r:id="rId9"/>
    <sheet name="Rhône-Alpes" sheetId="7" r:id="rId10"/>
    <sheet name="Haute-Normandie" sheetId="11" r:id="rId11"/>
    <sheet name="Nord-Pas-De-Calais" sheetId="12" r:id="rId12"/>
    <sheet name="Lorraine" sheetId="13" r:id="rId13"/>
  </sheets>
  <definedNames>
    <definedName name="_xlnm._FilterDatabase" localSheetId="0" hidden="1">Tous!$B$1:$R$106</definedName>
  </definedNames>
  <calcPr calcId="145621"/>
</workbook>
</file>

<file path=xl/calcChain.xml><?xml version="1.0" encoding="utf-8"?>
<calcChain xmlns="http://schemas.openxmlformats.org/spreadsheetml/2006/main">
  <c r="B76" i="2" l="1"/>
  <c r="B75" i="2"/>
  <c r="D74" i="2"/>
  <c r="C36" i="2"/>
  <c r="C23" i="2"/>
  <c r="C15" i="2"/>
  <c r="B95" i="2"/>
  <c r="B78" i="2"/>
  <c r="B77" i="2"/>
  <c r="B61" i="2"/>
  <c r="B59" i="2"/>
  <c r="B51" i="2"/>
  <c r="B29" i="2"/>
  <c r="B28" i="2"/>
  <c r="B23" i="2"/>
  <c r="B3" i="2" l="1"/>
  <c r="B4" i="2"/>
  <c r="B5" i="2"/>
  <c r="B6" i="2"/>
  <c r="B7" i="2"/>
  <c r="B8" i="2"/>
  <c r="B9" i="2"/>
  <c r="B10" i="2"/>
  <c r="B11" i="2"/>
  <c r="B12" i="2"/>
  <c r="B13" i="2"/>
  <c r="B14" i="2"/>
  <c r="B15" i="2"/>
  <c r="B16" i="2"/>
  <c r="B17" i="2"/>
  <c r="B18" i="2"/>
  <c r="B19" i="2"/>
  <c r="B20" i="2"/>
  <c r="B21" i="2"/>
  <c r="B22" i="2"/>
  <c r="B24" i="2"/>
  <c r="B25" i="2"/>
  <c r="B26" i="2"/>
  <c r="B27" i="2"/>
  <c r="B30" i="2"/>
  <c r="B31" i="2"/>
  <c r="B32" i="2"/>
  <c r="B33" i="2"/>
  <c r="B34" i="2"/>
  <c r="B35" i="2"/>
  <c r="B36" i="2"/>
  <c r="B37" i="2"/>
  <c r="B38" i="2"/>
  <c r="B39" i="2"/>
  <c r="B40" i="2"/>
  <c r="B41" i="2"/>
  <c r="B42" i="2"/>
  <c r="B43" i="2"/>
  <c r="B44" i="2"/>
  <c r="B45" i="2"/>
  <c r="B46" i="2"/>
  <c r="B47" i="2"/>
  <c r="B48" i="2"/>
  <c r="B49" i="2"/>
  <c r="B50" i="2"/>
  <c r="B52" i="2"/>
  <c r="B53" i="2"/>
  <c r="B54" i="2"/>
  <c r="B55" i="2"/>
  <c r="B56" i="2"/>
  <c r="B57" i="2"/>
  <c r="B58" i="2"/>
  <c r="B60" i="2"/>
  <c r="B62" i="2"/>
  <c r="B63" i="2"/>
  <c r="B64" i="2"/>
  <c r="B65" i="2"/>
  <c r="B66" i="2"/>
  <c r="B67" i="2"/>
  <c r="B68" i="2"/>
  <c r="B69" i="2"/>
  <c r="B70" i="2"/>
  <c r="B71" i="2"/>
  <c r="B72" i="2"/>
  <c r="B73" i="2"/>
  <c r="B74" i="2"/>
  <c r="B79" i="2"/>
  <c r="B80" i="2"/>
  <c r="B81" i="2"/>
  <c r="B82" i="2"/>
  <c r="B83" i="2"/>
  <c r="B84" i="2"/>
  <c r="B85" i="2"/>
  <c r="B86" i="2"/>
  <c r="B87" i="2"/>
  <c r="B88" i="2"/>
  <c r="B89" i="2"/>
  <c r="B90" i="2"/>
  <c r="B91" i="2"/>
  <c r="B92" i="2"/>
  <c r="B93" i="2"/>
  <c r="B94" i="2"/>
  <c r="B96" i="2"/>
  <c r="B97" i="2"/>
  <c r="C97" i="2"/>
  <c r="D97" i="2"/>
  <c r="C96" i="2"/>
  <c r="D96" i="2"/>
  <c r="C95" i="2"/>
  <c r="D95" i="2"/>
  <c r="C94" i="2"/>
  <c r="D94" i="2"/>
  <c r="C93" i="2"/>
  <c r="D93" i="2"/>
  <c r="C92" i="2"/>
  <c r="D92" i="2"/>
  <c r="C91" i="2"/>
  <c r="D91" i="2"/>
  <c r="C90" i="2"/>
  <c r="D90" i="2"/>
  <c r="C89" i="2"/>
  <c r="D89" i="2"/>
  <c r="D88" i="2"/>
  <c r="C88" i="2"/>
  <c r="C87" i="2"/>
  <c r="D87" i="2"/>
  <c r="C86" i="2"/>
  <c r="D86" i="2"/>
  <c r="C85" i="2"/>
  <c r="D85" i="2"/>
  <c r="C84" i="2"/>
  <c r="D84" i="2"/>
  <c r="C83" i="2"/>
  <c r="D83" i="2"/>
  <c r="C82" i="2"/>
  <c r="D82" i="2"/>
  <c r="C81" i="2"/>
  <c r="D81" i="2"/>
  <c r="C80" i="2"/>
  <c r="D80" i="2"/>
  <c r="C79" i="2"/>
  <c r="D79" i="2"/>
  <c r="C78" i="2"/>
  <c r="E78" i="2" s="1"/>
  <c r="D78" i="2"/>
  <c r="C77" i="2"/>
  <c r="D77" i="2"/>
  <c r="C76" i="2"/>
  <c r="D76" i="2"/>
  <c r="C75" i="2"/>
  <c r="D75" i="2"/>
  <c r="C74" i="2"/>
  <c r="D73" i="2"/>
  <c r="C73" i="2"/>
  <c r="D72" i="2"/>
  <c r="C72" i="2"/>
  <c r="C71" i="2"/>
  <c r="D71" i="2"/>
  <c r="C70" i="2"/>
  <c r="D70" i="2"/>
  <c r="C69" i="2"/>
  <c r="D69" i="2"/>
  <c r="C68" i="2"/>
  <c r="D68" i="2"/>
  <c r="C67" i="2"/>
  <c r="D67" i="2"/>
  <c r="C66" i="2"/>
  <c r="D66" i="2"/>
  <c r="C65" i="2"/>
  <c r="D65" i="2"/>
  <c r="C64" i="2"/>
  <c r="D64" i="2"/>
  <c r="C63" i="2"/>
  <c r="D63" i="2"/>
  <c r="C62" i="2"/>
  <c r="D62" i="2"/>
  <c r="C61" i="2"/>
  <c r="D61" i="2"/>
  <c r="C60" i="2"/>
  <c r="D60" i="2"/>
  <c r="C59" i="2"/>
  <c r="D59" i="2"/>
  <c r="C58" i="2"/>
  <c r="D58" i="2"/>
  <c r="C57" i="2"/>
  <c r="D57" i="2"/>
  <c r="C56" i="2"/>
  <c r="D56" i="2"/>
  <c r="C55" i="2"/>
  <c r="D55" i="2"/>
  <c r="D54" i="2"/>
  <c r="C54" i="2"/>
  <c r="C53" i="2"/>
  <c r="D53" i="2"/>
  <c r="C52" i="2"/>
  <c r="D52" i="2"/>
  <c r="C51" i="2"/>
  <c r="D51" i="2"/>
  <c r="D50" i="2"/>
  <c r="C50" i="2"/>
  <c r="C49" i="2"/>
  <c r="D49" i="2"/>
  <c r="C48" i="2"/>
  <c r="D48" i="2"/>
  <c r="C47" i="2"/>
  <c r="D47" i="2"/>
  <c r="C46" i="2"/>
  <c r="D46" i="2"/>
  <c r="C45" i="2"/>
  <c r="D45" i="2"/>
  <c r="C44" i="2"/>
  <c r="D44" i="2"/>
  <c r="C43" i="2"/>
  <c r="D43" i="2"/>
  <c r="C42" i="2"/>
  <c r="D42" i="2"/>
  <c r="C41" i="2"/>
  <c r="D41" i="2"/>
  <c r="C40" i="2"/>
  <c r="D40" i="2"/>
  <c r="C39" i="2"/>
  <c r="D39" i="2"/>
  <c r="E54" i="2"/>
  <c r="E58" i="2"/>
  <c r="E64" i="2"/>
  <c r="E65" i="2"/>
  <c r="E69" i="2"/>
  <c r="E73" i="2"/>
  <c r="E79" i="2"/>
  <c r="E83" i="2"/>
  <c r="D38" i="2"/>
  <c r="C38" i="2"/>
  <c r="D37" i="2"/>
  <c r="C37" i="2"/>
  <c r="D36" i="2"/>
  <c r="C35" i="2"/>
  <c r="D35" i="2"/>
  <c r="C34" i="2"/>
  <c r="D34" i="2"/>
  <c r="C33" i="2"/>
  <c r="D33" i="2"/>
  <c r="C32" i="2"/>
  <c r="D32" i="2"/>
  <c r="C31" i="2"/>
  <c r="D31" i="2"/>
  <c r="C30" i="2"/>
  <c r="D30" i="2"/>
  <c r="D29" i="2"/>
  <c r="C29" i="2"/>
  <c r="D28" i="2"/>
  <c r="C28" i="2"/>
  <c r="D27" i="2"/>
  <c r="C27" i="2"/>
  <c r="C26" i="2"/>
  <c r="D26" i="2"/>
  <c r="C25" i="2"/>
  <c r="D25" i="2"/>
  <c r="C24" i="2"/>
  <c r="D24" i="2"/>
  <c r="D23" i="2"/>
  <c r="E23" i="2" s="1"/>
  <c r="C22" i="2"/>
  <c r="D22" i="2"/>
  <c r="C21" i="2"/>
  <c r="D21" i="2"/>
  <c r="C20" i="2"/>
  <c r="D20" i="2"/>
  <c r="C19" i="2"/>
  <c r="D19" i="2"/>
  <c r="D18" i="2"/>
  <c r="C18" i="2"/>
  <c r="D17" i="2"/>
  <c r="C17" i="2"/>
  <c r="C16" i="2"/>
  <c r="D16" i="2"/>
  <c r="D15" i="2"/>
  <c r="C14" i="2"/>
  <c r="D14" i="2"/>
  <c r="C13" i="2"/>
  <c r="D13" i="2"/>
  <c r="C12" i="2"/>
  <c r="D12" i="2"/>
  <c r="C11" i="2"/>
  <c r="D11" i="2"/>
  <c r="C10" i="2"/>
  <c r="D10" i="2"/>
  <c r="C9" i="2"/>
  <c r="D9" i="2"/>
  <c r="C8" i="2"/>
  <c r="D8" i="2"/>
  <c r="D7" i="2"/>
  <c r="C7" i="2"/>
  <c r="C6" i="2"/>
  <c r="D6" i="2"/>
  <c r="C5" i="2"/>
  <c r="D5" i="2"/>
  <c r="C4" i="2"/>
  <c r="D4" i="2"/>
  <c r="C3" i="2"/>
  <c r="D3" i="2"/>
  <c r="E39" i="2"/>
  <c r="E36" i="2"/>
  <c r="E32" i="2"/>
  <c r="E26" i="2"/>
  <c r="E14" i="2"/>
  <c r="E13" i="2"/>
  <c r="E12" i="2"/>
  <c r="B2" i="2"/>
  <c r="C2" i="2"/>
  <c r="D2" i="2"/>
  <c r="E84" i="2"/>
  <c r="E66" i="2"/>
  <c r="E11" i="2"/>
  <c r="E88" i="2"/>
  <c r="E70" i="2"/>
  <c r="E44" i="2"/>
  <c r="E15" i="2"/>
  <c r="E62" i="2"/>
  <c r="E56" i="2"/>
  <c r="E52" i="2"/>
  <c r="E55" i="2"/>
  <c r="E61" i="2"/>
  <c r="H18" i="2" s="1"/>
  <c r="E48" i="2"/>
  <c r="E25" i="2"/>
  <c r="E38" i="2"/>
  <c r="E94" i="2"/>
  <c r="E86" i="2"/>
  <c r="E82" i="2"/>
  <c r="E68" i="2"/>
  <c r="E46" i="2"/>
  <c r="E45" i="2"/>
  <c r="E27" i="2"/>
  <c r="E85" i="2"/>
  <c r="E51" i="2"/>
  <c r="E59" i="2"/>
  <c r="E95" i="2"/>
  <c r="E30" i="2"/>
  <c r="E34" i="2"/>
  <c r="E37" i="2"/>
  <c r="E97" i="2"/>
  <c r="E71" i="2"/>
  <c r="E67" i="2"/>
  <c r="E41" i="2"/>
  <c r="H11" i="2" s="1"/>
  <c r="E76" i="2"/>
  <c r="E19" i="2"/>
  <c r="E89" i="2"/>
  <c r="E53" i="2"/>
  <c r="E57" i="2"/>
  <c r="E77" i="2"/>
  <c r="E17" i="2"/>
  <c r="E31" i="2"/>
  <c r="E87" i="2"/>
  <c r="E6" i="2"/>
  <c r="E20" i="2"/>
  <c r="E24" i="2"/>
  <c r="H7" i="2" s="1"/>
  <c r="E33" i="2"/>
  <c r="E93" i="2"/>
  <c r="E81" i="2"/>
  <c r="E72" i="2"/>
  <c r="E49" i="2"/>
  <c r="E80" i="2"/>
  <c r="E90" i="2"/>
  <c r="E92" i="2"/>
  <c r="E8" i="2"/>
  <c r="E18" i="2"/>
  <c r="E35" i="2"/>
  <c r="E29" i="2"/>
  <c r="E91" i="2"/>
  <c r="E74" i="2"/>
  <c r="E60" i="2"/>
  <c r="E50" i="2"/>
  <c r="E47" i="2"/>
  <c r="E43" i="2"/>
  <c r="E40" i="2"/>
  <c r="E42" i="2"/>
  <c r="E63" i="2"/>
  <c r="E75" i="2"/>
  <c r="D99" i="2" l="1"/>
  <c r="E2" i="2"/>
  <c r="E4" i="2"/>
  <c r="H15" i="2"/>
  <c r="E3" i="2"/>
  <c r="H20" i="2" s="1"/>
  <c r="E5" i="2"/>
  <c r="E9" i="2"/>
  <c r="E10" i="2"/>
  <c r="E28" i="2"/>
  <c r="H16" i="2"/>
  <c r="H6" i="2"/>
  <c r="H2" i="2"/>
  <c r="H19" i="2"/>
  <c r="E16" i="2"/>
  <c r="E21" i="2"/>
  <c r="E22" i="2"/>
  <c r="E96" i="2"/>
  <c r="H13" i="2" s="1"/>
  <c r="H21" i="2"/>
  <c r="H9" i="2"/>
  <c r="H8" i="2"/>
  <c r="H17" i="2"/>
  <c r="H3" i="2"/>
  <c r="H14" i="2"/>
  <c r="H23" i="2"/>
  <c r="B99" i="2"/>
  <c r="E7" i="2"/>
  <c r="H22" i="2" s="1"/>
  <c r="H12" i="2"/>
  <c r="H5" i="2"/>
  <c r="C99" i="2"/>
  <c r="H4" i="2" l="1"/>
  <c r="H24" i="2" s="1"/>
  <c r="H10" i="2"/>
  <c r="B100" i="2"/>
</calcChain>
</file>

<file path=xl/sharedStrings.xml><?xml version="1.0" encoding="utf-8"?>
<sst xmlns="http://schemas.openxmlformats.org/spreadsheetml/2006/main" count="599" uniqueCount="307">
  <si>
    <t>66 Pyrénées-Orientales</t>
  </si>
  <si>
    <t>67 Bas-Rhin</t>
  </si>
  <si>
    <t>68 Haut-Rhin</t>
  </si>
  <si>
    <t>69 Rhône</t>
  </si>
  <si>
    <t>70 Haute-Saône</t>
  </si>
  <si>
    <t>71 Saône-et-Loire</t>
  </si>
  <si>
    <t>72 Sarthe</t>
  </si>
  <si>
    <t>73 Savoie</t>
  </si>
  <si>
    <t>74 Haute-Savoie</t>
  </si>
  <si>
    <t>75 Paris</t>
  </si>
  <si>
    <t>76 Seine-Maritime</t>
  </si>
  <si>
    <t>77 Seine-et-Marne</t>
  </si>
  <si>
    <t>78 Yvelines</t>
  </si>
  <si>
    <t>79 Deux-Sèvres</t>
  </si>
  <si>
    <t>80 Somme</t>
  </si>
  <si>
    <t>81 Tarn</t>
  </si>
  <si>
    <t>82 Tarn-et-Garonne</t>
  </si>
  <si>
    <t>83 Var</t>
  </si>
  <si>
    <t>Région</t>
  </si>
  <si>
    <t>Alsace</t>
  </si>
  <si>
    <t>Aquitaine</t>
  </si>
  <si>
    <t>Auvergne</t>
  </si>
  <si>
    <t>Basse-Normandie</t>
  </si>
  <si>
    <t>Bourgogne</t>
  </si>
  <si>
    <t>Bretagne</t>
  </si>
  <si>
    <t>Centre</t>
  </si>
  <si>
    <t>Champagne-Ardenne</t>
  </si>
  <si>
    <t>Corse</t>
  </si>
  <si>
    <t>Franche-Comté</t>
  </si>
  <si>
    <t>Haute-Normandie</t>
  </si>
  <si>
    <t>Ile-de-France</t>
  </si>
  <si>
    <t>Languedoc-Roussillon</t>
  </si>
  <si>
    <t>Limousin</t>
  </si>
  <si>
    <t>Lorraine</t>
  </si>
  <si>
    <t>Midi-Pyrénées</t>
  </si>
  <si>
    <t>Nord-Pas-de-Calais</t>
  </si>
  <si>
    <t>Picardie</t>
  </si>
  <si>
    <t>Provence-Alpes-Côte-d'Azur</t>
  </si>
  <si>
    <t>Rhône-Alpes</t>
  </si>
  <si>
    <t>Poitou-Charentes</t>
  </si>
  <si>
    <t>Pays-de-la-Loire</t>
  </si>
  <si>
    <t>Total</t>
  </si>
  <si>
    <t>?</t>
  </si>
  <si>
    <t>Département</t>
  </si>
  <si>
    <t>Calcul</t>
  </si>
  <si>
    <t>Département 1</t>
  </si>
  <si>
    <t>Département 2</t>
  </si>
  <si>
    <t>Département 3</t>
  </si>
  <si>
    <t>Dép 1</t>
  </si>
  <si>
    <t>Dép 2</t>
  </si>
  <si>
    <t>Dép 3</t>
  </si>
  <si>
    <t>Somme</t>
  </si>
  <si>
    <t>01 Ain</t>
  </si>
  <si>
    <t>02 Aisne</t>
  </si>
  <si>
    <t>22 Côtes-d'Armor</t>
  </si>
  <si>
    <t>23 Creuse</t>
  </si>
  <si>
    <t>24 Dordogne</t>
  </si>
  <si>
    <t>25 Doubs</t>
  </si>
  <si>
    <t>26 Drôme</t>
  </si>
  <si>
    <t>27 Eure</t>
  </si>
  <si>
    <t>28 Eure-et-Loir</t>
  </si>
  <si>
    <t>29 Finistère</t>
  </si>
  <si>
    <t>30 Gard</t>
  </si>
  <si>
    <t>31 Haute-Garonne</t>
  </si>
  <si>
    <t>32 Gers</t>
  </si>
  <si>
    <t>33 Gironde</t>
  </si>
  <si>
    <t>34 Hérault</t>
  </si>
  <si>
    <t>35 Ille-et-Vilaine</t>
  </si>
  <si>
    <t>36 Indre</t>
  </si>
  <si>
    <t>37 Indre-et-Loire</t>
  </si>
  <si>
    <t>38 Isère</t>
  </si>
  <si>
    <t>39 Jura</t>
  </si>
  <si>
    <t>40 Landes</t>
  </si>
  <si>
    <t>41 Loir-et-Cher</t>
  </si>
  <si>
    <t>42 Loire</t>
  </si>
  <si>
    <t>43 Haute-Loire</t>
  </si>
  <si>
    <t>84 Vaucluse</t>
  </si>
  <si>
    <t>85 Vendée</t>
  </si>
  <si>
    <t>86 Vienne</t>
  </si>
  <si>
    <t>87 Haute-Vienne</t>
  </si>
  <si>
    <t>88 Vosges</t>
  </si>
  <si>
    <t>89 Yonne</t>
  </si>
  <si>
    <t>90 Territoire de Belfort</t>
  </si>
  <si>
    <t>91 Essonne</t>
  </si>
  <si>
    <t>92 Hauts-de-Seine</t>
  </si>
  <si>
    <t>93 Seine-Saint-Denis</t>
  </si>
  <si>
    <t>94 Val-de-Marne</t>
  </si>
  <si>
    <t>95 Val-d'Oise</t>
  </si>
  <si>
    <t>Total concurrents</t>
  </si>
  <si>
    <t>Total bureaux</t>
  </si>
  <si>
    <t>Nom de l'entreprise</t>
  </si>
  <si>
    <t>Date de création</t>
  </si>
  <si>
    <t>Taille</t>
  </si>
  <si>
    <t>Forme juridique</t>
  </si>
  <si>
    <t>CA</t>
  </si>
  <si>
    <t>Clients ciblés</t>
  </si>
  <si>
    <t>Activité globale de l'entreprise</t>
  </si>
  <si>
    <t>Produits/Services proposés en matière de DD</t>
  </si>
  <si>
    <t>Remarques</t>
  </si>
  <si>
    <t>Autres</t>
  </si>
  <si>
    <t>Références</t>
  </si>
  <si>
    <t>03 Allier</t>
  </si>
  <si>
    <t>04 Alpes-de-Haute-Provence</t>
  </si>
  <si>
    <t>05 Hautes-Alpes</t>
  </si>
  <si>
    <t>06 Alpes-Maritimes</t>
  </si>
  <si>
    <t>07 Ardèche</t>
  </si>
  <si>
    <t>08 Ardennes</t>
  </si>
  <si>
    <t>09 Ariège</t>
  </si>
  <si>
    <t>10 Aube</t>
  </si>
  <si>
    <t>11 Aude</t>
  </si>
  <si>
    <t>12 Aveyron</t>
  </si>
  <si>
    <t>13 Bouches-du-Rhône</t>
  </si>
  <si>
    <t>14 Calvados</t>
  </si>
  <si>
    <t>15 Cantal</t>
  </si>
  <si>
    <t>16 Charente</t>
  </si>
  <si>
    <t>17 Charente-Maritime</t>
  </si>
  <si>
    <t>18 Cher</t>
  </si>
  <si>
    <t>19 Corrèze</t>
  </si>
  <si>
    <t>2A Corse-du-Sud</t>
  </si>
  <si>
    <t>2B Haute-Corse</t>
  </si>
  <si>
    <t>21 Côte-d'Or</t>
  </si>
  <si>
    <t>44 Loire-Atlantique</t>
  </si>
  <si>
    <t>45 Loiret</t>
  </si>
  <si>
    <t>46 Lot</t>
  </si>
  <si>
    <t>47 Lot-et-Garonne</t>
  </si>
  <si>
    <t>48 Lozère</t>
  </si>
  <si>
    <t>49 Maine-et-Loire</t>
  </si>
  <si>
    <t>50 Manche</t>
  </si>
  <si>
    <t>51 Marne</t>
  </si>
  <si>
    <t>52 Haute-Marne</t>
  </si>
  <si>
    <t>53 Mayenne</t>
  </si>
  <si>
    <t>54 Meurthe-et-Moselle</t>
  </si>
  <si>
    <t>55 Meuse</t>
  </si>
  <si>
    <t>56 Morbihan</t>
  </si>
  <si>
    <t>57 Moselle</t>
  </si>
  <si>
    <t>58 Nièvre</t>
  </si>
  <si>
    <t>59 Nord</t>
  </si>
  <si>
    <t>60 Oise</t>
  </si>
  <si>
    <t>61 Orne</t>
  </si>
  <si>
    <t>62 Pas-de-Calais</t>
  </si>
  <si>
    <t>63 Puy-de-Dôme</t>
  </si>
  <si>
    <t>64 Pyrénées-Atlantiques</t>
  </si>
  <si>
    <t>65 Hautes-Pyrénées</t>
  </si>
  <si>
    <t>Site</t>
  </si>
  <si>
    <t>Contact</t>
  </si>
  <si>
    <t>1*, à creuser</t>
  </si>
  <si>
    <t>LBMG Worklabs,doc</t>
  </si>
  <si>
    <r>
      <t>http://www.lbmg-worklabs.com</t>
    </r>
    <r>
      <rPr>
        <sz val="11"/>
        <color indexed="12"/>
        <rFont val="Calibri"/>
        <family val="2"/>
      </rPr>
      <t xml:space="preserve">                              &amp;                             </t>
    </r>
    <r>
      <rPr>
        <u/>
        <sz val="11"/>
        <color indexed="12"/>
        <rFont val="Calibri"/>
        <family val="2"/>
      </rPr>
      <t>www.neo-nomade.com</t>
    </r>
  </si>
  <si>
    <t>3 à 5</t>
  </si>
  <si>
    <t>société par actions simplifiée</t>
  </si>
  <si>
    <t xml:space="preserve">            ?                              Capital variable : 16 000 euros</t>
  </si>
  <si>
    <t>grandes entreprises, PME,TPE / collectivités et particuliers</t>
  </si>
  <si>
    <t>WORKLABS est un cabinet d'expertise dans les ressources humaines spécialisé dans la mise en place du travail à distance ainsi qu'une offre de lieux d'espaces de travail alternatif du café au centre d'affaires.             Les sujets que le cabinet traite sont transverses et nécessitent des expertises diverses et précises, et ils sont donc entourés d’un réseau d’experts partenaires. Stratégie immobilière, développement durable, RH...</t>
  </si>
  <si>
    <t xml:space="preserve">Spécialiste du travail à distance et des tiers-lieux
Diagnostic et mise en place du travail à distance, modèles économiques et localisation de nouveaux espaces de travail grâce à un seul interlocuteur,LBMG WORKLABS fait de l'expertise unique, met en place des outils innovants et un réseau de partenaires experts pour accompagner la mise en place de télétravail.
LBMG intervient dans quatre domaines pour:
  - Sensibiliser les entreprises, administrations et employés aux enjeux du travail à distance
  - Conseiller les entreprises dans la mise en œuvre de programmes de travail à distance
  - Imaginer de nouveaux espaces de travail et soutenir les créateurs de tiers-lieux
  - Relier les télétravailleurs et les tiers-lieux à travers notre site www.neo-nomade.com
</t>
  </si>
  <si>
    <t>LBMG WORKLABS                                          40 Rue Eugene Oudine 
75013 Paris                                                                                                     Président Natael MATHIEU                            Tel : 06 61 31 96 39
Mail : nathanael.mathieu@lbmg-worklabs.com                                                                                                Contact presse
Baptiste Broughton – contact@neo-nomade.com
Tel : 0632736377</t>
  </si>
  <si>
    <t xml:space="preserve">Création du site www.neo-nomade.com permettant aux utilisateurs du télétravail de trouver un espace de travail.Déclinaison pour trouver les lieux en application pour Smartphones.                                                           Création d'un logiciel permettant de calculer les coûts liés à la mise en place du télétravail au sein d'une entreprise ou collectivité.              http://www.lbmg-worklabs.com/calculator/index.php                               </t>
  </si>
  <si>
    <t>Seine et Marne Développement, Novotel, Caisse des dépots, Mille-Alliance,l'Atelier</t>
  </si>
  <si>
    <t xml:space="preserve">ADÉQUATION CONSULTING </t>
  </si>
  <si>
    <t>www.adequationconsulting.fr</t>
  </si>
  <si>
    <t>S.A.R.L au capital de 15 000 euros</t>
  </si>
  <si>
    <t>CA de 2010 : 310.400</t>
  </si>
  <si>
    <t>Petites et grandes entreprises / administrations publiques</t>
  </si>
  <si>
    <t xml:space="preserve">
+ ADEQUATION Consulting apporte à ses clients conseil et formation en Management, Organisation et Ressources Humaines.
Fort de 10 années d’expérience auprès de structures et de contextes variés, nous vous accompagnons dans vos projets et vos réflexions en vue d’améliorer la performance de vos organisations de façon durable dans l'accompagnement des organisations sociales et médico-sociales, dans le conseil en ressources humaines et santé au travail, dans le management d'équipe et de projets, dans des audits d'organisation, dans les démarches qualités et dans le développement durable et RSE.                                                                                                                  Les engagements d'Adéquation Consulting :
 - Elaborer des propositions claires
adaptées aux spécificités de la structure.
 - Garantir la plus stricte confidentialité dans le cadre de nos missions 
 - Garantir la mise en œuvre des moyens adaptés à vos enjeux 
 - Intervenir dans le respect du projet et de la culture d’entreprise
 - Accompagner toute structure dans son développement et dans la mise en œuvre de ses projets en étroite collaboration avec tous les acteurs internes (dirigeants, encadrement de proximité, équipes de travail).
</t>
  </si>
  <si>
    <t xml:space="preserve">Réalisation du Bilan Carbone
Mise en place d’une démarche RSE (ISO 26000) 
Diagnostic social et sociétal de l’entreprise - construction et accompagnement à la mise en œuvre d’un plan d’action
</t>
  </si>
  <si>
    <t>Gérant : Xavier
PREVOST                                                         Tel : 06 61 45 03 63
Mail : x.prevost@adequationconsulting.fr
18 rue Amiral Cécille Immeuble Le Montréal 76100 ROUEN
Tél : 02 35 63 03 63                                       Fax : 02 35 63 10 44</t>
  </si>
  <si>
    <t>Réseau : Adéquation développement et Adéquation sécurité</t>
  </si>
  <si>
    <t>Sanitaire, Social et Médico-social
Entreprises
Sport professionnel
Administrations et entreprises publiques</t>
  </si>
  <si>
    <t>Equineo</t>
  </si>
  <si>
    <t>http://www.equineo.com/</t>
  </si>
  <si>
    <t>SARL au capital de 15 000 euros</t>
  </si>
  <si>
    <t xml:space="preserve">CA 2010 : 473.200 </t>
  </si>
  <si>
    <t xml:space="preserve"> les collectivités, les entreprises et les établissements scolaires</t>
  </si>
  <si>
    <t>eQuiNeo est une agence qui accompagne les collectivités, les entreprises et les établissements scolaires dans leurs projets et leurs politiques de développement durable.
lac-extrait
eQuiNeo a développé des outils spécifiques et méthodologiques dans différents domaines pour chacune des étapes des projets de développement durable en matière de : veille, sensibilisation, formation, échanges avec les parties prenantes, diagnostics et études, conduite du changement, évaluation (indicateurs, tableaux de bord), rapports développement durable, chartes et communication.
Nous travaillons de manière régulière avec un ensemble de partenaires experts dans leurs domaines afin de bien pouvoir appréhender les enjeux de développement durable des politiques et des projets sur lesquels nous travaillons (énergie, mobilité, urbanisme, concertation, organisation d'évènements, climat, solidarité, outils techniques et pédagogiques d'éducation et de sensibilisation, formation...). Cela nous permet également de proposer un ensemble de métiers complémentaires. Voici les 7 champsd'expertises : projets territoriaux de développement durable, éudes et accompagnements,  énergie et climat, adaptation au changement climatique, formation, éducation à l'environnement et au développemen durable, communication</t>
  </si>
  <si>
    <t>Agenda 21 local, rapport développement durable, approche Environnementale de l'Urbanisme, formation sur mesure, conférences et évènements, actions de sensibilisation, vulnérabilité au DD et stratégie d'adaptation, letre d'information et Magazine développement durable, veille et études, plan climat energie territorial, ateliers énergie et climat, aténuation des émissions de GES, accompagnement et ingénieurie de projets, bilan carbone collectivités et entreprises, agenda 21 scolaire, agenda 21 de la culture, pré-diagnostics et études, maîtirse de l'énergie et énergies renouvelables et multimédia et nouvelles technologies.</t>
  </si>
  <si>
    <r>
      <rPr>
        <b/>
        <sz val="11"/>
        <color indexed="8"/>
        <rFont val="Calibri"/>
        <family val="2"/>
      </rPr>
      <t>2 agences :</t>
    </r>
    <r>
      <rPr>
        <sz val="11"/>
        <color theme="1"/>
        <rFont val="Calibri"/>
        <family val="2"/>
        <scheme val="minor"/>
      </rPr>
      <t xml:space="preserve">
eQuiNeo à Montpellier
22 rue du Saint Sépulcre
34000 Montpellier
Tel : 04 67 29 94 21                                                                                                                       eQuiNeo à Paris
18 rue de Vincennes
93100 Montreuil-sous-bois
Tel : 06 12 96 28 38
</t>
    </r>
  </si>
  <si>
    <t>eQuiNeo est membre des associations CLER, AMORCE, Energie Partagée, Comité 21 et compense l'ensemble des émissions générées par son activité auprès du programme CO2 Solidaire du GERES.</t>
  </si>
  <si>
    <t>Communauté urbaine de bordeaux : accompagnement dans sa démarche de labellisation cit'ergie, bilan carbone du site d'impression du midi libre, définition et mise en œuvre de l'agenda 21 de la culure de la ville de Saint-Herblain, formation au développment durable à la cour d'appel de Pau, agenda 21 scolaire dans 13 CFA de la région PACA, intervention à Paris Dauphine,</t>
  </si>
  <si>
    <t>Advolys</t>
  </si>
  <si>
    <t>http://www.advolys.fr/#</t>
  </si>
  <si>
    <t>?                                         Aucune information, tout laisse penser qu'il est seul</t>
  </si>
  <si>
    <t xml:space="preserve">Affaire personnelle profession libérale </t>
  </si>
  <si>
    <t>collectivité, PME, grandes entreprises</t>
  </si>
  <si>
    <t>Depuis 2008, Advolys accompagne les entreprises, les collectivités ... dans leur démarche de Développement Durable, de la définition stratégique à la mise en place opérationnelle. Advolys est une structure de conseil, de formation et d'évaluation.</t>
  </si>
  <si>
    <t xml:space="preserve">
Introduction aux enjeux et préconisations du Développement Durable, 
Diagnostic Développement Durable selon les référentiels (AFNOR 26000 …),
Achats responsables (et plan d’actions),
Bilan Carbone® (méthodologie ADEME), 
Mise en œuvre de la Charte Objectif CO2 - les transporteurs s'engagent
PDE (Plan de Déplacements Entreprise), 
RSE - Responsabilité Sociétale de l'Entreprise - (cf. l'ISO 26000),
Pratique d'un Management responsable. 
  Et d’autres actions bâties sur mesure selon les spécificités de vos activités et vos desiderata.
Au delà de la réduction des charges, Advolys conseille sur les aides financières
</t>
  </si>
  <si>
    <t>Partenaire et consultant pour le Label LUCIE.                                                                      Monsieur LOQUET a exercé auparavant  le métier de DRH.</t>
  </si>
  <si>
    <t>L'Association GRANddE, L'Institut des Techniques d'Ingénieur de l'Industrie,Le Groupe CESI, Label LUCIE Alexandrie, Association des professionnels des Achats, Le Département Formation de la CCI de l’Eure, Club RECREE, Consultant développement accrédité au Parlement Européenen, ITS-IAE  Etudes et Conseils</t>
  </si>
  <si>
    <t>Groupe Alexandrie</t>
  </si>
  <si>
    <t>http://www.alexandrie.fr/</t>
  </si>
  <si>
    <t xml:space="preserve">                 6                                                         ( + 50 experts qui les accompagnent)</t>
  </si>
  <si>
    <t>Alexandrie Groupe, anciennement groupe CPI, est implanté dans le grand ouest depuis  1989 et propose un accompagnement de projets technologies numériques innovantes et de développement durable. Pour cela Alexandrie groupe fait appel à ces 3 entités d'activités en formation, consulting et ingénierie. Les entités : AEMYS, SOKRATE et ACC CONSULING.                                                                                 AEMYS est un centre de formation certifié CPLS par  Microsoft, il accompagne et conseille sur la conduite  et la réussite de projet de formation développement durable et informatique.  Il traie notamment de la problématique RH et développement durable.                                            ACC CONSULTING guide et conseil la démarche développement durable.                                                                                                                                 SOKRATE est un bureau d'étude qui met en place des solutions techniques et spécifiques adaptées à un projet développement durable.</t>
  </si>
  <si>
    <t xml:space="preserve">Alexandrie Groupe                                         Président : Eric JOYEN-CONSEIL
4, Rue Andreï Sakharov 
76130 Mont-Saint-Aignan 
Tél : +33 (0)2 35 590 591 
Fax : +33 (0)2 35 80 82 99
mail : alexandrie@alexandrie.fr
</t>
  </si>
  <si>
    <t>Introduction de RSE dans la fonction RH</t>
  </si>
  <si>
    <t>Collectivité : région Haute-Normandie, Communaué de communes de Caux de Seine. Entreprises : Total, CCI Rouen, Caisse d'Epargne, AFPA, Legrand, Crédit Agricole..</t>
  </si>
  <si>
    <t>Extra Muros</t>
  </si>
  <si>
    <t>http://www.extra-muros.coop/</t>
  </si>
  <si>
    <t>9 salariés                           + 2 stagiaires</t>
  </si>
  <si>
    <t>SARL coopérative avec un staut de SCOP</t>
  </si>
  <si>
    <t xml:space="preserve">CA 2010 : 490.500  </t>
  </si>
  <si>
    <t xml:space="preserve">les collectivités territoriales, les institutions, les PME et les Associations.
 </t>
  </si>
  <si>
    <t>Extra-Muros est une coopérative de consultants spécialisée dans la conduite de projets. Leur valeur ajoutée, est un accompagnement concret qui permettra à toutes les parties prenantes de s’inscrire dans la dynamique du projet. Passant par Extra-Muros, par-dessus les murs qui les séparent, les acteurs clefs pourront se focaliser sur la cohérence et le sens de leur projet.
 L’équipe pluridisciplinaire d’Extra Muros  conduit des projets dans la : promotion du développement durable, de l’économie solidaire, de la citoyenneté active ou de toute forme de solidarité dans les territoires. Les 3 pôles de travail sont : l'Action publique durable, le Développement économique durable et l'Urbanisme durable et citoyenneté active. Les differents métiers proposés sont : - Mobilisation, Sensibilisation, Formation - Etudes et Diagnostics - Accompagnement stratégique et opérationnel - Mise en œuvreEvaluation.</t>
  </si>
  <si>
    <r>
      <rPr>
        <b/>
        <sz val="10"/>
        <color indexed="8"/>
        <rFont val="Calibri"/>
        <family val="2"/>
      </rPr>
      <t>Pôle Action Publique Durable</t>
    </r>
    <r>
      <rPr>
        <sz val="11"/>
        <color theme="1"/>
        <rFont val="Calibri"/>
        <family val="2"/>
        <scheme val="minor"/>
      </rPr>
      <t xml:space="preserve">
Evaluation des politiques publiques et des programmes européens
Préparation, élaboration, évaluation Agendas 21 
Politique de la ville et Cohésion Sociale
Sensibilisation / formation au développement durable en direction de vos habitants, services, élus 
Etude environnementale, Etude socio-économique 
</t>
    </r>
    <r>
      <rPr>
        <sz val="10"/>
        <color indexed="8"/>
        <rFont val="Calibri"/>
        <family val="2"/>
      </rPr>
      <t xml:space="preserve">                                                                                                                      </t>
    </r>
    <r>
      <rPr>
        <b/>
        <sz val="10"/>
        <color indexed="8"/>
        <rFont val="Calibri"/>
        <family val="2"/>
      </rPr>
      <t>Pôle Développement Economique Responsable</t>
    </r>
    <r>
      <rPr>
        <sz val="11"/>
        <color theme="1"/>
        <rFont val="Calibri"/>
        <family val="2"/>
        <scheme val="minor"/>
      </rPr>
      <t xml:space="preserve">
Accompagnement de projet d’établissement 
Dispositifs locaux d’accompagnement (DLA) 
Insertion par l’activité économique (vita, PLIE, formation)
Démarche de progrès, mise en place de l’outil HQ21 
Mise en place d’un service achats responsable, commande responsable
Accompagnement à la création (SCIC, SCOP, Association) 
Politique de développement économique
Création d’éco-activités
Reconversion 
</t>
    </r>
    <r>
      <rPr>
        <sz val="10"/>
        <color indexed="8"/>
        <rFont val="Calibri"/>
        <family val="2"/>
      </rPr>
      <t xml:space="preserve">                                                                                                                         </t>
    </r>
    <r>
      <rPr>
        <b/>
        <sz val="10"/>
        <color indexed="8"/>
        <rFont val="Calibri"/>
        <family val="2"/>
      </rPr>
      <t>Pôle Urbanisme Durable et Citoyenneté Active</t>
    </r>
    <r>
      <rPr>
        <sz val="11"/>
        <color theme="1"/>
        <rFont val="Calibri"/>
        <family val="2"/>
        <scheme val="minor"/>
      </rPr>
      <t xml:space="preserve">
Conventions de Gestion Urbaine de Proximité
Accompagnement des Projets de Rénovation Urbaine
Elaboration concertée de quartiers durables
NTIC et E-démocratie 
</t>
    </r>
  </si>
  <si>
    <t xml:space="preserve"> Communauté Urbaine de Bordeaux, Communauté d’Agglomération Seine Eure, Ville de Saint Egrève, Canton de Bois Guillaume, Ville de Grand Couronne,ville de Lille, Ville de Nantes, Metaleurop, 
</t>
  </si>
  <si>
    <t>Gérant  Mme Caroline SENEZ              51 Rue du Maire Andre
59800 LILLE                                                 Tél : 03 20 01 00 41
 Fax : 03 20 01 00 40                                 Mail gérante : c.senez@extra-muros.coop 
Mail cabinet : contact@extra-muros.coop</t>
  </si>
  <si>
    <r>
      <rPr>
        <u/>
        <sz val="11"/>
        <color indexed="8"/>
        <rFont val="Calibri"/>
        <family val="2"/>
      </rPr>
      <t xml:space="preserve">Partenaires :    </t>
    </r>
    <r>
      <rPr>
        <sz val="11"/>
        <color theme="1"/>
        <rFont val="Calibri"/>
        <family val="2"/>
        <scheme val="minor"/>
      </rPr>
      <t xml:space="preserve">                        APES - Acteurs pour une Economie Solidaire Maison de l’Economie Solidaire                                    - 4D CITé européenne des Récollets                                    - Cerdd Ecopôle                      - COPAS Conseil en Pratique et Analyse Sociale                                        - SCIL Société Coopérative d'Informatique Libre            - Réseau des Ressourceries                          - Initiatives et Cité ( cluster d'entreprise solidaire)</t>
    </r>
  </si>
  <si>
    <t>Nouveaux Territoires</t>
  </si>
  <si>
    <t>http://www.nouveaux-territoires.fr/Ntc_officiel.html</t>
  </si>
  <si>
    <t>Groupement d'intérêt économique</t>
  </si>
  <si>
    <t>CA 2011 : 480 000</t>
  </si>
  <si>
    <t>collectivités locales et leur regroupement, ministères et services déconcentrés de l'Etat, partenaires techniques et financiers de la coopération internationale</t>
  </si>
  <si>
    <t>Nouveaux territoires est un cabinet de consultants spécialisé sur les territoires plus précisément dans la territorialisation des politiques publiques, la définition concertée de projets territoriaux d'aménagement et de développement durable, l'animation des dynamiques d'acteurs. Le nombre resserré de consultants est garant d'un conseil sur mesure et adapté aux attentes tout cela dans un souci constant d'indépendance de vue et d'analyse.</t>
  </si>
  <si>
    <t>Site internet très interactif</t>
  </si>
  <si>
    <t xml:space="preserve"> Stratégie durable</t>
  </si>
  <si>
    <t>http://www.strategie-durable.fr/index.php</t>
  </si>
  <si>
    <t>Affaire personnelle profession libérale</t>
  </si>
  <si>
    <t>Collectivité territoriale</t>
  </si>
  <si>
    <r>
      <rPr>
        <b/>
        <sz val="11"/>
        <color indexed="8"/>
        <rFont val="Calibri"/>
        <family val="2"/>
      </rPr>
      <t xml:space="preserve">Conception et conduite :     </t>
    </r>
    <r>
      <rPr>
        <sz val="11"/>
        <color theme="1"/>
        <rFont val="Calibri"/>
        <family val="2"/>
        <scheme val="minor"/>
      </rPr>
      <t xml:space="preserve">                                                                                                                                                                                                                        Diagnostics territoriaux et prospective stratégique
Appui à la définition de politiques et programmes d’actions
Accompagnement de projets territoriaux
Organisation et animation de concertations et démarches de participation
Animation de réseaux 
</t>
    </r>
    <r>
      <rPr>
        <b/>
        <sz val="11"/>
        <color indexed="8"/>
        <rFont val="Calibri"/>
        <family val="2"/>
      </rPr>
      <t>Evaluation et suivi :</t>
    </r>
    <r>
      <rPr>
        <sz val="11"/>
        <color theme="1"/>
        <rFont val="Calibri"/>
        <family val="2"/>
        <scheme val="minor"/>
      </rPr>
      <t xml:space="preserve">                                                                                                                                                                                                                                    Evaluation de projets territoriaux de développement durable
Evaluation environnementale de politiques, plans et programmes
Evaluation de politiques environnementales
Reporting environnemental
Dispositifs de suivi et de pilotage, observatoires, tableaux de bord et systèmes d’information                                                                                         </t>
    </r>
    <r>
      <rPr>
        <b/>
        <sz val="11"/>
        <color indexed="8"/>
        <rFont val="Calibri"/>
        <family val="2"/>
      </rPr>
      <t>Information et communication :</t>
    </r>
    <r>
      <rPr>
        <sz val="11"/>
        <color theme="1"/>
        <rFont val="Calibri"/>
        <family val="2"/>
        <scheme val="minor"/>
      </rPr>
      <t xml:space="preserve">                                                                                                                                                                                                                Interventions et présentations orales.
Préparation et animation de réunions d’information, séminaires de travail, échanges d’expériences, voyages d’étude
Organisation et animation d'ateliers-citoyens
Conception et rédaction de documents et supports de diffusion
</t>
    </r>
  </si>
  <si>
    <t>Domaine d'action : territoires, environnement, énergie, stratégies durables.                                                                                                                                                         Philippe DEVIS fait du conseil et de l'accompagnement de projets et politiques territoriales autour de 3 pôles : conception et conduite, évaluation et suivi et information et communication.</t>
  </si>
  <si>
    <t xml:space="preserve">Dirigeant Philippe DEVIS                  7 bis impasse Jeanne d'Arc
 26100 Romans-sur-Isère
 2 rue Josserand de Brancion
 21160 Marsannay-la-CôteTel : 09 81 68 85 85
</t>
  </si>
  <si>
    <r>
      <rPr>
        <b/>
        <sz val="11"/>
        <color indexed="8"/>
        <rFont val="Calibri"/>
        <family val="2"/>
      </rPr>
      <t xml:space="preserve">Conception et conduite :  </t>
    </r>
    <r>
      <rPr>
        <sz val="11"/>
        <color theme="1"/>
        <rFont val="Calibri"/>
        <family val="2"/>
        <scheme val="minor"/>
      </rPr>
      <t xml:space="preserve">                                   Messimy (Rhône) - Accompagnement de la Ville de Messimy dans l'élaboration d'un Agenda 21        Pays Seine et Tilles en Bourgogne - Etude préalable à la mise en œuvre du Plan Climat Energie Territorial (en collaboration avec Explicit)                                                                             </t>
    </r>
    <r>
      <rPr>
        <b/>
        <sz val="11"/>
        <color indexed="8"/>
        <rFont val="Calibri"/>
        <family val="2"/>
      </rPr>
      <t xml:space="preserve">Evaluation et suivi : </t>
    </r>
    <r>
      <rPr>
        <sz val="11"/>
        <color theme="1"/>
        <rFont val="Calibri"/>
        <family val="2"/>
        <scheme val="minor"/>
      </rPr>
      <t xml:space="preserve">                                           Communauté Urbaine Creusot-Montceau - Accompagnement à la mise en place d'une démarche de suivi et d'évaluation des actions duContrat d'agglomération et de l'Agenda 21             Communauté d’Agglomération du Pays Ajaccien - Accompagnement à l'évaluation des politiques publiques de la CAPA (en partenariat avec le GRETA Viva 5)                                                                    </t>
    </r>
    <r>
      <rPr>
        <b/>
        <sz val="11"/>
        <color indexed="8"/>
        <rFont val="Calibri"/>
        <family val="2"/>
      </rPr>
      <t xml:space="preserve">Information et communication : </t>
    </r>
    <r>
      <rPr>
        <sz val="11"/>
        <color theme="1"/>
        <rFont val="Calibri"/>
        <family val="2"/>
        <scheme val="minor"/>
      </rPr>
      <t xml:space="preserve">   Ville de Dole - "Une démarche éco-responsable : pourquoi, comment ?" Conférences Directeur de publication jusqu’en 2007 de « Repères », la publication trimestrielle de l'Observatoire régional de l'environnement de Bourgogne puis d'Alterre Bourgogne. </t>
    </r>
  </si>
  <si>
    <t>S2DC Stratégie Développement Durable Consulting et Coaching</t>
  </si>
  <si>
    <t>http://www.s2dc-consulting.com/</t>
  </si>
  <si>
    <t xml:space="preserve"> SARL unipersonnelle </t>
  </si>
  <si>
    <t>Capital social : 15.000,00 euros</t>
  </si>
  <si>
    <t>grands comptes, Entreprises de Taille Intermédiaire (en particulier les entreprises impactées par la loi Grenelle 2) ou PME, Administrations ou Collectivités territoriales</t>
  </si>
  <si>
    <t>S2DC est spécialisé dans l'expertise développement durable, les modes accompagnement et la formation.</t>
  </si>
  <si>
    <t>Inroduction DD/RSE : Coaching individuel et collecif.</t>
  </si>
  <si>
    <r>
      <rPr>
        <u/>
        <sz val="11"/>
        <color indexed="8"/>
        <rFont val="Calibri"/>
        <family val="2"/>
      </rPr>
      <t>Référence partenaires :</t>
    </r>
    <r>
      <rPr>
        <sz val="11"/>
        <color theme="1"/>
        <rFont val="Calibri"/>
        <family val="2"/>
        <scheme val="minor"/>
      </rPr>
      <t xml:space="preserve"> ecocert, linkup coaching, aract, finan cités, linkup resource, entrepreuneurs d'avenir, parc naturel régional de martinique, fruidor, cerf, az partenaires, accompagnement coaching&amp;consulting, qwad, e-zero, Total, 1001 experts comptables, makrelaj, rca</t>
    </r>
  </si>
  <si>
    <r>
      <rPr>
        <b/>
        <sz val="11"/>
        <color indexed="8"/>
        <rFont val="Calibri"/>
        <family val="2"/>
      </rPr>
      <t xml:space="preserve">Expertises Développement Durable/RSE :   </t>
    </r>
    <r>
      <rPr>
        <sz val="11"/>
        <color theme="1"/>
        <rFont val="Calibri"/>
        <family val="2"/>
        <scheme val="minor"/>
      </rPr>
      <t xml:space="preserve">                                                                                                                                                                        Diagnostic Developpement Durable, Responsabilité Sociétale – Iso 26000, Modèle d’excellence EFQM, Bilan carbone                                      </t>
    </r>
    <r>
      <rPr>
        <b/>
        <sz val="11"/>
        <color indexed="8"/>
        <rFont val="Calibri"/>
        <family val="2"/>
      </rPr>
      <t xml:space="preserve">Modes d’accompagnement :    </t>
    </r>
    <r>
      <rPr>
        <sz val="11"/>
        <color theme="1"/>
        <rFont val="Calibri"/>
        <family val="2"/>
        <scheme val="minor"/>
      </rPr>
      <t xml:space="preserve">                                                                                                                                                                                                        Coaching stratégique, Coaching d’équipe, Coaching de manager                                                                                                                                                   </t>
    </r>
    <r>
      <rPr>
        <b/>
        <sz val="11"/>
        <color indexed="8"/>
        <rFont val="Calibri"/>
        <family val="2"/>
      </rPr>
      <t xml:space="preserve">Formation :  </t>
    </r>
    <r>
      <rPr>
        <sz val="11"/>
        <color theme="1"/>
        <rFont val="Calibri"/>
        <family val="2"/>
        <scheme val="minor"/>
      </rPr>
      <t xml:space="preserve">                                                                                                                                                                                                                                                    Développement durable, Développement personnel</t>
    </r>
  </si>
  <si>
    <t>Gérant  M. William MONLOUIS FELICITE                                                             28 Rue de Londres
75009 PARIS                                                     Tel :+33 (0) 1 78 42 35 35                                 Port. +33(0) 6 43 07 36 95                              Mail : contact@s2dc-consulting.com</t>
  </si>
  <si>
    <t>Planète Publique</t>
  </si>
  <si>
    <t>http://www.planetepublique.fr/</t>
  </si>
  <si>
    <t>Société à responsabilité limitée</t>
  </si>
  <si>
    <t>CA 2011 :  989.500</t>
  </si>
  <si>
    <t>Etat, collectiviés locales, établissements publics, international</t>
  </si>
  <si>
    <t xml:space="preserve">Conseil et accompagnement de politiques publiques durables. Planète publique intervient sur trois axes articulés entre eux :                                       • évaluation et conception de politiques publiques 
• environnement et développement durable 
• concertation et débat citoyen 
</t>
  </si>
  <si>
    <t>Gérant  M. Benoit SIMON  
Gérant  M. Francois MOUTERDE             30 Rue de Fleurus
75006 PARISTél : 01 - 80 - 05 - 16 - 05 ; Fax : 01 - 53 - 80 - 05 - 41 
contact@planetepublique.fr</t>
  </si>
  <si>
    <r>
      <rPr>
        <b/>
        <sz val="11"/>
        <color indexed="8"/>
        <rFont val="Calibri"/>
        <family val="2"/>
      </rPr>
      <t>Développement durable :</t>
    </r>
    <r>
      <rPr>
        <sz val="11"/>
        <color theme="1"/>
        <rFont val="Calibri"/>
        <family val="2"/>
        <scheme val="minor"/>
      </rPr>
      <t xml:space="preserve"> Conseil général de Gironde; Evaluation stratégique et partagée de l'A21 de la Gironde
</t>
    </r>
    <r>
      <rPr>
        <b/>
        <sz val="11"/>
        <color indexed="8"/>
        <rFont val="Calibri"/>
        <family val="2"/>
      </rPr>
      <t xml:space="preserve"> Développement humain :</t>
    </r>
    <r>
      <rPr>
        <sz val="11"/>
        <color theme="1"/>
        <rFont val="Calibri"/>
        <family val="2"/>
        <scheme val="minor"/>
      </rPr>
      <t xml:space="preserve"> Ville de Grenoble; Evaluation du dispositif expérimental de vidéosurveillance de la ville de Grenoble
</t>
    </r>
    <r>
      <rPr>
        <b/>
        <sz val="11"/>
        <color indexed="8"/>
        <rFont val="Calibri"/>
        <family val="2"/>
      </rPr>
      <t xml:space="preserve">Participation citoyenne : </t>
    </r>
    <r>
      <rPr>
        <sz val="11"/>
        <color theme="1"/>
        <rFont val="Calibri"/>
        <family val="2"/>
        <scheme val="minor"/>
      </rPr>
      <t xml:space="preserve">Conseil régional Rhône-Alpes; Évaluation de la politique régionale en faveur de la démocratie participative
</t>
    </r>
    <r>
      <rPr>
        <b/>
        <sz val="11"/>
        <color indexed="8"/>
        <rFont val="Calibri"/>
        <family val="2"/>
      </rPr>
      <t xml:space="preserve">Santé : </t>
    </r>
    <r>
      <rPr>
        <sz val="11"/>
        <color theme="1"/>
        <rFont val="Calibri"/>
        <family val="2"/>
        <scheme val="minor"/>
      </rPr>
      <t xml:space="preserve">ADEME; Etude des besoins des établissements de santé en matière d'outils et méthodes sur l'éco-responsabilité
</t>
    </r>
    <r>
      <rPr>
        <b/>
        <sz val="11"/>
        <color indexed="8"/>
        <rFont val="Calibri"/>
        <family val="2"/>
      </rPr>
      <t>Environnement :</t>
    </r>
    <r>
      <rPr>
        <sz val="11"/>
        <color theme="1"/>
        <rFont val="Calibri"/>
        <family val="2"/>
        <scheme val="minor"/>
      </rPr>
      <t xml:space="preserve"> Communauté urbaine de Bordeaux; Assistance à maitrise d’ouvrage pour la réalisation d’une enquête et la mise en œuvre d’une participation citoyenne à l’élaboration de la politique des déchets
</t>
    </r>
    <r>
      <rPr>
        <b/>
        <sz val="11"/>
        <color indexed="8"/>
        <rFont val="Calibri"/>
        <family val="2"/>
      </rPr>
      <t>Culture :</t>
    </r>
    <r>
      <rPr>
        <sz val="11"/>
        <color theme="1"/>
        <rFont val="Calibri"/>
        <family val="2"/>
        <scheme val="minor"/>
      </rPr>
      <t xml:space="preserve"> Conseil régional Limousin; Evaluation de la politique de développement culturel
</t>
    </r>
    <r>
      <rPr>
        <b/>
        <sz val="11"/>
        <color indexed="8"/>
        <rFont val="Calibri"/>
        <family val="2"/>
      </rPr>
      <t>Transport et déplacements :</t>
    </r>
    <r>
      <rPr>
        <sz val="11"/>
        <color theme="1"/>
        <rFont val="Calibri"/>
        <family val="2"/>
        <scheme val="minor"/>
      </rPr>
      <t xml:space="preserve"> Angers Loire Métropole; Evaluation à mi-parcours du Plan de Déplacements Urbains
</t>
    </r>
    <r>
      <rPr>
        <b/>
        <sz val="11"/>
        <color indexed="8"/>
        <rFont val="Calibri"/>
        <family val="2"/>
      </rPr>
      <t>Aménagements de la ville et des territoires :</t>
    </r>
    <r>
      <rPr>
        <sz val="11"/>
        <color theme="1"/>
        <rFont val="Calibri"/>
        <family val="2"/>
        <scheme val="minor"/>
      </rPr>
      <t xml:space="preserve"> Conseil général Gard; Evaluation de l'expérimentation d'une nouvelle politique d'aide aux communes
</t>
    </r>
  </si>
  <si>
    <t>Développement durable                                                                                                                                                                                                                                     Développement humain                                                                                                                                                                                                                                     Participation citoyenne                                                                                                                                                                                                                                       Santé                                                                                                                                                                                                                                                                          Environnement                                                                                                                                                                                                                                                      Culture                                                                                                                                                                                                                                                                      Transport et déplacements                                                                                                                                                                                                                              Aménagements de la ville et des territoires</t>
  </si>
  <si>
    <t>MCM Conseil</t>
  </si>
  <si>
    <t>http://www.inffolor.org/portail/public/fr/content/mcm-conseil</t>
  </si>
  <si>
    <t xml:space="preserve">Affaire personnelle personne physique </t>
  </si>
  <si>
    <t xml:space="preserve">    Elus
    Enseignants
    Professions libérales
    Agents de la fonction publique territoriale
    Etudiants
</t>
  </si>
  <si>
    <t xml:space="preserve">Domaines de formation :
ENVIRONNEMENT AMENAGEMENT - Spécialité(s): Développement durable.                                                                                                                             SCIENCE POLITIQUE - Spécialité(s): Evaluation de politiques publiques, Prospective territoriale, Concertation et débat public. 
</t>
  </si>
  <si>
    <t xml:space="preserve">Mission(s)
Enseignement de disciplines pratiquées professionnellement (évaluation / prospective/concertation, développement durable) - important réseau dans différents domaines dont transfrontalier formation-action animatrice du club lorrain transfrontalier d'évaluation et de prospective </t>
  </si>
  <si>
    <r>
      <rPr>
        <b/>
        <sz val="11"/>
        <color indexed="8"/>
        <rFont val="Calibri"/>
        <family val="2"/>
      </rPr>
      <t xml:space="preserve">Pas de site internet : difficile de trouver des informations sur ce cabinet                               </t>
    </r>
    <r>
      <rPr>
        <sz val="11"/>
        <color theme="1"/>
        <rFont val="Calibri"/>
        <family val="2"/>
        <scheme val="minor"/>
      </rPr>
      <t xml:space="preserve">Partenariat avec C&amp;S conseils ( communication publique)      Moyens Pédagogiques
- Apports conceptuels et théoriques à partir d'exemples pratiques - Mise en situation et utilisation concrète d'outils - formation -action - Supports : vidéo projection, documentation diversifiée, bibliographie, contacts, adresses Internet  </t>
    </r>
  </si>
  <si>
    <t xml:space="preserve">Gérante : Marie Claude Malhomme                                    12 Rue du Saint Quentin
57160 SCY CHAZELLES
Tél1 :03.87.65.91.75
Fax :03.87.65.91.96
Mail :mcmconseil@wanadoo.fr
 </t>
  </si>
  <si>
    <t xml:space="preserve">Hubert LOQUET : consultant et gérant                                                                                               18 rue Ferdinand BUISSON 27000 EVREUX    &amp; CAEN                                               T: 02 32 38 41 80
T: 06 50 02 16 44
Fax: 08 11 38 41 80 Mail : hubert.loquet@advolys.fr
</t>
  </si>
  <si>
    <r>
      <t>AEMY</t>
    </r>
    <r>
      <rPr>
        <sz val="11"/>
        <color theme="1"/>
        <rFont val="Calibri"/>
        <family val="2"/>
        <scheme val="minor"/>
      </rPr>
      <t xml:space="preserve"> : Bâtiment : diagnostic énergétique, maîtrise de l'énergie, conception BBC et logiciel de calcul thermique Transport et Urbanisme : approche environnementale de l'Urbanisme, développement durable et bonnes pratiques, plan déplacements entreprise, green IT / télétravail, accessibilité.Management RH : eco-conception, achats responsables; développement durable et fonction RH et développement durable et RSE.                                                                                                                                                                      </t>
    </r>
    <r>
      <rPr>
        <b/>
        <sz val="11"/>
        <color indexed="8"/>
        <rFont val="Calibri"/>
        <family val="2"/>
      </rPr>
      <t>ACC CONSULTING</t>
    </r>
    <r>
      <rPr>
        <sz val="11"/>
        <color theme="1"/>
        <rFont val="Calibri"/>
        <family val="2"/>
        <scheme val="minor"/>
      </rPr>
      <t xml:space="preserve"> : conseil en énergie : offre aux collectivités et aux entreprises un accompagnement, une gestion et une optimisation de leur consommation énergétique.                                                                                                                                                         </t>
    </r>
    <r>
      <rPr>
        <b/>
        <sz val="11"/>
        <color indexed="8"/>
        <rFont val="Calibri"/>
        <family val="2"/>
      </rPr>
      <t>SOKRATE</t>
    </r>
    <r>
      <rPr>
        <sz val="11"/>
        <color theme="1"/>
        <rFont val="Calibri"/>
        <family val="2"/>
        <scheme val="minor"/>
      </rPr>
      <t xml:space="preserve"> : accompagnement pour la mise en place de solutions technologiques numériques pour le développement durable : visio conférences, communication unifiées, portails, applications mobiles, technologies embarquées et mobiles, management de projets</t>
    </r>
  </si>
  <si>
    <r>
      <t>AEMY</t>
    </r>
    <r>
      <rPr>
        <sz val="11"/>
        <color theme="1"/>
        <rFont val="Calibri"/>
        <family val="2"/>
        <scheme val="minor"/>
      </rPr>
      <t xml:space="preserve"> : Bâtiment : diagnostic énergétique, maîtrise de l'énergie, conception BBC et logiciel de calcul thermique Transport et Urbanisme : approche environnementale de l'Urbanisme, développement durable et bonnes pratiques, plan déplacements entreprise, green IT / télétravail, accessibilité.Management RH : eco-conception, achats responsables; développement durable et fonction RH et développement durable et RSE.                                                                                                                                                                                                                   </t>
    </r>
    <r>
      <rPr>
        <b/>
        <sz val="11"/>
        <color indexed="8"/>
        <rFont val="Calibri"/>
        <family val="2"/>
      </rPr>
      <t>ACC CONSULTING</t>
    </r>
    <r>
      <rPr>
        <sz val="11"/>
        <color theme="1"/>
        <rFont val="Calibri"/>
        <family val="2"/>
        <scheme val="minor"/>
      </rPr>
      <t xml:space="preserve"> : conseil en énergie : offre aux collectivités et aux entreprises un accompagnement, une gestion et une optimisation de leur consommation énergétique.                                                                                                                                                                                    </t>
    </r>
    <r>
      <rPr>
        <b/>
        <sz val="11"/>
        <color indexed="8"/>
        <rFont val="Calibri"/>
        <family val="2"/>
      </rPr>
      <t>SOKRATE</t>
    </r>
    <r>
      <rPr>
        <sz val="11"/>
        <color theme="1"/>
        <rFont val="Calibri"/>
        <family val="2"/>
        <scheme val="minor"/>
      </rPr>
      <t xml:space="preserve"> : accompagnement pour la mise en place de solutions technologiques numériques pour le développement durable : visio conférences, communication unifiées, portails, applications mobiles, technologies embarquées et mobiles, management de projets</t>
    </r>
  </si>
  <si>
    <r>
      <rPr>
        <b/>
        <sz val="11"/>
        <color indexed="8"/>
        <rFont val="Calibri"/>
        <family val="2"/>
      </rPr>
      <t xml:space="preserve">Intercommunalité de projet </t>
    </r>
    <r>
      <rPr>
        <sz val="11"/>
        <color theme="1"/>
        <rFont val="Calibri"/>
        <family val="2"/>
        <scheme val="minor"/>
      </rPr>
      <t xml:space="preserve">: projets de territoire, développement et simplification de l'intercommunalité                                                        </t>
    </r>
    <r>
      <rPr>
        <b/>
        <sz val="11"/>
        <color indexed="8"/>
        <rFont val="Calibri"/>
        <family val="2"/>
      </rPr>
      <t xml:space="preserve">Projet urbain </t>
    </r>
    <r>
      <rPr>
        <sz val="11"/>
        <color theme="1"/>
        <rFont val="Calibri"/>
        <family val="2"/>
        <scheme val="minor"/>
      </rPr>
      <t xml:space="preserve">:  planification stratégique et requalification urbaine et patrimoniale                                                                                                             </t>
    </r>
    <r>
      <rPr>
        <b/>
        <sz val="11"/>
        <color indexed="8"/>
        <rFont val="Calibri"/>
        <family val="2"/>
      </rPr>
      <t>Agenda 21 - Evaluation</t>
    </r>
    <r>
      <rPr>
        <sz val="11"/>
        <color theme="1"/>
        <rFont val="Calibri"/>
        <family val="2"/>
        <scheme val="minor"/>
      </rPr>
      <t xml:space="preserve"> : à toutes les échelles et évaluation des politiques publiques                                                                                                 </t>
    </r>
    <r>
      <rPr>
        <b/>
        <sz val="11"/>
        <color indexed="8"/>
        <rFont val="Calibri"/>
        <family val="2"/>
      </rPr>
      <t>Politique de l'Etat</t>
    </r>
    <r>
      <rPr>
        <sz val="11"/>
        <color theme="1"/>
        <rFont val="Calibri"/>
        <family val="2"/>
        <scheme val="minor"/>
      </rPr>
      <t xml:space="preserve"> : territorialisation de politiques de  l'Etat                                                                                                                                        </t>
    </r>
    <r>
      <rPr>
        <b/>
        <sz val="11"/>
        <color indexed="8"/>
        <rFont val="Calibri"/>
        <family val="2"/>
      </rPr>
      <t xml:space="preserve">International </t>
    </r>
    <r>
      <rPr>
        <sz val="11"/>
        <color theme="1"/>
        <rFont val="Calibri"/>
        <family val="2"/>
        <scheme val="minor"/>
      </rPr>
      <t xml:space="preserve">: expertises et/ou évaluation des politiques de coopération internationnale et intervention thématiques                                  </t>
    </r>
    <r>
      <rPr>
        <b/>
        <sz val="11"/>
        <color indexed="8"/>
        <rFont val="Calibri"/>
        <family val="2"/>
      </rPr>
      <t>Economie et emploi durables</t>
    </r>
    <r>
      <rPr>
        <sz val="11"/>
        <color theme="1"/>
        <rFont val="Calibri"/>
        <family val="2"/>
        <scheme val="minor"/>
      </rPr>
      <t xml:space="preserve"> : territorialisation des politiques de l'emploi, de la formation et de l'insertion et territorialisation des politiques de développement économique                                                                                                                                                                                                  </t>
    </r>
    <r>
      <rPr>
        <b/>
        <sz val="11"/>
        <color indexed="8"/>
        <rFont val="Calibri"/>
        <family val="2"/>
      </rPr>
      <t xml:space="preserve">Pays, régions et départements </t>
    </r>
    <r>
      <rPr>
        <sz val="11"/>
        <color theme="1"/>
        <rFont val="Calibri"/>
        <family val="2"/>
        <scheme val="minor"/>
      </rPr>
      <t xml:space="preserve">: stratégie terrioriale et coopération interurbaine                                                                                                    </t>
    </r>
    <r>
      <rPr>
        <b/>
        <sz val="11"/>
        <color indexed="8"/>
        <rFont val="Calibri"/>
        <family val="2"/>
      </rPr>
      <t>Services à la personne</t>
    </r>
    <r>
      <rPr>
        <sz val="11"/>
        <color theme="1"/>
        <rFont val="Calibri"/>
        <family val="2"/>
        <scheme val="minor"/>
      </rPr>
      <t xml:space="preserve"> : approche territoriale des services                                                                                                                                                   </t>
    </r>
    <r>
      <rPr>
        <b/>
        <u/>
        <sz val="11"/>
        <color indexed="8"/>
        <rFont val="Calibri"/>
        <family val="2"/>
      </rPr>
      <t xml:space="preserve">Les procédures utilisées </t>
    </r>
    <r>
      <rPr>
        <b/>
        <sz val="11"/>
        <color indexed="8"/>
        <rFont val="Calibri"/>
        <family val="2"/>
      </rPr>
      <t xml:space="preserve">:  </t>
    </r>
    <r>
      <rPr>
        <sz val="11"/>
        <color theme="1"/>
        <rFont val="Calibri"/>
        <family val="2"/>
        <scheme val="minor"/>
      </rPr>
      <t xml:space="preserve">                                                                                                                                                                                                              Agenda 21
Charte de pays
Charte de PNR
Contrat d objectif territorial (COT)
Contrat urbain de cohésion sociale (CUCS)
Engagements de développement de l emploi et des compétences (EDDEC)
Plan de déplacement (PDU / PDE / PDA)
Plan national de rénovation urbaine (PNRU)
Programmes européens
Pôle d excellence rurale (PER)
Schéma de cohérence territoriale (SCoT)
Schéma régional d aménagement et de développement durable du territoire (SRADDT)
Schéma régional d aménagement et de développement économique (SRDE)</t>
    </r>
  </si>
  <si>
    <r>
      <rPr>
        <b/>
        <sz val="11"/>
        <color indexed="8"/>
        <rFont val="Calibri"/>
        <family val="2"/>
      </rPr>
      <t xml:space="preserve">2 agences :     </t>
    </r>
    <r>
      <rPr>
        <sz val="11"/>
        <color theme="1"/>
        <rFont val="Calibri"/>
        <family val="2"/>
        <scheme val="minor"/>
      </rPr>
      <t xml:space="preserve">                                              Paris                                                                     20 Boulevard de Sebastopol
75004 PARIS 04                                              Tel : 01.44.54.13.65                                             Fax : 01.48.87.19.95                                          Tours                                                                  27 rue Bois 37000 Tours                             Tel : 02.47.64.33.06                                          Fax : 02.47.64.95.84                                           Email : contact@nouveaux-territoires.fr  Email administrateur : d.charlou@nouveaux-territoires.fr</t>
    </r>
  </si>
  <si>
    <r>
      <rPr>
        <b/>
        <sz val="11"/>
        <color indexed="8"/>
        <rFont val="Calibri"/>
        <family val="2"/>
      </rPr>
      <t>Intercommunalité de projet :</t>
    </r>
    <r>
      <rPr>
        <sz val="11"/>
        <color theme="1"/>
        <rFont val="Calibri"/>
        <family val="2"/>
        <scheme val="minor"/>
      </rPr>
      <t xml:space="preserve"> Projet de territoire de la communauté de communes du Pays de l'Hermitage        </t>
    </r>
    <r>
      <rPr>
        <b/>
        <sz val="11"/>
        <color indexed="8"/>
        <rFont val="Calibri"/>
        <family val="2"/>
      </rPr>
      <t>Projet urbain :</t>
    </r>
    <r>
      <rPr>
        <sz val="11"/>
        <color theme="1"/>
        <rFont val="Calibri"/>
        <family val="2"/>
        <scheme val="minor"/>
      </rPr>
      <t xml:space="preserve">  Etude de reconversion d'une ancienne filature à Louvriers                                                                              </t>
    </r>
    <r>
      <rPr>
        <b/>
        <sz val="11"/>
        <color indexed="8"/>
        <rFont val="Calibri"/>
        <family val="2"/>
      </rPr>
      <t xml:space="preserve">Agenda 21 - Evaluation : </t>
    </r>
    <r>
      <rPr>
        <sz val="11"/>
        <color theme="1"/>
        <rFont val="Calibri"/>
        <family val="2"/>
        <scheme val="minor"/>
      </rPr>
      <t xml:space="preserve">Agenda 21 du Pays Loire Touraine                                                                                </t>
    </r>
    <r>
      <rPr>
        <b/>
        <sz val="11"/>
        <color indexed="8"/>
        <rFont val="Calibri"/>
        <family val="2"/>
      </rPr>
      <t xml:space="preserve">Politique de l'Etat </t>
    </r>
    <r>
      <rPr>
        <sz val="11"/>
        <color theme="1"/>
        <rFont val="Calibri"/>
        <family val="2"/>
        <scheme val="minor"/>
      </rPr>
      <t xml:space="preserve">: DATAR - Préfecture de la Manche (50)Diagnostic sur la situation des services au public en zone rurale dans le département de la Manche       </t>
    </r>
    <r>
      <rPr>
        <b/>
        <sz val="11"/>
        <color indexed="8"/>
        <rFont val="Calibri"/>
        <family val="2"/>
      </rPr>
      <t>International</t>
    </r>
    <r>
      <rPr>
        <sz val="11"/>
        <color theme="1"/>
        <rFont val="Calibri"/>
        <family val="2"/>
        <scheme val="minor"/>
      </rPr>
      <t xml:space="preserve"> : AFDEvaluation de la politique nationale d'aménagement du territoire en Tunisie                            </t>
    </r>
    <r>
      <rPr>
        <b/>
        <sz val="11"/>
        <color indexed="8"/>
        <rFont val="Calibri"/>
        <family val="2"/>
      </rPr>
      <t>Economie et emploi durables</t>
    </r>
    <r>
      <rPr>
        <sz val="11"/>
        <color theme="1"/>
        <rFont val="Calibri"/>
        <family val="2"/>
        <scheme val="minor"/>
      </rPr>
      <t xml:space="preserve"> :  élaboration de la Charte " accueil - information - orientation" pour l'emploi et la formation en Bourgogne.                                                        </t>
    </r>
    <r>
      <rPr>
        <b/>
        <sz val="11"/>
        <color indexed="8"/>
        <rFont val="Calibri"/>
        <family val="2"/>
      </rPr>
      <t>Pays, régions et départements</t>
    </r>
    <r>
      <rPr>
        <sz val="11"/>
        <color theme="1"/>
        <rFont val="Calibri"/>
        <family val="2"/>
        <scheme val="minor"/>
      </rPr>
      <t xml:space="preserve"> :  animation du Conseil de développement du territoire ( CDT) du Pays Sud-Vendée                                                                                              </t>
    </r>
    <r>
      <rPr>
        <b/>
        <sz val="11"/>
        <color indexed="8"/>
        <rFont val="Calibri"/>
        <family val="2"/>
      </rPr>
      <t>Services à la personne</t>
    </r>
    <r>
      <rPr>
        <sz val="11"/>
        <color theme="1"/>
        <rFont val="Calibri"/>
        <family val="2"/>
        <scheme val="minor"/>
      </rPr>
      <t xml:space="preserve"> :   diagnostic sur les services au public en milieu rural dans la Manche                                                  Voir les plaquettes avec toutes les références</t>
    </r>
  </si>
  <si>
    <t>LBMG WORKLABS                                          40 Rue Eugene Oudine 
75013 Paris                                                          Président Natael MATHIEU                          Tel : 06 61 31 96 39
Mail : nathanael.mathieu@lbmg-worklabs.com                                                      Contact presse
Baptiste Broughton – contact@neo-nomade.com
Tel : 0632736377</t>
  </si>
  <si>
    <t>Alexandrie Groupe, anciennement groupe CPI, est implanté dans le grand ouest depuis  1989 et propose un accompagnement de projets technologies numériques innovantes et de développement durable. Pour cela Alexandrie groupe fait appel à ces 3 entités d'activités en formation, consulting et ingénierie. Les entités : AEMYS, SOKRATE et ACC CONSULING.                  AEMYS est un centre de formation certifié CPLS par  Microsoft, il accompagne et conseille sur la conduite  et la réussite de projet de formation développement durable et informatique.  Il traie notamment de la problématique RH et développement durable.                                                        ACC CONSULTING guide et conseil la démarche développement durable.                                                       SOKRATE est un bureau d'étude qui met en place des solutions techniques et spécifiques adaptées à un projet développement durable.</t>
  </si>
  <si>
    <r>
      <rPr>
        <b/>
        <sz val="11"/>
        <color indexed="8"/>
        <rFont val="Calibri"/>
        <family val="2"/>
      </rPr>
      <t xml:space="preserve">Expertises Développement Durable/RSE :   </t>
    </r>
    <r>
      <rPr>
        <sz val="11"/>
        <color theme="1"/>
        <rFont val="Calibri"/>
        <family val="2"/>
        <scheme val="minor"/>
      </rPr>
      <t xml:space="preserve">                                                                                                                                                                        Diagnostic Developpement Durable, Responsabilité Sociétale – Iso 26000, Modèle d’excellence EFQM, Bilan carbone                                                                                                                                                                                                                    </t>
    </r>
    <r>
      <rPr>
        <b/>
        <sz val="11"/>
        <color indexed="8"/>
        <rFont val="Calibri"/>
        <family val="2"/>
      </rPr>
      <t xml:space="preserve">Modes d’accompagnement :    </t>
    </r>
    <r>
      <rPr>
        <sz val="11"/>
        <color theme="1"/>
        <rFont val="Calibri"/>
        <family val="2"/>
        <scheme val="minor"/>
      </rPr>
      <t xml:space="preserve">                                                                                                                                                                                                        Coaching stratégique, Coaching d’équipe, Coaching de manager                                                                                                                                                   </t>
    </r>
    <r>
      <rPr>
        <b/>
        <sz val="11"/>
        <color indexed="8"/>
        <rFont val="Calibri"/>
        <family val="2"/>
      </rPr>
      <t xml:space="preserve">Formation :  </t>
    </r>
    <r>
      <rPr>
        <sz val="11"/>
        <color theme="1"/>
        <rFont val="Calibri"/>
        <family val="2"/>
        <scheme val="minor"/>
      </rPr>
      <t xml:space="preserve">                                                                                                                                                                                                                                                    Développement durable, Développement personnel</t>
    </r>
  </si>
  <si>
    <r>
      <rPr>
        <b/>
        <sz val="10"/>
        <color indexed="8"/>
        <rFont val="Calibri"/>
        <family val="2"/>
      </rPr>
      <t>Pôle Action Publique Durable</t>
    </r>
    <r>
      <rPr>
        <sz val="11"/>
        <color theme="1"/>
        <rFont val="Calibri"/>
        <family val="2"/>
        <scheme val="minor"/>
      </rPr>
      <t xml:space="preserve">
Evaluation des politiques publiques et des programmes européens
Préparation, élaboration, évaluation Agendas 21 
Politique de la ville et Cohésion Sociale
Sensibilisation / formation au développement durable en direction de vos habitants, services, élus 
Etude environnementale, Etude socio-économique                                                                                                                    </t>
    </r>
    <r>
      <rPr>
        <b/>
        <sz val="10"/>
        <color indexed="8"/>
        <rFont val="Calibri"/>
        <family val="2"/>
      </rPr>
      <t>Pôle Développement Economique Responsable</t>
    </r>
    <r>
      <rPr>
        <sz val="11"/>
        <color theme="1"/>
        <rFont val="Calibri"/>
        <family val="2"/>
        <scheme val="minor"/>
      </rPr>
      <t xml:space="preserve">
Accompagnement de projet d’établissement 
Dispositifs locaux d’accompagnement (DLA) 
Insertion par l’activité économique (vita, PLIE, formation)
Démarche de progrès, mise en place de l’outil HQ21 
Mise en place d’un service achats responsable, commande responsable
Accompagnement à la création (SCIC, SCOP, Association) 
Politique de développement économique
Création d’éco-activités
Reconversion 
</t>
    </r>
    <r>
      <rPr>
        <sz val="10"/>
        <color indexed="8"/>
        <rFont val="Calibri"/>
        <family val="2"/>
      </rPr>
      <t xml:space="preserve"> </t>
    </r>
    <r>
      <rPr>
        <b/>
        <sz val="10"/>
        <color indexed="8"/>
        <rFont val="Calibri"/>
        <family val="2"/>
      </rPr>
      <t>Pôle Urbanisme Durable et Citoyenneté Active</t>
    </r>
    <r>
      <rPr>
        <sz val="11"/>
        <color theme="1"/>
        <rFont val="Calibri"/>
        <family val="2"/>
        <scheme val="minor"/>
      </rPr>
      <t xml:space="preserve">
Conventions de Gestion Urbaine de Proximité
Accompagnement des Projets de Rénovation Urbaine
Elaboration concertée de quartiers durables
NTIC et E-démocratie 
</t>
    </r>
  </si>
  <si>
    <t xml:space="preserve">Gérante : Marie Claude Malhomme                                               12 Rue du Saint Quentin
57160 SCY CHAZELLES
Tél1 :03.87.65.91.75
Fax :03.87.65.91.96
Mail :mcmconseil@wanadoo.fr
 </t>
  </si>
  <si>
    <t xml:space="preserve"> Société à responsabilité limitée</t>
  </si>
  <si>
    <t xml:space="preserve">CA 2011 : 856.300  euros </t>
  </si>
  <si>
    <t>Gérant : Phlippe DOUILLARD                2 Rue Amedeo Avogadro
49070 BEAUCOUZE                              Tél : 02 41 72 14 16                                      Fax : 02 41 72 14 18
Email : contact@impact-environnement.fr</t>
  </si>
  <si>
    <t>Accompagnement de la démarche responsabilité sociétale des entreprises : ISO 26000                                                               Accompagnement à une démarche de certification QSE : ISO 90001, ISO 14 001, OHSAS 18001,  ISO-OHS 2001      Réalisation de bilan carbone                                                                                                                                                                          Réglementation ICPE : dossier autorisation, enregistrement, déclaration                                                                                   Impact sonore, mesure du bruit, étude préviosnnelles accoustique                                                                                             Etude de dispersion dans l'air de polluant et d'odeurs</t>
  </si>
  <si>
    <t xml:space="preserve">ADEME (opération pilote -10% déchets), AFAQ AFNOR CERTIFICATION, AFFINERIE D'ANJOU, ALCAN PECHINEY AVIATUBE, APROCHIM, ARIST, ATPF, AUDRAIN, BRANGEON, BUISARD, CARRIERES (Seiches/Loir et Montreuil/Loir), Chambre d’Agriculture, Chambre de Commerce et d'Industrie du Maine-et-Loire, Chambre de Commerce et d'Industrie de Loire-Atlantique, Chambre de Commerce et d'Industrie de la Sarthe, COLORALU, COMO, DEFONTAINE, ED (filiale Carrefour), ERSAM, Evron Peintures Industrielles (EPI), FARGES LAQUAGE, FERRON SA, FIXATOR, FLEURON D’ANJOU, GALVA-MAINE, GALVANOPLASTIE, GALVANOTECH, GEORGET SUN CHEMICAL, GOUBAULT, GRELLIER, GRIMAUD Frères Sélection, GRIMAUD Eclosion, GROLLEAU FLEXTRONICS, GUILLOUARD, HABITAT 49, HOUDOUIN SA, HUTCHINSON, INSUDIET, JOHNSON CONTROLS INDUSTRIES, JOHNSON CONTROLS NEIGE, KANIO GRAPHICS, LAHAYE TP, LINPAC PLASTICS, MARGER INDUSTRIES, MARTIN TECHNOLOGIES, MD ANGORA, Mercure Boys Manufacture (MBM), MÉTAL’OUEST, Modelage Mécanique du Maine (M3), NATAC, ORÉ, OUTILLAGE PROGRESS, PCM, PCS SERI-RELIEF, Pâtisserie PASQUIER Ouest, Peintures Finition Industrielle (PFI), PLAQUES ET DECOUPES, Radio Frequency Systeme (RFS), RACCORDS HYDRAULIQUES (RH), SA GOUBIN, SA MALTA, SA Victor Lépidi, SCACC - Groupe France Champignons, SCANIA FRANCE SAS, SCANIA PRODUCTION ANGERS, SCRELEC, SELVA, SERIG, SERIPHARM, Société de Peintures Industrielles (SPI), Société Vendéenne de Peinture et Métallisation (SVPM), Société de Tôlerie Industrielle Française (STIF), SODEMEL, SOGETRAP, SOURIAU, STIMY, TANNERIES DUPIRE, TEAM PLASTIQUE, TECHNI-INDUSTRIE, TIF, Transformation de la Viande Régionale (TVR), 3 AXES, UNITED BISCUITS (LU), VILMORIN, VITEX SAIDAC … </t>
  </si>
  <si>
    <t xml:space="preserve">Administrations et collectivité Agriculture
Agro-alimentaire
BTP et construction
Chimie, parachimie Industries
</t>
  </si>
  <si>
    <t>http://www.impact-environnement.fr/index.html</t>
  </si>
  <si>
    <t>Impact et environnement</t>
  </si>
  <si>
    <t>12 salariés dont 3 consultants séniors</t>
  </si>
  <si>
    <t xml:space="preserve">Fait partie du réseau plan et terre  , voici les partenaires du réseau :                                                        Vue d'ici : urbanisme – Conception paysagère – Expertise des grands territoires – Maîtrise d'oeuvre                                                                                          Pragma ingéniueurie: Etudes et maîtrise d'œuvre Voirie-Réseaux-Divers (VRD)                                                 Alain FOUIN : Conseil, conception et établissement des plans et dossiers administratifs liés à des projets de constructions des entreprises notamment agricoles                                                         </t>
  </si>
  <si>
    <t>IMPACT ET ENVIRONNEMENT, une équipe de proximité qui met à votre disposition plus de quinze ans d’expérience dans le management QSE des entreprises et l’approche Développement Durable de projets.
IMPACT ET ENVIRONNEMENT, depuis 10 ans, nous développons des prestations qui vous permettent d’allier croissance économique, préservation de la planète et valorisation des ressources humaines.                                                                Audit et diagnostics (Audit - Conseil - Etudes - Ingénierie)
Certifications Iso 14000 (Audit - Conseil - Etudes - Ingénierie)
Etude, conseil (Audit - Conseil - Etudes - Ingénierie)
Politiques territoriales de Développement Durable (Mise en place) (Mise en œuvre du Développement Durable)                                       Veille juridique, technique et technologique (Réglementation)</t>
  </si>
  <si>
    <t>JLO Conseil :Ressources Humaines Responsables</t>
  </si>
  <si>
    <t>http://www.jlo-conseil.com/</t>
  </si>
  <si>
    <t>JLO Conseil est un cabinet spécialisé dans les Ressources Humaines qui accompagne, depuis 2005, les entreprises, collectivités et administrations dans la dynamisation de leur politique d’emploi liée au handicap, à la diversité et à la santé au travail.
Nous proposons une offre de service complète quelle que soit la maturité, l’état d’avancement de votre projet et vous accompagnons à différents niveaux : des premières questions sur l’opportunité et la faisabilité de la mise en place d’un projet, à la définition et la signature d’un accord en faveur d’une politique d’emploi spécifique, à l’application des termes de l’accord, et son suivi.</t>
  </si>
  <si>
    <t>entreprises                          ( TPE, PME, Multinationale ), collectivités, administrations</t>
  </si>
  <si>
    <t xml:space="preserve">JLO Conseil dispose de 6 bureaux régionaux.
Vos référents sont :
    Rouen : Nathalie Bériard
    Nantes : Anne-Marguerite Creis
    Paris : Stéphane Roose
    Nancy : Stéphane Roose
    Lyon : Albine Gasquet
Siège social de l'entreprise
    598 Boulevard Albert Camus
    69400 Villefranche sur Saône
    Tél : 04 74 09 08 67
    Fax : 04 74 03 64 37
    Email : contactjlo@jlo-conseil.com
</t>
  </si>
  <si>
    <t>45 salariés                (dont 14% sont reconnus travailleurs handicapés)</t>
  </si>
  <si>
    <t>France television, Agefiph, Darty, Gefco, Assurance Maladie, Banque Populaire,Aviva, Opcalia, Shneider Electric, Areva, Eiffel, Ville de Nice, Ville de Mérignac, INRA, Ville de Saint-Etienne, Tan…</t>
  </si>
  <si>
    <t>De nombreuses études de cas disponible sur leur site internet</t>
  </si>
  <si>
    <r>
      <rPr>
        <b/>
        <sz val="11"/>
        <color indexed="8"/>
        <rFont val="Calibri"/>
        <family val="2"/>
      </rPr>
      <t xml:space="preserve">Handicap                     </t>
    </r>
    <r>
      <rPr>
        <sz val="11"/>
        <color indexed="8"/>
        <rFont val="Calibri"/>
        <family val="2"/>
      </rPr>
      <t xml:space="preserve">                                                                                                                                                                                            Construire une politique d’emploi des travailleurs handicapés au sein d’une entreprise est un processus progressif, impliquant différentes compétences et touchant des domaines variés. Les champs d'applications : Pilotage global - Maintien dans l'emploi - Convention accord - Communication - Recrutement Accompagnement individuel - Diagnostic conseil - Formation                                                                                                  </t>
    </r>
    <r>
      <rPr>
        <b/>
        <sz val="11"/>
        <color indexed="8"/>
        <rFont val="Calibri"/>
        <family val="2"/>
      </rPr>
      <t xml:space="preserve">Santé au travail  </t>
    </r>
    <r>
      <rPr>
        <sz val="11"/>
        <color indexed="8"/>
        <rFont val="Calibri"/>
        <family val="2"/>
      </rPr>
      <t xml:space="preserve">Améliorer le bien-être de l'entreprise. Les offres sont : pilotage - Diagnostic et évaluation du stress - Maintien dans l'emploi des seniors - Diagnostic évaluation des risques psychosociaux - Diagnostic prévention des TMS- Formation                                                                                                                                                                    </t>
    </r>
    <r>
      <rPr>
        <b/>
        <sz val="11"/>
        <color indexed="8"/>
        <rFont val="Calibri"/>
        <family val="2"/>
      </rPr>
      <t xml:space="preserve">Diversité   
</t>
    </r>
    <r>
      <rPr>
        <sz val="11"/>
        <color indexed="8"/>
        <rFont val="Calibri"/>
        <family val="2"/>
      </rPr>
      <t xml:space="preserve">Diagnostic - Recrutement - Formation - Négociations - Communication - Juniors - Seniors - Egalité H-F -
Travailleurs Handicapés - Minorités socioculturelles et ethniques
</t>
    </r>
    <r>
      <rPr>
        <b/>
        <sz val="11"/>
        <color indexed="8"/>
        <rFont val="Calibri"/>
        <family val="2"/>
      </rPr>
      <t>Ergonomie</t>
    </r>
    <r>
      <rPr>
        <sz val="11"/>
        <color indexed="8"/>
        <rFont val="Calibri"/>
        <family val="2"/>
      </rPr>
      <t xml:space="preserve">
Amélioration des conditions de travail - Diagnostic evaluation des risques professionnels - Formation - Diagnostic Accessibilite -  Diagnostic situation de handicap et travail
</t>
    </r>
    <r>
      <rPr>
        <b/>
        <sz val="11"/>
        <color indexed="8"/>
        <rFont val="Calibri"/>
        <family val="2"/>
      </rPr>
      <t xml:space="preserve">
</t>
    </r>
  </si>
  <si>
    <t>SARL</t>
  </si>
  <si>
    <t xml:space="preserve"> CA 2010 : 3.912.600</t>
  </si>
  <si>
    <t>SARL Unipersonnelle</t>
  </si>
  <si>
    <t>Sept conseil.doc</t>
  </si>
  <si>
    <t>http://www.septconseil.com/contact/</t>
  </si>
  <si>
    <t>Entreprises publiques ou privées, collectivités</t>
  </si>
  <si>
    <t>stratégies d'entreprises et de territoires</t>
  </si>
  <si>
    <r>
      <t xml:space="preserve"> Vous êtes une entreprise publique ou privée, nous vous accompagnons pour 
</t>
    </r>
    <r>
      <rPr>
        <sz val="11"/>
        <color indexed="8"/>
        <rFont val="Calibri"/>
        <family val="2"/>
      </rPr>
      <t xml:space="preserve">•Définir une stratégie de conquête de nouveaux marchés, 
•Développer de nouveaux services et produits par une approche éco-responsable 
•Ajuster votre offre en fonction des opportunités ou menaces du marché. 
•Décider d’un  plan d’attaque et de sa mise en œuvre opérationnelle. 
•Mettre en place un management RSE. 
</t>
    </r>
    <r>
      <rPr>
        <u/>
        <sz val="11"/>
        <color indexed="8"/>
        <rFont val="Calibri"/>
        <family val="2"/>
      </rPr>
      <t xml:space="preserve">
&gt; Vous êtes un acteur territorial, nous vous accompagnons pour 
•</t>
    </r>
    <r>
      <rPr>
        <sz val="11"/>
        <color indexed="8"/>
        <rFont val="Calibri"/>
        <family val="2"/>
      </rPr>
      <t xml:space="preserve">Elaborer  des stratégies de développement économique  et de développement durable adaptées  à vos objectifs politiques et à vos ressources. 
•Optimiser les moyens mobilisés : Politique d’aides , Etude de faisabilité technico-économique d’équipements,  création d’outils de marketing territorial, animation de réseaux, mise en place de système d’évaluation… 
</t>
    </r>
  </si>
  <si>
    <t xml:space="preserve">SEPT CONSEIL 
Corinne FRANCOIS 
9, rue Louis Varney 
31200 TOULOUSE 
Tél : 05 61 47 33 53 
Portable : 06 72 76 79 81 
E-mail : sept.conseil@wanadoo.fr 
</t>
  </si>
  <si>
    <r>
      <rPr>
        <b/>
        <u/>
        <sz val="11"/>
        <color indexed="8"/>
        <rFont val="Calibri"/>
        <family val="2"/>
      </rPr>
      <t xml:space="preserve">Collectivité territoriales 2007 /2009  </t>
    </r>
    <r>
      <rPr>
        <sz val="11"/>
        <color theme="1"/>
        <rFont val="Calibri"/>
        <family val="2"/>
        <scheme val="minor"/>
      </rPr>
      <t xml:space="preserve">
•Mise en place et pilotage du Pôle d’Excellence Rurale « Pôle d’innovation  Marqueterie et métiers d’art associé » - Communauté de Communes Sorézois, Revel et Lauragais. 
•Elaboration du schéma stratégique de construction durable du Conseil Général de Seine Saint Denis. 
•Etude de faisabilité économique et programmation d’un aménagement  HQE R d’un village-golf dans le département de l’Aude - Investisseur privé - 
•Positionnement marketing de l’agglomération Castres- Mazamet, définition du programme d’actions - Communauté de Commune Castres - Mazamet. 
•Etude de faisabilité et mise en place d’un pôle « Allongement de la vie » au sein de l’Hôpital Charles Foix - Conseil Général du Val de Marne et DRIRE. (Université Paris 6).   
</t>
    </r>
    <r>
      <rPr>
        <b/>
        <u/>
        <sz val="11"/>
        <color indexed="8"/>
        <rFont val="Calibri"/>
        <family val="2"/>
      </rPr>
      <t xml:space="preserve">Entreprises 2007/2009 </t>
    </r>
    <r>
      <rPr>
        <sz val="11"/>
        <color theme="1"/>
        <rFont val="Calibri"/>
        <family val="2"/>
        <scheme val="minor"/>
      </rPr>
      <t xml:space="preserve">
TECUMSEH (Mécanique), COMAREG (Edition), SERB REGAIN (Fabrication textile),  IMARA (regroupement d’entreprises d’ébénisterie et des arts décoratifs), Fédération nationale de coopératives du bâtiment (Construction de maisons individuelles), NAVOCAP (Système d’information), CITEL (Travaux Publics
</t>
    </r>
  </si>
  <si>
    <t>x</t>
  </si>
  <si>
    <t xml:space="preserve">2 pôles d'expertise :
Pôle Energie Climat
Pôle Développement Durable
Décliné en 7 services:
- Projets territoriaux de développement durable  
- Etudes et accompagnements
- Energie et climat
- Adaptation au changement climatique
- Formation
- Education à l'environnement et au développement durable
- Communication
</t>
  </si>
  <si>
    <r>
      <rPr>
        <u/>
        <sz val="11"/>
        <color indexed="8"/>
        <rFont val="Calibri"/>
        <family val="2"/>
      </rPr>
      <t xml:space="preserve">Partenaires :    </t>
    </r>
    <r>
      <rPr>
        <sz val="11"/>
        <color theme="1"/>
        <rFont val="Calibri"/>
        <family val="2"/>
        <scheme val="minor"/>
      </rPr>
      <t xml:space="preserve">                                                                      
APES - Acteurs pour une Economie Solidaire Maison de l’Economie Solidaire                                 
- 4D CITé européenne des Récollets                                    - Cerdd Ecopôle                                                                      
 - COPAS Conseil en Pratique et Analyse Sociale         - SCIL Société Coopérative d'Informatique Libre        
- Réseau des Ressourceries                          
- Initiatives et Cité ( cluster d'entreprise solidaire)</t>
    </r>
  </si>
  <si>
    <t>7 salariés + 3 stagiaires</t>
  </si>
  <si>
    <r>
      <rPr>
        <b/>
        <sz val="11"/>
        <color indexed="8"/>
        <rFont val="Calibri"/>
        <family val="2"/>
      </rPr>
      <t xml:space="preserve">2 agences :     </t>
    </r>
    <r>
      <rPr>
        <sz val="11"/>
        <color theme="1"/>
        <rFont val="Calibri"/>
        <family val="2"/>
        <scheme val="minor"/>
      </rPr>
      <t xml:space="preserve">                                              Paris                                                                      20 Boulevard de Sebastopol
75004 PARIS 04                                                Tel : 01.44.54.13.65                                             Fax : 01.48.87.19.95                                          
Tours                                                                     27 rue Bois 37000 Tours                             Tel : 02.47.64.33.06                                         Fax : 02.47.64.95.84                                           Email : contact@nouveaux-territoires.fr  Email administrateur : d.charlou@nouveaux-territoires.fr</t>
    </r>
  </si>
  <si>
    <t>Nouveaux Territoires Consultants</t>
  </si>
  <si>
    <r>
      <rPr>
        <b/>
        <sz val="11"/>
        <color indexed="8"/>
        <rFont val="Calibri"/>
        <family val="2"/>
      </rPr>
      <t xml:space="preserve">Intercommunalité de projet </t>
    </r>
    <r>
      <rPr>
        <sz val="11"/>
        <color theme="1"/>
        <rFont val="Calibri"/>
        <family val="2"/>
        <scheme val="minor"/>
      </rPr>
      <t xml:space="preserve">: projets de territoire, développement et simplification de l'intercommunalité                     </t>
    </r>
    <r>
      <rPr>
        <b/>
        <sz val="11"/>
        <color indexed="8"/>
        <rFont val="Calibri"/>
        <family val="2"/>
      </rPr>
      <t xml:space="preserve">Projet urbain </t>
    </r>
    <r>
      <rPr>
        <sz val="11"/>
        <color theme="1"/>
        <rFont val="Calibri"/>
        <family val="2"/>
        <scheme val="minor"/>
      </rPr>
      <t xml:space="preserve">:  planification stratégique et requalification urbaine et patrimoniale                                                        </t>
    </r>
    <r>
      <rPr>
        <b/>
        <sz val="11"/>
        <color indexed="8"/>
        <rFont val="Calibri"/>
        <family val="2"/>
      </rPr>
      <t>Agenda 21 - Evaluation</t>
    </r>
    <r>
      <rPr>
        <sz val="11"/>
        <color theme="1"/>
        <rFont val="Calibri"/>
        <family val="2"/>
        <scheme val="minor"/>
      </rPr>
      <t xml:space="preserve"> : à toutes les échelles et évaluation des politiques publiques                                  
</t>
    </r>
    <r>
      <rPr>
        <b/>
        <sz val="11"/>
        <color indexed="8"/>
        <rFont val="Calibri"/>
        <family val="2"/>
      </rPr>
      <t>Politique de l'Etat</t>
    </r>
    <r>
      <rPr>
        <sz val="11"/>
        <color theme="1"/>
        <rFont val="Calibri"/>
        <family val="2"/>
        <scheme val="minor"/>
      </rPr>
      <t xml:space="preserve"> : territorialisation de politiques de  l'Etat   
</t>
    </r>
    <r>
      <rPr>
        <b/>
        <sz val="11"/>
        <color indexed="8"/>
        <rFont val="Calibri"/>
        <family val="2"/>
      </rPr>
      <t xml:space="preserve">International </t>
    </r>
    <r>
      <rPr>
        <sz val="11"/>
        <color theme="1"/>
        <rFont val="Calibri"/>
        <family val="2"/>
        <scheme val="minor"/>
      </rPr>
      <t xml:space="preserve">: expertises et/ou évaluation des politiques de coopération internationnale et intervention thématiques                                                                                                                  
</t>
    </r>
    <r>
      <rPr>
        <b/>
        <sz val="11"/>
        <color indexed="8"/>
        <rFont val="Calibri"/>
        <family val="2"/>
      </rPr>
      <t>Economie et emploi durables</t>
    </r>
    <r>
      <rPr>
        <sz val="11"/>
        <color theme="1"/>
        <rFont val="Calibri"/>
        <family val="2"/>
        <scheme val="minor"/>
      </rPr>
      <t xml:space="preserve"> : territorialisation des politiques de l'emploi, de la formation et de l'insertion et territorialisation des politiques de développement économique 
 </t>
    </r>
    <r>
      <rPr>
        <b/>
        <sz val="11"/>
        <color indexed="8"/>
        <rFont val="Calibri"/>
        <family val="2"/>
      </rPr>
      <t xml:space="preserve">Pays, régions et départements </t>
    </r>
    <r>
      <rPr>
        <sz val="11"/>
        <color theme="1"/>
        <rFont val="Calibri"/>
        <family val="2"/>
        <scheme val="minor"/>
      </rPr>
      <t xml:space="preserve">: stratégie terrioriale et coopération interurbaine        
 </t>
    </r>
    <r>
      <rPr>
        <b/>
        <sz val="11"/>
        <color indexed="8"/>
        <rFont val="Calibri"/>
        <family val="2"/>
      </rPr>
      <t>Services à la personne</t>
    </r>
    <r>
      <rPr>
        <sz val="11"/>
        <color theme="1"/>
        <rFont val="Calibri"/>
        <family val="2"/>
        <scheme val="minor"/>
      </rPr>
      <t xml:space="preserve"> : approche territoriale des services             
</t>
    </r>
    <r>
      <rPr>
        <b/>
        <u/>
        <sz val="11"/>
        <color indexed="8"/>
        <rFont val="Calibri"/>
        <family val="2"/>
      </rPr>
      <t xml:space="preserve">Les procédures utilisées </t>
    </r>
    <r>
      <rPr>
        <b/>
        <sz val="11"/>
        <color indexed="8"/>
        <rFont val="Calibri"/>
        <family val="2"/>
      </rPr>
      <t xml:space="preserve">: 
</t>
    </r>
    <r>
      <rPr>
        <sz val="11"/>
        <color theme="1"/>
        <rFont val="Calibri"/>
        <family val="2"/>
        <scheme val="minor"/>
      </rPr>
      <t xml:space="preserve">  Agenda 21
Charte de pays
Charte de PNR
Contrat d objectif territorial (COT)
Contrat urbain de cohésion sociale (CUCS)
Engagements de développement de l emploi et des compétences (EDDEC)
Plan de déplacement (PDU / PDE / PDA)
Plan national de rénovation urbaine (PNRU)
Programmes européens
Pôle d excellence rurale (PER)
Schéma de cohérence territoriale (SCoT)
Schéma régional d aménagement et de développement durable du territoire (SRADDT)
Schéma régional d aménagement et de développement économique (SRDE)</t>
    </r>
  </si>
  <si>
    <r>
      <t xml:space="preserve">Nouveaux territoires est un cabinet de consultants </t>
    </r>
    <r>
      <rPr>
        <u/>
        <sz val="11"/>
        <color theme="1"/>
        <rFont val="Calibri"/>
        <family val="2"/>
        <scheme val="minor"/>
      </rPr>
      <t>spécialisé sur les territoires plus précisément dans la territorialisation des politiques publiques, la définition concertée de projets territoriaux d'aménagement et de développement durable, l'animation des dynamiques d'acteurs.</t>
    </r>
    <r>
      <rPr>
        <sz val="11"/>
        <color theme="1"/>
        <rFont val="Calibri"/>
        <family val="2"/>
        <scheme val="minor"/>
      </rPr>
      <t xml:space="preserve"> Le nombre resserré de consultants est garant d'un conseil sur mesure et adapté aux attentes tout cela dans un souci constant d'indépendance de vue et d'analyse.</t>
    </r>
  </si>
  <si>
    <r>
      <rPr>
        <b/>
        <sz val="11"/>
        <color indexed="8"/>
        <rFont val="Calibri"/>
        <family val="2"/>
      </rPr>
      <t>Intercommunalité de projet :</t>
    </r>
    <r>
      <rPr>
        <sz val="11"/>
        <color theme="1"/>
        <rFont val="Calibri"/>
        <family val="2"/>
        <scheme val="minor"/>
      </rPr>
      <t xml:space="preserve"> Projet de territoire de la communauté de communes du Pays de l'Hermitage 
</t>
    </r>
    <r>
      <rPr>
        <b/>
        <sz val="11"/>
        <color indexed="8"/>
        <rFont val="Calibri"/>
        <family val="2"/>
      </rPr>
      <t>Projet urbain :</t>
    </r>
    <r>
      <rPr>
        <sz val="11"/>
        <color theme="1"/>
        <rFont val="Calibri"/>
        <family val="2"/>
        <scheme val="minor"/>
      </rPr>
      <t xml:space="preserve">  Etude de reconversion d'une ancienne filature à Louvriers 
 </t>
    </r>
    <r>
      <rPr>
        <b/>
        <sz val="11"/>
        <color indexed="8"/>
        <rFont val="Calibri"/>
        <family val="2"/>
      </rPr>
      <t xml:space="preserve">Agenda 21 - Evaluation : </t>
    </r>
    <r>
      <rPr>
        <sz val="11"/>
        <color theme="1"/>
        <rFont val="Calibri"/>
        <family val="2"/>
        <scheme val="minor"/>
      </rPr>
      <t xml:space="preserve">Agenda 21 du Pays Loire Touraine
 </t>
    </r>
    <r>
      <rPr>
        <b/>
        <sz val="11"/>
        <color indexed="8"/>
        <rFont val="Calibri"/>
        <family val="2"/>
      </rPr>
      <t xml:space="preserve">Politique de l'Etat </t>
    </r>
    <r>
      <rPr>
        <sz val="11"/>
        <color theme="1"/>
        <rFont val="Calibri"/>
        <family val="2"/>
        <scheme val="minor"/>
      </rPr>
      <t xml:space="preserve">: DATAR - Préfecture de la Manche (50)Diagnostic sur la situation des services au public en zone rurale dans le département de la Manche                    
 </t>
    </r>
    <r>
      <rPr>
        <b/>
        <sz val="11"/>
        <color indexed="8"/>
        <rFont val="Calibri"/>
        <family val="2"/>
      </rPr>
      <t>International</t>
    </r>
    <r>
      <rPr>
        <sz val="11"/>
        <color theme="1"/>
        <rFont val="Calibri"/>
        <family val="2"/>
        <scheme val="minor"/>
      </rPr>
      <t xml:space="preserve"> : AFDEvaluation de la politique nationale d'aménagement du territoire en Tunisie 
 </t>
    </r>
    <r>
      <rPr>
        <b/>
        <sz val="11"/>
        <color indexed="8"/>
        <rFont val="Calibri"/>
        <family val="2"/>
      </rPr>
      <t>Economie et emploi durables</t>
    </r>
    <r>
      <rPr>
        <sz val="11"/>
        <color theme="1"/>
        <rFont val="Calibri"/>
        <family val="2"/>
        <scheme val="minor"/>
      </rPr>
      <t xml:space="preserve"> :  élaboration de la Charte " accueil - information - orientation" pour l'emploi et la formation en Bourgogne.  
 </t>
    </r>
    <r>
      <rPr>
        <b/>
        <sz val="11"/>
        <color indexed="8"/>
        <rFont val="Calibri"/>
        <family val="2"/>
      </rPr>
      <t>Pays, régions et départements</t>
    </r>
    <r>
      <rPr>
        <sz val="11"/>
        <color theme="1"/>
        <rFont val="Calibri"/>
        <family val="2"/>
        <scheme val="minor"/>
      </rPr>
      <t xml:space="preserve"> :  animation du Conseil de développement du territoire ( CDT) du Pays Sud-Vendée
  </t>
    </r>
    <r>
      <rPr>
        <b/>
        <sz val="11"/>
        <color indexed="8"/>
        <rFont val="Calibri"/>
        <family val="2"/>
      </rPr>
      <t>Services à la personne</t>
    </r>
    <r>
      <rPr>
        <sz val="11"/>
        <color theme="1"/>
        <rFont val="Calibri"/>
        <family val="2"/>
        <scheme val="minor"/>
      </rPr>
      <t xml:space="preserve"> :   diagnostic sur les services au public en milieu rural dans la Manche 
 Voir les plaquettes avec toutes les références</t>
    </r>
  </si>
  <si>
    <t>Pas de changements significatifs. Pas de références pour l'année 2012 alors qu'elles sont assez nombreuses pour 2011. Soit le site n'a pas été mis à jour, soit ça va mal. Aucun compte n'est publié.</t>
  </si>
  <si>
    <r>
      <rPr>
        <b/>
        <sz val="11"/>
        <color indexed="8"/>
        <rFont val="Calibri"/>
        <family val="2"/>
      </rPr>
      <t xml:space="preserve">Conception et conduite :
</t>
    </r>
    <r>
      <rPr>
        <sz val="11"/>
        <color theme="1"/>
        <rFont val="Calibri"/>
        <family val="2"/>
        <scheme val="minor"/>
      </rPr>
      <t xml:space="preserve"> Messimy (Rhône) - Accompagnement de la Ville de Messimy dans l'élaboration d'un Agenda 21
 Pays Seine et Tilles en Bourgogne - Etude préalable à la mise en œuvre du Plan Climat Energie Territorial (en collaboration avec Explicit) 
</t>
    </r>
    <r>
      <rPr>
        <b/>
        <sz val="11"/>
        <color indexed="8"/>
        <rFont val="Calibri"/>
        <family val="2"/>
      </rPr>
      <t xml:space="preserve">Evaluation et suivi :
</t>
    </r>
    <r>
      <rPr>
        <sz val="11"/>
        <color theme="1"/>
        <rFont val="Calibri"/>
        <family val="2"/>
        <scheme val="minor"/>
      </rPr>
      <t xml:space="preserve"> Communauté Urbaine Creusot-Montceau - Accompagnement à la mise en place d'une démarche de suivi et d'évaluation des actions duContrat d'agglomération et de l'Agenda 21
Communauté d’Agglomération du Pays Ajaccien - Accompagnement à l'évaluation des politiques publiques de la CAPA (en partenariat avec le GRETA Viva 5)
 </t>
    </r>
    <r>
      <rPr>
        <b/>
        <sz val="11"/>
        <color indexed="8"/>
        <rFont val="Calibri"/>
        <family val="2"/>
      </rPr>
      <t xml:space="preserve">Information et communication : </t>
    </r>
    <r>
      <rPr>
        <sz val="11"/>
        <color theme="1"/>
        <rFont val="Calibri"/>
        <family val="2"/>
        <scheme val="minor"/>
      </rPr>
      <t xml:space="preserve">   Ville de Dole - "Une démarche éco-responsable : pourquoi, comment ?" Conférences Directeur de publication jusqu’en 2007 de « Repères », la publication trimestrielle de l'Observatoire régional de l'environnement de Bourgogne puis d'Alterre Bourgogne. </t>
    </r>
  </si>
  <si>
    <t xml:space="preserve">Dirigeant Philippe DEVIS
 7 bis impasse Jeanne d'Arc
 26100 Romans-sur-Isère
 2 rue Josserand de Brancion
 21160 Marsannay-la-CôteTel : 09 81 68 85 85
</t>
  </si>
  <si>
    <r>
      <rPr>
        <b/>
        <sz val="11"/>
        <color indexed="8"/>
        <rFont val="Calibri"/>
        <family val="2"/>
      </rPr>
      <t xml:space="preserve">Conception et conduite :
</t>
    </r>
    <r>
      <rPr>
        <sz val="11"/>
        <color theme="1"/>
        <rFont val="Calibri"/>
        <family val="2"/>
        <scheme val="minor"/>
      </rPr>
      <t xml:space="preserve">    Diagnostics territoriaux et prospective stratégique
Appui à la définition de politiques et programmes d’actions
Accompagnement de projets territoriaux
Organisation et animation de concertations et démarches de participation
Animation de réseaux 
</t>
    </r>
    <r>
      <rPr>
        <b/>
        <sz val="11"/>
        <color indexed="8"/>
        <rFont val="Calibri"/>
        <family val="2"/>
      </rPr>
      <t>Evaluation et suivi :</t>
    </r>
    <r>
      <rPr>
        <sz val="11"/>
        <color theme="1"/>
        <rFont val="Calibri"/>
        <family val="2"/>
        <scheme val="minor"/>
      </rPr>
      <t xml:space="preserve">                                                                                                                                                                                                                     Evaluation de projets territoriaux de développement durable
Evaluation environnementale de politiques, plans et programmes
Evaluation de politiques environnementales
Reporting environnemental
Dispositifs de suivi et de pilotage, observatoires, tableaux de bord et systèmes d’information
 </t>
    </r>
    <r>
      <rPr>
        <b/>
        <sz val="11"/>
        <color indexed="8"/>
        <rFont val="Calibri"/>
        <family val="2"/>
      </rPr>
      <t>Information et communication :</t>
    </r>
    <r>
      <rPr>
        <sz val="11"/>
        <color theme="1"/>
        <rFont val="Calibri"/>
        <family val="2"/>
        <scheme val="minor"/>
      </rPr>
      <t xml:space="preserve"> 
Interventions et présentations orales.
Préparation et animation de réunions d’information, séminaires de travail, échanges d’expériences, voyages d’étude
Organisation et animation d'ateliers-citoyens
Conception et rédaction de documents et supports de diffusion
</t>
    </r>
  </si>
  <si>
    <t>Travail régulièrement en partenariat avec "Explicit" (cabinet de 15 personnes, expert dans les questions energie et climat), voire avec d'autres cabinets. Son activité est basée sur la partie Est, notamment Sud Est et milieu Est.</t>
  </si>
  <si>
    <t xml:space="preserve">Conseil et accompagnement de politiques publiques durables. Planète publique intervient sur trois axes articulés entre eux :          • évaluation et conception de politiques publiques 
• environnement et développement durable 
• concertation et débat citoyen 
</t>
  </si>
  <si>
    <r>
      <rPr>
        <u/>
        <sz val="11"/>
        <color theme="1"/>
        <rFont val="Calibri"/>
        <family val="2"/>
        <scheme val="minor"/>
      </rPr>
      <t xml:space="preserve">Métiers:
</t>
    </r>
    <r>
      <rPr>
        <sz val="11"/>
        <color theme="1"/>
        <rFont val="Calibri"/>
        <family val="2"/>
        <scheme val="minor"/>
      </rPr>
      <t xml:space="preserve">Evaluation des politiques publiques
Organisation et animation de dispositifs participatifs
Conseil, conception et stratégie
Formation à l'évaluation
</t>
    </r>
    <r>
      <rPr>
        <u/>
        <sz val="11"/>
        <color theme="1"/>
        <rFont val="Calibri"/>
        <family val="2"/>
        <scheme val="minor"/>
      </rPr>
      <t xml:space="preserve">
Domaines: </t>
    </r>
    <r>
      <rPr>
        <sz val="11"/>
        <color theme="1"/>
        <rFont val="Calibri"/>
        <family val="2"/>
        <scheme val="minor"/>
      </rPr>
      <t xml:space="preserve">
Développement durable
Développement humain
 Participation citoyenne 
Santé
Environnement  
Culture
Transport et déplacements
Aménagements de la ville et des territoires</t>
    </r>
  </si>
  <si>
    <t>Extra Muros est principalement tourné vers les collectivité, puis vers les acteurs de l'ESS. Leur cœur de métier est l'accompagnement, de l'étude jusqu'à la mise en œuvre de projet. Pour leur valeur ajoutée, ils ont mis en place un outil numérique, E-démocratie ( http://demos.extra-muros.coop/wordpress/ ). Leur équipe est passée de 9 personnes et 2 stagiaires (info de base) à 7 personnes et 3 stagiaires. Leur résultat net est passé en positif en 2011, le CA monte légèrement (+3%) et leur bilan a gonflé d'environ 8.5%.</t>
  </si>
  <si>
    <r>
      <t>Equineo est résolument</t>
    </r>
    <r>
      <rPr>
        <u/>
        <sz val="11"/>
        <color theme="1"/>
        <rFont val="Calibri"/>
        <family val="2"/>
        <scheme val="minor"/>
      </rPr>
      <t xml:space="preserve"> tourné vers les collectivité avec une spécialisation sur les questions énergies et climat.</t>
    </r>
    <r>
      <rPr>
        <sz val="11"/>
        <color theme="1"/>
        <rFont val="Calibri"/>
        <family val="2"/>
        <scheme val="minor"/>
      </rPr>
      <t xml:space="preserve"> Leur second champ de compétence est la formation, notamment auprès des établissement scolaires. Leur équipe comptait 8 personnes au moment où cela a été rentrée dans cette base. L'organigramme et la photo compte 7 personnes, alors que seulement 6 sont présentées sur le site. Peut être une baisse d'effectif. Leur résultat net a progressé de 1% mais tourne autour des 60Keuros.Le CA lui a augmenté de 10%. Leur bilan a augmenté de 50% (2011/2010)</t>
    </r>
  </si>
  <si>
    <t>L'équipe compte 2 personnes de plus. Leur bilan a augmenté de 50%, le CA stagne et le résultat a baissé de 70%. Cette entreprise a clairement un rayonnement national, parfois international.</t>
  </si>
  <si>
    <t>Introduction DD/RSE : Coaching individuel et collecif.</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</si>
</sst>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 &quot;€&quot;;[Red]\-#,##0\ &quot;€&quot;"/>
  </numFmts>
  <fonts count="26" x14ac:knownFonts="1">
    <font>
      <sz val="11"/>
      <color theme="1"/>
      <name val="Calibri"/>
      <family val="2"/>
      <scheme val="minor"/>
    </font>
    <font>
      <sz val="11"/>
      <color indexed="8"/>
      <name val="Calibri"/>
      <family val="2"/>
    </font>
    <font>
      <u/>
      <sz val="11"/>
      <color indexed="12"/>
      <name val="Calibri"/>
      <family val="2"/>
    </font>
    <font>
      <u/>
      <sz val="11"/>
      <color indexed="8"/>
      <name val="Calibri"/>
      <family val="2"/>
    </font>
    <font>
      <sz val="11"/>
      <name val="Calibri"/>
      <family val="2"/>
    </font>
    <font>
      <u/>
      <sz val="11"/>
      <name val="Calibri"/>
      <family val="2"/>
    </font>
    <font>
      <u/>
      <sz val="10"/>
      <color indexed="12"/>
      <name val="Arial"/>
      <family val="2"/>
    </font>
    <font>
      <b/>
      <sz val="11"/>
      <color indexed="8"/>
      <name val="Calibri"/>
      <family val="2"/>
    </font>
    <font>
      <b/>
      <sz val="11"/>
      <color indexed="8"/>
      <name val="Calibri"/>
      <family val="2"/>
    </font>
    <font>
      <sz val="11"/>
      <color indexed="8"/>
      <name val="Calibri"/>
      <family val="2"/>
    </font>
    <font>
      <b/>
      <sz val="11"/>
      <color indexed="8"/>
      <name val="Calibri"/>
      <family val="2"/>
    </font>
    <font>
      <sz val="8"/>
      <name val="Calibri"/>
      <family val="2"/>
    </font>
    <font>
      <sz val="11"/>
      <color indexed="12"/>
      <name val="Calibri"/>
      <family val="2"/>
    </font>
    <font>
      <b/>
      <sz val="10"/>
      <color indexed="8"/>
      <name val="Calibri"/>
      <family val="2"/>
    </font>
    <font>
      <sz val="10"/>
      <color indexed="8"/>
      <name val="Calibri"/>
      <family val="2"/>
    </font>
    <font>
      <b/>
      <u/>
      <sz val="11"/>
      <color indexed="8"/>
      <name val="Calibri"/>
      <family val="2"/>
    </font>
    <font>
      <b/>
      <sz val="11"/>
      <name val="Arial"/>
      <family val="2"/>
    </font>
    <font>
      <sz val="11"/>
      <color rgb="FFFF0000"/>
      <name val="Calibri"/>
      <family val="2"/>
      <scheme val="minor"/>
    </font>
    <font>
      <b/>
      <sz val="11"/>
      <color theme="1"/>
      <name val="Calibri"/>
      <family val="2"/>
      <scheme val="minor"/>
    </font>
    <font>
      <sz val="11"/>
      <color theme="1"/>
      <name val="Calibri"/>
      <family val="2"/>
    </font>
    <font>
      <u/>
      <sz val="11"/>
      <color rgb="FFFF0000"/>
      <name val="Calibri"/>
      <family val="2"/>
    </font>
    <font>
      <sz val="11"/>
      <color rgb="FFFF0000"/>
      <name val="Calibri"/>
      <family val="2"/>
    </font>
    <font>
      <b/>
      <sz val="17"/>
      <color rgb="FF530E00"/>
      <name val="Arial"/>
      <family val="2"/>
    </font>
    <font>
      <sz val="10"/>
      <color rgb="FF858585"/>
      <name val="Verdana"/>
      <family val="2"/>
    </font>
    <font>
      <sz val="11"/>
      <color rgb="FFF5929E"/>
      <name val="Arial"/>
      <family val="2"/>
    </font>
    <font>
      <u/>
      <sz val="11"/>
      <color theme="1"/>
      <name val="Calibri"/>
      <family val="2"/>
      <scheme val="minor"/>
    </font>
  </fonts>
  <fills count="10">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theme="0"/>
        <bgColor indexed="64"/>
      </patternFill>
    </fill>
    <fill>
      <patternFill patternType="solid">
        <fgColor theme="5" tint="0.59999389629810485"/>
        <bgColor indexed="64"/>
      </patternFill>
    </fill>
    <fill>
      <patternFill patternType="solid">
        <fgColor rgb="FFFFFF00"/>
        <bgColor indexed="64"/>
      </patternFill>
    </fill>
    <fill>
      <patternFill patternType="solid">
        <fgColor rgb="FFFFFFFF"/>
        <bgColor indexed="64"/>
      </patternFill>
    </fill>
    <fill>
      <patternFill patternType="solid">
        <fgColor theme="8" tint="0.59999389629810485"/>
        <bgColor indexed="64"/>
      </patternFill>
    </fill>
    <fill>
      <patternFill patternType="solid">
        <fgColor theme="8" tint="0.79998168889431442"/>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rgb="FF000000"/>
      </bottom>
      <diagonal/>
    </border>
  </borders>
  <cellStyleXfs count="2">
    <xf numFmtId="0" fontId="0" fillId="0" borderId="0"/>
    <xf numFmtId="0" fontId="2" fillId="0" borderId="0" applyNumberFormat="0" applyFill="0" applyBorder="0" applyAlignment="0" applyProtection="0">
      <alignment vertical="top"/>
      <protection locked="0"/>
    </xf>
  </cellStyleXfs>
  <cellXfs count="147">
    <xf numFmtId="0" fontId="0" fillId="0" borderId="0" xfId="0"/>
    <xf numFmtId="0" fontId="0" fillId="0" borderId="0" xfId="0" applyAlignment="1">
      <alignment horizontal="center" vertical="center"/>
    </xf>
    <xf numFmtId="0" fontId="8" fillId="0" borderId="0" xfId="0" applyFont="1" applyAlignment="1">
      <alignment horizontal="center" vertical="center"/>
    </xf>
    <xf numFmtId="0" fontId="0" fillId="0" borderId="1" xfId="0" applyBorder="1" applyAlignment="1">
      <alignment vertical="center" wrapText="1"/>
    </xf>
    <xf numFmtId="0" fontId="0" fillId="0" borderId="0" xfId="0" applyAlignment="1">
      <alignment vertical="center"/>
    </xf>
    <xf numFmtId="0" fontId="0" fillId="0" borderId="0" xfId="0" applyAlignment="1">
      <alignment vertical="center" wrapText="1"/>
    </xf>
    <xf numFmtId="0" fontId="2" fillId="0" borderId="1" xfId="1" applyBorder="1" applyAlignment="1" applyProtection="1">
      <alignment vertical="center" wrapText="1"/>
    </xf>
    <xf numFmtId="0" fontId="0" fillId="0" borderId="1" xfId="0" applyBorder="1" applyAlignment="1">
      <alignment horizontal="center" vertical="center" wrapText="1"/>
    </xf>
    <xf numFmtId="0" fontId="0" fillId="0" borderId="0" xfId="0" applyAlignment="1">
      <alignment horizontal="center" vertical="center" wrapText="1"/>
    </xf>
    <xf numFmtId="0" fontId="6" fillId="0" borderId="1" xfId="1" applyFont="1" applyBorder="1" applyAlignment="1" applyProtection="1">
      <alignment vertical="center" wrapText="1"/>
    </xf>
    <xf numFmtId="0" fontId="0" fillId="0" borderId="1" xfId="0" applyBorder="1" applyAlignment="1">
      <alignment vertical="center"/>
    </xf>
    <xf numFmtId="0" fontId="0" fillId="0" borderId="2" xfId="0" applyBorder="1"/>
    <xf numFmtId="0" fontId="0" fillId="0" borderId="3" xfId="0" applyBorder="1"/>
    <xf numFmtId="0" fontId="0" fillId="0" borderId="4" xfId="0" applyBorder="1"/>
    <xf numFmtId="0" fontId="0" fillId="0" borderId="5"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6" xfId="0" applyBorder="1" applyAlignment="1">
      <alignment horizontal="center"/>
    </xf>
    <xf numFmtId="0" fontId="0" fillId="0" borderId="0" xfId="0" applyAlignment="1">
      <alignment horizontal="center"/>
    </xf>
    <xf numFmtId="0" fontId="3" fillId="0" borderId="1" xfId="0" applyFont="1" applyBorder="1" applyAlignment="1">
      <alignment vertical="center" wrapText="1"/>
    </xf>
    <xf numFmtId="0" fontId="0" fillId="2" borderId="17" xfId="0" applyFill="1" applyBorder="1"/>
    <xf numFmtId="0" fontId="0" fillId="2" borderId="18" xfId="0" applyFill="1" applyBorder="1"/>
    <xf numFmtId="0" fontId="0" fillId="2" borderId="19" xfId="0" applyFill="1" applyBorder="1" applyAlignment="1">
      <alignment vertical="center"/>
    </xf>
    <xf numFmtId="0" fontId="0" fillId="2" borderId="20" xfId="0" applyFill="1" applyBorder="1" applyAlignment="1">
      <alignment vertical="center"/>
    </xf>
    <xf numFmtId="0" fontId="0" fillId="2" borderId="21" xfId="0" applyFill="1" applyBorder="1" applyAlignment="1">
      <alignment vertical="center"/>
    </xf>
    <xf numFmtId="0" fontId="0" fillId="2" borderId="22" xfId="0" applyFill="1" applyBorder="1" applyAlignment="1">
      <alignment vertical="center"/>
    </xf>
    <xf numFmtId="0" fontId="9" fillId="0" borderId="1" xfId="0" applyFont="1" applyBorder="1" applyAlignment="1">
      <alignment horizontal="center" vertical="center" wrapText="1"/>
    </xf>
    <xf numFmtId="0" fontId="4" fillId="0" borderId="1" xfId="1" applyFont="1" applyBorder="1" applyAlignment="1" applyProtection="1">
      <alignment vertical="center" wrapText="1"/>
    </xf>
    <xf numFmtId="0" fontId="1" fillId="0" borderId="1" xfId="0" applyFont="1" applyBorder="1" applyAlignment="1">
      <alignment vertical="center" wrapText="1"/>
    </xf>
    <xf numFmtId="0" fontId="7" fillId="0" borderId="1" xfId="0" applyFont="1" applyBorder="1" applyAlignment="1">
      <alignment vertical="center" wrapText="1"/>
    </xf>
    <xf numFmtId="0" fontId="10" fillId="3" borderId="23" xfId="0" applyFont="1" applyFill="1" applyBorder="1" applyAlignment="1">
      <alignment horizontal="center" vertical="center"/>
    </xf>
    <xf numFmtId="0" fontId="10" fillId="3" borderId="24" xfId="0" applyFont="1" applyFill="1" applyBorder="1" applyAlignment="1">
      <alignment horizontal="center" vertical="center"/>
    </xf>
    <xf numFmtId="0" fontId="10" fillId="3" borderId="25" xfId="0" applyFont="1" applyFill="1" applyBorder="1" applyAlignment="1">
      <alignment horizontal="center" vertical="center"/>
    </xf>
    <xf numFmtId="0" fontId="10" fillId="3" borderId="26" xfId="0" applyFont="1" applyFill="1" applyBorder="1" applyAlignment="1">
      <alignment horizontal="center" vertical="center"/>
    </xf>
    <xf numFmtId="0" fontId="10" fillId="0" borderId="0" xfId="0" applyFont="1" applyAlignment="1">
      <alignment horizontal="center" vertical="center"/>
    </xf>
    <xf numFmtId="0" fontId="10" fillId="3" borderId="27" xfId="0" applyFont="1" applyFill="1" applyBorder="1" applyAlignment="1">
      <alignment horizontal="center" vertical="center"/>
    </xf>
    <xf numFmtId="0" fontId="10" fillId="0" borderId="28" xfId="0" applyFont="1" applyBorder="1" applyAlignment="1">
      <alignment horizontal="center"/>
    </xf>
    <xf numFmtId="0" fontId="10" fillId="0" borderId="29" xfId="0" applyFont="1" applyBorder="1" applyAlignment="1">
      <alignment horizontal="center"/>
    </xf>
    <xf numFmtId="0" fontId="10" fillId="0" borderId="27" xfId="0" applyFont="1" applyFill="1" applyBorder="1" applyAlignment="1">
      <alignment vertical="center"/>
    </xf>
    <xf numFmtId="0" fontId="10" fillId="0" borderId="17" xfId="0" applyFont="1" applyBorder="1" applyAlignment="1">
      <alignment horizontal="center"/>
    </xf>
    <xf numFmtId="0" fontId="10" fillId="0" borderId="18" xfId="0" applyFont="1" applyBorder="1" applyAlignment="1">
      <alignment horizontal="center"/>
    </xf>
    <xf numFmtId="0" fontId="10" fillId="0" borderId="2" xfId="0" applyFont="1" applyBorder="1" applyAlignment="1">
      <alignment horizontal="center"/>
    </xf>
    <xf numFmtId="0" fontId="10" fillId="0" borderId="26" xfId="0" applyFont="1" applyBorder="1" applyAlignment="1">
      <alignment horizontal="center"/>
    </xf>
    <xf numFmtId="0" fontId="8" fillId="2" borderId="1" xfId="0" applyFont="1" applyFill="1" applyBorder="1" applyAlignment="1">
      <alignment horizontal="center" vertical="center"/>
    </xf>
    <xf numFmtId="0" fontId="8"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4" fillId="0" borderId="1" xfId="1" applyFont="1" applyBorder="1" applyAlignment="1" applyProtection="1">
      <alignment horizontal="center" vertical="center" wrapText="1"/>
    </xf>
    <xf numFmtId="0" fontId="5" fillId="0" borderId="0" xfId="0" applyFont="1" applyAlignment="1">
      <alignment vertical="center" wrapText="1"/>
    </xf>
    <xf numFmtId="0" fontId="2" fillId="4" borderId="1" xfId="1" applyFill="1" applyBorder="1" applyAlignment="1" applyProtection="1">
      <alignment vertical="center" wrapText="1"/>
    </xf>
    <xf numFmtId="0" fontId="2" fillId="0" borderId="0" xfId="1" applyAlignment="1" applyProtection="1">
      <alignment vertical="center"/>
    </xf>
    <xf numFmtId="16" fontId="0" fillId="0" borderId="1" xfId="0" applyNumberFormat="1" applyBorder="1" applyAlignment="1">
      <alignment horizontal="center" vertical="center" wrapText="1"/>
    </xf>
    <xf numFmtId="0" fontId="0" fillId="0" borderId="30" xfId="0" applyBorder="1" applyAlignment="1">
      <alignment vertical="center" wrapText="1"/>
    </xf>
    <xf numFmtId="0" fontId="0" fillId="0" borderId="1" xfId="0" applyFill="1" applyBorder="1" applyAlignment="1">
      <alignment vertical="center" wrapText="1"/>
    </xf>
    <xf numFmtId="14" fontId="0" fillId="0" borderId="1" xfId="0" applyNumberFormat="1" applyBorder="1" applyAlignment="1">
      <alignment horizontal="center" vertical="center" wrapText="1"/>
    </xf>
    <xf numFmtId="14" fontId="0" fillId="0" borderId="0" xfId="0" applyNumberFormat="1" applyAlignment="1">
      <alignment vertical="center"/>
    </xf>
    <xf numFmtId="0" fontId="0" fillId="0" borderId="31" xfId="0" applyFill="1" applyBorder="1" applyAlignment="1">
      <alignment horizontal="center" vertical="center" wrapText="1"/>
    </xf>
    <xf numFmtId="0" fontId="0" fillId="0" borderId="0" xfId="0" applyFill="1" applyBorder="1" applyAlignment="1">
      <alignment vertical="center" wrapText="1"/>
    </xf>
    <xf numFmtId="0" fontId="0" fillId="0" borderId="0" xfId="0" applyFill="1" applyBorder="1" applyAlignment="1">
      <alignment vertical="center"/>
    </xf>
    <xf numFmtId="0" fontId="0" fillId="0" borderId="0" xfId="0" applyAlignment="1">
      <alignment vertical="top" wrapText="1"/>
    </xf>
    <xf numFmtId="0" fontId="2" fillId="0" borderId="0" xfId="1" applyAlignment="1" applyProtection="1">
      <alignment vertical="center" wrapText="1"/>
    </xf>
    <xf numFmtId="0" fontId="2" fillId="0" borderId="1" xfId="1" applyBorder="1" applyAlignment="1" applyProtection="1">
      <alignment vertical="center"/>
    </xf>
    <xf numFmtId="14" fontId="0" fillId="0" borderId="1" xfId="0" applyNumberFormat="1" applyBorder="1" applyAlignment="1">
      <alignment horizontal="center" vertical="center"/>
    </xf>
    <xf numFmtId="0" fontId="0" fillId="0" borderId="1" xfId="0" applyFill="1" applyBorder="1" applyAlignment="1">
      <alignment horizontal="center" vertical="center" wrapText="1"/>
    </xf>
    <xf numFmtId="0" fontId="0" fillId="0" borderId="1" xfId="0" applyBorder="1"/>
    <xf numFmtId="0" fontId="0" fillId="0" borderId="1" xfId="0" applyFill="1" applyBorder="1" applyAlignment="1">
      <alignment vertical="center"/>
    </xf>
    <xf numFmtId="0" fontId="8" fillId="2" borderId="9" xfId="0" applyFont="1" applyFill="1" applyBorder="1" applyAlignment="1">
      <alignment horizontal="center" vertical="center"/>
    </xf>
    <xf numFmtId="0" fontId="8" fillId="2" borderId="9"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2" fillId="0" borderId="6" xfId="1" applyBorder="1" applyAlignment="1" applyProtection="1">
      <alignment vertical="center" wrapText="1"/>
    </xf>
    <xf numFmtId="0" fontId="0" fillId="0" borderId="6" xfId="0" applyBorder="1" applyAlignment="1">
      <alignment horizontal="center" vertical="center" wrapText="1"/>
    </xf>
    <xf numFmtId="0" fontId="0" fillId="0" borderId="6" xfId="0" applyBorder="1" applyAlignment="1">
      <alignment vertical="center" wrapText="1"/>
    </xf>
    <xf numFmtId="0" fontId="4" fillId="0" borderId="6" xfId="1" applyFont="1" applyBorder="1" applyAlignment="1" applyProtection="1">
      <alignment vertical="center" wrapText="1"/>
    </xf>
    <xf numFmtId="0" fontId="0" fillId="0" borderId="6" xfId="0" applyBorder="1" applyAlignment="1">
      <alignment vertical="center"/>
    </xf>
    <xf numFmtId="14" fontId="0" fillId="0" borderId="1" xfId="0" applyNumberFormat="1" applyBorder="1" applyAlignment="1">
      <alignment vertical="center"/>
    </xf>
    <xf numFmtId="0" fontId="0" fillId="0" borderId="1" xfId="0" applyBorder="1" applyAlignment="1">
      <alignment horizontal="center" vertical="center"/>
    </xf>
    <xf numFmtId="0" fontId="18" fillId="0" borderId="1" xfId="0" applyFont="1" applyFill="1" applyBorder="1" applyAlignment="1">
      <alignment vertical="center" wrapText="1"/>
    </xf>
    <xf numFmtId="0" fontId="18" fillId="5" borderId="1" xfId="0" applyFont="1" applyFill="1" applyBorder="1" applyAlignment="1">
      <alignment vertical="center" wrapText="1"/>
    </xf>
    <xf numFmtId="0" fontId="0" fillId="0" borderId="1" xfId="0" applyBorder="1" applyAlignment="1">
      <alignment vertical="top" wrapText="1"/>
    </xf>
    <xf numFmtId="0" fontId="0" fillId="0" borderId="1" xfId="0" applyFill="1" applyBorder="1" applyAlignment="1">
      <alignment vertical="top" wrapText="1"/>
    </xf>
    <xf numFmtId="0" fontId="0" fillId="0" borderId="1" xfId="0" applyFill="1" applyBorder="1" applyAlignment="1">
      <alignment horizontal="left" vertical="center" wrapText="1"/>
    </xf>
    <xf numFmtId="0" fontId="0" fillId="0" borderId="1" xfId="0" applyBorder="1" applyAlignment="1">
      <alignment wrapText="1"/>
    </xf>
    <xf numFmtId="0" fontId="3" fillId="0" borderId="6" xfId="0" applyFont="1" applyBorder="1" applyAlignment="1">
      <alignment vertical="center" wrapText="1"/>
    </xf>
    <xf numFmtId="0" fontId="2" fillId="0" borderId="1" xfId="1" applyFont="1" applyBorder="1" applyAlignment="1" applyProtection="1">
      <alignment vertical="center" wrapText="1"/>
    </xf>
    <xf numFmtId="0" fontId="1" fillId="0" borderId="1" xfId="0" applyFont="1" applyBorder="1" applyAlignment="1">
      <alignment horizontal="center" vertical="center" wrapText="1"/>
    </xf>
    <xf numFmtId="0" fontId="2" fillId="0" borderId="0" xfId="1" applyAlignment="1" applyProtection="1">
      <alignment horizontal="center" vertical="center" wrapText="1"/>
    </xf>
    <xf numFmtId="0" fontId="16" fillId="0" borderId="0" xfId="0" applyFont="1" applyAlignment="1">
      <alignment horizontal="left" vertical="center" wrapText="1"/>
    </xf>
    <xf numFmtId="0" fontId="19" fillId="0" borderId="1" xfId="0" applyFont="1" applyBorder="1" applyAlignment="1">
      <alignment vertical="center" wrapText="1"/>
    </xf>
    <xf numFmtId="0" fontId="19" fillId="0" borderId="0" xfId="0" applyFont="1" applyAlignment="1">
      <alignment vertical="center" wrapText="1"/>
    </xf>
    <xf numFmtId="164" fontId="0" fillId="0" borderId="1" xfId="0" applyNumberFormat="1" applyBorder="1" applyAlignment="1">
      <alignment horizontal="center" vertical="center" wrapText="1"/>
    </xf>
    <xf numFmtId="0" fontId="17" fillId="0" borderId="0" xfId="0" applyFont="1" applyAlignment="1">
      <alignment vertical="center"/>
    </xf>
    <xf numFmtId="0" fontId="20" fillId="0" borderId="1" xfId="1" applyFont="1" applyBorder="1" applyAlignment="1" applyProtection="1">
      <alignment vertical="center" wrapText="1"/>
    </xf>
    <xf numFmtId="0" fontId="17" fillId="0" borderId="1" xfId="0" applyFont="1" applyBorder="1" applyAlignment="1">
      <alignment horizontal="center" vertical="center" wrapText="1"/>
    </xf>
    <xf numFmtId="0" fontId="17" fillId="0" borderId="1" xfId="0" applyFont="1" applyBorder="1" applyAlignment="1">
      <alignment vertical="center" wrapText="1"/>
    </xf>
    <xf numFmtId="0" fontId="21" fillId="0" borderId="1" xfId="0" applyFont="1" applyBorder="1" applyAlignment="1">
      <alignment vertical="center" wrapText="1"/>
    </xf>
    <xf numFmtId="0" fontId="17" fillId="0" borderId="1" xfId="0" applyFont="1" applyBorder="1" applyAlignment="1">
      <alignment vertical="center"/>
    </xf>
    <xf numFmtId="0" fontId="2" fillId="6" borderId="1" xfId="1" applyFill="1" applyBorder="1" applyAlignment="1" applyProtection="1">
      <alignment vertical="center" wrapText="1"/>
    </xf>
    <xf numFmtId="0" fontId="4" fillId="0" borderId="0" xfId="0" applyFont="1" applyAlignment="1">
      <alignment vertical="center" wrapText="1"/>
    </xf>
    <xf numFmtId="0" fontId="2" fillId="6" borderId="0" xfId="1" applyFill="1" applyAlignment="1" applyProtection="1">
      <alignment vertical="center"/>
    </xf>
    <xf numFmtId="0" fontId="0" fillId="0" borderId="0" xfId="0" applyFill="1" applyAlignment="1">
      <alignment vertical="center"/>
    </xf>
    <xf numFmtId="0" fontId="2" fillId="0" borderId="1" xfId="1" applyFill="1" applyBorder="1" applyAlignment="1" applyProtection="1">
      <alignment vertical="center" wrapText="1"/>
    </xf>
    <xf numFmtId="0" fontId="3" fillId="0" borderId="1" xfId="0" applyFont="1" applyFill="1" applyBorder="1" applyAlignment="1">
      <alignment vertical="center" wrapText="1"/>
    </xf>
    <xf numFmtId="0" fontId="22" fillId="0" borderId="1" xfId="0" applyFont="1" applyBorder="1" applyAlignment="1">
      <alignment horizontal="left" vertical="center" wrapText="1"/>
    </xf>
    <xf numFmtId="0" fontId="20" fillId="0" borderId="0" xfId="1" applyFont="1" applyAlignment="1" applyProtection="1">
      <alignment vertical="center"/>
    </xf>
    <xf numFmtId="3" fontId="0" fillId="0" borderId="1" xfId="0" applyNumberFormat="1" applyBorder="1" applyAlignment="1">
      <alignment horizontal="center" vertical="center" wrapText="1"/>
    </xf>
    <xf numFmtId="0" fontId="0" fillId="0" borderId="1" xfId="0" applyFont="1" applyBorder="1" applyAlignment="1">
      <alignment vertical="center"/>
    </xf>
    <xf numFmtId="0" fontId="0" fillId="0" borderId="1" xfId="0" applyFont="1" applyFill="1" applyBorder="1" applyAlignment="1">
      <alignment horizontal="center" vertical="center" wrapText="1"/>
    </xf>
    <xf numFmtId="0" fontId="0" fillId="0" borderId="1" xfId="0" applyFont="1" applyBorder="1" applyAlignment="1">
      <alignment vertical="center" wrapText="1"/>
    </xf>
    <xf numFmtId="0" fontId="0" fillId="0" borderId="32" xfId="0" applyBorder="1" applyAlignment="1">
      <alignment vertical="center" wrapText="1"/>
    </xf>
    <xf numFmtId="3" fontId="0" fillId="0" borderId="1" xfId="0" applyNumberFormat="1" applyBorder="1" applyAlignment="1">
      <alignment vertical="center" wrapText="1"/>
    </xf>
    <xf numFmtId="0" fontId="23" fillId="0" borderId="0" xfId="0" applyFont="1" applyFill="1" applyAlignment="1">
      <alignment horizontal="justify" vertical="center"/>
    </xf>
    <xf numFmtId="0" fontId="1" fillId="0" borderId="1" xfId="0" applyFont="1" applyFill="1" applyBorder="1" applyAlignment="1">
      <alignment vertical="center" wrapText="1"/>
    </xf>
    <xf numFmtId="0" fontId="0" fillId="0" borderId="0" xfId="0" applyBorder="1" applyAlignment="1">
      <alignment vertical="center" wrapText="1"/>
    </xf>
    <xf numFmtId="0" fontId="2" fillId="0" borderId="1" xfId="1" applyFill="1" applyBorder="1" applyAlignment="1" applyProtection="1">
      <alignment vertical="center"/>
    </xf>
    <xf numFmtId="0" fontId="2" fillId="0" borderId="7" xfId="1" applyBorder="1" applyAlignment="1" applyProtection="1">
      <alignment vertical="center" wrapText="1"/>
    </xf>
    <xf numFmtId="0" fontId="2" fillId="0" borderId="8" xfId="1" applyFill="1" applyBorder="1" applyAlignment="1" applyProtection="1">
      <alignment vertical="center" wrapText="1"/>
    </xf>
    <xf numFmtId="0" fontId="2" fillId="8" borderId="0" xfId="1" applyFill="1" applyAlignment="1" applyProtection="1">
      <alignment horizontal="center" vertical="center"/>
    </xf>
    <xf numFmtId="0" fontId="2" fillId="8" borderId="0" xfId="1" applyFill="1" applyAlignment="1" applyProtection="1">
      <alignment vertical="center" wrapText="1"/>
    </xf>
    <xf numFmtId="0" fontId="0" fillId="8" borderId="1" xfId="0" applyFill="1" applyBorder="1" applyAlignment="1">
      <alignment horizontal="center" vertical="center" wrapText="1"/>
    </xf>
    <xf numFmtId="0" fontId="19" fillId="8" borderId="0" xfId="0" applyFont="1" applyFill="1" applyAlignment="1">
      <alignment vertical="center" wrapText="1"/>
    </xf>
    <xf numFmtId="0" fontId="0" fillId="8" borderId="1" xfId="0" applyFill="1" applyBorder="1" applyAlignment="1">
      <alignment vertical="center" wrapText="1"/>
    </xf>
    <xf numFmtId="0" fontId="1" fillId="8" borderId="1" xfId="0" applyFont="1" applyFill="1" applyBorder="1" applyAlignment="1">
      <alignment vertical="center" wrapText="1"/>
    </xf>
    <xf numFmtId="0" fontId="0" fillId="8" borderId="1" xfId="0" applyFill="1" applyBorder="1" applyAlignment="1">
      <alignment vertical="center"/>
    </xf>
    <xf numFmtId="0" fontId="0" fillId="8" borderId="0" xfId="0" applyFill="1" applyAlignment="1">
      <alignment vertical="center"/>
    </xf>
    <xf numFmtId="0" fontId="2" fillId="8" borderId="1" xfId="1" applyFill="1" applyBorder="1" applyAlignment="1" applyProtection="1">
      <alignment vertical="center"/>
    </xf>
    <xf numFmtId="14" fontId="0" fillId="8" borderId="1" xfId="0" applyNumberFormat="1" applyFill="1" applyBorder="1" applyAlignment="1">
      <alignment vertical="center"/>
    </xf>
    <xf numFmtId="0" fontId="0" fillId="8" borderId="1" xfId="0" applyFill="1" applyBorder="1" applyAlignment="1">
      <alignment horizontal="center" vertical="center"/>
    </xf>
    <xf numFmtId="0" fontId="0" fillId="8" borderId="1" xfId="0" applyFill="1" applyBorder="1"/>
    <xf numFmtId="0" fontId="0" fillId="8" borderId="1" xfId="0" applyFill="1" applyBorder="1" applyAlignment="1">
      <alignment wrapText="1"/>
    </xf>
    <xf numFmtId="0" fontId="2" fillId="9" borderId="1" xfId="1" applyFill="1" applyBorder="1" applyAlignment="1" applyProtection="1">
      <alignment vertical="center" wrapText="1"/>
    </xf>
    <xf numFmtId="0" fontId="0" fillId="9" borderId="1" xfId="0" applyFill="1" applyBorder="1" applyAlignment="1">
      <alignment horizontal="center" vertical="center"/>
    </xf>
    <xf numFmtId="0" fontId="0" fillId="9" borderId="1" xfId="0" applyFill="1" applyBorder="1" applyAlignment="1">
      <alignment vertical="center" wrapText="1"/>
    </xf>
    <xf numFmtId="0" fontId="0" fillId="9" borderId="1" xfId="0" applyFill="1" applyBorder="1" applyAlignment="1">
      <alignment horizontal="left" vertical="center" wrapText="1"/>
    </xf>
    <xf numFmtId="14" fontId="0" fillId="8" borderId="1" xfId="0" applyNumberFormat="1" applyFill="1" applyBorder="1" applyAlignment="1">
      <alignment horizontal="center" vertical="center"/>
    </xf>
    <xf numFmtId="0" fontId="0" fillId="8" borderId="1" xfId="0" applyFill="1" applyBorder="1" applyAlignment="1">
      <alignment vertical="top" wrapText="1"/>
    </xf>
    <xf numFmtId="0" fontId="0" fillId="8" borderId="1" xfId="0" applyFill="1" applyBorder="1" applyAlignment="1">
      <alignment horizontal="left" vertical="center" wrapText="1"/>
    </xf>
    <xf numFmtId="0" fontId="24" fillId="7" borderId="31" xfId="0" applyFont="1" applyFill="1" applyBorder="1" applyAlignment="1">
      <alignment horizontal="left" vertical="center" wrapText="1"/>
    </xf>
    <xf numFmtId="0" fontId="24" fillId="7" borderId="33" xfId="0" applyFont="1" applyFill="1" applyBorder="1" applyAlignment="1">
      <alignment horizontal="left" vertical="center" wrapText="1"/>
    </xf>
    <xf numFmtId="0" fontId="24" fillId="7" borderId="6" xfId="0" applyFont="1" applyFill="1" applyBorder="1" applyAlignment="1">
      <alignment horizontal="left" vertical="center" wrapText="1"/>
    </xf>
  </cellXfs>
  <cellStyles count="2">
    <cellStyle name="Lien hypertexte" xfId="1" builtinId="8"/>
    <cellStyle name="Normal" xfId="0" builtinId="0"/>
  </cellStyles>
  <dxfs count="10">
    <dxf>
      <fill>
        <patternFill>
          <bgColor rgb="FF00D05E"/>
        </patternFill>
      </fill>
    </dxf>
    <dxf>
      <fill>
        <patternFill>
          <bgColor rgb="FF78D95D"/>
        </patternFill>
      </fill>
    </dxf>
    <dxf>
      <fill>
        <patternFill>
          <bgColor rgb="FFFFFF00"/>
        </patternFill>
      </fill>
    </dxf>
    <dxf>
      <fill>
        <patternFill>
          <bgColor rgb="FFFFC000"/>
        </patternFill>
      </fill>
    </dxf>
    <dxf>
      <fill>
        <patternFill>
          <bgColor rgb="FFFF0000"/>
        </patternFill>
      </fill>
    </dxf>
    <dxf>
      <fill>
        <patternFill>
          <bgColor rgb="FF00D05E"/>
        </patternFill>
      </fill>
    </dxf>
    <dxf>
      <fill>
        <patternFill>
          <bgColor rgb="FF8FEC88"/>
        </patternFill>
      </fill>
    </dxf>
    <dxf>
      <fill>
        <patternFill>
          <bgColor rgb="FFFFFF00"/>
        </patternFill>
      </fill>
    </dxf>
    <dxf>
      <fill>
        <patternFill>
          <bgColor rgb="FFFFC000"/>
        </patternFill>
      </fill>
    </dxf>
    <dxf>
      <fill>
        <patternFill>
          <bgColor rgb="FFFF000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 Id="rId9" Type="http://schemas.openxmlformats.org/officeDocument/2006/relationships/image" Target="../media/image9.emf"/></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7.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1</xdr:col>
      <xdr:colOff>104775</xdr:colOff>
      <xdr:row>48</xdr:row>
      <xdr:rowOff>1781175</xdr:rowOff>
    </xdr:from>
    <xdr:to>
      <xdr:col>1</xdr:col>
      <xdr:colOff>1466850</xdr:colOff>
      <xdr:row>48</xdr:row>
      <xdr:rowOff>771525</xdr:rowOff>
    </xdr:to>
    <xdr:pic>
      <xdr:nvPicPr>
        <xdr:cNvPr id="15636" name="Picture 5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66775" y="219151200"/>
          <a:ext cx="13620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28575</xdr:colOff>
      <xdr:row>54</xdr:row>
      <xdr:rowOff>1057275</xdr:rowOff>
    </xdr:from>
    <xdr:to>
      <xdr:col>1</xdr:col>
      <xdr:colOff>1562100</xdr:colOff>
      <xdr:row>54</xdr:row>
      <xdr:rowOff>752475</xdr:rowOff>
    </xdr:to>
    <xdr:pic>
      <xdr:nvPicPr>
        <xdr:cNvPr id="15637" name="Picture 105"/>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0575" y="245602125"/>
          <a:ext cx="15335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46</xdr:row>
      <xdr:rowOff>1295400</xdr:rowOff>
    </xdr:from>
    <xdr:to>
      <xdr:col>1</xdr:col>
      <xdr:colOff>1543050</xdr:colOff>
      <xdr:row>46</xdr:row>
      <xdr:rowOff>742950</xdr:rowOff>
    </xdr:to>
    <xdr:pic>
      <xdr:nvPicPr>
        <xdr:cNvPr id="15638" name="Picture 241"/>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19150" y="210512025"/>
          <a:ext cx="1485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133350</xdr:colOff>
      <xdr:row>65</xdr:row>
      <xdr:rowOff>2714625</xdr:rowOff>
    </xdr:from>
    <xdr:to>
      <xdr:col>1</xdr:col>
      <xdr:colOff>1495425</xdr:colOff>
      <xdr:row>65</xdr:row>
      <xdr:rowOff>3333750</xdr:rowOff>
    </xdr:to>
    <xdr:pic>
      <xdr:nvPicPr>
        <xdr:cNvPr id="15650" name="Picture 5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95350" y="303933225"/>
          <a:ext cx="1362075" cy="619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28575</xdr:colOff>
      <xdr:row>48</xdr:row>
      <xdr:rowOff>1009650</xdr:rowOff>
    </xdr:from>
    <xdr:to>
      <xdr:col>1</xdr:col>
      <xdr:colOff>1562100</xdr:colOff>
      <xdr:row>48</xdr:row>
      <xdr:rowOff>1657350</xdr:rowOff>
    </xdr:to>
    <xdr:pic>
      <xdr:nvPicPr>
        <xdr:cNvPr id="15662" name="Picture 101"/>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90575" y="218379675"/>
          <a:ext cx="15335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28575</xdr:colOff>
      <xdr:row>71</xdr:row>
      <xdr:rowOff>1057275</xdr:rowOff>
    </xdr:from>
    <xdr:to>
      <xdr:col>1</xdr:col>
      <xdr:colOff>1562100</xdr:colOff>
      <xdr:row>71</xdr:row>
      <xdr:rowOff>1533525</xdr:rowOff>
    </xdr:to>
    <xdr:pic>
      <xdr:nvPicPr>
        <xdr:cNvPr id="15666" name="Picture 105"/>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0575" y="330755625"/>
          <a:ext cx="1533525" cy="476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171450</xdr:colOff>
      <xdr:row>66</xdr:row>
      <xdr:rowOff>85725</xdr:rowOff>
    </xdr:from>
    <xdr:to>
      <xdr:col>1</xdr:col>
      <xdr:colOff>1457325</xdr:colOff>
      <xdr:row>66</xdr:row>
      <xdr:rowOff>819150</xdr:rowOff>
    </xdr:to>
    <xdr:pic>
      <xdr:nvPicPr>
        <xdr:cNvPr id="15669" name="Picture 165"/>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933450" y="305495325"/>
          <a:ext cx="1285875"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63</xdr:row>
      <xdr:rowOff>1466850</xdr:rowOff>
    </xdr:from>
    <xdr:to>
      <xdr:col>1</xdr:col>
      <xdr:colOff>1543050</xdr:colOff>
      <xdr:row>63</xdr:row>
      <xdr:rowOff>2752725</xdr:rowOff>
    </xdr:to>
    <xdr:pic>
      <xdr:nvPicPr>
        <xdr:cNvPr id="15676" name="Picture 241"/>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19150" y="292341300"/>
          <a:ext cx="1485900" cy="1285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200025</xdr:colOff>
      <xdr:row>60</xdr:row>
      <xdr:rowOff>3552825</xdr:rowOff>
    </xdr:from>
    <xdr:to>
      <xdr:col>1</xdr:col>
      <xdr:colOff>1114425</xdr:colOff>
      <xdr:row>60</xdr:row>
      <xdr:rowOff>4933950</xdr:rowOff>
    </xdr:to>
    <xdr:pic>
      <xdr:nvPicPr>
        <xdr:cNvPr id="15691" name="Picture 281"/>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962025" y="278834850"/>
          <a:ext cx="914400" cy="1381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38100</xdr:colOff>
      <xdr:row>93</xdr:row>
      <xdr:rowOff>1685925</xdr:rowOff>
    </xdr:from>
    <xdr:to>
      <xdr:col>1</xdr:col>
      <xdr:colOff>1562100</xdr:colOff>
      <xdr:row>93</xdr:row>
      <xdr:rowOff>771525</xdr:rowOff>
    </xdr:to>
    <xdr:pic>
      <xdr:nvPicPr>
        <xdr:cNvPr id="15703" name="Picture 30"/>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800100" y="406403175"/>
          <a:ext cx="15240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28575</xdr:colOff>
      <xdr:row>99</xdr:row>
      <xdr:rowOff>1057275</xdr:rowOff>
    </xdr:from>
    <xdr:to>
      <xdr:col>1</xdr:col>
      <xdr:colOff>1562100</xdr:colOff>
      <xdr:row>99</xdr:row>
      <xdr:rowOff>752475</xdr:rowOff>
    </xdr:to>
    <xdr:pic>
      <xdr:nvPicPr>
        <xdr:cNvPr id="15709" name="Picture 105"/>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0575" y="427358175"/>
          <a:ext cx="15335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133350</xdr:colOff>
      <xdr:row>65</xdr:row>
      <xdr:rowOff>2714625</xdr:rowOff>
    </xdr:from>
    <xdr:to>
      <xdr:col>1</xdr:col>
      <xdr:colOff>1562100</xdr:colOff>
      <xdr:row>66</xdr:row>
      <xdr:rowOff>1028700</xdr:rowOff>
    </xdr:to>
    <xdr:pic>
      <xdr:nvPicPr>
        <xdr:cNvPr id="15721" name="Image 55" descr="http://www.lamanufacturedurable.com/_files/press/files/6_logo_lmd_version_black_avec_baseline.jpg"/>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895350" y="303933225"/>
          <a:ext cx="1428750" cy="1028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409575</xdr:colOff>
      <xdr:row>84</xdr:row>
      <xdr:rowOff>304800</xdr:rowOff>
    </xdr:from>
    <xdr:to>
      <xdr:col>9</xdr:col>
      <xdr:colOff>6172200</xdr:colOff>
      <xdr:row>84</xdr:row>
      <xdr:rowOff>3200400</xdr:rowOff>
    </xdr:to>
    <xdr:pic>
      <xdr:nvPicPr>
        <xdr:cNvPr id="15724" name="Image 25"/>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13192125" y="370770150"/>
          <a:ext cx="5762625" cy="2895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133350</xdr:colOff>
      <xdr:row>6</xdr:row>
      <xdr:rowOff>790575</xdr:rowOff>
    </xdr:from>
    <xdr:to>
      <xdr:col>1</xdr:col>
      <xdr:colOff>1495425</xdr:colOff>
      <xdr:row>6</xdr:row>
      <xdr:rowOff>762000</xdr:rowOff>
    </xdr:to>
    <xdr:pic>
      <xdr:nvPicPr>
        <xdr:cNvPr id="4178" name="Picture 5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95350" y="24984075"/>
          <a:ext cx="13620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38100</xdr:colOff>
      <xdr:row>16</xdr:row>
      <xdr:rowOff>1685925</xdr:rowOff>
    </xdr:from>
    <xdr:to>
      <xdr:col>1</xdr:col>
      <xdr:colOff>1562100</xdr:colOff>
      <xdr:row>16</xdr:row>
      <xdr:rowOff>762000</xdr:rowOff>
    </xdr:to>
    <xdr:pic>
      <xdr:nvPicPr>
        <xdr:cNvPr id="11506" name="Picture 3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100" y="74542650"/>
          <a:ext cx="15240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28575</xdr:colOff>
      <xdr:row>22</xdr:row>
      <xdr:rowOff>1057275</xdr:rowOff>
    </xdr:from>
    <xdr:to>
      <xdr:col>1</xdr:col>
      <xdr:colOff>1562100</xdr:colOff>
      <xdr:row>22</xdr:row>
      <xdr:rowOff>762000</xdr:rowOff>
    </xdr:to>
    <xdr:pic>
      <xdr:nvPicPr>
        <xdr:cNvPr id="11507" name="Picture 105"/>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0575" y="94011750"/>
          <a:ext cx="15335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57150</xdr:colOff>
      <xdr:row>6</xdr:row>
      <xdr:rowOff>895350</xdr:rowOff>
    </xdr:from>
    <xdr:to>
      <xdr:col>1</xdr:col>
      <xdr:colOff>1543050</xdr:colOff>
      <xdr:row>6</xdr:row>
      <xdr:rowOff>762000</xdr:rowOff>
    </xdr:to>
    <xdr:pic>
      <xdr:nvPicPr>
        <xdr:cNvPr id="7249" name="Picture 24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9150" y="26050875"/>
          <a:ext cx="1485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planetepublique.fr/" TargetMode="External"/><Relationship Id="rId13" Type="http://schemas.openxmlformats.org/officeDocument/2006/relationships/hyperlink" Target="http://www.impact-environnement.fr/index.html" TargetMode="External"/><Relationship Id="rId18" Type="http://schemas.openxmlformats.org/officeDocument/2006/relationships/drawing" Target="../drawings/drawing1.xml"/><Relationship Id="rId3" Type="http://schemas.openxmlformats.org/officeDocument/2006/relationships/hyperlink" Target="http://www.adequationconsulting.fr/" TargetMode="External"/><Relationship Id="rId7" Type="http://schemas.openxmlformats.org/officeDocument/2006/relationships/hyperlink" Target="http://www.s2dc-consulting.com/" TargetMode="External"/><Relationship Id="rId12" Type="http://schemas.openxmlformats.org/officeDocument/2006/relationships/hyperlink" Target="http://www.inffolor.org/portail/public/fr/content/mcm-conseil" TargetMode="External"/><Relationship Id="rId17" Type="http://schemas.openxmlformats.org/officeDocument/2006/relationships/printerSettings" Target="../printerSettings/printerSettings1.bin"/><Relationship Id="rId2" Type="http://schemas.openxmlformats.org/officeDocument/2006/relationships/hyperlink" Target="http://www.lbmg-worklabs.com/" TargetMode="External"/><Relationship Id="rId16" Type="http://schemas.openxmlformats.org/officeDocument/2006/relationships/hyperlink" Target="http://www.septconseil.com/contact/" TargetMode="External"/><Relationship Id="rId1" Type="http://schemas.openxmlformats.org/officeDocument/2006/relationships/hyperlink" Target="../../../AppData/Local/Microsoft/Windows/Temporary%20Internet%20Files/Content.Outlook/OQP7U2RV/LBMG%20Worklabs.doc" TargetMode="External"/><Relationship Id="rId6" Type="http://schemas.openxmlformats.org/officeDocument/2006/relationships/hyperlink" Target="http://www.nouveaux-territoires.fr/Ntc_officiel.html" TargetMode="External"/><Relationship Id="rId11" Type="http://schemas.openxmlformats.org/officeDocument/2006/relationships/hyperlink" Target="http://www.extra-muros.coop/" TargetMode="External"/><Relationship Id="rId5" Type="http://schemas.openxmlformats.org/officeDocument/2006/relationships/hyperlink" Target="http://www.alexandrie.fr/" TargetMode="External"/><Relationship Id="rId15" Type="http://schemas.openxmlformats.org/officeDocument/2006/relationships/hyperlink" Target="Sept%20conseil.doc" TargetMode="External"/><Relationship Id="rId10" Type="http://schemas.openxmlformats.org/officeDocument/2006/relationships/hyperlink" Target="http://www.advolys.fr/" TargetMode="External"/><Relationship Id="rId4" Type="http://schemas.openxmlformats.org/officeDocument/2006/relationships/hyperlink" Target="http://www.equineo.com/" TargetMode="External"/><Relationship Id="rId9" Type="http://schemas.openxmlformats.org/officeDocument/2006/relationships/hyperlink" Target="http://www.strategie-durable.fr/index.php" TargetMode="External"/><Relationship Id="rId14" Type="http://schemas.openxmlformats.org/officeDocument/2006/relationships/hyperlink" Target="http://www.jlo-conseil.com/"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8" Type="http://schemas.openxmlformats.org/officeDocument/2006/relationships/hyperlink" Target="http://www.planetepublique.fr/" TargetMode="External"/><Relationship Id="rId3" Type="http://schemas.openxmlformats.org/officeDocument/2006/relationships/hyperlink" Target="http://www.adequationconsulting.fr/" TargetMode="External"/><Relationship Id="rId7" Type="http://schemas.openxmlformats.org/officeDocument/2006/relationships/hyperlink" Target="http://www.s2dc-consulting.com/" TargetMode="External"/><Relationship Id="rId2" Type="http://schemas.openxmlformats.org/officeDocument/2006/relationships/hyperlink" Target="http://www.lbmg-worklabs.com/" TargetMode="External"/><Relationship Id="rId1" Type="http://schemas.openxmlformats.org/officeDocument/2006/relationships/hyperlink" Target="../../../AppData/Local/Microsoft/Windows/Temporary%20Internet%20Files/Content.Outlook/OQP7U2RV/LBMG%20Worklabs.doc" TargetMode="External"/><Relationship Id="rId6" Type="http://schemas.openxmlformats.org/officeDocument/2006/relationships/hyperlink" Target="http://www.nouveaux-territoires.fr/Ntc_officiel.html" TargetMode="External"/><Relationship Id="rId5" Type="http://schemas.openxmlformats.org/officeDocument/2006/relationships/hyperlink" Target="http://www.alexandrie.fr/" TargetMode="External"/><Relationship Id="rId4" Type="http://schemas.openxmlformats.org/officeDocument/2006/relationships/hyperlink" Target="http://www.equineo.com/" TargetMode="External"/><Relationship Id="rId9" Type="http://schemas.openxmlformats.org/officeDocument/2006/relationships/drawing" Target="../drawings/drawing3.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0.xml.rels><?xml version="1.0" encoding="UTF-8" standalone="yes"?>
<Relationships xmlns="http://schemas.openxmlformats.org/package/2006/relationships"><Relationship Id="rId1" Type="http://schemas.openxmlformats.org/officeDocument/2006/relationships/hyperlink" Target="http://www.strategie-durable.fr/index.php"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http://www.advolys.fr/" TargetMode="External"/></Relationships>
</file>

<file path=xl/worksheets/_rels/sheet12.xml.rels><?xml version="1.0" encoding="UTF-8" standalone="yes"?>
<Relationships xmlns="http://schemas.openxmlformats.org/package/2006/relationships"><Relationship Id="rId1" Type="http://schemas.openxmlformats.org/officeDocument/2006/relationships/hyperlink" Target="http://www.extra-muros.coop/" TargetMode="External"/></Relationships>
</file>

<file path=xl/worksheets/_rels/sheet13.xml.rels><?xml version="1.0" encoding="UTF-8" standalone="yes"?>
<Relationships xmlns="http://schemas.openxmlformats.org/package/2006/relationships"><Relationship Id="rId1" Type="http://schemas.openxmlformats.org/officeDocument/2006/relationships/hyperlink" Target="http://www.inffolor.org/portail/public/fr/content/mcm-consei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9"/>
  <sheetViews>
    <sheetView tabSelected="1" zoomScale="60" zoomScaleNormal="60" workbookViewId="0">
      <pane xSplit="2" ySplit="1" topLeftCell="C3" activePane="bottomRight" state="frozen"/>
      <selection pane="topRight" activeCell="B1" sqref="B1"/>
      <selection pane="bottomLeft" activeCell="A2" sqref="A2"/>
      <selection pane="bottomRight" activeCell="B3" sqref="B3"/>
    </sheetView>
  </sheetViews>
  <sheetFormatPr baseColWidth="10" defaultRowHeight="15" x14ac:dyDescent="0.25"/>
  <cols>
    <col min="1" max="1" width="11.42578125" style="4"/>
    <col min="2" max="3" width="23.7109375" style="4" customWidth="1"/>
    <col min="4" max="4" width="16.85546875" style="1" customWidth="1"/>
    <col min="5" max="5" width="18.7109375" style="1" customWidth="1"/>
    <col min="6" max="6" width="17.42578125" style="1" customWidth="1"/>
    <col min="7" max="7" width="13.85546875" style="1" customWidth="1"/>
    <col min="8" max="8" width="21.85546875" style="4" customWidth="1"/>
    <col min="9" max="9" width="44.140625" style="4" customWidth="1"/>
    <col min="10" max="10" width="108.85546875" style="4" customWidth="1"/>
    <col min="11" max="11" width="34.42578125" style="4" customWidth="1"/>
    <col min="12" max="12" width="50" style="4" customWidth="1"/>
    <col min="13" max="13" width="57.42578125" style="4" customWidth="1"/>
    <col min="14" max="14" width="58.85546875" style="4" customWidth="1"/>
    <col min="15" max="15" width="24.28515625" style="4" bestFit="1" customWidth="1"/>
    <col min="16" max="16" width="24.5703125" style="4" bestFit="1" customWidth="1"/>
    <col min="17" max="17" width="9.28515625" style="4" customWidth="1"/>
    <col min="18" max="16384" width="11.42578125" style="4"/>
  </cols>
  <sheetData>
    <row r="1" spans="2:18" s="2" customFormat="1" ht="29.25" customHeight="1" x14ac:dyDescent="0.25">
      <c r="B1" s="74" t="s">
        <v>90</v>
      </c>
      <c r="C1" s="74" t="s">
        <v>143</v>
      </c>
      <c r="D1" s="75" t="s">
        <v>91</v>
      </c>
      <c r="E1" s="75" t="s">
        <v>92</v>
      </c>
      <c r="F1" s="74" t="s">
        <v>93</v>
      </c>
      <c r="G1" s="74" t="s">
        <v>94</v>
      </c>
      <c r="H1" s="74" t="s">
        <v>95</v>
      </c>
      <c r="I1" s="74" t="s">
        <v>96</v>
      </c>
      <c r="J1" s="74" t="s">
        <v>97</v>
      </c>
      <c r="K1" s="74" t="s">
        <v>144</v>
      </c>
      <c r="L1" s="74" t="s">
        <v>98</v>
      </c>
      <c r="M1" s="74" t="s">
        <v>100</v>
      </c>
      <c r="N1" s="74" t="s">
        <v>99</v>
      </c>
      <c r="O1" s="76" t="s">
        <v>45</v>
      </c>
      <c r="P1" s="76" t="s">
        <v>46</v>
      </c>
      <c r="Q1" s="76" t="s">
        <v>47</v>
      </c>
      <c r="R1" s="76" t="s">
        <v>44</v>
      </c>
    </row>
    <row r="2" spans="2:18" s="10" customFormat="1" ht="180.75" customHeight="1" x14ac:dyDescent="0.25">
      <c r="B2" s="69" t="s">
        <v>146</v>
      </c>
      <c r="C2" s="6" t="s">
        <v>147</v>
      </c>
      <c r="D2" s="7">
        <v>2010</v>
      </c>
      <c r="E2" s="59" t="s">
        <v>148</v>
      </c>
      <c r="F2" s="7" t="s">
        <v>149</v>
      </c>
      <c r="G2" s="7" t="s">
        <v>150</v>
      </c>
      <c r="H2" s="3" t="s">
        <v>151</v>
      </c>
      <c r="I2" s="3" t="s">
        <v>152</v>
      </c>
      <c r="J2" s="3" t="s">
        <v>153</v>
      </c>
      <c r="K2" s="3" t="s">
        <v>252</v>
      </c>
      <c r="L2" s="3" t="s">
        <v>155</v>
      </c>
      <c r="M2" s="3" t="s">
        <v>156</v>
      </c>
      <c r="N2" s="3"/>
      <c r="O2" s="3">
        <v>75</v>
      </c>
      <c r="P2" s="3"/>
      <c r="Q2" s="3"/>
      <c r="R2" s="3">
        <v>1</v>
      </c>
    </row>
    <row r="3" spans="2:18" s="10" customFormat="1" ht="409.5" customHeight="1" x14ac:dyDescent="0.25">
      <c r="B3" s="61" t="s">
        <v>157</v>
      </c>
      <c r="C3" s="6" t="s">
        <v>158</v>
      </c>
      <c r="D3" s="62">
        <v>38246</v>
      </c>
      <c r="E3" s="7">
        <v>4</v>
      </c>
      <c r="F3" s="7" t="s">
        <v>159</v>
      </c>
      <c r="G3" s="7" t="s">
        <v>160</v>
      </c>
      <c r="H3" s="3" t="s">
        <v>161</v>
      </c>
      <c r="I3" s="3" t="s">
        <v>162</v>
      </c>
      <c r="J3" s="37" t="s">
        <v>163</v>
      </c>
      <c r="K3" s="3" t="s">
        <v>164</v>
      </c>
      <c r="L3" s="3" t="s">
        <v>165</v>
      </c>
      <c r="M3" s="3" t="s">
        <v>166</v>
      </c>
      <c r="N3" s="3"/>
      <c r="O3" s="10">
        <v>76</v>
      </c>
      <c r="R3" s="10">
        <v>1</v>
      </c>
    </row>
    <row r="4" spans="2:18" s="130" customFormat="1" ht="374.25" customHeight="1" x14ac:dyDescent="0.25">
      <c r="B4" s="130" t="s">
        <v>167</v>
      </c>
      <c r="C4" s="132" t="s">
        <v>168</v>
      </c>
      <c r="D4" s="133">
        <v>38418</v>
      </c>
      <c r="E4" s="134">
        <v>7</v>
      </c>
      <c r="F4" s="126" t="s">
        <v>169</v>
      </c>
      <c r="G4" s="126" t="s">
        <v>170</v>
      </c>
      <c r="H4" s="126" t="s">
        <v>171</v>
      </c>
      <c r="I4" s="139" t="s">
        <v>288</v>
      </c>
      <c r="J4" s="128" t="s">
        <v>173</v>
      </c>
      <c r="K4" s="128" t="s">
        <v>174</v>
      </c>
      <c r="L4" s="128" t="s">
        <v>175</v>
      </c>
      <c r="M4" s="128" t="s">
        <v>176</v>
      </c>
      <c r="N4" s="140" t="s">
        <v>304</v>
      </c>
      <c r="O4" s="130">
        <v>93</v>
      </c>
      <c r="P4" s="130">
        <v>34</v>
      </c>
      <c r="Q4" s="135"/>
      <c r="R4" s="130">
        <v>1</v>
      </c>
    </row>
    <row r="5" spans="2:18" s="10" customFormat="1" ht="329.25" customHeight="1" x14ac:dyDescent="0.25">
      <c r="B5" s="10" t="s">
        <v>186</v>
      </c>
      <c r="C5" s="69" t="s">
        <v>187</v>
      </c>
      <c r="D5" s="70">
        <v>36125</v>
      </c>
      <c r="E5" s="7" t="s">
        <v>188</v>
      </c>
      <c r="F5" s="71" t="s">
        <v>149</v>
      </c>
      <c r="G5" s="71" t="s">
        <v>42</v>
      </c>
      <c r="H5" s="61" t="s">
        <v>181</v>
      </c>
      <c r="I5" s="61" t="s">
        <v>253</v>
      </c>
      <c r="J5" s="84" t="s">
        <v>247</v>
      </c>
      <c r="K5" s="3" t="s">
        <v>190</v>
      </c>
      <c r="L5" s="85" t="s">
        <v>191</v>
      </c>
      <c r="M5" s="61" t="s">
        <v>192</v>
      </c>
      <c r="N5" s="72"/>
      <c r="O5" s="73">
        <v>76</v>
      </c>
      <c r="P5" s="72"/>
      <c r="Q5" s="72"/>
      <c r="R5" s="73">
        <v>1</v>
      </c>
    </row>
    <row r="6" spans="2:18" s="130" customFormat="1" ht="369.75" customHeight="1" x14ac:dyDescent="0.25">
      <c r="B6" s="128" t="s">
        <v>292</v>
      </c>
      <c r="C6" s="132" t="s">
        <v>205</v>
      </c>
      <c r="D6" s="133">
        <v>37355</v>
      </c>
      <c r="E6" s="134">
        <v>4</v>
      </c>
      <c r="F6" s="126" t="s">
        <v>206</v>
      </c>
      <c r="G6" s="126" t="s">
        <v>207</v>
      </c>
      <c r="H6" s="128" t="s">
        <v>208</v>
      </c>
      <c r="I6" s="128" t="s">
        <v>294</v>
      </c>
      <c r="J6" s="142" t="s">
        <v>293</v>
      </c>
      <c r="K6" s="128" t="s">
        <v>291</v>
      </c>
      <c r="L6" s="128" t="s">
        <v>210</v>
      </c>
      <c r="M6" s="128" t="s">
        <v>295</v>
      </c>
      <c r="N6" s="139" t="s">
        <v>296</v>
      </c>
      <c r="O6" s="130">
        <v>75</v>
      </c>
      <c r="P6" s="135"/>
      <c r="Q6" s="135"/>
      <c r="R6" s="130">
        <v>1</v>
      </c>
    </row>
    <row r="7" spans="2:18" s="10" customFormat="1" ht="159.75" customHeight="1" x14ac:dyDescent="0.25">
      <c r="B7" s="3" t="s">
        <v>219</v>
      </c>
      <c r="C7" s="69" t="s">
        <v>220</v>
      </c>
      <c r="D7" s="82">
        <v>40443</v>
      </c>
      <c r="E7" s="83">
        <v>3</v>
      </c>
      <c r="F7" s="71" t="s">
        <v>221</v>
      </c>
      <c r="G7" s="71" t="s">
        <v>222</v>
      </c>
      <c r="H7" s="61" t="s">
        <v>223</v>
      </c>
      <c r="I7" s="61" t="s">
        <v>224</v>
      </c>
      <c r="J7" s="86" t="s">
        <v>254</v>
      </c>
      <c r="K7" s="3" t="s">
        <v>228</v>
      </c>
      <c r="L7" s="85" t="s">
        <v>306</v>
      </c>
      <c r="M7" s="61" t="s">
        <v>226</v>
      </c>
      <c r="N7" s="72"/>
      <c r="O7" s="73">
        <v>75</v>
      </c>
      <c r="P7" s="72"/>
      <c r="Q7" s="72"/>
      <c r="R7" s="73">
        <v>1</v>
      </c>
    </row>
    <row r="8" spans="2:18" s="130" customFormat="1" ht="234" customHeight="1" x14ac:dyDescent="0.25">
      <c r="B8" s="130" t="s">
        <v>229</v>
      </c>
      <c r="C8" s="132" t="s">
        <v>230</v>
      </c>
      <c r="D8" s="133">
        <v>38922</v>
      </c>
      <c r="E8" s="138">
        <v>12</v>
      </c>
      <c r="F8" s="126" t="s">
        <v>231</v>
      </c>
      <c r="G8" s="126" t="s">
        <v>232</v>
      </c>
      <c r="H8" s="128" t="s">
        <v>233</v>
      </c>
      <c r="I8" s="128" t="s">
        <v>301</v>
      </c>
      <c r="J8" s="139" t="s">
        <v>302</v>
      </c>
      <c r="K8" s="128" t="s">
        <v>235</v>
      </c>
      <c r="L8" s="135"/>
      <c r="M8" s="142" t="s">
        <v>236</v>
      </c>
      <c r="N8" s="140" t="s">
        <v>305</v>
      </c>
      <c r="O8" s="130">
        <v>75</v>
      </c>
      <c r="P8" s="135"/>
      <c r="Q8" s="135"/>
      <c r="R8" s="130">
        <v>1</v>
      </c>
    </row>
    <row r="9" spans="2:18" s="130" customFormat="1" ht="272.25" customHeight="1" x14ac:dyDescent="0.25">
      <c r="B9" s="130" t="s">
        <v>211</v>
      </c>
      <c r="C9" s="132" t="s">
        <v>212</v>
      </c>
      <c r="D9" s="133">
        <v>39845</v>
      </c>
      <c r="E9" s="134">
        <v>1</v>
      </c>
      <c r="F9" s="126" t="s">
        <v>213</v>
      </c>
      <c r="G9" s="126" t="s">
        <v>42</v>
      </c>
      <c r="H9" s="128" t="s">
        <v>214</v>
      </c>
      <c r="I9" s="128" t="s">
        <v>216</v>
      </c>
      <c r="J9" s="142" t="s">
        <v>299</v>
      </c>
      <c r="K9" s="128" t="s">
        <v>298</v>
      </c>
      <c r="L9" s="135"/>
      <c r="M9" s="142" t="s">
        <v>297</v>
      </c>
      <c r="N9" s="139" t="s">
        <v>300</v>
      </c>
      <c r="O9" s="130">
        <v>26</v>
      </c>
      <c r="P9" s="130">
        <v>21</v>
      </c>
      <c r="Q9" s="135"/>
      <c r="R9" s="130">
        <v>1</v>
      </c>
    </row>
    <row r="10" spans="2:18" s="10" customFormat="1" ht="207.75" customHeight="1" x14ac:dyDescent="0.25">
      <c r="B10" s="10" t="s">
        <v>177</v>
      </c>
      <c r="C10" s="69" t="s">
        <v>178</v>
      </c>
      <c r="D10" s="70">
        <v>39722</v>
      </c>
      <c r="E10" s="7" t="s">
        <v>179</v>
      </c>
      <c r="F10" s="71" t="s">
        <v>180</v>
      </c>
      <c r="G10" s="71" t="s">
        <v>42</v>
      </c>
      <c r="H10" s="71" t="s">
        <v>181</v>
      </c>
      <c r="I10" s="61" t="s">
        <v>182</v>
      </c>
      <c r="J10" s="3" t="s">
        <v>183</v>
      </c>
      <c r="K10" s="61" t="s">
        <v>246</v>
      </c>
      <c r="L10" s="61" t="s">
        <v>184</v>
      </c>
      <c r="M10" s="61" t="s">
        <v>185</v>
      </c>
      <c r="N10" s="72"/>
      <c r="O10" s="73">
        <v>27</v>
      </c>
      <c r="P10" s="10">
        <v>14</v>
      </c>
      <c r="Q10" s="72"/>
      <c r="R10" s="73">
        <v>1</v>
      </c>
    </row>
    <row r="11" spans="2:18" s="130" customFormat="1" ht="384.75" customHeight="1" x14ac:dyDescent="0.25">
      <c r="B11" s="130" t="s">
        <v>193</v>
      </c>
      <c r="C11" s="132" t="s">
        <v>194</v>
      </c>
      <c r="D11" s="141">
        <v>34060</v>
      </c>
      <c r="E11" s="139" t="s">
        <v>290</v>
      </c>
      <c r="F11" s="126" t="s">
        <v>196</v>
      </c>
      <c r="G11" s="126" t="s">
        <v>197</v>
      </c>
      <c r="H11" s="128" t="s">
        <v>198</v>
      </c>
      <c r="I11" s="128" t="s">
        <v>199</v>
      </c>
      <c r="J11" s="142" t="s">
        <v>255</v>
      </c>
      <c r="K11" s="128" t="s">
        <v>202</v>
      </c>
      <c r="L11" s="143" t="s">
        <v>289</v>
      </c>
      <c r="M11" s="128" t="s">
        <v>201</v>
      </c>
      <c r="N11" s="139" t="s">
        <v>303</v>
      </c>
      <c r="O11" s="130">
        <v>59</v>
      </c>
      <c r="P11" s="135"/>
      <c r="Q11" s="135"/>
      <c r="R11" s="130">
        <v>1</v>
      </c>
    </row>
    <row r="12" spans="2:18" s="130" customFormat="1" ht="160.5" customHeight="1" x14ac:dyDescent="0.25">
      <c r="B12" s="130" t="s">
        <v>238</v>
      </c>
      <c r="C12" s="132" t="s">
        <v>239</v>
      </c>
      <c r="D12" s="133">
        <v>36739</v>
      </c>
      <c r="E12" s="134">
        <v>1</v>
      </c>
      <c r="F12" s="126" t="s">
        <v>240</v>
      </c>
      <c r="G12" s="135"/>
      <c r="H12" s="136" t="s">
        <v>241</v>
      </c>
      <c r="I12" s="128" t="s">
        <v>242</v>
      </c>
      <c r="J12" s="128" t="s">
        <v>243</v>
      </c>
      <c r="K12" s="128" t="s">
        <v>256</v>
      </c>
      <c r="L12" s="128" t="s">
        <v>244</v>
      </c>
      <c r="M12" s="135"/>
      <c r="N12" s="135"/>
      <c r="O12" s="130">
        <v>57</v>
      </c>
      <c r="P12" s="135"/>
      <c r="Q12" s="135"/>
      <c r="R12" s="130">
        <v>1</v>
      </c>
    </row>
    <row r="13" spans="2:18" s="10" customFormat="1" ht="349.5" customHeight="1" x14ac:dyDescent="0.25">
      <c r="B13" s="7" t="s">
        <v>264</v>
      </c>
      <c r="C13" s="6" t="s">
        <v>263</v>
      </c>
      <c r="D13" s="62">
        <v>36557</v>
      </c>
      <c r="E13" s="7" t="s">
        <v>265</v>
      </c>
      <c r="F13" s="7" t="s">
        <v>257</v>
      </c>
      <c r="G13" s="7" t="s">
        <v>258</v>
      </c>
      <c r="H13" s="3" t="s">
        <v>262</v>
      </c>
      <c r="I13" s="3" t="s">
        <v>267</v>
      </c>
      <c r="J13" s="37" t="s">
        <v>260</v>
      </c>
      <c r="K13" s="3" t="s">
        <v>259</v>
      </c>
      <c r="L13" s="3" t="s">
        <v>266</v>
      </c>
      <c r="M13" s="3" t="s">
        <v>261</v>
      </c>
      <c r="N13" s="3"/>
      <c r="O13" s="10">
        <v>49</v>
      </c>
      <c r="R13" s="10">
        <v>1</v>
      </c>
    </row>
    <row r="14" spans="2:18" s="10" customFormat="1" ht="291.75" customHeight="1" x14ac:dyDescent="0.25">
      <c r="B14" s="36" t="s">
        <v>268</v>
      </c>
      <c r="C14" s="6" t="s">
        <v>269</v>
      </c>
      <c r="D14" s="83">
        <v>2005</v>
      </c>
      <c r="E14" s="7" t="s">
        <v>273</v>
      </c>
      <c r="F14" s="7" t="s">
        <v>277</v>
      </c>
      <c r="G14" s="7" t="s">
        <v>278</v>
      </c>
      <c r="H14" s="3" t="s">
        <v>271</v>
      </c>
      <c r="I14" s="3" t="s">
        <v>270</v>
      </c>
      <c r="J14" s="37" t="s">
        <v>276</v>
      </c>
      <c r="K14" s="37" t="s">
        <v>272</v>
      </c>
      <c r="L14" s="3" t="s">
        <v>275</v>
      </c>
      <c r="M14" s="3" t="s">
        <v>274</v>
      </c>
      <c r="N14" s="3"/>
      <c r="O14" s="10">
        <v>69</v>
      </c>
      <c r="R14" s="10">
        <v>1</v>
      </c>
    </row>
    <row r="15" spans="2:18" s="10" customFormat="1" ht="409.6" customHeight="1" x14ac:dyDescent="0.25">
      <c r="B15" s="6"/>
      <c r="C15" s="6"/>
      <c r="D15" s="55"/>
      <c r="E15" s="7"/>
      <c r="F15" s="7"/>
      <c r="G15" s="7"/>
      <c r="H15" s="3"/>
      <c r="I15" s="3"/>
      <c r="J15" s="37"/>
      <c r="K15" s="3"/>
      <c r="L15" s="3"/>
      <c r="M15" s="3"/>
      <c r="N15" s="3"/>
    </row>
    <row r="16" spans="2:18" ht="409.5" customHeight="1" x14ac:dyDescent="0.25">
      <c r="B16" s="77"/>
      <c r="C16" s="77"/>
      <c r="D16" s="78"/>
      <c r="E16" s="78"/>
      <c r="F16" s="78"/>
      <c r="G16" s="78"/>
      <c r="H16" s="79"/>
      <c r="I16" s="79"/>
      <c r="J16" s="80"/>
      <c r="K16" s="79"/>
      <c r="L16" s="79"/>
      <c r="M16" s="79"/>
      <c r="N16" s="77"/>
      <c r="O16" s="81"/>
      <c r="P16" s="81"/>
      <c r="Q16" s="81"/>
      <c r="R16" s="81"/>
    </row>
    <row r="17" spans="2:18" ht="229.5" customHeight="1" x14ac:dyDescent="0.25">
      <c r="B17" s="6"/>
      <c r="C17" s="6"/>
      <c r="D17" s="7"/>
      <c r="E17" s="7"/>
      <c r="F17" s="7"/>
      <c r="G17" s="7"/>
      <c r="H17" s="3"/>
      <c r="I17" s="3"/>
      <c r="J17" s="38"/>
      <c r="K17" s="3"/>
      <c r="L17" s="3"/>
      <c r="M17" s="3"/>
      <c r="N17" s="3"/>
      <c r="O17" s="10"/>
      <c r="P17" s="10"/>
      <c r="Q17" s="10"/>
      <c r="R17" s="10"/>
    </row>
    <row r="18" spans="2:18" ht="409.6" customHeight="1" x14ac:dyDescent="0.25">
      <c r="B18" s="6"/>
      <c r="C18" s="6"/>
      <c r="D18" s="7"/>
      <c r="E18" s="7"/>
      <c r="F18" s="7"/>
      <c r="G18" s="7"/>
      <c r="H18" s="3"/>
      <c r="I18" s="3"/>
      <c r="J18" s="3"/>
      <c r="K18" s="3"/>
      <c r="L18" s="3"/>
      <c r="M18" s="3"/>
      <c r="N18" s="3"/>
      <c r="O18" s="10"/>
      <c r="P18" s="10"/>
      <c r="Q18" s="10"/>
      <c r="R18" s="10"/>
    </row>
    <row r="19" spans="2:18" ht="409.5" customHeight="1" x14ac:dyDescent="0.25">
      <c r="B19" s="6"/>
      <c r="C19" s="6"/>
      <c r="D19" s="7"/>
      <c r="E19" s="7"/>
      <c r="F19" s="7"/>
      <c r="G19" s="7"/>
      <c r="H19" s="3"/>
      <c r="I19" s="3"/>
      <c r="J19" s="28"/>
      <c r="K19" s="3"/>
      <c r="L19" s="3"/>
      <c r="M19" s="3"/>
      <c r="N19" s="3"/>
      <c r="O19" s="10"/>
      <c r="P19" s="10"/>
      <c r="Q19" s="10"/>
      <c r="R19" s="10"/>
    </row>
    <row r="20" spans="2:18" ht="369" customHeight="1" x14ac:dyDescent="0.25">
      <c r="B20" s="6"/>
      <c r="C20" s="6"/>
      <c r="D20" s="7"/>
      <c r="E20" s="7"/>
      <c r="F20" s="7"/>
      <c r="G20" s="7"/>
      <c r="H20" s="3"/>
      <c r="I20" s="3"/>
      <c r="J20" s="28"/>
      <c r="K20" s="3"/>
      <c r="L20" s="3"/>
      <c r="M20" s="3"/>
      <c r="N20" s="3"/>
      <c r="O20" s="10"/>
      <c r="P20" s="10"/>
      <c r="Q20" s="10"/>
      <c r="R20" s="10"/>
    </row>
    <row r="21" spans="2:18" ht="409.5" customHeight="1" x14ac:dyDescent="0.25">
      <c r="B21" s="6"/>
      <c r="C21" s="6"/>
      <c r="D21" s="7"/>
      <c r="E21" s="7"/>
      <c r="F21" s="7"/>
      <c r="G21" s="7"/>
      <c r="H21" s="3"/>
      <c r="I21" s="3"/>
      <c r="J21" s="28"/>
      <c r="K21" s="6"/>
      <c r="L21" s="36"/>
      <c r="M21" s="6"/>
      <c r="N21" s="6"/>
      <c r="O21" s="10"/>
      <c r="P21" s="10"/>
      <c r="Q21" s="10"/>
      <c r="R21" s="10"/>
    </row>
    <row r="22" spans="2:18" ht="409.5" customHeight="1" x14ac:dyDescent="0.25">
      <c r="B22" s="6"/>
      <c r="C22" s="6"/>
      <c r="D22" s="7"/>
      <c r="E22" s="7"/>
      <c r="F22" s="7"/>
      <c r="G22" s="7"/>
      <c r="H22" s="3"/>
      <c r="I22" s="3"/>
      <c r="J22" s="28"/>
      <c r="K22" s="3"/>
      <c r="L22" s="3"/>
      <c r="M22" s="3"/>
      <c r="N22" s="9"/>
      <c r="O22" s="10"/>
      <c r="P22" s="10"/>
      <c r="Q22" s="10"/>
      <c r="R22" s="10"/>
    </row>
    <row r="23" spans="2:18" ht="409.5" customHeight="1" x14ac:dyDescent="0.25">
      <c r="B23" s="6"/>
      <c r="C23" s="6"/>
      <c r="D23" s="7"/>
      <c r="E23" s="7"/>
      <c r="F23" s="7"/>
      <c r="G23" s="7"/>
      <c r="H23" s="3"/>
      <c r="I23" s="3"/>
      <c r="J23" s="28"/>
      <c r="K23" s="3"/>
      <c r="L23" s="3"/>
      <c r="M23" s="3"/>
      <c r="N23" s="3"/>
      <c r="O23" s="10"/>
      <c r="P23" s="10"/>
      <c r="Q23" s="10"/>
      <c r="R23" s="10"/>
    </row>
    <row r="24" spans="2:18" ht="409.5" customHeight="1" x14ac:dyDescent="0.25">
      <c r="B24" s="6"/>
      <c r="C24" s="6"/>
      <c r="D24" s="7"/>
      <c r="E24" s="7"/>
      <c r="F24" s="7"/>
      <c r="G24" s="7"/>
      <c r="H24" s="3"/>
      <c r="I24" s="3"/>
      <c r="J24" s="28"/>
      <c r="K24" s="3"/>
      <c r="L24" s="3"/>
      <c r="M24" s="3"/>
      <c r="N24" s="3"/>
      <c r="O24" s="10"/>
      <c r="P24" s="10"/>
      <c r="Q24" s="10"/>
      <c r="R24" s="10"/>
    </row>
    <row r="25" spans="2:18" ht="409.5" customHeight="1" x14ac:dyDescent="0.25">
      <c r="B25" s="6"/>
      <c r="C25" s="6"/>
      <c r="D25" s="7"/>
      <c r="E25" s="7"/>
      <c r="F25" s="7"/>
      <c r="G25" s="7"/>
      <c r="H25" s="3"/>
      <c r="I25" s="3"/>
      <c r="J25" s="28"/>
      <c r="K25" s="3"/>
      <c r="L25" s="3"/>
      <c r="M25" s="3"/>
      <c r="N25" s="3"/>
      <c r="O25" s="10"/>
      <c r="P25" s="10"/>
      <c r="Q25" s="10"/>
      <c r="R25" s="10"/>
    </row>
    <row r="26" spans="2:18" ht="409.5" customHeight="1" x14ac:dyDescent="0.25">
      <c r="B26" s="6"/>
      <c r="C26" s="6"/>
      <c r="D26" s="7"/>
      <c r="E26" s="7"/>
      <c r="F26" s="7"/>
      <c r="G26" s="7"/>
      <c r="H26" s="3"/>
      <c r="I26" s="3"/>
      <c r="J26" s="28"/>
      <c r="K26" s="3"/>
      <c r="L26" s="3"/>
      <c r="M26" s="3"/>
      <c r="N26" s="3"/>
      <c r="O26" s="10"/>
      <c r="P26" s="10"/>
      <c r="Q26" s="10"/>
      <c r="R26" s="10"/>
    </row>
    <row r="27" spans="2:18" ht="409.5" customHeight="1" x14ac:dyDescent="0.25">
      <c r="B27" s="6"/>
      <c r="C27" s="6"/>
      <c r="D27" s="7"/>
      <c r="E27" s="7"/>
      <c r="F27" s="7"/>
      <c r="G27" s="7"/>
      <c r="H27" s="3"/>
      <c r="I27" s="3"/>
      <c r="J27" s="28"/>
      <c r="K27" s="3"/>
      <c r="L27" s="3"/>
      <c r="M27" s="3"/>
      <c r="N27" s="3"/>
      <c r="O27" s="10"/>
      <c r="P27" s="10"/>
      <c r="Q27" s="10"/>
      <c r="R27" s="10"/>
    </row>
    <row r="28" spans="2:18" ht="401.25" customHeight="1" x14ac:dyDescent="0.25">
      <c r="B28" s="6"/>
      <c r="C28" s="6"/>
      <c r="D28" s="7"/>
      <c r="E28" s="7"/>
      <c r="F28" s="7"/>
      <c r="G28" s="7"/>
      <c r="H28" s="3"/>
      <c r="I28" s="3"/>
      <c r="J28" s="28"/>
      <c r="K28" s="3"/>
      <c r="L28" s="3"/>
      <c r="M28" s="3"/>
      <c r="N28" s="3"/>
      <c r="O28" s="10"/>
      <c r="P28" s="10"/>
      <c r="Q28" s="10"/>
      <c r="R28" s="10"/>
    </row>
    <row r="29" spans="2:18" ht="409.5" customHeight="1" x14ac:dyDescent="0.25">
      <c r="B29" s="6"/>
      <c r="C29" s="6"/>
      <c r="D29" s="7"/>
      <c r="E29" s="7"/>
      <c r="F29" s="7"/>
      <c r="G29" s="7"/>
      <c r="H29" s="3"/>
      <c r="I29" s="3"/>
      <c r="J29" s="28"/>
      <c r="K29" s="3"/>
      <c r="L29" s="3"/>
      <c r="M29" s="3"/>
      <c r="N29" s="3"/>
      <c r="O29" s="10"/>
      <c r="P29" s="10"/>
      <c r="Q29" s="10"/>
      <c r="R29" s="10"/>
    </row>
    <row r="30" spans="2:18" ht="409.5" customHeight="1" x14ac:dyDescent="0.25">
      <c r="B30" s="6"/>
      <c r="C30" s="6"/>
      <c r="D30" s="7"/>
      <c r="E30" s="7"/>
      <c r="F30" s="7"/>
      <c r="G30" s="7"/>
      <c r="H30" s="3"/>
      <c r="I30" s="3"/>
      <c r="J30" s="28"/>
      <c r="K30" s="38"/>
      <c r="L30" s="3"/>
      <c r="M30" s="3"/>
      <c r="N30" s="3"/>
      <c r="O30" s="10"/>
      <c r="P30" s="10"/>
      <c r="Q30" s="10"/>
      <c r="R30" s="10"/>
    </row>
    <row r="31" spans="2:18" ht="409.5" customHeight="1" x14ac:dyDescent="0.25">
      <c r="B31" s="6"/>
      <c r="C31" s="6"/>
      <c r="D31" s="7"/>
      <c r="E31" s="7"/>
      <c r="F31" s="7"/>
      <c r="G31" s="7"/>
      <c r="H31" s="3"/>
      <c r="I31" s="3"/>
      <c r="J31" s="3"/>
      <c r="K31" s="3"/>
      <c r="L31" s="3"/>
      <c r="M31" s="3"/>
      <c r="N31" s="3"/>
      <c r="O31" s="10"/>
      <c r="P31" s="10"/>
      <c r="Q31" s="10"/>
      <c r="R31" s="10"/>
    </row>
    <row r="32" spans="2:18" ht="409.5" customHeight="1" x14ac:dyDescent="0.25">
      <c r="B32" s="6"/>
      <c r="C32" s="6"/>
      <c r="D32" s="55"/>
      <c r="E32" s="7"/>
      <c r="F32" s="7"/>
      <c r="G32" s="7"/>
      <c r="H32" s="3"/>
      <c r="I32" s="3"/>
      <c r="J32" s="28"/>
      <c r="K32" s="3"/>
      <c r="L32" s="3"/>
      <c r="M32" s="3"/>
      <c r="N32" s="3"/>
      <c r="O32" s="10"/>
      <c r="P32" s="10"/>
      <c r="Q32" s="10"/>
      <c r="R32" s="10"/>
    </row>
    <row r="33" spans="2:18" ht="409.5" customHeight="1" x14ac:dyDescent="0.25">
      <c r="B33" s="6"/>
      <c r="C33" s="6"/>
      <c r="D33" s="7"/>
      <c r="E33" s="7"/>
      <c r="F33" s="7"/>
      <c r="G33" s="7"/>
      <c r="H33" s="3"/>
      <c r="I33" s="3"/>
      <c r="J33" s="36"/>
      <c r="K33" s="3"/>
      <c r="L33" s="3"/>
      <c r="M33" s="3"/>
      <c r="N33" s="6"/>
      <c r="O33" s="10"/>
      <c r="P33" s="10"/>
      <c r="Q33" s="10"/>
      <c r="R33" s="10"/>
    </row>
    <row r="34" spans="2:18" ht="409.5" customHeight="1" x14ac:dyDescent="0.25">
      <c r="B34" s="6"/>
      <c r="C34" s="6"/>
      <c r="D34" s="7"/>
      <c r="E34" s="7"/>
      <c r="F34" s="7"/>
      <c r="G34" s="7"/>
      <c r="H34" s="3"/>
      <c r="I34" s="3"/>
      <c r="J34" s="28"/>
      <c r="K34" s="3"/>
      <c r="L34" s="3"/>
      <c r="M34" s="3"/>
      <c r="N34" s="3"/>
      <c r="O34" s="10"/>
      <c r="P34" s="10"/>
      <c r="Q34" s="10"/>
      <c r="R34" s="10"/>
    </row>
    <row r="35" spans="2:18" ht="409.5" customHeight="1" x14ac:dyDescent="0.25">
      <c r="B35" s="6"/>
      <c r="C35" s="6"/>
      <c r="D35" s="7"/>
      <c r="E35" s="7"/>
      <c r="F35" s="7"/>
      <c r="G35" s="7"/>
      <c r="H35" s="3"/>
      <c r="I35" s="3"/>
      <c r="J35" s="28"/>
      <c r="K35" s="3"/>
      <c r="L35" s="3"/>
      <c r="M35" s="3"/>
      <c r="N35" s="3"/>
      <c r="O35" s="10"/>
      <c r="P35" s="10"/>
      <c r="Q35" s="10"/>
      <c r="R35" s="10"/>
    </row>
    <row r="36" spans="2:18" ht="393.75" customHeight="1" x14ac:dyDescent="0.25">
      <c r="B36" s="6"/>
      <c r="C36" s="6"/>
      <c r="D36" s="7"/>
      <c r="E36" s="7"/>
      <c r="F36" s="7"/>
      <c r="G36" s="7"/>
      <c r="H36" s="3"/>
      <c r="I36" s="3"/>
      <c r="J36" s="28"/>
      <c r="K36" s="3"/>
      <c r="L36" s="3"/>
      <c r="M36" s="3"/>
      <c r="N36" s="3"/>
      <c r="O36" s="10"/>
      <c r="P36" s="10"/>
      <c r="Q36" s="10"/>
      <c r="R36" s="10"/>
    </row>
    <row r="37" spans="2:18" ht="409.5" customHeight="1" x14ac:dyDescent="0.25">
      <c r="B37" s="6"/>
      <c r="C37" s="6"/>
      <c r="D37" s="7"/>
      <c r="E37" s="7"/>
      <c r="F37" s="7"/>
      <c r="G37" s="7"/>
      <c r="H37" s="3"/>
      <c r="I37" s="3"/>
      <c r="J37" s="37"/>
      <c r="K37" s="3"/>
      <c r="L37" s="3"/>
      <c r="M37" s="3"/>
      <c r="N37" s="3"/>
      <c r="O37" s="10"/>
      <c r="P37" s="10"/>
      <c r="Q37" s="10"/>
      <c r="R37" s="10"/>
    </row>
    <row r="38" spans="2:18" ht="409.5" customHeight="1" x14ac:dyDescent="0.25">
      <c r="B38" s="6"/>
      <c r="C38" s="6"/>
      <c r="D38" s="7"/>
      <c r="E38" s="7"/>
      <c r="F38" s="7"/>
      <c r="G38" s="7"/>
      <c r="H38" s="3"/>
      <c r="I38" s="3"/>
      <c r="J38" s="28"/>
      <c r="K38" s="3"/>
      <c r="L38" s="3"/>
      <c r="M38" s="3"/>
      <c r="N38" s="3"/>
      <c r="O38" s="10"/>
      <c r="P38" s="10"/>
      <c r="Q38" s="10"/>
      <c r="R38" s="10"/>
    </row>
    <row r="39" spans="2:18" ht="409.5" customHeight="1" x14ac:dyDescent="0.25">
      <c r="B39" s="6"/>
      <c r="C39" s="6"/>
      <c r="D39" s="7"/>
      <c r="E39" s="7"/>
      <c r="F39" s="7"/>
      <c r="G39" s="7"/>
      <c r="H39" s="3"/>
      <c r="I39" s="3"/>
      <c r="J39" s="3"/>
      <c r="K39" s="3"/>
      <c r="L39" s="3"/>
      <c r="M39" s="3"/>
      <c r="N39" s="91"/>
      <c r="O39" s="10"/>
      <c r="P39" s="10"/>
      <c r="Q39" s="10"/>
      <c r="R39" s="10"/>
    </row>
    <row r="40" spans="2:18" ht="409.5" customHeight="1" x14ac:dyDescent="0.25">
      <c r="B40" s="6"/>
      <c r="C40" s="6"/>
      <c r="D40" s="7"/>
      <c r="E40" s="7"/>
      <c r="F40" s="7"/>
      <c r="G40" s="7"/>
      <c r="H40" s="3"/>
      <c r="I40" s="3"/>
      <c r="J40" s="3"/>
      <c r="K40" s="3"/>
      <c r="L40" s="3"/>
      <c r="M40" s="3"/>
      <c r="N40" s="3"/>
      <c r="O40" s="10"/>
      <c r="P40" s="10"/>
      <c r="Q40" s="10"/>
      <c r="R40" s="10"/>
    </row>
    <row r="41" spans="2:18" ht="409.5" customHeight="1" x14ac:dyDescent="0.25">
      <c r="B41" s="6"/>
      <c r="C41" s="6"/>
      <c r="D41" s="7"/>
      <c r="E41" s="7"/>
      <c r="F41" s="7"/>
      <c r="G41" s="7"/>
      <c r="H41" s="3"/>
      <c r="I41" s="3"/>
      <c r="J41" s="28"/>
      <c r="K41" s="3"/>
      <c r="L41" s="3"/>
      <c r="M41" s="3"/>
      <c r="N41" s="3"/>
      <c r="O41" s="10"/>
      <c r="P41" s="10"/>
      <c r="Q41" s="10"/>
      <c r="R41" s="10"/>
    </row>
    <row r="42" spans="2:18" ht="409.5" customHeight="1" x14ac:dyDescent="0.25">
      <c r="B42" s="6"/>
      <c r="C42" s="6"/>
      <c r="D42" s="7"/>
      <c r="E42" s="7"/>
      <c r="F42" s="7"/>
      <c r="G42" s="7"/>
      <c r="H42" s="3"/>
      <c r="I42" s="3"/>
      <c r="J42" s="3"/>
      <c r="K42" s="3"/>
      <c r="L42" s="3"/>
      <c r="M42" s="3"/>
      <c r="N42" s="3"/>
      <c r="O42" s="10"/>
      <c r="P42" s="10"/>
      <c r="Q42" s="10"/>
      <c r="R42" s="10"/>
    </row>
    <row r="43" spans="2:18" ht="409.5" customHeight="1" x14ac:dyDescent="0.25">
      <c r="B43" s="6"/>
      <c r="C43" s="6"/>
      <c r="D43" s="7"/>
      <c r="E43" s="7"/>
      <c r="F43" s="7"/>
      <c r="G43" s="7"/>
      <c r="H43" s="3"/>
      <c r="I43" s="3"/>
      <c r="J43" s="28"/>
      <c r="K43" s="3"/>
      <c r="L43" s="3"/>
      <c r="M43" s="3"/>
      <c r="N43" s="3"/>
      <c r="O43" s="10"/>
      <c r="P43" s="10"/>
      <c r="Q43" s="10"/>
      <c r="R43" s="10"/>
    </row>
    <row r="44" spans="2:18" ht="360" customHeight="1" x14ac:dyDescent="0.25">
      <c r="B44" s="6"/>
      <c r="C44" s="6"/>
      <c r="D44" s="7"/>
      <c r="E44" s="7"/>
      <c r="F44" s="7"/>
      <c r="G44" s="7"/>
      <c r="H44" s="3"/>
      <c r="I44" s="3"/>
      <c r="J44" s="28"/>
      <c r="K44" s="3"/>
      <c r="L44" s="3"/>
      <c r="M44" s="3"/>
      <c r="N44" s="3"/>
      <c r="O44" s="10"/>
      <c r="P44" s="10"/>
      <c r="Q44" s="10"/>
      <c r="R44" s="10"/>
    </row>
    <row r="45" spans="2:18" ht="351.75" customHeight="1" x14ac:dyDescent="0.25">
      <c r="B45" s="6"/>
      <c r="C45" s="6"/>
      <c r="D45" s="7"/>
      <c r="E45" s="7"/>
      <c r="F45" s="7"/>
      <c r="G45" s="7"/>
      <c r="H45" s="3"/>
      <c r="I45" s="3"/>
      <c r="J45" s="28"/>
      <c r="K45" s="3"/>
      <c r="L45" s="3"/>
      <c r="M45" s="3"/>
      <c r="N45" s="3"/>
      <c r="O45" s="10"/>
      <c r="P45" s="10"/>
      <c r="Q45" s="10"/>
      <c r="R45" s="10"/>
    </row>
    <row r="46" spans="2:18" ht="409.5" customHeight="1" x14ac:dyDescent="0.25">
      <c r="B46" s="6"/>
      <c r="C46" s="6"/>
      <c r="D46" s="7"/>
      <c r="E46" s="7"/>
      <c r="F46" s="7"/>
      <c r="G46" s="7"/>
      <c r="H46" s="3"/>
      <c r="I46" s="3"/>
      <c r="J46" s="28"/>
      <c r="K46" s="3"/>
      <c r="L46" s="3"/>
      <c r="M46" s="3"/>
      <c r="N46" s="3"/>
      <c r="O46" s="10"/>
      <c r="P46" s="10"/>
      <c r="Q46" s="10"/>
      <c r="R46" s="10"/>
    </row>
    <row r="47" spans="2:18" ht="358.5" customHeight="1" x14ac:dyDescent="0.25">
      <c r="B47" s="6"/>
      <c r="C47" s="6"/>
      <c r="D47" s="7"/>
      <c r="E47" s="7"/>
      <c r="F47" s="7"/>
      <c r="G47" s="7"/>
      <c r="H47" s="3"/>
      <c r="I47" s="3"/>
      <c r="J47" s="28"/>
      <c r="K47" s="3"/>
      <c r="L47" s="3"/>
      <c r="M47" s="3"/>
      <c r="N47" s="3"/>
      <c r="O47" s="10"/>
      <c r="P47" s="10"/>
      <c r="Q47" s="10"/>
      <c r="R47" s="10"/>
    </row>
    <row r="48" spans="2:18" ht="283.5" customHeight="1" x14ac:dyDescent="0.25">
      <c r="B48" s="6"/>
      <c r="C48" s="6"/>
      <c r="D48" s="7"/>
      <c r="E48" s="7"/>
      <c r="F48" s="8"/>
      <c r="G48" s="7"/>
      <c r="H48" s="3"/>
      <c r="I48" s="3"/>
      <c r="J48" s="36"/>
      <c r="K48" s="3"/>
      <c r="L48" s="3"/>
      <c r="M48" s="3"/>
      <c r="N48" s="6"/>
      <c r="O48" s="10"/>
      <c r="P48" s="10"/>
      <c r="Q48" s="10"/>
      <c r="R48" s="10"/>
    </row>
    <row r="49" spans="1:18" ht="408" customHeight="1" x14ac:dyDescent="0.25">
      <c r="B49" s="6"/>
      <c r="C49" s="6"/>
      <c r="D49" s="7"/>
      <c r="E49" s="7"/>
      <c r="F49" s="7"/>
      <c r="G49" s="7"/>
      <c r="H49" s="3"/>
      <c r="I49" s="3"/>
      <c r="J49" s="28"/>
      <c r="K49" s="3"/>
      <c r="L49" s="3"/>
      <c r="M49" s="3"/>
      <c r="N49" s="3"/>
      <c r="O49" s="10"/>
      <c r="P49" s="10"/>
      <c r="Q49" s="10"/>
      <c r="R49" s="10"/>
    </row>
    <row r="50" spans="1:18" ht="321.75" customHeight="1" x14ac:dyDescent="0.25">
      <c r="B50" s="6"/>
      <c r="C50" s="6"/>
      <c r="D50" s="7"/>
      <c r="E50" s="7"/>
      <c r="F50" s="7"/>
      <c r="G50" s="7"/>
      <c r="H50" s="3"/>
      <c r="I50" s="3"/>
      <c r="J50" s="28"/>
      <c r="K50" s="3"/>
      <c r="L50" s="3"/>
      <c r="M50" s="3"/>
      <c r="N50" s="3"/>
      <c r="O50" s="10"/>
      <c r="P50" s="10"/>
      <c r="Q50" s="10"/>
      <c r="R50" s="10"/>
    </row>
    <row r="51" spans="1:18" ht="371.25" customHeight="1" x14ac:dyDescent="0.25">
      <c r="B51" s="6"/>
      <c r="C51" s="6"/>
      <c r="D51" s="7"/>
      <c r="E51" s="7"/>
      <c r="F51" s="7"/>
      <c r="G51" s="7"/>
      <c r="H51" s="3"/>
      <c r="I51" s="3"/>
      <c r="J51" s="36"/>
      <c r="K51" s="3"/>
      <c r="L51" s="3"/>
      <c r="M51" s="3"/>
      <c r="N51" s="6"/>
      <c r="O51" s="10"/>
      <c r="P51" s="10"/>
      <c r="Q51" s="10"/>
      <c r="R51" s="10"/>
    </row>
    <row r="52" spans="1:18" ht="409.6" customHeight="1" x14ac:dyDescent="0.25">
      <c r="B52" s="6"/>
      <c r="C52" s="6"/>
      <c r="D52" s="7"/>
      <c r="E52" s="7"/>
      <c r="F52" s="7"/>
      <c r="G52" s="7"/>
      <c r="H52" s="3"/>
      <c r="I52" s="3"/>
      <c r="J52" s="28"/>
      <c r="K52" s="3"/>
      <c r="L52" s="3"/>
      <c r="M52" s="3"/>
      <c r="N52" s="3"/>
      <c r="O52" s="10"/>
      <c r="P52" s="10"/>
      <c r="Q52" s="10"/>
      <c r="R52" s="10"/>
    </row>
    <row r="53" spans="1:18" ht="355.5" customHeight="1" x14ac:dyDescent="0.25">
      <c r="B53" s="6"/>
      <c r="C53" s="6"/>
      <c r="D53" s="7"/>
      <c r="E53" s="7"/>
      <c r="F53" s="7"/>
      <c r="G53" s="7"/>
      <c r="H53" s="3"/>
      <c r="I53" s="3"/>
      <c r="J53" s="28"/>
      <c r="K53" s="3"/>
      <c r="L53" s="3"/>
      <c r="M53" s="3"/>
      <c r="N53" s="3"/>
      <c r="O53" s="10"/>
      <c r="P53" s="10"/>
      <c r="Q53" s="10"/>
      <c r="R53" s="10"/>
    </row>
    <row r="54" spans="1:18" ht="273.95" customHeight="1" x14ac:dyDescent="0.25">
      <c r="B54" s="6"/>
      <c r="C54" s="6"/>
      <c r="D54" s="7"/>
      <c r="E54" s="7"/>
      <c r="F54" s="7"/>
      <c r="G54" s="7"/>
      <c r="H54" s="3"/>
      <c r="I54" s="3"/>
      <c r="J54" s="28"/>
      <c r="K54" s="3"/>
      <c r="L54" s="3"/>
      <c r="M54" s="3"/>
      <c r="N54" s="6"/>
      <c r="O54" s="10"/>
      <c r="P54" s="10"/>
      <c r="Q54" s="10"/>
      <c r="R54" s="10"/>
    </row>
    <row r="55" spans="1:18" ht="409.5" customHeight="1" x14ac:dyDescent="0.25">
      <c r="B55" s="6"/>
      <c r="C55" s="6"/>
      <c r="D55" s="7"/>
      <c r="E55" s="7"/>
      <c r="F55" s="7"/>
      <c r="G55" s="7"/>
      <c r="H55" s="3"/>
      <c r="I55" s="3"/>
      <c r="J55" s="28"/>
      <c r="K55" s="3"/>
      <c r="L55" s="3"/>
      <c r="M55" s="3"/>
      <c r="N55" s="6"/>
      <c r="O55" s="10"/>
      <c r="P55" s="10"/>
      <c r="Q55" s="10"/>
      <c r="R55" s="10"/>
    </row>
    <row r="56" spans="1:18" ht="398.25" customHeight="1" x14ac:dyDescent="0.25">
      <c r="B56" s="6"/>
      <c r="C56" s="6"/>
      <c r="D56" s="7"/>
      <c r="E56" s="7"/>
      <c r="F56" s="7"/>
      <c r="G56" s="7"/>
      <c r="H56" s="3"/>
      <c r="I56" s="3"/>
      <c r="J56" s="28"/>
      <c r="K56" s="3"/>
      <c r="L56" s="3"/>
      <c r="M56" s="3"/>
      <c r="N56" s="3"/>
      <c r="O56" s="10"/>
      <c r="P56" s="10"/>
      <c r="Q56" s="10"/>
      <c r="R56" s="10"/>
    </row>
    <row r="57" spans="1:18" ht="409.5" customHeight="1" x14ac:dyDescent="0.25">
      <c r="B57" s="6"/>
      <c r="C57" s="6"/>
      <c r="D57" s="7"/>
      <c r="E57" s="7"/>
      <c r="F57" s="7"/>
      <c r="G57" s="7"/>
      <c r="H57" s="3"/>
      <c r="I57" s="3"/>
      <c r="J57" s="28"/>
      <c r="K57" s="3"/>
      <c r="L57" s="3"/>
      <c r="M57" s="3"/>
      <c r="N57" s="3"/>
      <c r="O57" s="10"/>
      <c r="P57" s="10"/>
      <c r="Q57" s="10"/>
      <c r="R57" s="10"/>
    </row>
    <row r="58" spans="1:18" ht="409.5" customHeight="1" x14ac:dyDescent="0.25">
      <c r="B58" s="6"/>
      <c r="C58" s="6"/>
      <c r="D58" s="7"/>
      <c r="E58" s="7"/>
      <c r="F58" s="7"/>
      <c r="G58" s="7"/>
      <c r="H58" s="3"/>
      <c r="I58" s="3"/>
      <c r="J58" s="28"/>
      <c r="K58" s="3"/>
      <c r="L58" s="3"/>
      <c r="M58" s="3"/>
      <c r="N58" s="3"/>
      <c r="O58" s="10"/>
      <c r="P58" s="10"/>
      <c r="Q58" s="10"/>
      <c r="R58" s="10"/>
    </row>
    <row r="59" spans="1:18" ht="384" customHeight="1" x14ac:dyDescent="0.25">
      <c r="B59" s="6"/>
      <c r="C59" s="6"/>
      <c r="D59" s="7"/>
      <c r="E59" s="7"/>
      <c r="F59" s="7"/>
      <c r="G59" s="7"/>
      <c r="H59" s="3"/>
      <c r="I59" s="3"/>
      <c r="J59" s="56"/>
      <c r="K59" s="3"/>
      <c r="L59" s="3"/>
      <c r="M59" s="3"/>
      <c r="N59" s="3"/>
      <c r="O59" s="10"/>
      <c r="P59" s="10"/>
      <c r="Q59" s="10"/>
      <c r="R59" s="10"/>
    </row>
    <row r="60" spans="1:18" ht="409.5" customHeight="1" x14ac:dyDescent="0.25">
      <c r="B60" s="6"/>
      <c r="C60" s="6"/>
      <c r="D60" s="7"/>
      <c r="E60" s="7"/>
      <c r="F60" s="7"/>
      <c r="G60" s="7"/>
      <c r="H60" s="3"/>
      <c r="I60" s="3"/>
      <c r="J60" s="28"/>
      <c r="K60" s="3"/>
      <c r="L60" s="3"/>
      <c r="M60" s="3"/>
      <c r="N60" s="3"/>
      <c r="O60" s="10"/>
      <c r="P60" s="10"/>
      <c r="Q60" s="10"/>
      <c r="R60" s="10"/>
    </row>
    <row r="61" spans="1:18" ht="409.5" customHeight="1" x14ac:dyDescent="0.25">
      <c r="A61" s="10"/>
      <c r="B61" s="6"/>
      <c r="C61" s="6"/>
      <c r="D61" s="7"/>
      <c r="E61" s="7"/>
      <c r="F61" s="7"/>
      <c r="G61" s="7"/>
      <c r="H61" s="3"/>
      <c r="I61" s="3"/>
      <c r="J61" s="28"/>
      <c r="K61" s="3"/>
      <c r="L61" s="3"/>
      <c r="M61" s="3"/>
      <c r="N61" s="9"/>
      <c r="O61" s="10"/>
      <c r="P61" s="10"/>
      <c r="Q61" s="10"/>
      <c r="R61" s="10"/>
    </row>
    <row r="62" spans="1:18" ht="409.6" customHeight="1" x14ac:dyDescent="0.25">
      <c r="B62" s="6"/>
      <c r="C62" s="6"/>
      <c r="D62" s="7"/>
      <c r="E62" s="7"/>
      <c r="F62" s="7"/>
      <c r="G62" s="7"/>
      <c r="H62" s="3"/>
      <c r="I62" s="3"/>
      <c r="J62" s="28"/>
      <c r="K62" s="3"/>
      <c r="L62" s="3"/>
      <c r="M62" s="3"/>
      <c r="N62" s="3"/>
      <c r="O62" s="10"/>
      <c r="P62" s="10"/>
      <c r="Q62" s="10"/>
      <c r="R62" s="10"/>
    </row>
    <row r="63" spans="1:18" ht="408.95" customHeight="1" x14ac:dyDescent="0.25">
      <c r="B63" s="6"/>
      <c r="C63" s="6"/>
      <c r="D63" s="7"/>
      <c r="E63" s="7"/>
      <c r="F63" s="92"/>
      <c r="G63" s="7"/>
      <c r="H63" s="3"/>
      <c r="I63" s="3"/>
      <c r="J63" s="28"/>
      <c r="K63" s="3"/>
      <c r="L63" s="3"/>
      <c r="M63" s="3"/>
      <c r="N63" s="3"/>
      <c r="O63" s="10"/>
      <c r="P63" s="10"/>
      <c r="Q63" s="10"/>
      <c r="R63" s="10"/>
    </row>
    <row r="64" spans="1:18" x14ac:dyDescent="0.25">
      <c r="B64" s="6"/>
      <c r="C64" s="6"/>
      <c r="D64" s="7"/>
      <c r="E64" s="7"/>
      <c r="F64" s="7"/>
      <c r="G64" s="7"/>
      <c r="H64" s="3"/>
      <c r="I64" s="3"/>
      <c r="J64" s="28"/>
      <c r="K64" s="3"/>
      <c r="L64" s="3"/>
      <c r="M64" s="3"/>
      <c r="N64" s="6"/>
      <c r="O64" s="10"/>
      <c r="P64" s="10"/>
      <c r="Q64" s="10"/>
      <c r="R64" s="10"/>
    </row>
    <row r="65" spans="1:18" ht="409.5" customHeight="1" x14ac:dyDescent="0.25">
      <c r="B65" s="6"/>
      <c r="C65" s="6"/>
      <c r="D65" s="7"/>
      <c r="E65" s="7"/>
      <c r="F65" s="7"/>
      <c r="G65" s="7"/>
      <c r="H65" s="3"/>
      <c r="I65" s="3"/>
      <c r="J65" s="36"/>
      <c r="K65" s="3"/>
      <c r="L65" s="3"/>
      <c r="M65" s="3"/>
      <c r="N65" s="6"/>
      <c r="O65" s="10"/>
      <c r="P65" s="10"/>
      <c r="Q65" s="10"/>
      <c r="R65" s="10"/>
    </row>
    <row r="66" spans="1:18" x14ac:dyDescent="0.25">
      <c r="B66" s="6"/>
      <c r="C66" s="6"/>
      <c r="D66" s="7"/>
      <c r="E66" s="7"/>
      <c r="F66" s="7"/>
      <c r="G66" s="7"/>
      <c r="H66" s="3"/>
      <c r="I66" s="3"/>
      <c r="J66" s="28"/>
      <c r="K66" s="3"/>
      <c r="L66" s="3"/>
      <c r="M66" s="3"/>
      <c r="N66" s="3"/>
      <c r="O66" s="10"/>
      <c r="P66" s="10"/>
      <c r="Q66" s="10"/>
      <c r="R66" s="10"/>
    </row>
    <row r="67" spans="1:18" ht="409.5" customHeight="1" x14ac:dyDescent="0.25">
      <c r="B67" s="6"/>
      <c r="C67" s="6"/>
      <c r="D67" s="7"/>
      <c r="E67" s="7"/>
      <c r="F67" s="7"/>
      <c r="G67" s="7"/>
      <c r="H67" s="3"/>
      <c r="I67" s="3"/>
      <c r="J67" s="28"/>
      <c r="K67" s="3"/>
      <c r="L67" s="3"/>
      <c r="M67" s="3"/>
      <c r="N67" s="3"/>
      <c r="O67" s="10"/>
      <c r="P67" s="10"/>
      <c r="Q67" s="10"/>
      <c r="R67" s="10"/>
    </row>
    <row r="68" spans="1:18" ht="274.5" customHeight="1" x14ac:dyDescent="0.25">
      <c r="B68" s="6"/>
      <c r="C68" s="6"/>
      <c r="D68" s="7"/>
      <c r="E68" s="7"/>
      <c r="F68" s="7"/>
      <c r="G68" s="7"/>
      <c r="H68" s="3"/>
      <c r="I68" s="3"/>
      <c r="J68" s="3"/>
      <c r="K68" s="3"/>
      <c r="L68" s="3"/>
      <c r="M68" s="3"/>
      <c r="N68" s="3"/>
      <c r="O68" s="10"/>
      <c r="P68" s="10"/>
      <c r="Q68" s="10"/>
      <c r="R68" s="10"/>
    </row>
    <row r="69" spans="1:18" ht="409.6" customHeight="1" x14ac:dyDescent="0.25">
      <c r="B69" s="6"/>
      <c r="C69" s="6"/>
      <c r="D69" s="7"/>
      <c r="E69" s="7"/>
      <c r="F69" s="7"/>
      <c r="G69" s="7"/>
      <c r="H69" s="3"/>
      <c r="I69" s="3"/>
      <c r="J69" s="28"/>
      <c r="K69" s="3"/>
      <c r="L69" s="3"/>
      <c r="M69" s="3"/>
      <c r="N69" s="3"/>
      <c r="O69" s="10"/>
      <c r="P69" s="10"/>
      <c r="Q69" s="10"/>
      <c r="R69" s="10"/>
    </row>
    <row r="70" spans="1:18" ht="409.6" customHeight="1" x14ac:dyDescent="0.25">
      <c r="B70" s="6"/>
      <c r="C70" s="6"/>
      <c r="D70" s="7"/>
      <c r="E70" s="7"/>
      <c r="F70" s="7"/>
      <c r="G70" s="7"/>
      <c r="H70" s="3"/>
      <c r="I70" s="3"/>
      <c r="J70" s="28"/>
      <c r="K70" s="6"/>
      <c r="L70" s="36"/>
      <c r="M70" s="6"/>
      <c r="N70" s="6"/>
      <c r="O70" s="10"/>
      <c r="P70" s="10"/>
      <c r="Q70" s="10"/>
      <c r="R70" s="10"/>
    </row>
    <row r="71" spans="1:18" ht="409.6" customHeight="1" x14ac:dyDescent="0.25">
      <c r="B71" s="6"/>
      <c r="C71" s="6"/>
      <c r="D71" s="7"/>
      <c r="E71" s="7"/>
      <c r="F71" s="7"/>
      <c r="G71" s="7"/>
      <c r="H71" s="3"/>
      <c r="I71" s="3"/>
      <c r="J71" s="28"/>
      <c r="K71" s="3"/>
      <c r="L71" s="3"/>
      <c r="M71" s="3"/>
      <c r="N71" s="3"/>
      <c r="O71" s="10"/>
      <c r="P71" s="10"/>
      <c r="Q71" s="10"/>
      <c r="R71" s="10"/>
    </row>
    <row r="72" spans="1:18" x14ac:dyDescent="0.25">
      <c r="B72" s="6"/>
      <c r="C72" s="6"/>
      <c r="D72" s="7"/>
      <c r="E72" s="7"/>
      <c r="F72" s="7"/>
      <c r="G72" s="7"/>
      <c r="H72" s="3"/>
      <c r="I72" s="3"/>
      <c r="J72" s="28"/>
      <c r="K72" s="3"/>
      <c r="L72" s="3"/>
      <c r="M72" s="3"/>
      <c r="N72" s="3"/>
      <c r="O72" s="10"/>
      <c r="P72" s="10"/>
      <c r="Q72" s="10"/>
      <c r="R72" s="10"/>
    </row>
    <row r="73" spans="1:18" ht="335.25" customHeight="1" x14ac:dyDescent="0.25">
      <c r="B73" s="3"/>
      <c r="C73" s="6"/>
      <c r="D73" s="7"/>
      <c r="E73" s="7"/>
      <c r="F73" s="7"/>
      <c r="G73" s="7"/>
      <c r="H73" s="3"/>
      <c r="I73" s="3"/>
      <c r="J73" s="28"/>
      <c r="K73" s="3"/>
      <c r="L73" s="3"/>
      <c r="M73" s="3"/>
      <c r="N73" s="3"/>
      <c r="O73" s="10"/>
      <c r="P73" s="10"/>
      <c r="Q73" s="10"/>
      <c r="R73" s="10"/>
    </row>
    <row r="74" spans="1:18" x14ac:dyDescent="0.25">
      <c r="B74" s="3"/>
      <c r="C74" s="6"/>
      <c r="D74" s="7"/>
      <c r="E74" s="7"/>
      <c r="F74" s="7"/>
      <c r="G74" s="7"/>
      <c r="H74" s="3"/>
      <c r="I74" s="3"/>
      <c r="J74" s="3"/>
      <c r="K74" s="3"/>
      <c r="L74" s="3"/>
      <c r="M74" s="3"/>
      <c r="N74" s="3"/>
      <c r="O74" s="10"/>
      <c r="P74" s="10"/>
      <c r="Q74" s="10"/>
      <c r="R74" s="10"/>
    </row>
    <row r="75" spans="1:18" ht="326.25" customHeight="1" x14ac:dyDescent="0.25">
      <c r="B75" s="3"/>
      <c r="C75" s="6"/>
      <c r="D75" s="7"/>
      <c r="E75" s="7"/>
      <c r="F75" s="7"/>
      <c r="G75" s="7"/>
      <c r="H75" s="3"/>
      <c r="I75" s="3"/>
      <c r="J75" s="28"/>
      <c r="K75" s="3"/>
      <c r="L75" s="3"/>
      <c r="M75" s="3"/>
      <c r="N75" s="3"/>
      <c r="O75" s="10"/>
      <c r="P75" s="10"/>
      <c r="Q75" s="10"/>
      <c r="R75" s="10"/>
    </row>
    <row r="76" spans="1:18" ht="409.5" customHeight="1" x14ac:dyDescent="0.25">
      <c r="B76" s="3"/>
      <c r="C76" s="6"/>
      <c r="D76" s="7"/>
      <c r="E76" s="7"/>
      <c r="F76" s="7"/>
      <c r="G76" s="7"/>
      <c r="H76" s="3"/>
      <c r="I76" s="3"/>
      <c r="J76" s="28"/>
      <c r="K76" s="3"/>
      <c r="L76" s="3"/>
      <c r="M76" s="3"/>
      <c r="N76" s="3"/>
      <c r="O76" s="10"/>
      <c r="P76" s="10"/>
      <c r="Q76" s="10"/>
      <c r="R76" s="10"/>
    </row>
    <row r="77" spans="1:18" x14ac:dyDescent="0.25">
      <c r="B77" s="3"/>
      <c r="C77" s="6"/>
      <c r="D77" s="7"/>
      <c r="E77" s="7"/>
      <c r="F77" s="7"/>
      <c r="G77" s="7"/>
      <c r="I77" s="3"/>
      <c r="J77" s="3"/>
      <c r="K77" s="3"/>
      <c r="L77" s="3"/>
      <c r="M77" s="3"/>
      <c r="N77" s="3"/>
      <c r="O77" s="10"/>
      <c r="P77" s="10"/>
      <c r="Q77" s="10"/>
      <c r="R77" s="10"/>
    </row>
    <row r="78" spans="1:18" ht="237" customHeight="1" x14ac:dyDescent="0.25">
      <c r="A78" s="10"/>
      <c r="B78" s="93"/>
      <c r="C78" s="6"/>
      <c r="D78" s="7"/>
      <c r="E78" s="7"/>
      <c r="F78" s="7"/>
      <c r="G78" s="94"/>
      <c r="H78" s="3"/>
      <c r="I78" s="3"/>
      <c r="J78" s="37"/>
      <c r="K78" s="36"/>
      <c r="L78" s="36"/>
      <c r="M78" s="8"/>
      <c r="N78" s="6"/>
      <c r="O78" s="10"/>
      <c r="P78" s="10"/>
      <c r="Q78" s="10"/>
      <c r="R78" s="10"/>
    </row>
    <row r="79" spans="1:18" ht="163.5" customHeight="1" x14ac:dyDescent="0.25">
      <c r="A79" s="10"/>
      <c r="B79" s="122"/>
      <c r="C79" s="68"/>
      <c r="D79" s="7"/>
      <c r="E79" s="7"/>
      <c r="F79" s="7"/>
      <c r="G79" s="7"/>
      <c r="H79" s="95"/>
      <c r="I79" s="96"/>
      <c r="J79" s="36"/>
      <c r="K79" s="3"/>
      <c r="L79" s="3"/>
      <c r="M79" s="3"/>
      <c r="N79" s="6"/>
      <c r="O79" s="10"/>
      <c r="P79" s="10"/>
      <c r="Q79" s="10"/>
      <c r="R79" s="10"/>
    </row>
    <row r="80" spans="1:18" ht="195.75" customHeight="1" x14ac:dyDescent="0.25">
      <c r="A80" s="10"/>
      <c r="B80" s="58"/>
      <c r="C80" s="6"/>
      <c r="D80" s="7"/>
      <c r="E80" s="7"/>
      <c r="F80" s="7"/>
      <c r="G80" s="7"/>
      <c r="H80" s="95"/>
      <c r="I80" s="3"/>
      <c r="J80" s="37"/>
      <c r="K80" s="3"/>
      <c r="L80" s="3"/>
      <c r="M80" s="3"/>
      <c r="N80" s="3"/>
      <c r="O80" s="10"/>
      <c r="P80" s="10"/>
      <c r="Q80" s="10"/>
      <c r="R80" s="10"/>
    </row>
    <row r="81" spans="2:18" s="131" customFormat="1" ht="213.75" customHeight="1" x14ac:dyDescent="0.25">
      <c r="B81" s="124"/>
      <c r="C81" s="125"/>
      <c r="D81" s="126"/>
      <c r="E81" s="126"/>
      <c r="F81" s="126"/>
      <c r="G81" s="126"/>
      <c r="H81" s="127"/>
      <c r="I81" s="128"/>
      <c r="J81" s="129"/>
      <c r="K81" s="128"/>
      <c r="L81" s="128"/>
      <c r="M81" s="128"/>
      <c r="N81" s="137"/>
      <c r="O81" s="130"/>
      <c r="P81" s="130"/>
      <c r="Q81" s="130"/>
      <c r="R81" s="130"/>
    </row>
    <row r="82" spans="2:18" ht="156" customHeight="1" x14ac:dyDescent="0.25">
      <c r="B82" s="6"/>
      <c r="C82" s="6"/>
      <c r="D82" s="7"/>
      <c r="E82" s="7"/>
      <c r="F82" s="7"/>
      <c r="G82" s="7"/>
      <c r="H82" s="3"/>
      <c r="I82" s="3"/>
      <c r="J82" s="37"/>
      <c r="K82" s="3"/>
      <c r="L82" s="3"/>
      <c r="M82" s="3"/>
      <c r="N82" s="3"/>
      <c r="O82" s="10"/>
      <c r="P82" s="10"/>
      <c r="Q82" s="10"/>
      <c r="R82" s="10"/>
    </row>
    <row r="83" spans="2:18" ht="129.75" customHeight="1" x14ac:dyDescent="0.25">
      <c r="B83" s="6"/>
      <c r="C83" s="6"/>
      <c r="D83" s="7"/>
      <c r="E83" s="7"/>
      <c r="F83" s="7"/>
      <c r="G83" s="97"/>
      <c r="H83" s="3"/>
      <c r="I83" s="3"/>
      <c r="J83" s="37"/>
      <c r="K83" s="3"/>
      <c r="L83" s="3"/>
      <c r="M83" s="3"/>
      <c r="N83" s="6"/>
      <c r="O83" s="10"/>
      <c r="P83" s="10"/>
      <c r="Q83" s="10"/>
      <c r="R83" s="10"/>
    </row>
    <row r="84" spans="2:18" s="98" customFormat="1" ht="168" customHeight="1" x14ac:dyDescent="0.25">
      <c r="B84" s="99"/>
      <c r="C84" s="99"/>
      <c r="D84" s="100"/>
      <c r="E84" s="100"/>
      <c r="F84" s="100"/>
      <c r="G84" s="100"/>
      <c r="H84" s="101"/>
      <c r="I84" s="101"/>
      <c r="J84" s="102"/>
      <c r="K84" s="101"/>
      <c r="L84" s="101"/>
      <c r="M84" s="101"/>
      <c r="N84" s="101"/>
      <c r="O84" s="103"/>
      <c r="P84" s="103"/>
      <c r="Q84" s="103"/>
      <c r="R84" s="103"/>
    </row>
    <row r="85" spans="2:18" ht="283.5" customHeight="1" x14ac:dyDescent="0.25">
      <c r="B85" s="6"/>
      <c r="C85" s="6"/>
      <c r="D85" s="7"/>
      <c r="E85" s="7"/>
      <c r="F85" s="7"/>
      <c r="G85" s="97"/>
      <c r="H85" s="3"/>
      <c r="I85" s="3"/>
      <c r="J85" s="28"/>
      <c r="K85" s="3"/>
      <c r="L85" s="3"/>
      <c r="M85" s="3"/>
      <c r="N85" s="3"/>
      <c r="O85" s="10"/>
      <c r="P85" s="10"/>
      <c r="Q85" s="10"/>
      <c r="R85" s="10"/>
    </row>
    <row r="86" spans="2:18" ht="192" customHeight="1" x14ac:dyDescent="0.25">
      <c r="B86" s="104"/>
      <c r="C86" s="6"/>
      <c r="D86" s="7"/>
      <c r="E86" s="7"/>
      <c r="F86" s="7"/>
      <c r="G86" s="97"/>
      <c r="H86" s="3"/>
      <c r="I86" s="3"/>
      <c r="J86" s="28"/>
      <c r="K86" s="3"/>
      <c r="L86" s="3"/>
      <c r="M86" s="3"/>
      <c r="N86" s="3"/>
      <c r="O86" s="10"/>
      <c r="P86" s="10"/>
      <c r="Q86" s="10"/>
      <c r="R86" s="10"/>
    </row>
    <row r="87" spans="2:18" ht="234.75" customHeight="1" x14ac:dyDescent="0.25">
      <c r="B87" s="6"/>
      <c r="C87" s="6"/>
      <c r="D87" s="7"/>
      <c r="E87" s="7"/>
      <c r="F87" s="7"/>
      <c r="G87" s="7"/>
      <c r="H87" s="3"/>
      <c r="I87" s="3"/>
      <c r="J87" s="28"/>
      <c r="K87" s="3"/>
      <c r="L87" s="3"/>
      <c r="M87" s="3"/>
      <c r="N87" s="3"/>
      <c r="O87" s="10"/>
      <c r="P87" s="10"/>
      <c r="Q87" s="10"/>
      <c r="R87" s="10"/>
    </row>
    <row r="88" spans="2:18" ht="194.25" customHeight="1" x14ac:dyDescent="0.25">
      <c r="B88" s="58"/>
      <c r="C88" s="6"/>
      <c r="D88" s="7"/>
      <c r="E88" s="7"/>
      <c r="F88" s="7"/>
      <c r="G88" s="97"/>
      <c r="H88" s="3"/>
      <c r="I88" s="3"/>
      <c r="J88" s="105"/>
      <c r="K88" s="6"/>
      <c r="L88" s="3"/>
      <c r="M88" s="3"/>
      <c r="N88" s="3"/>
      <c r="O88" s="10"/>
      <c r="P88" s="10"/>
      <c r="Q88" s="10"/>
      <c r="R88" s="10"/>
    </row>
    <row r="89" spans="2:18" ht="224.25" customHeight="1" x14ac:dyDescent="0.25">
      <c r="B89" s="6"/>
      <c r="C89" s="6"/>
      <c r="D89" s="7"/>
      <c r="E89" s="7"/>
      <c r="F89" s="7"/>
      <c r="G89" s="7"/>
      <c r="H89" s="3"/>
      <c r="I89" s="3"/>
      <c r="J89" s="3"/>
      <c r="K89" s="3"/>
      <c r="L89" s="3"/>
      <c r="M89" s="3"/>
      <c r="N89" s="3"/>
      <c r="O89" s="10"/>
      <c r="P89" s="10"/>
      <c r="Q89" s="10"/>
      <c r="R89" s="10"/>
    </row>
    <row r="90" spans="2:18" ht="409.5" customHeight="1" x14ac:dyDescent="0.25">
      <c r="B90" s="6"/>
      <c r="C90" s="6"/>
      <c r="D90" s="7"/>
      <c r="E90" s="7"/>
      <c r="F90" s="7"/>
      <c r="G90" s="7"/>
      <c r="H90" s="3"/>
      <c r="I90" s="3"/>
      <c r="J90" s="28"/>
      <c r="K90" s="3"/>
      <c r="L90" s="3"/>
      <c r="M90" s="3"/>
      <c r="N90" s="3"/>
      <c r="O90" s="10"/>
      <c r="P90" s="10"/>
      <c r="Q90" s="10"/>
      <c r="R90" s="10"/>
    </row>
    <row r="91" spans="2:18" ht="339.75" customHeight="1" x14ac:dyDescent="0.25">
      <c r="B91" s="6"/>
      <c r="C91" s="6"/>
      <c r="D91" s="7"/>
      <c r="E91" s="7"/>
      <c r="F91" s="7"/>
      <c r="G91" s="97"/>
      <c r="H91" s="3"/>
      <c r="I91" s="3"/>
      <c r="J91" s="28"/>
      <c r="K91" s="36"/>
      <c r="L91" s="3"/>
      <c r="M91" s="3"/>
      <c r="N91" s="3"/>
      <c r="O91" s="10"/>
      <c r="P91" s="10"/>
      <c r="Q91" s="10"/>
      <c r="R91" s="10"/>
    </row>
    <row r="92" spans="2:18" ht="409.6" customHeight="1" x14ac:dyDescent="0.25">
      <c r="B92" s="6"/>
      <c r="C92" s="6"/>
      <c r="D92" s="7"/>
      <c r="E92" s="7"/>
      <c r="F92" s="7"/>
      <c r="G92" s="7"/>
      <c r="H92" s="3"/>
      <c r="I92" s="3"/>
      <c r="J92" s="37"/>
      <c r="K92" s="3"/>
      <c r="L92" s="3"/>
      <c r="M92" s="3"/>
      <c r="N92" s="9"/>
      <c r="O92" s="10"/>
      <c r="P92" s="10"/>
      <c r="Q92" s="10"/>
      <c r="R92" s="10"/>
    </row>
    <row r="93" spans="2:18" ht="409.5" customHeight="1" x14ac:dyDescent="0.25">
      <c r="B93" s="6"/>
      <c r="C93" s="6"/>
      <c r="D93" s="7"/>
      <c r="E93" s="7"/>
      <c r="F93" s="7"/>
      <c r="G93" s="7"/>
      <c r="H93" s="3"/>
      <c r="I93" s="3"/>
      <c r="J93" s="28"/>
      <c r="K93" s="3"/>
      <c r="L93" s="3"/>
      <c r="M93" s="3"/>
      <c r="N93" s="3"/>
      <c r="O93" s="10"/>
      <c r="P93" s="10"/>
      <c r="Q93" s="10"/>
      <c r="R93" s="10"/>
    </row>
    <row r="94" spans="2:18" ht="409.6" customHeight="1" x14ac:dyDescent="0.25">
      <c r="B94" s="106"/>
      <c r="C94" s="6"/>
      <c r="D94" s="7"/>
      <c r="E94" s="7"/>
      <c r="F94" s="7"/>
      <c r="G94" s="7"/>
      <c r="H94" s="3"/>
      <c r="I94" s="3"/>
      <c r="J94" s="36"/>
      <c r="K94" s="3"/>
      <c r="L94" s="3"/>
      <c r="M94" s="3"/>
      <c r="N94" s="6"/>
      <c r="O94" s="10"/>
      <c r="P94" s="10"/>
      <c r="Q94" s="10"/>
      <c r="R94" s="10"/>
    </row>
    <row r="95" spans="2:18" s="107" customFormat="1" ht="306.75" customHeight="1" x14ac:dyDescent="0.25">
      <c r="B95" s="108"/>
      <c r="C95" s="108"/>
      <c r="D95" s="71"/>
      <c r="E95" s="71"/>
      <c r="F95" s="71"/>
      <c r="G95" s="71"/>
      <c r="H95" s="61"/>
      <c r="I95" s="61"/>
      <c r="J95" s="109"/>
      <c r="K95" s="61"/>
      <c r="L95" s="61"/>
      <c r="M95" s="61"/>
      <c r="N95" s="61"/>
      <c r="O95" s="73"/>
      <c r="P95" s="73"/>
      <c r="Q95" s="73"/>
      <c r="R95" s="73"/>
    </row>
    <row r="96" spans="2:18" ht="291.75" customHeight="1" x14ac:dyDescent="0.25">
      <c r="B96" s="58"/>
      <c r="C96" s="6"/>
      <c r="D96" s="7"/>
      <c r="E96" s="7"/>
      <c r="F96" s="7"/>
      <c r="G96" s="7"/>
      <c r="H96" s="3"/>
      <c r="I96" s="3"/>
      <c r="J96" s="37"/>
      <c r="K96" s="3"/>
      <c r="L96" s="3"/>
      <c r="M96" s="110"/>
      <c r="N96" s="3"/>
      <c r="O96" s="10"/>
      <c r="P96" s="10"/>
      <c r="Q96" s="10"/>
      <c r="R96" s="10"/>
    </row>
    <row r="97" spans="1:19" s="98" customFormat="1" ht="189.75" customHeight="1" x14ac:dyDescent="0.25">
      <c r="B97" s="111"/>
      <c r="C97" s="99"/>
      <c r="D97" s="100"/>
      <c r="E97" s="100"/>
      <c r="F97" s="100"/>
      <c r="G97" s="100"/>
      <c r="H97" s="101"/>
      <c r="I97" s="101"/>
      <c r="J97" s="101"/>
      <c r="K97" s="101"/>
      <c r="L97" s="101"/>
      <c r="M97" s="144"/>
      <c r="N97" s="101"/>
      <c r="O97" s="103"/>
      <c r="P97" s="103"/>
      <c r="Q97" s="103"/>
      <c r="R97" s="103"/>
    </row>
    <row r="98" spans="1:19" ht="182.25" customHeight="1" x14ac:dyDescent="0.25">
      <c r="B98" s="6"/>
      <c r="C98" s="6"/>
      <c r="D98" s="7"/>
      <c r="E98" s="7"/>
      <c r="F98" s="7"/>
      <c r="G98" s="7"/>
      <c r="H98" s="3"/>
      <c r="I98" s="3"/>
      <c r="J98" s="37"/>
      <c r="K98" s="3"/>
      <c r="L98" s="3"/>
      <c r="M98" s="145"/>
      <c r="N98" s="3"/>
      <c r="O98" s="10"/>
      <c r="P98" s="10"/>
      <c r="Q98" s="10"/>
      <c r="R98" s="10"/>
    </row>
    <row r="99" spans="1:19" ht="319.5" customHeight="1" x14ac:dyDescent="0.25">
      <c r="B99" s="58"/>
      <c r="C99" s="6"/>
      <c r="D99" s="7"/>
      <c r="E99" s="7"/>
      <c r="F99" s="7"/>
      <c r="G99" s="7"/>
      <c r="H99" s="3"/>
      <c r="I99" s="3"/>
      <c r="J99" s="37"/>
      <c r="K99" s="3"/>
      <c r="L99" s="3"/>
      <c r="M99" s="146"/>
      <c r="N99" s="3"/>
      <c r="O99" s="10"/>
      <c r="P99" s="10"/>
      <c r="Q99" s="10"/>
      <c r="R99" s="10"/>
    </row>
    <row r="100" spans="1:19" customFormat="1" ht="234.75" customHeight="1" x14ac:dyDescent="0.25">
      <c r="B100" s="58"/>
      <c r="C100" s="6"/>
      <c r="D100" s="7"/>
      <c r="E100" s="7"/>
      <c r="F100" s="7"/>
      <c r="G100" s="112"/>
      <c r="H100" s="3"/>
      <c r="I100" s="3"/>
      <c r="J100" s="37"/>
      <c r="K100" s="3"/>
      <c r="L100" s="3"/>
      <c r="M100" s="3"/>
      <c r="N100" s="3"/>
      <c r="O100" s="10"/>
      <c r="P100" s="10"/>
      <c r="Q100" s="10"/>
      <c r="R100" s="10"/>
    </row>
    <row r="101" spans="1:19" customFormat="1" ht="359.25" customHeight="1" x14ac:dyDescent="0.25">
      <c r="B101" s="69"/>
      <c r="C101" s="6"/>
      <c r="D101" s="113"/>
      <c r="E101" s="113"/>
      <c r="F101" s="114"/>
      <c r="G101" s="113"/>
      <c r="H101" s="115"/>
      <c r="I101" s="115"/>
      <c r="J101" s="115"/>
      <c r="K101" s="115"/>
      <c r="L101" s="115"/>
      <c r="M101" s="113"/>
      <c r="N101" s="113"/>
      <c r="O101" s="113"/>
      <c r="P101" s="113"/>
      <c r="Q101" s="113"/>
      <c r="R101" s="113"/>
    </row>
    <row r="102" spans="1:19" s="5" customFormat="1" ht="207" customHeight="1" x14ac:dyDescent="0.25">
      <c r="B102" s="6"/>
      <c r="C102" s="6"/>
      <c r="D102" s="3"/>
      <c r="E102" s="3"/>
      <c r="F102" s="3"/>
      <c r="G102" s="3"/>
      <c r="H102" s="3"/>
      <c r="I102" s="3"/>
      <c r="J102" s="115"/>
      <c r="K102" s="3"/>
      <c r="L102" s="3"/>
      <c r="M102" s="3"/>
      <c r="N102" s="3"/>
      <c r="O102" s="3"/>
      <c r="P102" s="3"/>
      <c r="Q102" s="3"/>
      <c r="R102" s="60"/>
      <c r="S102" s="116"/>
    </row>
    <row r="103" spans="1:19" s="5" customFormat="1" ht="409.5" customHeight="1" x14ac:dyDescent="0.25">
      <c r="B103" s="104"/>
      <c r="C103" s="6"/>
      <c r="D103" s="3"/>
      <c r="E103" s="3"/>
      <c r="F103" s="3"/>
      <c r="G103" s="3"/>
      <c r="H103" s="3"/>
      <c r="I103" s="3"/>
      <c r="J103" s="115"/>
      <c r="K103" s="3"/>
      <c r="L103" s="3"/>
      <c r="M103" s="3"/>
      <c r="N103" s="3"/>
      <c r="O103" s="3"/>
      <c r="P103" s="3"/>
      <c r="Q103" s="3"/>
      <c r="R103" s="60"/>
      <c r="S103" s="116"/>
    </row>
    <row r="104" spans="1:19" s="5" customFormat="1" ht="282" customHeight="1" x14ac:dyDescent="0.25">
      <c r="B104" s="6"/>
      <c r="C104" s="6"/>
      <c r="D104" s="3"/>
      <c r="E104" s="3"/>
      <c r="F104" s="3"/>
      <c r="G104" s="3"/>
      <c r="H104" s="3"/>
      <c r="I104" s="3"/>
      <c r="J104" s="115"/>
      <c r="K104" s="3"/>
      <c r="L104" s="3"/>
      <c r="M104" s="3"/>
      <c r="N104" s="3"/>
      <c r="O104" s="3"/>
      <c r="P104" s="3"/>
      <c r="Q104" s="3"/>
      <c r="R104" s="60"/>
      <c r="S104" s="116"/>
    </row>
    <row r="105" spans="1:19" s="5" customFormat="1" ht="409.5" customHeight="1" x14ac:dyDescent="0.25">
      <c r="B105" s="6"/>
      <c r="C105" s="6"/>
      <c r="D105" s="3"/>
      <c r="E105" s="3"/>
      <c r="F105" s="3"/>
      <c r="G105" s="3"/>
      <c r="H105" s="3"/>
      <c r="I105" s="3"/>
      <c r="J105" s="115"/>
      <c r="K105" s="3"/>
      <c r="L105" s="3"/>
      <c r="M105" s="3"/>
      <c r="O105" s="3"/>
      <c r="P105" s="3"/>
      <c r="Q105" s="3"/>
      <c r="R105" s="60"/>
      <c r="S105" s="116"/>
    </row>
    <row r="106" spans="1:19" ht="273" customHeight="1" x14ac:dyDescent="0.25">
      <c r="B106" s="6"/>
      <c r="C106" s="6"/>
      <c r="D106" s="7"/>
      <c r="E106" s="7"/>
      <c r="F106" s="7"/>
      <c r="G106" s="7"/>
      <c r="H106" s="3"/>
      <c r="I106" s="3"/>
      <c r="J106" s="37"/>
      <c r="K106" s="3"/>
      <c r="L106" s="3"/>
      <c r="M106" s="3"/>
      <c r="N106" s="3"/>
      <c r="O106" s="10"/>
      <c r="P106" s="10"/>
      <c r="Q106" s="10"/>
      <c r="R106" s="10"/>
    </row>
    <row r="107" spans="1:19" s="5" customFormat="1" ht="229.5" customHeight="1" x14ac:dyDescent="0.25">
      <c r="B107" s="58"/>
      <c r="C107" s="6"/>
      <c r="D107" s="3"/>
      <c r="E107" s="3"/>
      <c r="F107" s="3"/>
      <c r="G107" s="117"/>
      <c r="H107" s="3"/>
      <c r="I107" s="3"/>
      <c r="J107" s="115"/>
      <c r="K107" s="3"/>
      <c r="L107" s="3"/>
      <c r="M107" s="3"/>
      <c r="N107" s="3"/>
      <c r="O107" s="3"/>
      <c r="P107" s="3"/>
      <c r="Q107" s="3"/>
      <c r="R107" s="60"/>
      <c r="S107" s="116"/>
    </row>
    <row r="108" spans="1:19" s="5" customFormat="1" ht="196.5" customHeight="1" x14ac:dyDescent="0.25">
      <c r="A108" s="3"/>
      <c r="B108" s="122"/>
      <c r="C108" s="6"/>
      <c r="D108" s="3"/>
      <c r="E108" s="3"/>
      <c r="F108" s="3"/>
      <c r="G108" s="3"/>
      <c r="H108" s="3"/>
      <c r="I108" s="3"/>
      <c r="J108" s="115"/>
      <c r="K108" s="3"/>
      <c r="L108" s="3"/>
      <c r="M108" s="3"/>
      <c r="N108" s="3"/>
      <c r="O108" s="3"/>
      <c r="P108" s="3"/>
      <c r="Q108" s="3"/>
      <c r="R108" s="60"/>
      <c r="S108" s="116"/>
    </row>
    <row r="109" spans="1:19" ht="201.75" customHeight="1" x14ac:dyDescent="0.25">
      <c r="A109" s="10"/>
      <c r="B109" s="58"/>
      <c r="C109" s="6"/>
      <c r="D109" s="7"/>
      <c r="E109" s="7"/>
      <c r="F109" s="7"/>
      <c r="G109" s="7"/>
      <c r="H109" s="3"/>
      <c r="I109" s="3"/>
      <c r="J109" s="37"/>
      <c r="K109" s="3"/>
      <c r="L109" s="3"/>
      <c r="M109" s="3"/>
      <c r="N109" s="3"/>
      <c r="O109" s="10"/>
      <c r="P109" s="10"/>
      <c r="Q109" s="10"/>
      <c r="R109" s="10"/>
    </row>
    <row r="110" spans="1:19" s="107" customFormat="1" ht="209.25" customHeight="1" x14ac:dyDescent="0.25">
      <c r="A110" s="73"/>
      <c r="B110" s="123"/>
      <c r="C110" s="108"/>
      <c r="D110" s="71"/>
      <c r="E110" s="71"/>
      <c r="F110" s="71"/>
      <c r="G110" s="71"/>
      <c r="H110" s="61"/>
      <c r="I110" s="118"/>
      <c r="J110" s="119"/>
      <c r="K110" s="61"/>
      <c r="L110" s="61"/>
      <c r="M110" s="61"/>
      <c r="N110" s="61"/>
      <c r="O110" s="73"/>
      <c r="P110" s="73"/>
      <c r="Q110" s="73"/>
      <c r="R110" s="73"/>
    </row>
    <row r="111" spans="1:19" ht="409.5" customHeight="1" x14ac:dyDescent="0.25">
      <c r="A111" s="10"/>
      <c r="B111" s="121"/>
      <c r="C111" s="6"/>
      <c r="D111" s="7"/>
      <c r="E111" s="7"/>
      <c r="F111" s="7"/>
      <c r="G111" s="7"/>
      <c r="H111" s="3"/>
      <c r="I111" s="3"/>
      <c r="J111" s="37"/>
      <c r="K111" s="3"/>
      <c r="L111" s="101"/>
      <c r="M111" s="3"/>
      <c r="N111" s="3"/>
      <c r="O111" s="10"/>
      <c r="P111" s="10"/>
      <c r="Q111" s="10"/>
      <c r="R111" s="10"/>
    </row>
    <row r="112" spans="1:19" ht="409.5" customHeight="1" x14ac:dyDescent="0.25">
      <c r="A112" s="10"/>
      <c r="B112" s="69"/>
      <c r="C112" s="6"/>
      <c r="D112" s="7"/>
      <c r="E112" s="7"/>
      <c r="F112" s="7"/>
      <c r="G112" s="7"/>
      <c r="H112" s="3"/>
      <c r="I112" s="3"/>
      <c r="J112" s="28"/>
      <c r="K112" s="3"/>
      <c r="L112" s="101"/>
      <c r="M112" s="3"/>
      <c r="N112" s="3"/>
      <c r="O112" s="10"/>
      <c r="P112" s="10"/>
      <c r="Q112" s="10"/>
      <c r="R112" s="10"/>
    </row>
    <row r="113" spans="1:19" ht="306.75" customHeight="1" x14ac:dyDescent="0.25">
      <c r="A113" s="81"/>
      <c r="B113" s="68"/>
      <c r="C113" s="6"/>
      <c r="D113" s="7"/>
      <c r="E113" s="7"/>
      <c r="F113" s="7"/>
      <c r="G113" s="7"/>
      <c r="H113" s="3"/>
      <c r="I113" s="3"/>
      <c r="J113" s="28"/>
      <c r="K113" s="38"/>
      <c r="L113" s="3"/>
      <c r="M113" s="3"/>
      <c r="N113" s="3"/>
      <c r="O113" s="10"/>
      <c r="P113" s="10"/>
      <c r="Q113" s="10"/>
      <c r="R113" s="10"/>
    </row>
    <row r="114" spans="1:19" ht="409.5" customHeight="1" x14ac:dyDescent="0.25">
      <c r="B114" s="108"/>
      <c r="C114" s="6"/>
      <c r="D114" s="7"/>
      <c r="E114" s="7"/>
      <c r="F114" s="7"/>
      <c r="G114" s="7"/>
      <c r="H114" s="3"/>
      <c r="I114" s="3"/>
      <c r="J114" s="36"/>
      <c r="K114" s="3"/>
      <c r="L114" s="3"/>
      <c r="M114" s="3"/>
      <c r="N114" s="6"/>
      <c r="O114" s="10"/>
      <c r="P114" s="10"/>
      <c r="Q114" s="10"/>
      <c r="R114" s="10"/>
    </row>
    <row r="115" spans="1:19" s="107" customFormat="1" ht="227.25" customHeight="1" x14ac:dyDescent="0.25">
      <c r="B115" s="108"/>
      <c r="C115" s="108"/>
      <c r="D115" s="71"/>
      <c r="E115" s="71"/>
      <c r="F115" s="71"/>
      <c r="G115" s="71"/>
      <c r="H115" s="61"/>
      <c r="I115" s="118"/>
      <c r="J115" s="119"/>
      <c r="K115" s="61"/>
      <c r="L115" s="61"/>
      <c r="M115" s="61"/>
      <c r="N115" s="61"/>
      <c r="O115" s="73"/>
      <c r="P115" s="73"/>
      <c r="Q115" s="73"/>
      <c r="R115" s="73"/>
    </row>
    <row r="116" spans="1:19" s="5" customFormat="1" ht="409.6" customHeight="1" x14ac:dyDescent="0.25">
      <c r="A116" s="3"/>
      <c r="B116" s="68"/>
      <c r="C116" s="6"/>
      <c r="D116" s="3"/>
      <c r="E116" s="3"/>
      <c r="F116" s="3"/>
      <c r="G116" s="3"/>
      <c r="H116" s="3"/>
      <c r="I116" s="3"/>
      <c r="J116" s="115"/>
      <c r="K116" s="3"/>
      <c r="L116" s="3"/>
      <c r="M116" s="3"/>
      <c r="N116" s="3"/>
      <c r="O116" s="3"/>
      <c r="P116" s="3"/>
      <c r="Q116" s="3"/>
      <c r="R116" s="3"/>
      <c r="S116" s="120"/>
    </row>
    <row r="117" spans="1:19" ht="409.5" customHeight="1" x14ac:dyDescent="0.25">
      <c r="B117" s="58" t="s">
        <v>280</v>
      </c>
      <c r="C117" s="6" t="s">
        <v>281</v>
      </c>
      <c r="D117" s="7">
        <v>2000</v>
      </c>
      <c r="E117" s="7">
        <v>1</v>
      </c>
      <c r="F117" s="92" t="s">
        <v>279</v>
      </c>
      <c r="G117" s="112">
        <v>89000</v>
      </c>
      <c r="H117" s="3" t="s">
        <v>282</v>
      </c>
      <c r="I117" s="3" t="s">
        <v>283</v>
      </c>
      <c r="J117" s="28" t="s">
        <v>284</v>
      </c>
      <c r="K117" s="3" t="s">
        <v>285</v>
      </c>
      <c r="L117" s="3"/>
      <c r="M117" s="3" t="s">
        <v>286</v>
      </c>
      <c r="N117" s="3"/>
      <c r="O117" s="10">
        <v>31</v>
      </c>
      <c r="P117" s="10"/>
      <c r="Q117" s="10"/>
      <c r="R117" s="10">
        <v>1</v>
      </c>
    </row>
    <row r="118" spans="1:19" x14ac:dyDescent="0.25">
      <c r="B118" s="5"/>
      <c r="C118" s="5"/>
      <c r="D118" s="8"/>
      <c r="E118" s="8"/>
      <c r="F118" s="8"/>
      <c r="G118" s="8"/>
      <c r="H118" s="5"/>
      <c r="I118" s="5"/>
      <c r="J118" s="5"/>
      <c r="K118" s="5"/>
      <c r="L118" s="5"/>
      <c r="M118" s="5"/>
      <c r="N118" s="5"/>
    </row>
    <row r="119" spans="1:19" x14ac:dyDescent="0.25">
      <c r="B119" s="5"/>
      <c r="C119" s="5"/>
      <c r="D119" s="8"/>
      <c r="E119" s="8"/>
      <c r="F119" s="8"/>
      <c r="G119" s="8"/>
      <c r="H119" s="5"/>
      <c r="I119" s="5"/>
      <c r="J119" s="5"/>
      <c r="K119" s="5"/>
      <c r="L119" s="5"/>
      <c r="M119" s="5"/>
      <c r="N119" s="5"/>
    </row>
  </sheetData>
  <autoFilter ref="B1:R106">
    <sortState ref="B2:S100">
      <sortCondition ref="B1"/>
    </sortState>
  </autoFilter>
  <mergeCells count="1">
    <mergeCell ref="M97:M99"/>
  </mergeCells>
  <phoneticPr fontId="0" type="noConversion"/>
  <hyperlinks>
    <hyperlink ref="B2" r:id="rId1" tooltip="LBMG Worklabs"/>
    <hyperlink ref="C2" r:id="rId2" display="http://www.lbmg-worklabs.com "/>
    <hyperlink ref="C3" r:id="rId3"/>
    <hyperlink ref="C4" r:id="rId4"/>
    <hyperlink ref="C5" r:id="rId5"/>
    <hyperlink ref="C6" r:id="rId6"/>
    <hyperlink ref="C7" r:id="rId7"/>
    <hyperlink ref="C8" r:id="rId8"/>
    <hyperlink ref="C9" r:id="rId9"/>
    <hyperlink ref="C10" r:id="rId10"/>
    <hyperlink ref="C11" r:id="rId11"/>
    <hyperlink ref="C12" r:id="rId12"/>
    <hyperlink ref="C13" r:id="rId13"/>
    <hyperlink ref="C14" r:id="rId14"/>
    <hyperlink ref="B117" r:id="rId15"/>
    <hyperlink ref="C117" r:id="rId16"/>
  </hyperlinks>
  <pageMargins left="0.7" right="0.7" top="0.75" bottom="0.75" header="0.3" footer="0.3"/>
  <pageSetup orientation="portrait" r:id="rId17"/>
  <drawing r:id="rId1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0"/>
  <sheetViews>
    <sheetView zoomScale="80" zoomScaleNormal="80" workbookViewId="0">
      <selection activeCell="B77" sqref="B77"/>
    </sheetView>
  </sheetViews>
  <sheetFormatPr baseColWidth="10" defaultRowHeight="15" x14ac:dyDescent="0.25"/>
  <cols>
    <col min="1" max="1" width="26.85546875" bestFit="1" customWidth="1"/>
    <col min="2" max="2" width="11.7109375" style="27" customWidth="1"/>
    <col min="3" max="5" width="11.42578125" style="27"/>
    <col min="7" max="7" width="28" bestFit="1" customWidth="1"/>
  </cols>
  <sheetData>
    <row r="1" spans="1:9" s="43" customFormat="1" ht="40.5" customHeight="1" thickBot="1" x14ac:dyDescent="0.3">
      <c r="A1" s="42" t="s">
        <v>43</v>
      </c>
      <c r="B1" s="39" t="s">
        <v>48</v>
      </c>
      <c r="C1" s="40" t="s">
        <v>49</v>
      </c>
      <c r="D1" s="40" t="s">
        <v>50</v>
      </c>
      <c r="E1" s="41" t="s">
        <v>51</v>
      </c>
      <c r="G1" s="44" t="s">
        <v>18</v>
      </c>
      <c r="H1" s="42" t="s">
        <v>51</v>
      </c>
    </row>
    <row r="2" spans="1:9" x14ac:dyDescent="0.25">
      <c r="A2" s="29" t="s">
        <v>52</v>
      </c>
      <c r="B2" s="14">
        <f>SUMIF(Tous!O:O,"01",Tous!$R:$R)</f>
        <v>0</v>
      </c>
      <c r="C2" s="15">
        <f>SUMIF(Tous!P:P,"01",Tous!$R:$R)</f>
        <v>0</v>
      </c>
      <c r="D2" s="15">
        <f>SUMIF(Tous!Q:Q,"01",Tous!$R:$R)</f>
        <v>0</v>
      </c>
      <c r="E2" s="45">
        <f>SUM(B2:D2)</f>
        <v>0</v>
      </c>
      <c r="G2" s="31" t="s">
        <v>19</v>
      </c>
      <c r="H2" s="48">
        <f>E69+E70</f>
        <v>0</v>
      </c>
      <c r="I2" t="s">
        <v>287</v>
      </c>
    </row>
    <row r="3" spans="1:9" x14ac:dyDescent="0.25">
      <c r="A3" s="30" t="s">
        <v>53</v>
      </c>
      <c r="B3" s="16">
        <f>SUMIF(Tous!O:O,"02",Tous!$R:$R)</f>
        <v>0</v>
      </c>
      <c r="C3" s="17">
        <f>SUMIF(Tous!P:P,"02",Tous!$R:$R)</f>
        <v>0</v>
      </c>
      <c r="D3" s="17">
        <f>SUMIF(Tous!Q:Q,"02",Tous!$R:$R)</f>
        <v>0</v>
      </c>
      <c r="E3" s="46">
        <f t="shared" ref="E3:E66" si="0">SUM(B3:D3)</f>
        <v>0</v>
      </c>
      <c r="G3" s="32" t="s">
        <v>20</v>
      </c>
      <c r="H3" s="49">
        <f>E26+E35+E42+E49+E66</f>
        <v>0</v>
      </c>
    </row>
    <row r="4" spans="1:9" x14ac:dyDescent="0.25">
      <c r="A4" s="30" t="s">
        <v>101</v>
      </c>
      <c r="B4" s="16">
        <f>SUMIF(Tous!O:O,"03",Tous!$R:$R)</f>
        <v>0</v>
      </c>
      <c r="C4" s="17">
        <f>SUMIF(Tous!P:P,"03",Tous!$R:$R)</f>
        <v>0</v>
      </c>
      <c r="D4" s="17">
        <f>SUMIF(Tous!Q:Q,"03",Tous!$R:$R)</f>
        <v>0</v>
      </c>
      <c r="E4" s="46">
        <f t="shared" si="0"/>
        <v>0</v>
      </c>
      <c r="G4" s="32" t="s">
        <v>21</v>
      </c>
      <c r="H4" s="49">
        <f>E4+E16+E45+E65</f>
        <v>0</v>
      </c>
    </row>
    <row r="5" spans="1:9" x14ac:dyDescent="0.25">
      <c r="A5" s="30" t="s">
        <v>102</v>
      </c>
      <c r="B5" s="16">
        <f>SUMIF(Tous!O:O,"04",Tous!$R:$R)</f>
        <v>0</v>
      </c>
      <c r="C5" s="17">
        <f>SUMIF(Tous!P:P,"04",Tous!$R:$R)</f>
        <v>0</v>
      </c>
      <c r="D5" s="17">
        <f>SUMIF(Tous!Q:Q,"04",Tous!$R:$R)</f>
        <v>0</v>
      </c>
      <c r="E5" s="46">
        <f t="shared" si="0"/>
        <v>0</v>
      </c>
      <c r="G5" s="32" t="s">
        <v>22</v>
      </c>
      <c r="H5" s="49">
        <f>E15+E53+E62</f>
        <v>1</v>
      </c>
      <c r="I5" t="s">
        <v>287</v>
      </c>
    </row>
    <row r="6" spans="1:9" x14ac:dyDescent="0.25">
      <c r="A6" s="30" t="s">
        <v>103</v>
      </c>
      <c r="B6" s="16">
        <f>SUMIF(Tous!O:O,"05",Tous!$R:$R)</f>
        <v>0</v>
      </c>
      <c r="C6" s="17">
        <f>SUMIF(Tous!P:P,"05",Tous!$R:$R)</f>
        <v>0</v>
      </c>
      <c r="D6" s="17">
        <f>SUMIF(Tous!Q:Q,"05",Tous!$R:$R)</f>
        <v>0</v>
      </c>
      <c r="E6" s="46">
        <f t="shared" si="0"/>
        <v>0</v>
      </c>
      <c r="G6" s="32" t="s">
        <v>23</v>
      </c>
      <c r="H6" s="49">
        <f>E23+E60+E73+E91</f>
        <v>1</v>
      </c>
      <c r="I6" t="s">
        <v>287</v>
      </c>
    </row>
    <row r="7" spans="1:9" x14ac:dyDescent="0.25">
      <c r="A7" s="30" t="s">
        <v>104</v>
      </c>
      <c r="B7" s="16">
        <f>SUMIF(Tous!O:O,"06",Tous!$R:$R)</f>
        <v>0</v>
      </c>
      <c r="C7" s="17">
        <f>SUMIF(Tous!P:P,"06",Tous!$R:$R)</f>
        <v>0</v>
      </c>
      <c r="D7" s="17">
        <f>SUMIF(Tous!Q:Q,"06",Tous!$R:$R)</f>
        <v>0</v>
      </c>
      <c r="E7" s="46">
        <f t="shared" si="0"/>
        <v>0</v>
      </c>
      <c r="G7" s="32" t="s">
        <v>24</v>
      </c>
      <c r="H7" s="49">
        <f>E24+E31+E37+E58</f>
        <v>0</v>
      </c>
    </row>
    <row r="8" spans="1:9" x14ac:dyDescent="0.25">
      <c r="A8" s="30" t="s">
        <v>105</v>
      </c>
      <c r="B8" s="16">
        <f>SUMIF(Tous!O:O,"07",Tous!$R:$R)</f>
        <v>0</v>
      </c>
      <c r="C8" s="17">
        <f>SUMIF(Tous!P:P,"07",Tous!$R:$R)</f>
        <v>0</v>
      </c>
      <c r="D8" s="17">
        <f>SUMIF(Tous!Q:Q,"07",Tous!$R:$R)</f>
        <v>0</v>
      </c>
      <c r="E8" s="46">
        <f t="shared" si="0"/>
        <v>0</v>
      </c>
      <c r="G8" s="32" t="s">
        <v>25</v>
      </c>
      <c r="H8" s="49">
        <f>E19+E30+E38+E39+E43+E47</f>
        <v>0</v>
      </c>
    </row>
    <row r="9" spans="1:9" x14ac:dyDescent="0.25">
      <c r="A9" s="30" t="s">
        <v>106</v>
      </c>
      <c r="B9" s="16">
        <f>SUMIF(Tous!O:O,"08",Tous!$R:$R)</f>
        <v>0</v>
      </c>
      <c r="C9" s="17">
        <f>SUMIF(Tous!P:P,"08",Tous!$R:$R)</f>
        <v>0</v>
      </c>
      <c r="D9" s="17">
        <f>SUMIF(Tous!Q:Q,"08",Tous!$R:$R)</f>
        <v>0</v>
      </c>
      <c r="E9" s="46">
        <f t="shared" si="0"/>
        <v>0</v>
      </c>
      <c r="G9" s="32" t="s">
        <v>26</v>
      </c>
      <c r="H9" s="49">
        <f>E9+E11+E53+E54</f>
        <v>0</v>
      </c>
      <c r="I9" t="s">
        <v>287</v>
      </c>
    </row>
    <row r="10" spans="1:9" x14ac:dyDescent="0.25">
      <c r="A10" s="30" t="s">
        <v>107</v>
      </c>
      <c r="B10" s="16">
        <f>SUMIF(Tous!O:O,"09",Tous!$R:$R)</f>
        <v>0</v>
      </c>
      <c r="C10" s="17">
        <f>SUMIF(Tous!P:P,"09",Tous!$R:$R)</f>
        <v>0</v>
      </c>
      <c r="D10" s="17">
        <f>SUMIF(Tous!Q:Q,"09",Tous!$R:$R)</f>
        <v>0</v>
      </c>
      <c r="E10" s="46">
        <f t="shared" si="0"/>
        <v>0</v>
      </c>
      <c r="G10" s="32" t="s">
        <v>27</v>
      </c>
      <c r="H10" s="49">
        <f>E21+E22</f>
        <v>0</v>
      </c>
    </row>
    <row r="11" spans="1:9" x14ac:dyDescent="0.25">
      <c r="A11" s="30" t="s">
        <v>108</v>
      </c>
      <c r="B11" s="16">
        <f>SUMIF(Tous!O:O,"10",Tous!$R:$R)</f>
        <v>0</v>
      </c>
      <c r="C11" s="17">
        <f>SUMIF(Tous!P:P,"10",Tous!$R:$R)</f>
        <v>0</v>
      </c>
      <c r="D11" s="17">
        <f>SUMIF(Tous!Q:Q,"10",Tous!$R:$R)</f>
        <v>0</v>
      </c>
      <c r="E11" s="46">
        <f t="shared" si="0"/>
        <v>0</v>
      </c>
      <c r="G11" s="32" t="s">
        <v>28</v>
      </c>
      <c r="H11" s="49">
        <f>E27+E41+E72+E92</f>
        <v>0</v>
      </c>
    </row>
    <row r="12" spans="1:9" x14ac:dyDescent="0.25">
      <c r="A12" s="30" t="s">
        <v>109</v>
      </c>
      <c r="B12" s="16">
        <f>SUMIF(Tous!O:O,"11",Tous!$R:$R)</f>
        <v>0</v>
      </c>
      <c r="C12" s="17">
        <f>SUMIF(Tous!P:P,"11",Tous!$R:$R)</f>
        <v>0</v>
      </c>
      <c r="D12" s="17">
        <f>SUMIF(Tous!Q:Q,"11",Tous!$R:$R)</f>
        <v>0</v>
      </c>
      <c r="E12" s="46">
        <f t="shared" si="0"/>
        <v>0</v>
      </c>
      <c r="G12" s="32" t="s">
        <v>29</v>
      </c>
      <c r="H12" s="49">
        <f>E29+E78</f>
        <v>3</v>
      </c>
      <c r="I12" t="s">
        <v>287</v>
      </c>
    </row>
    <row r="13" spans="1:9" x14ac:dyDescent="0.25">
      <c r="A13" s="30" t="s">
        <v>110</v>
      </c>
      <c r="B13" s="16">
        <f>SUMIF(Tous!O:O,"12",Tous!$R:$R)</f>
        <v>0</v>
      </c>
      <c r="C13" s="17">
        <f>SUMIF(Tous!P:P,"12",Tous!$R:$R)</f>
        <v>0</v>
      </c>
      <c r="D13" s="17">
        <f>SUMIF(Tous!Q:Q,"12",Tous!$R:$R)</f>
        <v>0</v>
      </c>
      <c r="E13" s="46">
        <f t="shared" si="0"/>
        <v>0</v>
      </c>
      <c r="G13" s="32" t="s">
        <v>30</v>
      </c>
      <c r="H13" s="49">
        <f>E77+E79+E80+E93+E94+E95+E96+E97</f>
        <v>5</v>
      </c>
      <c r="I13" t="s">
        <v>287</v>
      </c>
    </row>
    <row r="14" spans="1:9" x14ac:dyDescent="0.25">
      <c r="A14" s="30" t="s">
        <v>111</v>
      </c>
      <c r="B14" s="16">
        <f>SUMIF(Tous!O:O,"13",Tous!$R:$R)</f>
        <v>0</v>
      </c>
      <c r="C14" s="17">
        <f>SUMIF(Tous!P:P,"13",Tous!$R:$R)</f>
        <v>0</v>
      </c>
      <c r="D14" s="17">
        <f>SUMIF(Tous!Q:Q,"13",Tous!$R:$R)</f>
        <v>0</v>
      </c>
      <c r="E14" s="46">
        <f t="shared" si="0"/>
        <v>0</v>
      </c>
      <c r="G14" s="32" t="s">
        <v>31</v>
      </c>
      <c r="H14" s="49">
        <f>E12+E32+E36+E50+E68</f>
        <v>1</v>
      </c>
    </row>
    <row r="15" spans="1:9" x14ac:dyDescent="0.25">
      <c r="A15" s="30" t="s">
        <v>112</v>
      </c>
      <c r="B15" s="16">
        <f>SUMIF(Tous!O:O,"14",Tous!$R:$R)</f>
        <v>0</v>
      </c>
      <c r="C15" s="16">
        <f>SUMIF(Tous!P:P,"14",Tous!$R:$R)</f>
        <v>1</v>
      </c>
      <c r="D15" s="17">
        <f>SUMIF(Tous!Q:Q,"14",Tous!$R:$R)</f>
        <v>0</v>
      </c>
      <c r="E15" s="46">
        <f t="shared" si="0"/>
        <v>1</v>
      </c>
      <c r="G15" s="32" t="s">
        <v>32</v>
      </c>
      <c r="H15" s="49">
        <f>E20+E25+E89</f>
        <v>0</v>
      </c>
    </row>
    <row r="16" spans="1:9" x14ac:dyDescent="0.25">
      <c r="A16" s="30" t="s">
        <v>113</v>
      </c>
      <c r="B16" s="16">
        <f>SUMIF(Tous!O:O,"15",Tous!$R:$R)</f>
        <v>0</v>
      </c>
      <c r="C16" s="17">
        <f>SUMIF(Tous!P:P,"15",Tous!$R:$R)</f>
        <v>0</v>
      </c>
      <c r="D16" s="17">
        <f>SUMIF(Tous!Q:Q,"15",Tous!$R:$R)</f>
        <v>0</v>
      </c>
      <c r="E16" s="46">
        <f t="shared" si="0"/>
        <v>0</v>
      </c>
      <c r="G16" s="32" t="s">
        <v>33</v>
      </c>
      <c r="H16" s="49">
        <f>E56+E57+E59+E90</f>
        <v>1</v>
      </c>
      <c r="I16" t="s">
        <v>287</v>
      </c>
    </row>
    <row r="17" spans="1:9" x14ac:dyDescent="0.25">
      <c r="A17" s="30" t="s">
        <v>114</v>
      </c>
      <c r="B17" s="16">
        <f>SUMIF(Tous!O:O,"16",Tous!$R:$R)</f>
        <v>0</v>
      </c>
      <c r="C17" s="17">
        <f>SUMIF(Tous!P:P,"16",Tous!$R:$R)</f>
        <v>0</v>
      </c>
      <c r="D17" s="17">
        <f>SUMIF(Tous!Q:Q,"16",Tous!$R:$R)</f>
        <v>0</v>
      </c>
      <c r="E17" s="46">
        <f t="shared" si="0"/>
        <v>0</v>
      </c>
      <c r="G17" s="32" t="s">
        <v>34</v>
      </c>
      <c r="H17" s="49">
        <f>E10+E13+E33+E34+E48+E67+E83+E84</f>
        <v>1</v>
      </c>
      <c r="I17" t="s">
        <v>287</v>
      </c>
    </row>
    <row r="18" spans="1:9" x14ac:dyDescent="0.25">
      <c r="A18" s="30" t="s">
        <v>115</v>
      </c>
      <c r="B18" s="16">
        <f>SUMIF(Tous!O:O,"17",Tous!$R:$R)</f>
        <v>0</v>
      </c>
      <c r="C18" s="17">
        <f>SUMIF(Tous!P:P,"17",Tous!$R:$R)</f>
        <v>0</v>
      </c>
      <c r="D18" s="17">
        <f>SUMIF(Tous!Q:Q,"17",Tous!$R:$R)</f>
        <v>0</v>
      </c>
      <c r="E18" s="46">
        <f t="shared" si="0"/>
        <v>0</v>
      </c>
      <c r="G18" s="32" t="s">
        <v>35</v>
      </c>
      <c r="H18" s="49">
        <f>E61+E64</f>
        <v>1</v>
      </c>
      <c r="I18" t="s">
        <v>287</v>
      </c>
    </row>
    <row r="19" spans="1:9" x14ac:dyDescent="0.25">
      <c r="A19" s="30" t="s">
        <v>116</v>
      </c>
      <c r="B19" s="16">
        <f>SUMIF(Tous!O:O,"18",Tous!$R:$R)</f>
        <v>0</v>
      </c>
      <c r="C19" s="17">
        <f>SUMIF(Tous!P:P,"18",Tous!$R:$R)</f>
        <v>0</v>
      </c>
      <c r="D19" s="17">
        <f>SUMIF(Tous!Q:Q,"18",Tous!$R:$R)</f>
        <v>0</v>
      </c>
      <c r="E19" s="46">
        <f t="shared" si="0"/>
        <v>0</v>
      </c>
      <c r="G19" s="33" t="s">
        <v>40</v>
      </c>
      <c r="H19" s="49">
        <f>E46+E51+E55+E74+E87</f>
        <v>1</v>
      </c>
    </row>
    <row r="20" spans="1:9" x14ac:dyDescent="0.25">
      <c r="A20" s="30" t="s">
        <v>117</v>
      </c>
      <c r="B20" s="16">
        <f>SUMIF(Tous!O:O,"19",Tous!$R:$R)</f>
        <v>0</v>
      </c>
      <c r="C20" s="17">
        <f>SUMIF(Tous!P:P,"19",Tous!$R:$R)</f>
        <v>0</v>
      </c>
      <c r="D20" s="17">
        <f>SUMIF(Tous!Q:Q,"19",Tous!$R:$R)</f>
        <v>0</v>
      </c>
      <c r="E20" s="46">
        <f t="shared" si="0"/>
        <v>0</v>
      </c>
      <c r="G20" s="32" t="s">
        <v>36</v>
      </c>
      <c r="H20" s="49">
        <f>E3+E62+E82</f>
        <v>0</v>
      </c>
      <c r="I20" t="s">
        <v>287</v>
      </c>
    </row>
    <row r="21" spans="1:9" x14ac:dyDescent="0.25">
      <c r="A21" s="30" t="s">
        <v>118</v>
      </c>
      <c r="B21" s="16">
        <f>SUMIF(Tous!O:O,"2A",Tous!$R:$R)</f>
        <v>0</v>
      </c>
      <c r="C21" s="17">
        <f>SUMIF(Tous!P:P,"2A",Tous!$R:$R)</f>
        <v>0</v>
      </c>
      <c r="D21" s="17">
        <f>SUMIF(Tous!Q:Q,"2A",Tous!$R:$R)</f>
        <v>0</v>
      </c>
      <c r="E21" s="46">
        <f t="shared" si="0"/>
        <v>0</v>
      </c>
      <c r="G21" s="33" t="s">
        <v>39</v>
      </c>
      <c r="H21" s="49">
        <f>E17+E18+E81+E88</f>
        <v>0</v>
      </c>
    </row>
    <row r="22" spans="1:9" x14ac:dyDescent="0.25">
      <c r="A22" s="30" t="s">
        <v>119</v>
      </c>
      <c r="B22" s="16">
        <f>SUMIF(Tous!O:O,"2B",Tous!$R:$R)</f>
        <v>0</v>
      </c>
      <c r="C22" s="17">
        <f>SUMIF(Tous!P:P,"2B",Tous!$R:$R)</f>
        <v>0</v>
      </c>
      <c r="D22" s="17">
        <f>SUMIF(Tous!Q:Q,"2B",Tous!$R:$R)</f>
        <v>0</v>
      </c>
      <c r="E22" s="46">
        <f t="shared" si="0"/>
        <v>0</v>
      </c>
      <c r="G22" s="32" t="s">
        <v>37</v>
      </c>
      <c r="H22" s="49">
        <f>E5+E6+E7+E14+E85+E86</f>
        <v>0</v>
      </c>
    </row>
    <row r="23" spans="1:9" ht="15.75" thickBot="1" x14ac:dyDescent="0.3">
      <c r="A23" s="30" t="s">
        <v>120</v>
      </c>
      <c r="B23" s="16">
        <f>SUMIF(Tous!O:O,"21",Tous!$R:$R)</f>
        <v>0</v>
      </c>
      <c r="C23" s="16">
        <f>SUMIF(Tous!P:P,"21",Tous!$R:$R)</f>
        <v>1</v>
      </c>
      <c r="D23" s="17">
        <f>SUMIF(Tous!Q:Q,"21",Tous!$R:$R)</f>
        <v>0</v>
      </c>
      <c r="E23" s="46">
        <f t="shared" si="0"/>
        <v>1</v>
      </c>
      <c r="G23" s="34" t="s">
        <v>38</v>
      </c>
      <c r="H23" s="50">
        <f>E2+E8+E28+E40+E44+E71+E75+E76</f>
        <v>2</v>
      </c>
    </row>
    <row r="24" spans="1:9" ht="15.75" thickBot="1" x14ac:dyDescent="0.3">
      <c r="A24" s="30" t="s">
        <v>54</v>
      </c>
      <c r="B24" s="16">
        <f>SUMIF(Tous!O:O,"22",Tous!$R:$R)</f>
        <v>0</v>
      </c>
      <c r="C24" s="17">
        <f>SUMIF(Tous!P:P,"22",Tous!$R:$R)</f>
        <v>0</v>
      </c>
      <c r="D24" s="17">
        <f>SUMIF(Tous!Q:Q,"22",Tous!$R:$R)</f>
        <v>0</v>
      </c>
      <c r="E24" s="46">
        <f t="shared" si="0"/>
        <v>0</v>
      </c>
      <c r="G24" s="47" t="s">
        <v>41</v>
      </c>
      <c r="H24" s="51">
        <f>SUM(H2:H23)</f>
        <v>17</v>
      </c>
    </row>
    <row r="25" spans="1:9" x14ac:dyDescent="0.25">
      <c r="A25" s="30" t="s">
        <v>55</v>
      </c>
      <c r="B25" s="16">
        <f>SUMIF(Tous!O:O,"23",Tous!$R:$R)</f>
        <v>0</v>
      </c>
      <c r="C25" s="17">
        <f>SUMIF(Tous!P:P,"23",Tous!$R:$R)</f>
        <v>0</v>
      </c>
      <c r="D25" s="17">
        <f>SUMIF(Tous!Q:Q,"23",Tous!$R:$R)</f>
        <v>0</v>
      </c>
      <c r="E25" s="46">
        <f t="shared" si="0"/>
        <v>0</v>
      </c>
      <c r="H25" s="27"/>
    </row>
    <row r="26" spans="1:9" x14ac:dyDescent="0.25">
      <c r="A26" s="30" t="s">
        <v>56</v>
      </c>
      <c r="B26" s="16">
        <f>SUMIF(Tous!O:O,"24",Tous!$R:$R)</f>
        <v>0</v>
      </c>
      <c r="C26" s="17">
        <f>SUMIF(Tous!P:P,"24",Tous!$R:$R)</f>
        <v>0</v>
      </c>
      <c r="D26" s="17">
        <f>SUMIF(Tous!Q:Q,"24",Tous!$R:$R)</f>
        <v>0</v>
      </c>
      <c r="E26" s="46">
        <f t="shared" si="0"/>
        <v>0</v>
      </c>
    </row>
    <row r="27" spans="1:9" x14ac:dyDescent="0.25">
      <c r="A27" s="30" t="s">
        <v>57</v>
      </c>
      <c r="B27" s="16">
        <f>SUMIF(Tous!O:O,"25",Tous!$R:$R)</f>
        <v>0</v>
      </c>
      <c r="C27" s="17">
        <f>SUMIF(Tous!P:P,"25",Tous!$R:$R)</f>
        <v>0</v>
      </c>
      <c r="D27" s="17">
        <f>SUMIF(Tous!Q:Q,"25",Tous!$R:$R)</f>
        <v>0</v>
      </c>
      <c r="E27" s="46">
        <f t="shared" si="0"/>
        <v>0</v>
      </c>
    </row>
    <row r="28" spans="1:9" x14ac:dyDescent="0.25">
      <c r="A28" s="30" t="s">
        <v>58</v>
      </c>
      <c r="B28" s="16">
        <f>SUMIF(Tous!O:O,"26",Tous!$R:$R)</f>
        <v>1</v>
      </c>
      <c r="C28" s="17">
        <f>SUMIF(Tous!P:P,"26",Tous!$R:$R)</f>
        <v>0</v>
      </c>
      <c r="D28" s="17">
        <f>SUMIF(Tous!Q:Q,"26",Tous!$R:$R)</f>
        <v>0</v>
      </c>
      <c r="E28" s="46">
        <f t="shared" si="0"/>
        <v>1</v>
      </c>
    </row>
    <row r="29" spans="1:9" x14ac:dyDescent="0.25">
      <c r="A29" s="30" t="s">
        <v>59</v>
      </c>
      <c r="B29" s="16">
        <f>SUMIF(Tous!O:O,"27",Tous!$R:$R)</f>
        <v>1</v>
      </c>
      <c r="C29" s="17">
        <f>SUMIF(Tous!P:P,"27",Tous!$R:$R)</f>
        <v>0</v>
      </c>
      <c r="D29" s="17">
        <f>SUMIF(Tous!Q:Q,"27",Tous!$R:$R)</f>
        <v>0</v>
      </c>
      <c r="E29" s="46">
        <f t="shared" si="0"/>
        <v>1</v>
      </c>
    </row>
    <row r="30" spans="1:9" x14ac:dyDescent="0.25">
      <c r="A30" s="30" t="s">
        <v>60</v>
      </c>
      <c r="B30" s="16">
        <f>SUMIF(Tous!O:O,"28",Tous!$R:$R)</f>
        <v>0</v>
      </c>
      <c r="C30" s="17">
        <f>SUMIF(Tous!P:P,"28",Tous!$R:$R)</f>
        <v>0</v>
      </c>
      <c r="D30" s="17">
        <f>SUMIF(Tous!Q:Q,"28",Tous!$R:$R)</f>
        <v>0</v>
      </c>
      <c r="E30" s="46">
        <f t="shared" si="0"/>
        <v>0</v>
      </c>
    </row>
    <row r="31" spans="1:9" x14ac:dyDescent="0.25">
      <c r="A31" s="30" t="s">
        <v>61</v>
      </c>
      <c r="B31" s="16">
        <f>SUMIF(Tous!O:O,"29",Tous!$R:$R)</f>
        <v>0</v>
      </c>
      <c r="C31" s="17">
        <f>SUMIF(Tous!P:P,"29",Tous!$R:$R)</f>
        <v>0</v>
      </c>
      <c r="D31" s="17">
        <f>SUMIF(Tous!Q:Q,"29",Tous!$R:$R)</f>
        <v>0</v>
      </c>
      <c r="E31" s="46">
        <f t="shared" si="0"/>
        <v>0</v>
      </c>
    </row>
    <row r="32" spans="1:9" x14ac:dyDescent="0.25">
      <c r="A32" s="30" t="s">
        <v>62</v>
      </c>
      <c r="B32" s="16">
        <f>SUMIF(Tous!O:O,"30",Tous!$R:$R)</f>
        <v>0</v>
      </c>
      <c r="C32" s="17">
        <f>SUMIF(Tous!P:P,"30",Tous!$R:$R)</f>
        <v>0</v>
      </c>
      <c r="D32" s="17">
        <f>SUMIF(Tous!Q:Q,"30",Tous!$R:$R)</f>
        <v>0</v>
      </c>
      <c r="E32" s="46">
        <f t="shared" si="0"/>
        <v>0</v>
      </c>
    </row>
    <row r="33" spans="1:5" x14ac:dyDescent="0.25">
      <c r="A33" s="30" t="s">
        <v>63</v>
      </c>
      <c r="B33" s="16">
        <f>SUMIF(Tous!O:O,"31",Tous!$R:$R)</f>
        <v>1</v>
      </c>
      <c r="C33" s="17">
        <f>SUMIF(Tous!P:P,"31",Tous!$R:$R)</f>
        <v>0</v>
      </c>
      <c r="D33" s="17">
        <f>SUMIF(Tous!Q:Q,"31",Tous!$R:$R)</f>
        <v>0</v>
      </c>
      <c r="E33" s="46">
        <f t="shared" si="0"/>
        <v>1</v>
      </c>
    </row>
    <row r="34" spans="1:5" x14ac:dyDescent="0.25">
      <c r="A34" s="30" t="s">
        <v>64</v>
      </c>
      <c r="B34" s="16">
        <f>SUMIF(Tous!O:O,"32",Tous!$R:$R)</f>
        <v>0</v>
      </c>
      <c r="C34" s="17">
        <f>SUMIF(Tous!P:P,"32",Tous!$R:$R)</f>
        <v>0</v>
      </c>
      <c r="D34" s="17">
        <f>SUMIF(Tous!Q:Q,"32",Tous!$R:$R)</f>
        <v>0</v>
      </c>
      <c r="E34" s="46">
        <f t="shared" si="0"/>
        <v>0</v>
      </c>
    </row>
    <row r="35" spans="1:5" x14ac:dyDescent="0.25">
      <c r="A35" s="30" t="s">
        <v>65</v>
      </c>
      <c r="B35" s="16">
        <f>SUMIF(Tous!O:O,"33",Tous!$R:$R)</f>
        <v>0</v>
      </c>
      <c r="C35" s="17">
        <f>SUMIF(Tous!P:P,"33",Tous!$R:$R)</f>
        <v>0</v>
      </c>
      <c r="D35" s="17">
        <f>SUMIF(Tous!Q:Q,"33",Tous!$R:$R)</f>
        <v>0</v>
      </c>
      <c r="E35" s="46">
        <f t="shared" si="0"/>
        <v>0</v>
      </c>
    </row>
    <row r="36" spans="1:5" x14ac:dyDescent="0.25">
      <c r="A36" s="30" t="s">
        <v>66</v>
      </c>
      <c r="B36" s="16">
        <f>SUMIF(Tous!O:O,"34",Tous!$R:$R)</f>
        <v>0</v>
      </c>
      <c r="C36" s="16">
        <f>SUMIF(Tous!P:P,"34",Tous!$R:$R)</f>
        <v>1</v>
      </c>
      <c r="D36" s="17">
        <f>SUMIF(Tous!Q:Q,"34",Tous!$R:$R)</f>
        <v>0</v>
      </c>
      <c r="E36" s="46">
        <f t="shared" si="0"/>
        <v>1</v>
      </c>
    </row>
    <row r="37" spans="1:5" x14ac:dyDescent="0.25">
      <c r="A37" s="30" t="s">
        <v>67</v>
      </c>
      <c r="B37" s="16">
        <f>SUMIF(Tous!O:O,"35",Tous!$R:$R)</f>
        <v>0</v>
      </c>
      <c r="C37" s="17">
        <f>SUMIF(Tous!P:P,"35",Tous!$R:$R)</f>
        <v>0</v>
      </c>
      <c r="D37" s="17">
        <f>SUMIF(Tous!Q:Q,"35",Tous!$R:$R)</f>
        <v>0</v>
      </c>
      <c r="E37" s="46">
        <f t="shared" si="0"/>
        <v>0</v>
      </c>
    </row>
    <row r="38" spans="1:5" x14ac:dyDescent="0.25">
      <c r="A38" s="30" t="s">
        <v>68</v>
      </c>
      <c r="B38" s="16">
        <f>SUMIF(Tous!O:O,"36",Tous!$R:$R)</f>
        <v>0</v>
      </c>
      <c r="C38" s="17">
        <f>SUMIF(Tous!P:P,"36",Tous!$R:$R)</f>
        <v>0</v>
      </c>
      <c r="D38" s="17">
        <f>SUMIF(Tous!Q:Q,"36",Tous!$R:$R)</f>
        <v>0</v>
      </c>
      <c r="E38" s="46">
        <f t="shared" si="0"/>
        <v>0</v>
      </c>
    </row>
    <row r="39" spans="1:5" x14ac:dyDescent="0.25">
      <c r="A39" s="30" t="s">
        <v>69</v>
      </c>
      <c r="B39" s="16">
        <f>SUMIF(Tous!O:O,"37",Tous!$R:$R)</f>
        <v>0</v>
      </c>
      <c r="C39" s="17">
        <f>SUMIF(Tous!P:P,"37",Tous!$R:$R)</f>
        <v>0</v>
      </c>
      <c r="D39" s="17">
        <f>SUMIF(Tous!Q:Q,"37",Tous!$R:$R)</f>
        <v>0</v>
      </c>
      <c r="E39" s="46">
        <f t="shared" si="0"/>
        <v>0</v>
      </c>
    </row>
    <row r="40" spans="1:5" x14ac:dyDescent="0.25">
      <c r="A40" s="30" t="s">
        <v>70</v>
      </c>
      <c r="B40" s="16">
        <f>SUMIF(Tous!O:O,"38",Tous!$R:$R)</f>
        <v>0</v>
      </c>
      <c r="C40" s="17">
        <f>SUMIF(Tous!P:P,"38",Tous!$R:$R)</f>
        <v>0</v>
      </c>
      <c r="D40" s="17">
        <f>SUMIF(Tous!Q:Q,"38",Tous!$R:$R)</f>
        <v>0</v>
      </c>
      <c r="E40" s="46">
        <f t="shared" si="0"/>
        <v>0</v>
      </c>
    </row>
    <row r="41" spans="1:5" x14ac:dyDescent="0.25">
      <c r="A41" s="30" t="s">
        <v>71</v>
      </c>
      <c r="B41" s="16">
        <f>SUMIF(Tous!O:O,"39",Tous!$R:$R)</f>
        <v>0</v>
      </c>
      <c r="C41" s="17">
        <f>SUMIF(Tous!P:P,"39",Tous!$R:$R)</f>
        <v>0</v>
      </c>
      <c r="D41" s="17">
        <f>SUMIF(Tous!Q:Q,"39",Tous!$R:$R)</f>
        <v>0</v>
      </c>
      <c r="E41" s="46">
        <f t="shared" si="0"/>
        <v>0</v>
      </c>
    </row>
    <row r="42" spans="1:5" x14ac:dyDescent="0.25">
      <c r="A42" s="30" t="s">
        <v>72</v>
      </c>
      <c r="B42" s="16">
        <f>SUMIF(Tous!O:O,"40",Tous!$R:$R)</f>
        <v>0</v>
      </c>
      <c r="C42" s="17">
        <f>SUMIF(Tous!P:P,"40",Tous!$R:$R)</f>
        <v>0</v>
      </c>
      <c r="D42" s="17">
        <f>SUMIF(Tous!Q:Q,"40",Tous!$R:$R)</f>
        <v>0</v>
      </c>
      <c r="E42" s="46">
        <f t="shared" si="0"/>
        <v>0</v>
      </c>
    </row>
    <row r="43" spans="1:5" x14ac:dyDescent="0.25">
      <c r="A43" s="30" t="s">
        <v>73</v>
      </c>
      <c r="B43" s="16">
        <f>SUMIF(Tous!O:O,"41",Tous!$R:$R)</f>
        <v>0</v>
      </c>
      <c r="C43" s="17">
        <f>SUMIF(Tous!P:P,"41",Tous!$R:$R)</f>
        <v>0</v>
      </c>
      <c r="D43" s="17">
        <f>SUMIF(Tous!Q:Q,"41",Tous!$R:$R)</f>
        <v>0</v>
      </c>
      <c r="E43" s="46">
        <f t="shared" si="0"/>
        <v>0</v>
      </c>
    </row>
    <row r="44" spans="1:5" x14ac:dyDescent="0.25">
      <c r="A44" s="30" t="s">
        <v>74</v>
      </c>
      <c r="B44" s="16">
        <f>SUMIF(Tous!O:O,"42",Tous!$R:$R)</f>
        <v>0</v>
      </c>
      <c r="C44" s="17">
        <f>SUMIF(Tous!P:P,"42",Tous!$R:$R)</f>
        <v>0</v>
      </c>
      <c r="D44" s="17">
        <f>SUMIF(Tous!Q:Q,"42",Tous!$R:$R)</f>
        <v>0</v>
      </c>
      <c r="E44" s="46">
        <f t="shared" si="0"/>
        <v>0</v>
      </c>
    </row>
    <row r="45" spans="1:5" x14ac:dyDescent="0.25">
      <c r="A45" s="30" t="s">
        <v>75</v>
      </c>
      <c r="B45" s="16">
        <f>SUMIF(Tous!O:O,"43",Tous!$R:$R)</f>
        <v>0</v>
      </c>
      <c r="C45" s="17">
        <f>SUMIF(Tous!P:P,"43",Tous!$R:$R)</f>
        <v>0</v>
      </c>
      <c r="D45" s="17">
        <f>SUMIF(Tous!Q:Q,"43",Tous!$R:$R)</f>
        <v>0</v>
      </c>
      <c r="E45" s="46">
        <f t="shared" si="0"/>
        <v>0</v>
      </c>
    </row>
    <row r="46" spans="1:5" x14ac:dyDescent="0.25">
      <c r="A46" s="30" t="s">
        <v>121</v>
      </c>
      <c r="B46" s="16">
        <f>SUMIF(Tous!O:O,"44",Tous!$R:$R)</f>
        <v>0</v>
      </c>
      <c r="C46" s="17">
        <f>SUMIF(Tous!P:P,"44",Tous!$R:$R)</f>
        <v>0</v>
      </c>
      <c r="D46" s="17">
        <f>SUMIF(Tous!Q:Q,"44",Tous!$R:$R)</f>
        <v>0</v>
      </c>
      <c r="E46" s="46">
        <f t="shared" si="0"/>
        <v>0</v>
      </c>
    </row>
    <row r="47" spans="1:5" x14ac:dyDescent="0.25">
      <c r="A47" s="30" t="s">
        <v>122</v>
      </c>
      <c r="B47" s="16">
        <f>SUMIF(Tous!O:O,"45",Tous!$R:$R)</f>
        <v>0</v>
      </c>
      <c r="C47" s="17">
        <f>SUMIF(Tous!P:P,"45",Tous!$R:$R)</f>
        <v>0</v>
      </c>
      <c r="D47" s="17">
        <f>SUMIF(Tous!Q:Q,"45",Tous!$R:$R)</f>
        <v>0</v>
      </c>
      <c r="E47" s="46">
        <f t="shared" si="0"/>
        <v>0</v>
      </c>
    </row>
    <row r="48" spans="1:5" x14ac:dyDescent="0.25">
      <c r="A48" s="30" t="s">
        <v>123</v>
      </c>
      <c r="B48" s="16">
        <f>SUMIF(Tous!O:O,"46",Tous!$R:$R)</f>
        <v>0</v>
      </c>
      <c r="C48" s="17">
        <f>SUMIF(Tous!P:P,"46",Tous!$R:$R)</f>
        <v>0</v>
      </c>
      <c r="D48" s="17">
        <f>SUMIF(Tous!Q:Q,"46",Tous!$R:$R)</f>
        <v>0</v>
      </c>
      <c r="E48" s="46">
        <f t="shared" si="0"/>
        <v>0</v>
      </c>
    </row>
    <row r="49" spans="1:5" x14ac:dyDescent="0.25">
      <c r="A49" s="30" t="s">
        <v>124</v>
      </c>
      <c r="B49" s="16">
        <f>SUMIF(Tous!O:O,"47",Tous!$R:$R)</f>
        <v>0</v>
      </c>
      <c r="C49" s="17">
        <f>SUMIF(Tous!P:P,"47",Tous!$R:$R)</f>
        <v>0</v>
      </c>
      <c r="D49" s="17">
        <f>SUMIF(Tous!Q:Q,"47",Tous!$R:$R)</f>
        <v>0</v>
      </c>
      <c r="E49" s="46">
        <f t="shared" si="0"/>
        <v>0</v>
      </c>
    </row>
    <row r="50" spans="1:5" x14ac:dyDescent="0.25">
      <c r="A50" s="30" t="s">
        <v>125</v>
      </c>
      <c r="B50" s="16">
        <f>SUMIF(Tous!O:O,"48",Tous!$R:$R)</f>
        <v>0</v>
      </c>
      <c r="C50" s="17">
        <f>SUMIF(Tous!P:P,"48",Tous!$R:$R)</f>
        <v>0</v>
      </c>
      <c r="D50" s="17">
        <f>SUMIF(Tous!Q:Q,"48",Tous!$R:$R)</f>
        <v>0</v>
      </c>
      <c r="E50" s="46">
        <f t="shared" si="0"/>
        <v>0</v>
      </c>
    </row>
    <row r="51" spans="1:5" x14ac:dyDescent="0.25">
      <c r="A51" s="30" t="s">
        <v>126</v>
      </c>
      <c r="B51" s="16">
        <f>SUMIF(Tous!O:O,"49",Tous!$R:$R)</f>
        <v>1</v>
      </c>
      <c r="C51" s="17">
        <f>SUMIF(Tous!P:P,"49",Tous!$R:$R)</f>
        <v>0</v>
      </c>
      <c r="D51" s="17">
        <f>SUMIF(Tous!Q:Q,"49",Tous!$R:$R)</f>
        <v>0</v>
      </c>
      <c r="E51" s="46">
        <f t="shared" si="0"/>
        <v>1</v>
      </c>
    </row>
    <row r="52" spans="1:5" x14ac:dyDescent="0.25">
      <c r="A52" s="30" t="s">
        <v>127</v>
      </c>
      <c r="B52" s="16">
        <f>SUMIF(Tous!O:O,"50",Tous!$R:$R)</f>
        <v>0</v>
      </c>
      <c r="C52" s="17">
        <f>SUMIF(Tous!P:P,"50",Tous!$R:$R)</f>
        <v>0</v>
      </c>
      <c r="D52" s="17">
        <f>SUMIF(Tous!Q:Q,"50",Tous!$R:$R)</f>
        <v>0</v>
      </c>
      <c r="E52" s="46">
        <f t="shared" si="0"/>
        <v>0</v>
      </c>
    </row>
    <row r="53" spans="1:5" x14ac:dyDescent="0.25">
      <c r="A53" s="30" t="s">
        <v>128</v>
      </c>
      <c r="B53" s="16">
        <f>SUMIF(Tous!O:O,"51",Tous!$R:$R)</f>
        <v>0</v>
      </c>
      <c r="C53" s="17">
        <f>SUMIF(Tous!P:P,"51",Tous!$R:$R)</f>
        <v>0</v>
      </c>
      <c r="D53" s="17">
        <f>SUMIF(Tous!Q:Q,"51",Tous!$R:$R)</f>
        <v>0</v>
      </c>
      <c r="E53" s="46">
        <f t="shared" si="0"/>
        <v>0</v>
      </c>
    </row>
    <row r="54" spans="1:5" x14ac:dyDescent="0.25">
      <c r="A54" s="30" t="s">
        <v>129</v>
      </c>
      <c r="B54" s="16">
        <f>SUMIF(Tous!O:O,"52",Tous!$R:$R)</f>
        <v>0</v>
      </c>
      <c r="C54" s="17">
        <f>SUMIF(Tous!P:P,"52",Tous!$R:$R)</f>
        <v>0</v>
      </c>
      <c r="D54" s="17">
        <f>SUMIF(Tous!Q:Q,"52",Tous!$R:$R)</f>
        <v>0</v>
      </c>
      <c r="E54" s="46">
        <f t="shared" si="0"/>
        <v>0</v>
      </c>
    </row>
    <row r="55" spans="1:5" x14ac:dyDescent="0.25">
      <c r="A55" s="30" t="s">
        <v>130</v>
      </c>
      <c r="B55" s="16">
        <f>SUMIF(Tous!O:O,"53",Tous!$R:$R)</f>
        <v>0</v>
      </c>
      <c r="C55" s="17">
        <f>SUMIF(Tous!P:P,"53",Tous!$R:$R)</f>
        <v>0</v>
      </c>
      <c r="D55" s="17">
        <f>SUMIF(Tous!Q:Q,"53",Tous!$R:$R)</f>
        <v>0</v>
      </c>
      <c r="E55" s="46">
        <f t="shared" si="0"/>
        <v>0</v>
      </c>
    </row>
    <row r="56" spans="1:5" x14ac:dyDescent="0.25">
      <c r="A56" s="30" t="s">
        <v>131</v>
      </c>
      <c r="B56" s="16">
        <f>SUMIF(Tous!O:O,"54",Tous!$R:$R)</f>
        <v>0</v>
      </c>
      <c r="C56" s="17">
        <f>SUMIF(Tous!P:P,"54",Tous!$R:$R)</f>
        <v>0</v>
      </c>
      <c r="D56" s="17">
        <f>SUMIF(Tous!Q:Q,"54",Tous!$R:$R)</f>
        <v>0</v>
      </c>
      <c r="E56" s="46">
        <f t="shared" si="0"/>
        <v>0</v>
      </c>
    </row>
    <row r="57" spans="1:5" x14ac:dyDescent="0.25">
      <c r="A57" s="30" t="s">
        <v>132</v>
      </c>
      <c r="B57" s="16">
        <f>SUMIF(Tous!O:O,"55",Tous!$R:$R)</f>
        <v>0</v>
      </c>
      <c r="C57" s="17">
        <f>SUMIF(Tous!P:P,"55",Tous!$R:$R)</f>
        <v>0</v>
      </c>
      <c r="D57" s="17">
        <f>SUMIF(Tous!Q:Q,"55",Tous!$R:$R)</f>
        <v>0</v>
      </c>
      <c r="E57" s="46">
        <f t="shared" si="0"/>
        <v>0</v>
      </c>
    </row>
    <row r="58" spans="1:5" x14ac:dyDescent="0.25">
      <c r="A58" s="30" t="s">
        <v>133</v>
      </c>
      <c r="B58" s="16">
        <f>SUMIF(Tous!O:O,"56",Tous!$R:$R)</f>
        <v>0</v>
      </c>
      <c r="C58" s="17">
        <f>SUMIF(Tous!P:P,"56",Tous!$R:$R)</f>
        <v>0</v>
      </c>
      <c r="D58" s="17">
        <f>SUMIF(Tous!Q:Q,"56",Tous!$R:$R)</f>
        <v>0</v>
      </c>
      <c r="E58" s="46">
        <f t="shared" si="0"/>
        <v>0</v>
      </c>
    </row>
    <row r="59" spans="1:5" x14ac:dyDescent="0.25">
      <c r="A59" s="30" t="s">
        <v>134</v>
      </c>
      <c r="B59" s="16">
        <f>SUMIF(Tous!O:O,"57",Tous!$R:$R)</f>
        <v>1</v>
      </c>
      <c r="C59" s="17">
        <f>SUMIF(Tous!P:P,"57",Tous!$R:$R)</f>
        <v>0</v>
      </c>
      <c r="D59" s="17">
        <f>SUMIF(Tous!Q:Q,"57",Tous!$R:$R)</f>
        <v>0</v>
      </c>
      <c r="E59" s="46">
        <f t="shared" si="0"/>
        <v>1</v>
      </c>
    </row>
    <row r="60" spans="1:5" x14ac:dyDescent="0.25">
      <c r="A60" s="30" t="s">
        <v>135</v>
      </c>
      <c r="B60" s="16">
        <f>SUMIF(Tous!O:O,"58",Tous!$R:$R)</f>
        <v>0</v>
      </c>
      <c r="C60" s="17">
        <f>SUMIF(Tous!P:P,"58",Tous!$R:$R)</f>
        <v>0</v>
      </c>
      <c r="D60" s="17">
        <f>SUMIF(Tous!Q:Q,"58",Tous!$R:$R)</f>
        <v>0</v>
      </c>
      <c r="E60" s="46">
        <f t="shared" si="0"/>
        <v>0</v>
      </c>
    </row>
    <row r="61" spans="1:5" x14ac:dyDescent="0.25">
      <c r="A61" s="30" t="s">
        <v>136</v>
      </c>
      <c r="B61" s="16">
        <f>SUMIF(Tous!O:O,"59",Tous!$R:$R)</f>
        <v>1</v>
      </c>
      <c r="C61" s="17">
        <f>SUMIF(Tous!P:P,"59",Tous!$R:$R)</f>
        <v>0</v>
      </c>
      <c r="D61" s="17">
        <f>SUMIF(Tous!Q:Q,"59",Tous!$R:$R)</f>
        <v>0</v>
      </c>
      <c r="E61" s="46">
        <f t="shared" si="0"/>
        <v>1</v>
      </c>
    </row>
    <row r="62" spans="1:5" x14ac:dyDescent="0.25">
      <c r="A62" s="30" t="s">
        <v>137</v>
      </c>
      <c r="B62" s="16">
        <f>SUMIF(Tous!O:O,"60",Tous!$R:$R)</f>
        <v>0</v>
      </c>
      <c r="C62" s="17">
        <f>SUMIF(Tous!P:P,"60",Tous!$R:$R)</f>
        <v>0</v>
      </c>
      <c r="D62" s="17">
        <f>SUMIF(Tous!Q:Q,"60",Tous!$R:$R)</f>
        <v>0</v>
      </c>
      <c r="E62" s="46">
        <f t="shared" si="0"/>
        <v>0</v>
      </c>
    </row>
    <row r="63" spans="1:5" x14ac:dyDescent="0.25">
      <c r="A63" s="30" t="s">
        <v>138</v>
      </c>
      <c r="B63" s="16">
        <f>SUMIF(Tous!O:O,"61",Tous!$R:$R)</f>
        <v>0</v>
      </c>
      <c r="C63" s="17">
        <f>SUMIF(Tous!P:P,"61",Tous!$R:$R)</f>
        <v>0</v>
      </c>
      <c r="D63" s="17">
        <f>SUMIF(Tous!Q:Q,"61",Tous!$R:$R)</f>
        <v>0</v>
      </c>
      <c r="E63" s="46">
        <f t="shared" si="0"/>
        <v>0</v>
      </c>
    </row>
    <row r="64" spans="1:5" x14ac:dyDescent="0.25">
      <c r="A64" s="30" t="s">
        <v>139</v>
      </c>
      <c r="B64" s="16">
        <f>SUMIF(Tous!O:O,"62",Tous!$R:$R)</f>
        <v>0</v>
      </c>
      <c r="C64" s="17">
        <f>SUMIF(Tous!P:P,"62",Tous!$R:$R)</f>
        <v>0</v>
      </c>
      <c r="D64" s="17">
        <f>SUMIF(Tous!Q:Q,"62",Tous!$R:$R)</f>
        <v>0</v>
      </c>
      <c r="E64" s="46">
        <f t="shared" si="0"/>
        <v>0</v>
      </c>
    </row>
    <row r="65" spans="1:5" x14ac:dyDescent="0.25">
      <c r="A65" s="30" t="s">
        <v>140</v>
      </c>
      <c r="B65" s="16">
        <f>SUMIF(Tous!O:O,"63",Tous!$R:$R)</f>
        <v>0</v>
      </c>
      <c r="C65" s="17">
        <f>SUMIF(Tous!P:P,"63",Tous!$R:$R)</f>
        <v>0</v>
      </c>
      <c r="D65" s="17">
        <f>SUMIF(Tous!Q:Q,"63",Tous!$R:$R)</f>
        <v>0</v>
      </c>
      <c r="E65" s="46">
        <f t="shared" si="0"/>
        <v>0</v>
      </c>
    </row>
    <row r="66" spans="1:5" x14ac:dyDescent="0.25">
      <c r="A66" s="30" t="s">
        <v>141</v>
      </c>
      <c r="B66" s="16">
        <f>SUMIF(Tous!O:O,"64",Tous!$R:$R)</f>
        <v>0</v>
      </c>
      <c r="C66" s="17">
        <f>SUMIF(Tous!P:P,"64",Tous!$R:$R)</f>
        <v>0</v>
      </c>
      <c r="D66" s="17">
        <f>SUMIF(Tous!Q:Q,"64",Tous!$R:$R)</f>
        <v>0</v>
      </c>
      <c r="E66" s="46">
        <f t="shared" si="0"/>
        <v>0</v>
      </c>
    </row>
    <row r="67" spans="1:5" x14ac:dyDescent="0.25">
      <c r="A67" s="30" t="s">
        <v>142</v>
      </c>
      <c r="B67" s="16">
        <f>SUMIF(Tous!O:O,"65",Tous!$R:$R)</f>
        <v>0</v>
      </c>
      <c r="C67" s="17">
        <f>SUMIF(Tous!P:P,"65",Tous!$R:$R)</f>
        <v>0</v>
      </c>
      <c r="D67" s="17">
        <f>SUMIF(Tous!Q:Q,"65",Tous!$R:$R)</f>
        <v>0</v>
      </c>
      <c r="E67" s="46">
        <f t="shared" ref="E67:E97" si="1">SUM(B67:D67)</f>
        <v>0</v>
      </c>
    </row>
    <row r="68" spans="1:5" x14ac:dyDescent="0.25">
      <c r="A68" s="30" t="s">
        <v>0</v>
      </c>
      <c r="B68" s="16">
        <f>SUMIF(Tous!O:O,"66",Tous!$R:$R)</f>
        <v>0</v>
      </c>
      <c r="C68" s="17">
        <f>SUMIF(Tous!P:P,"66",Tous!$R:$R)</f>
        <v>0</v>
      </c>
      <c r="D68" s="17">
        <f>SUMIF(Tous!Q:Q,"66",Tous!$R:$R)</f>
        <v>0</v>
      </c>
      <c r="E68" s="46">
        <f t="shared" si="1"/>
        <v>0</v>
      </c>
    </row>
    <row r="69" spans="1:5" x14ac:dyDescent="0.25">
      <c r="A69" s="30" t="s">
        <v>1</v>
      </c>
      <c r="B69" s="16">
        <f>SUMIF(Tous!O:O,"67",Tous!$R:$R)</f>
        <v>0</v>
      </c>
      <c r="C69" s="17">
        <f>SUMIF(Tous!P:P,"67",Tous!$R:$R)</f>
        <v>0</v>
      </c>
      <c r="D69" s="17">
        <f>SUMIF(Tous!Q:Q,"67",Tous!$R:$R)</f>
        <v>0</v>
      </c>
      <c r="E69" s="46">
        <f t="shared" si="1"/>
        <v>0</v>
      </c>
    </row>
    <row r="70" spans="1:5" x14ac:dyDescent="0.25">
      <c r="A70" s="30" t="s">
        <v>2</v>
      </c>
      <c r="B70" s="16">
        <f>SUMIF(Tous!O:O,"68",Tous!$R:$R)</f>
        <v>0</v>
      </c>
      <c r="C70" s="17">
        <f>SUMIF(Tous!P:P,"68",Tous!$R:$R)</f>
        <v>0</v>
      </c>
      <c r="D70" s="17">
        <f>SUMIF(Tous!Q:Q,"68",Tous!$R:$R)</f>
        <v>0</v>
      </c>
      <c r="E70" s="46">
        <f t="shared" si="1"/>
        <v>0</v>
      </c>
    </row>
    <row r="71" spans="1:5" x14ac:dyDescent="0.25">
      <c r="A71" s="30" t="s">
        <v>3</v>
      </c>
      <c r="B71" s="16">
        <f>SUMIF(Tous!O:O,"69",Tous!$R:$R)</f>
        <v>1</v>
      </c>
      <c r="C71" s="17">
        <f>SUMIF(Tous!P:P,"69",Tous!$R:$R)</f>
        <v>0</v>
      </c>
      <c r="D71" s="17">
        <f>SUMIF(Tous!Q:Q,"69",Tous!$R:$R)</f>
        <v>0</v>
      </c>
      <c r="E71" s="46">
        <f t="shared" si="1"/>
        <v>1</v>
      </c>
    </row>
    <row r="72" spans="1:5" x14ac:dyDescent="0.25">
      <c r="A72" s="30" t="s">
        <v>4</v>
      </c>
      <c r="B72" s="16">
        <f>SUMIF(Tous!O:O,"70",Tous!$R:$R)</f>
        <v>0</v>
      </c>
      <c r="C72" s="17">
        <f>SUMIF(Tous!P:P,"70",Tous!$R:$R)</f>
        <v>0</v>
      </c>
      <c r="D72" s="17">
        <f>SUMIF(Tous!Q:Q,"70",Tous!$R:$R)</f>
        <v>0</v>
      </c>
      <c r="E72" s="46">
        <f t="shared" si="1"/>
        <v>0</v>
      </c>
    </row>
    <row r="73" spans="1:5" x14ac:dyDescent="0.25">
      <c r="A73" s="30" t="s">
        <v>5</v>
      </c>
      <c r="B73" s="16">
        <f>SUMIF(Tous!O:O,"71",Tous!$R:$R)</f>
        <v>0</v>
      </c>
      <c r="C73" s="17">
        <f>SUMIF(Tous!P:P,"71",Tous!$R:$R)</f>
        <v>0</v>
      </c>
      <c r="D73" s="17">
        <f>SUMIF(Tous!Q:Q,"71",Tous!$R:$R)</f>
        <v>0</v>
      </c>
      <c r="E73" s="46">
        <f t="shared" si="1"/>
        <v>0</v>
      </c>
    </row>
    <row r="74" spans="1:5" x14ac:dyDescent="0.25">
      <c r="A74" s="30" t="s">
        <v>6</v>
      </c>
      <c r="B74" s="16">
        <f>SUMIF(Tous!O:O,"72",Tous!$R:$R)</f>
        <v>0</v>
      </c>
      <c r="C74" s="17">
        <f>SUMIF(Tous!P:P,"72",Tous!$R:$R)</f>
        <v>0</v>
      </c>
      <c r="D74" s="17">
        <f>SUMIF(Tous!Q:Q,"72",Tous!$R:$R)</f>
        <v>0</v>
      </c>
      <c r="E74" s="46">
        <f t="shared" si="1"/>
        <v>0</v>
      </c>
    </row>
    <row r="75" spans="1:5" x14ac:dyDescent="0.25">
      <c r="A75" s="30" t="s">
        <v>7</v>
      </c>
      <c r="B75" s="16">
        <f>SUMIF(Tous!O:O,"73",Tous!$R:$R)</f>
        <v>0</v>
      </c>
      <c r="C75" s="17">
        <f>SUMIF(Tous!P:P,"73",Tous!$R:$R)</f>
        <v>0</v>
      </c>
      <c r="D75" s="17">
        <f>SUMIF(Tous!Q:Q,"73",Tous!$R:$R)</f>
        <v>0</v>
      </c>
      <c r="E75" s="46">
        <f t="shared" si="1"/>
        <v>0</v>
      </c>
    </row>
    <row r="76" spans="1:5" x14ac:dyDescent="0.25">
      <c r="A76" s="30" t="s">
        <v>8</v>
      </c>
      <c r="B76" s="16">
        <f>SUMIF(Tous!O:O,"74",Tous!$R:$R)</f>
        <v>0</v>
      </c>
      <c r="C76" s="17">
        <f>SUMIF(Tous!P:P,"74",Tous!$R:$R)</f>
        <v>0</v>
      </c>
      <c r="D76" s="17">
        <f>SUMIF(Tous!Q:Q,"74",Tous!$R:$R)</f>
        <v>0</v>
      </c>
      <c r="E76" s="46">
        <f t="shared" si="1"/>
        <v>0</v>
      </c>
    </row>
    <row r="77" spans="1:5" x14ac:dyDescent="0.25">
      <c r="A77" s="30" t="s">
        <v>9</v>
      </c>
      <c r="B77" s="16">
        <f>SUMIF(Tous!O:O,"75",Tous!$R:$R)</f>
        <v>4</v>
      </c>
      <c r="C77" s="17">
        <f>SUMIF(Tous!P:P,"75",Tous!$R:$R)</f>
        <v>0</v>
      </c>
      <c r="D77" s="17">
        <f>SUMIF(Tous!Q:Q,"75",Tous!$R:$R)</f>
        <v>0</v>
      </c>
      <c r="E77" s="46">
        <f t="shared" si="1"/>
        <v>4</v>
      </c>
    </row>
    <row r="78" spans="1:5" x14ac:dyDescent="0.25">
      <c r="A78" s="30" t="s">
        <v>10</v>
      </c>
      <c r="B78" s="16">
        <f>SUMIF(Tous!O:O,"76",Tous!$R:$R)</f>
        <v>2</v>
      </c>
      <c r="C78" s="17">
        <f>SUMIF(Tous!P:P,"76",Tous!$R:$R)</f>
        <v>0</v>
      </c>
      <c r="D78" s="17">
        <f>SUMIF(Tous!Q:Q,"76",Tous!$R:$R)</f>
        <v>0</v>
      </c>
      <c r="E78" s="46">
        <f t="shared" si="1"/>
        <v>2</v>
      </c>
    </row>
    <row r="79" spans="1:5" x14ac:dyDescent="0.25">
      <c r="A79" s="30" t="s">
        <v>11</v>
      </c>
      <c r="B79" s="16">
        <f>SUMIF(Tous!O:O,"77",Tous!$R:$R)</f>
        <v>0</v>
      </c>
      <c r="C79" s="17">
        <f>SUMIF(Tous!P:P,"77",Tous!$R:$R)</f>
        <v>0</v>
      </c>
      <c r="D79" s="17">
        <f>SUMIF(Tous!Q:Q,"77",Tous!$R:$R)</f>
        <v>0</v>
      </c>
      <c r="E79" s="46">
        <f t="shared" si="1"/>
        <v>0</v>
      </c>
    </row>
    <row r="80" spans="1:5" x14ac:dyDescent="0.25">
      <c r="A80" s="30" t="s">
        <v>12</v>
      </c>
      <c r="B80" s="16">
        <f>SUMIF(Tous!O:O,"78",Tous!$R:$R)</f>
        <v>0</v>
      </c>
      <c r="C80" s="17">
        <f>SUMIF(Tous!P:P,"78",Tous!$R:$R)</f>
        <v>0</v>
      </c>
      <c r="D80" s="17">
        <f>SUMIF(Tous!Q:Q,"78",Tous!$R:$R)</f>
        <v>0</v>
      </c>
      <c r="E80" s="46">
        <f t="shared" si="1"/>
        <v>0</v>
      </c>
    </row>
    <row r="81" spans="1:5" x14ac:dyDescent="0.25">
      <c r="A81" s="30" t="s">
        <v>13</v>
      </c>
      <c r="B81" s="16">
        <f>SUMIF(Tous!O:O,"79",Tous!$R:$R)</f>
        <v>0</v>
      </c>
      <c r="C81" s="17">
        <f>SUMIF(Tous!P:P,"79",Tous!$R:$R)</f>
        <v>0</v>
      </c>
      <c r="D81" s="17">
        <f>SUMIF(Tous!Q:Q,"79",Tous!$R:$R)</f>
        <v>0</v>
      </c>
      <c r="E81" s="46">
        <f t="shared" si="1"/>
        <v>0</v>
      </c>
    </row>
    <row r="82" spans="1:5" x14ac:dyDescent="0.25">
      <c r="A82" s="30" t="s">
        <v>14</v>
      </c>
      <c r="B82" s="16">
        <f>SUMIF(Tous!O:O,"80",Tous!$R:$R)</f>
        <v>0</v>
      </c>
      <c r="C82" s="17">
        <f>SUMIF(Tous!P:P,"80",Tous!$R:$R)</f>
        <v>0</v>
      </c>
      <c r="D82" s="17">
        <f>SUMIF(Tous!Q:Q,"80",Tous!$R:$R)</f>
        <v>0</v>
      </c>
      <c r="E82" s="46">
        <f t="shared" si="1"/>
        <v>0</v>
      </c>
    </row>
    <row r="83" spans="1:5" x14ac:dyDescent="0.25">
      <c r="A83" s="30" t="s">
        <v>15</v>
      </c>
      <c r="B83" s="16">
        <f>SUMIF(Tous!O:O,"81",Tous!$R:$R)</f>
        <v>0</v>
      </c>
      <c r="C83" s="17">
        <f>SUMIF(Tous!P:P,"81",Tous!$R:$R)</f>
        <v>0</v>
      </c>
      <c r="D83" s="17">
        <f>SUMIF(Tous!Q:Q,"81",Tous!$R:$R)</f>
        <v>0</v>
      </c>
      <c r="E83" s="46">
        <f t="shared" si="1"/>
        <v>0</v>
      </c>
    </row>
    <row r="84" spans="1:5" x14ac:dyDescent="0.25">
      <c r="A84" s="30" t="s">
        <v>16</v>
      </c>
      <c r="B84" s="16">
        <f>SUMIF(Tous!O:O,"82",Tous!$R:$R)</f>
        <v>0</v>
      </c>
      <c r="C84" s="17">
        <f>SUMIF(Tous!P:P,"82",Tous!$R:$R)</f>
        <v>0</v>
      </c>
      <c r="D84" s="17">
        <f>SUMIF(Tous!Q:Q,"82",Tous!$R:$R)</f>
        <v>0</v>
      </c>
      <c r="E84" s="46">
        <f t="shared" si="1"/>
        <v>0</v>
      </c>
    </row>
    <row r="85" spans="1:5" x14ac:dyDescent="0.25">
      <c r="A85" s="30" t="s">
        <v>17</v>
      </c>
      <c r="B85" s="16">
        <f>SUMIF(Tous!O:O,"83",Tous!$R:$R)</f>
        <v>0</v>
      </c>
      <c r="C85" s="17">
        <f>SUMIF(Tous!P:P,"83",Tous!$R:$R)</f>
        <v>0</v>
      </c>
      <c r="D85" s="17">
        <f>SUMIF(Tous!Q:Q,"83",Tous!$R:$R)</f>
        <v>0</v>
      </c>
      <c r="E85" s="46">
        <f t="shared" si="1"/>
        <v>0</v>
      </c>
    </row>
    <row r="86" spans="1:5" x14ac:dyDescent="0.25">
      <c r="A86" s="30" t="s">
        <v>76</v>
      </c>
      <c r="B86" s="16">
        <f>SUMIF(Tous!O:O,"84",Tous!$R:$R)</f>
        <v>0</v>
      </c>
      <c r="C86" s="17">
        <f>SUMIF(Tous!P:P,"84",Tous!$R:$R)</f>
        <v>0</v>
      </c>
      <c r="D86" s="17">
        <f>SUMIF(Tous!Q:Q,"84",Tous!$R:$R)</f>
        <v>0</v>
      </c>
      <c r="E86" s="46">
        <f t="shared" si="1"/>
        <v>0</v>
      </c>
    </row>
    <row r="87" spans="1:5" x14ac:dyDescent="0.25">
      <c r="A87" s="30" t="s">
        <v>77</v>
      </c>
      <c r="B87" s="16">
        <f>SUMIF(Tous!O:O,"85",Tous!$R:$R)</f>
        <v>0</v>
      </c>
      <c r="C87" s="17">
        <f>SUMIF(Tous!P:P,"85",Tous!$R:$R)</f>
        <v>0</v>
      </c>
      <c r="D87" s="17">
        <f>SUMIF(Tous!Q:Q,"85",Tous!$R:$R)</f>
        <v>0</v>
      </c>
      <c r="E87" s="46">
        <f t="shared" si="1"/>
        <v>0</v>
      </c>
    </row>
    <row r="88" spans="1:5" x14ac:dyDescent="0.25">
      <c r="A88" s="30" t="s">
        <v>78</v>
      </c>
      <c r="B88" s="16">
        <f>SUMIF(Tous!O:O,"86",Tous!$R:$R)</f>
        <v>0</v>
      </c>
      <c r="C88" s="17">
        <f>SUMIF(Tous!P:P,"86",Tous!$R:$R)</f>
        <v>0</v>
      </c>
      <c r="D88" s="17">
        <f>SUMIF(Tous!Q:Q,"86",Tous!$R:$R)</f>
        <v>0</v>
      </c>
      <c r="E88" s="46">
        <f t="shared" si="1"/>
        <v>0</v>
      </c>
    </row>
    <row r="89" spans="1:5" x14ac:dyDescent="0.25">
      <c r="A89" s="30" t="s">
        <v>79</v>
      </c>
      <c r="B89" s="16">
        <f>SUMIF(Tous!O:O,"87",Tous!$R:$R)</f>
        <v>0</v>
      </c>
      <c r="C89" s="17">
        <f>SUMIF(Tous!P:P,"87",Tous!$R:$R)</f>
        <v>0</v>
      </c>
      <c r="D89" s="17">
        <f>SUMIF(Tous!Q:Q,"87",Tous!$R:$R)</f>
        <v>0</v>
      </c>
      <c r="E89" s="46">
        <f t="shared" si="1"/>
        <v>0</v>
      </c>
    </row>
    <row r="90" spans="1:5" x14ac:dyDescent="0.25">
      <c r="A90" s="30" t="s">
        <v>80</v>
      </c>
      <c r="B90" s="16">
        <f>SUMIF(Tous!O:O,"88",Tous!$R:$R)</f>
        <v>0</v>
      </c>
      <c r="C90" s="17">
        <f>SUMIF(Tous!P:P,"88",Tous!$R:$R)</f>
        <v>0</v>
      </c>
      <c r="D90" s="17">
        <f>SUMIF(Tous!Q:Q,"88",Tous!$R:$R)</f>
        <v>0</v>
      </c>
      <c r="E90" s="46">
        <f t="shared" si="1"/>
        <v>0</v>
      </c>
    </row>
    <row r="91" spans="1:5" x14ac:dyDescent="0.25">
      <c r="A91" s="30" t="s">
        <v>81</v>
      </c>
      <c r="B91" s="16">
        <f>SUMIF(Tous!O:O,"89",Tous!$R:$R)</f>
        <v>0</v>
      </c>
      <c r="C91" s="17">
        <f>SUMIF(Tous!P:P,"89",Tous!$R:$R)</f>
        <v>0</v>
      </c>
      <c r="D91" s="17">
        <f>SUMIF(Tous!Q:Q,"89",Tous!$R:$R)</f>
        <v>0</v>
      </c>
      <c r="E91" s="46">
        <f t="shared" si="1"/>
        <v>0</v>
      </c>
    </row>
    <row r="92" spans="1:5" x14ac:dyDescent="0.25">
      <c r="A92" s="30" t="s">
        <v>82</v>
      </c>
      <c r="B92" s="16">
        <f>SUMIF(Tous!O:O,"90",Tous!$R:$R)</f>
        <v>0</v>
      </c>
      <c r="C92" s="17">
        <f>SUMIF(Tous!P:P,"90",Tous!$R:$R)</f>
        <v>0</v>
      </c>
      <c r="D92" s="17">
        <f>SUMIF(Tous!Q:Q,"90",Tous!$R:$R)</f>
        <v>0</v>
      </c>
      <c r="E92" s="46">
        <f t="shared" si="1"/>
        <v>0</v>
      </c>
    </row>
    <row r="93" spans="1:5" x14ac:dyDescent="0.25">
      <c r="A93" s="30" t="s">
        <v>83</v>
      </c>
      <c r="B93" s="16">
        <f>SUMIF(Tous!O:O,"91",Tous!$R:$R)</f>
        <v>0</v>
      </c>
      <c r="C93" s="17">
        <f>SUMIF(Tous!P:P,"91",Tous!$R:$R)</f>
        <v>0</v>
      </c>
      <c r="D93" s="17">
        <f>SUMIF(Tous!Q:Q,"91",Tous!$R:$R)</f>
        <v>0</v>
      </c>
      <c r="E93" s="46">
        <f t="shared" si="1"/>
        <v>0</v>
      </c>
    </row>
    <row r="94" spans="1:5" x14ac:dyDescent="0.25">
      <c r="A94" s="30" t="s">
        <v>84</v>
      </c>
      <c r="B94" s="16">
        <f>SUMIF(Tous!O:O,"92",Tous!$R:$R)</f>
        <v>0</v>
      </c>
      <c r="C94" s="17">
        <f>SUMIF(Tous!P:P,"92",Tous!$R:$R)</f>
        <v>0</v>
      </c>
      <c r="D94" s="17">
        <f>SUMIF(Tous!Q:Q,"92",Tous!$R:$R)</f>
        <v>0</v>
      </c>
      <c r="E94" s="46">
        <f t="shared" si="1"/>
        <v>0</v>
      </c>
    </row>
    <row r="95" spans="1:5" x14ac:dyDescent="0.25">
      <c r="A95" s="30" t="s">
        <v>85</v>
      </c>
      <c r="B95" s="16">
        <f>SUMIF(Tous!O:O,"93",Tous!$R:$R)</f>
        <v>1</v>
      </c>
      <c r="C95" s="17">
        <f>SUMIF(Tous!P:P,"93",Tous!$R:$R)</f>
        <v>0</v>
      </c>
      <c r="D95" s="17">
        <f>SUMIF(Tous!Q:Q,"93",Tous!$R:$R)</f>
        <v>0</v>
      </c>
      <c r="E95" s="46">
        <f t="shared" si="1"/>
        <v>1</v>
      </c>
    </row>
    <row r="96" spans="1:5" x14ac:dyDescent="0.25">
      <c r="A96" s="30" t="s">
        <v>86</v>
      </c>
      <c r="B96" s="16">
        <f>SUMIF(Tous!O:O,"94",Tous!$R:$R)</f>
        <v>0</v>
      </c>
      <c r="C96" s="17">
        <f>SUMIF(Tous!P:P,"94",Tous!$R:$R)</f>
        <v>0</v>
      </c>
      <c r="D96" s="17">
        <f>SUMIF(Tous!Q:Q,"94",Tous!$R:$R)</f>
        <v>0</v>
      </c>
      <c r="E96" s="46">
        <f t="shared" si="1"/>
        <v>0</v>
      </c>
    </row>
    <row r="97" spans="1:5" x14ac:dyDescent="0.25">
      <c r="A97" s="30" t="s">
        <v>87</v>
      </c>
      <c r="B97" s="16">
        <f>SUMIF(Tous!O:O,"95",Tous!$R:$R)</f>
        <v>0</v>
      </c>
      <c r="C97" s="17">
        <f>SUMIF(Tous!P:P,"95",Tous!$R:$R)</f>
        <v>0</v>
      </c>
      <c r="D97" s="17">
        <f>SUMIF(Tous!Q:Q,"95",Tous!$R:$R)</f>
        <v>0</v>
      </c>
      <c r="E97" s="46">
        <f t="shared" si="1"/>
        <v>0</v>
      </c>
    </row>
    <row r="98" spans="1:5" ht="15.75" thickBot="1" x14ac:dyDescent="0.3">
      <c r="A98" s="12"/>
      <c r="B98" s="18"/>
      <c r="C98" s="19"/>
      <c r="D98" s="19"/>
      <c r="E98" s="20"/>
    </row>
    <row r="99" spans="1:5" x14ac:dyDescent="0.25">
      <c r="A99" s="13" t="s">
        <v>88</v>
      </c>
      <c r="B99" s="21">
        <f>SUM(B2:B97)</f>
        <v>14</v>
      </c>
      <c r="C99" s="22">
        <f>SUM(C2:C97)</f>
        <v>3</v>
      </c>
      <c r="D99" s="22">
        <f>SUM(D2:D97)</f>
        <v>0</v>
      </c>
      <c r="E99" s="23"/>
    </row>
    <row r="100" spans="1:5" ht="15.75" thickBot="1" x14ac:dyDescent="0.3">
      <c r="A100" s="11" t="s">
        <v>89</v>
      </c>
      <c r="B100" s="24">
        <f>B99+C99+D99</f>
        <v>17</v>
      </c>
      <c r="C100" s="25"/>
      <c r="D100" s="25"/>
      <c r="E100" s="26"/>
    </row>
  </sheetData>
  <phoneticPr fontId="0" type="noConversion"/>
  <conditionalFormatting sqref="E2:E97">
    <cfRule type="cellIs" dxfId="9" priority="6" stopIfTrue="1" operator="greaterThanOrEqual">
      <formula>4</formula>
    </cfRule>
    <cfRule type="cellIs" dxfId="8" priority="7" stopIfTrue="1" operator="equal">
      <formula>3</formula>
    </cfRule>
    <cfRule type="cellIs" dxfId="7" priority="8" stopIfTrue="1" operator="equal">
      <formula>2</formula>
    </cfRule>
    <cfRule type="cellIs" dxfId="6" priority="9" stopIfTrue="1" operator="equal">
      <formula>1</formula>
    </cfRule>
    <cfRule type="cellIs" dxfId="5" priority="10" stopIfTrue="1" operator="equal">
      <formula>0</formula>
    </cfRule>
  </conditionalFormatting>
  <conditionalFormatting sqref="H2:H23">
    <cfRule type="cellIs" dxfId="4" priority="1" stopIfTrue="1" operator="greaterThanOrEqual">
      <formula>4</formula>
    </cfRule>
    <cfRule type="cellIs" dxfId="3" priority="2" stopIfTrue="1" operator="equal">
      <formula>3</formula>
    </cfRule>
    <cfRule type="cellIs" dxfId="2" priority="3" stopIfTrue="1" operator="equal">
      <formula>2</formula>
    </cfRule>
    <cfRule type="cellIs" dxfId="1" priority="4" stopIfTrue="1" operator="equal">
      <formula>1</formula>
    </cfRule>
    <cfRule type="cellIs" dxfId="0" priority="5" stopIfTrue="1" operator="equal">
      <formula>0</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
  <sheetViews>
    <sheetView zoomScale="80" workbookViewId="0">
      <selection activeCell="J1" sqref="J1"/>
    </sheetView>
  </sheetViews>
  <sheetFormatPr baseColWidth="10" defaultRowHeight="15" x14ac:dyDescent="0.25"/>
  <cols>
    <col min="2" max="3" width="23.7109375" customWidth="1"/>
    <col min="4" max="4" width="16.85546875" customWidth="1"/>
    <col min="5" max="5" width="18.7109375" customWidth="1"/>
    <col min="6" max="6" width="15.42578125" customWidth="1"/>
    <col min="7" max="7" width="13.85546875" customWidth="1"/>
    <col min="8" max="8" width="18.28515625" customWidth="1"/>
    <col min="9" max="9" width="34.5703125" customWidth="1"/>
    <col min="10" max="10" width="108.85546875" customWidth="1"/>
    <col min="11" max="11" width="34.42578125" customWidth="1"/>
    <col min="12" max="13" width="50" customWidth="1"/>
    <col min="14" max="14" width="58.85546875" customWidth="1"/>
    <col min="15" max="17" width="9.42578125" customWidth="1"/>
  </cols>
  <sheetData>
    <row r="1" spans="1:18" s="2" customFormat="1" ht="29.25" customHeight="1" x14ac:dyDescent="0.25">
      <c r="B1" s="52" t="s">
        <v>90</v>
      </c>
      <c r="C1" s="52" t="s">
        <v>143</v>
      </c>
      <c r="D1" s="53" t="s">
        <v>91</v>
      </c>
      <c r="E1" s="53" t="s">
        <v>92</v>
      </c>
      <c r="F1" s="52" t="s">
        <v>93</v>
      </c>
      <c r="G1" s="52" t="s">
        <v>94</v>
      </c>
      <c r="H1" s="52" t="s">
        <v>95</v>
      </c>
      <c r="I1" s="52" t="s">
        <v>96</v>
      </c>
      <c r="J1" s="52" t="s">
        <v>97</v>
      </c>
      <c r="K1" s="52" t="s">
        <v>144</v>
      </c>
      <c r="L1" s="52" t="s">
        <v>98</v>
      </c>
      <c r="M1" s="52" t="s">
        <v>100</v>
      </c>
      <c r="N1" s="52" t="s">
        <v>99</v>
      </c>
      <c r="O1" s="54" t="s">
        <v>45</v>
      </c>
      <c r="P1" s="54" t="s">
        <v>46</v>
      </c>
      <c r="Q1" s="54" t="s">
        <v>47</v>
      </c>
      <c r="R1" s="54" t="s">
        <v>44</v>
      </c>
    </row>
    <row r="2" spans="1:18" s="4" customFormat="1" ht="351.75" customHeight="1" x14ac:dyDescent="0.25">
      <c r="A2" s="5"/>
      <c r="B2" s="57"/>
      <c r="C2" s="6"/>
      <c r="D2" s="7"/>
      <c r="E2" s="7"/>
      <c r="F2" s="7"/>
      <c r="G2" s="7"/>
      <c r="H2" s="3"/>
      <c r="I2" s="3"/>
      <c r="J2" s="28"/>
      <c r="K2" s="3"/>
      <c r="L2" s="3"/>
      <c r="M2" s="3"/>
      <c r="N2" s="3"/>
      <c r="O2" s="10"/>
      <c r="P2" s="10"/>
      <c r="Q2" s="10"/>
      <c r="R2" s="10"/>
    </row>
    <row r="3" spans="1:18" s="4" customFormat="1" ht="409.5" customHeight="1" x14ac:dyDescent="0.25">
      <c r="B3" s="6"/>
      <c r="C3" s="6"/>
      <c r="D3" s="7"/>
      <c r="E3" s="7"/>
      <c r="F3" s="7"/>
      <c r="G3" s="7"/>
      <c r="H3" s="3"/>
      <c r="I3" s="3"/>
      <c r="J3" s="28"/>
      <c r="K3" s="3"/>
      <c r="L3" s="3"/>
      <c r="M3" s="3"/>
      <c r="N3" s="3"/>
      <c r="O3" s="10"/>
      <c r="P3" s="10"/>
      <c r="Q3" s="10"/>
      <c r="R3" s="10"/>
    </row>
  </sheetData>
  <phoneticPr fontId="11" type="noConversion"/>
  <pageMargins left="0.78740157499999996" right="0.78740157499999996" top="0.984251969" bottom="0.984251969" header="0.4921259845" footer="0.4921259845"/>
  <pageSetup paperSize="9" orientation="portrait" horizontalDpi="4294967293" verticalDpi="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
  <sheetViews>
    <sheetView zoomScale="80" workbookViewId="0">
      <selection activeCell="B2" sqref="B2"/>
    </sheetView>
  </sheetViews>
  <sheetFormatPr baseColWidth="10" defaultRowHeight="15" x14ac:dyDescent="0.25"/>
  <cols>
    <col min="2" max="3" width="23.7109375" customWidth="1"/>
    <col min="4" max="4" width="16.85546875" customWidth="1"/>
    <col min="5" max="5" width="18.7109375" customWidth="1"/>
    <col min="6" max="6" width="15.42578125" customWidth="1"/>
    <col min="7" max="7" width="13.85546875" customWidth="1"/>
    <col min="8" max="8" width="18.28515625" customWidth="1"/>
    <col min="9" max="9" width="34.5703125" customWidth="1"/>
    <col min="10" max="10" width="108.85546875" customWidth="1"/>
    <col min="11" max="11" width="34.42578125" customWidth="1"/>
    <col min="12" max="13" width="50" customWidth="1"/>
    <col min="14" max="14" width="58.85546875" customWidth="1"/>
    <col min="15" max="17" width="9.42578125" customWidth="1"/>
  </cols>
  <sheetData>
    <row r="1" spans="1:18" s="2" customFormat="1" ht="29.25" customHeight="1" x14ac:dyDescent="0.25">
      <c r="B1" s="52" t="s">
        <v>90</v>
      </c>
      <c r="C1" s="52" t="s">
        <v>143</v>
      </c>
      <c r="D1" s="53" t="s">
        <v>91</v>
      </c>
      <c r="E1" s="53" t="s">
        <v>92</v>
      </c>
      <c r="F1" s="52" t="s">
        <v>93</v>
      </c>
      <c r="G1" s="52" t="s">
        <v>94</v>
      </c>
      <c r="H1" s="52" t="s">
        <v>95</v>
      </c>
      <c r="I1" s="52" t="s">
        <v>96</v>
      </c>
      <c r="J1" s="52" t="s">
        <v>97</v>
      </c>
      <c r="K1" s="52" t="s">
        <v>144</v>
      </c>
      <c r="L1" s="52" t="s">
        <v>98</v>
      </c>
      <c r="M1" s="52" t="s">
        <v>100</v>
      </c>
      <c r="N1" s="52" t="s">
        <v>99</v>
      </c>
      <c r="O1" s="54" t="s">
        <v>45</v>
      </c>
      <c r="P1" s="54" t="s">
        <v>46</v>
      </c>
      <c r="Q1" s="54" t="s">
        <v>47</v>
      </c>
      <c r="R1" s="54" t="s">
        <v>44</v>
      </c>
    </row>
    <row r="2" spans="1:18" s="4" customFormat="1" ht="409.5" customHeight="1" x14ac:dyDescent="0.25">
      <c r="A2" s="4" t="s">
        <v>42</v>
      </c>
      <c r="B2" s="57"/>
      <c r="C2" s="6"/>
      <c r="D2" s="7"/>
      <c r="E2" s="7"/>
      <c r="F2" s="7"/>
      <c r="G2" s="7"/>
      <c r="H2" s="3"/>
      <c r="I2" s="3"/>
      <c r="J2" s="3"/>
      <c r="K2" s="3"/>
      <c r="L2" s="3"/>
      <c r="M2" s="3"/>
      <c r="N2" s="3"/>
      <c r="O2" s="10"/>
      <c r="P2" s="10"/>
      <c r="Q2" s="10"/>
      <c r="R2" s="10">
        <v>1</v>
      </c>
    </row>
    <row r="3" spans="1:18" s="4" customFormat="1" ht="335.25" customHeight="1" x14ac:dyDescent="0.25">
      <c r="A3" s="5"/>
      <c r="B3" s="57"/>
      <c r="C3" s="6"/>
      <c r="D3" s="7"/>
      <c r="E3" s="7"/>
      <c r="F3" s="7"/>
      <c r="G3" s="7"/>
      <c r="H3" s="3"/>
      <c r="I3" s="3"/>
      <c r="J3" s="28"/>
      <c r="K3" s="3"/>
      <c r="L3" s="3"/>
      <c r="M3" s="3"/>
      <c r="N3" s="3"/>
      <c r="O3" s="10"/>
      <c r="P3" s="10"/>
      <c r="Q3" s="10"/>
      <c r="R3" s="10">
        <v>1</v>
      </c>
    </row>
    <row r="4" spans="1:18" s="4" customFormat="1" ht="360" customHeight="1" x14ac:dyDescent="0.25">
      <c r="B4" s="6"/>
      <c r="C4" s="6"/>
      <c r="D4" s="7"/>
      <c r="E4" s="7"/>
      <c r="F4" s="7"/>
      <c r="G4" s="7"/>
      <c r="H4" s="3"/>
      <c r="I4" s="3"/>
      <c r="J4" s="28"/>
      <c r="K4" s="3"/>
      <c r="L4" s="3"/>
      <c r="M4" s="3"/>
      <c r="N4" s="3"/>
      <c r="O4" s="10"/>
      <c r="P4" s="10"/>
      <c r="Q4" s="10"/>
      <c r="R4" s="10">
        <v>1</v>
      </c>
    </row>
    <row r="5" spans="1:18" s="4" customFormat="1" ht="409.5" customHeight="1" x14ac:dyDescent="0.25">
      <c r="A5" s="4" t="s">
        <v>145</v>
      </c>
      <c r="B5" s="6"/>
      <c r="C5" s="6"/>
      <c r="D5" s="7"/>
      <c r="E5" s="7"/>
      <c r="F5" s="7"/>
      <c r="G5" s="7"/>
      <c r="H5" s="3"/>
      <c r="I5" s="3"/>
      <c r="J5" s="28"/>
      <c r="K5" s="3"/>
      <c r="L5" s="3"/>
      <c r="M5" s="3"/>
      <c r="N5" s="3"/>
      <c r="O5" s="10"/>
      <c r="P5" s="10"/>
      <c r="Q5" s="10"/>
      <c r="R5" s="10">
        <v>1</v>
      </c>
    </row>
    <row r="6" spans="1:18" s="4" customFormat="1" ht="408.95" customHeight="1" x14ac:dyDescent="0.25">
      <c r="B6" s="6"/>
      <c r="C6" s="6"/>
      <c r="D6" s="7"/>
      <c r="E6" s="7"/>
      <c r="F6" s="35"/>
      <c r="G6" s="7"/>
      <c r="H6" s="3"/>
      <c r="I6" s="3"/>
      <c r="J6" s="28"/>
      <c r="K6" s="3"/>
      <c r="L6" s="3"/>
      <c r="M6" s="3"/>
      <c r="N6" s="3"/>
      <c r="O6" s="10"/>
      <c r="P6" s="10"/>
      <c r="Q6" s="10"/>
      <c r="R6" s="10">
        <v>1</v>
      </c>
    </row>
    <row r="7" spans="1:18" s="4" customFormat="1" x14ac:dyDescent="0.25">
      <c r="B7" s="6"/>
      <c r="C7" s="6"/>
      <c r="D7" s="7"/>
      <c r="E7" s="7"/>
      <c r="F7" s="7"/>
      <c r="G7" s="7"/>
      <c r="H7" s="3"/>
      <c r="I7" s="3"/>
      <c r="J7" s="28"/>
      <c r="K7" s="3"/>
      <c r="L7" s="3"/>
      <c r="M7" s="3"/>
      <c r="N7" s="3"/>
      <c r="O7" s="10"/>
      <c r="P7" s="10"/>
      <c r="Q7" s="10"/>
      <c r="R7" s="10">
        <v>1</v>
      </c>
    </row>
  </sheetData>
  <phoneticPr fontId="11" type="noConversion"/>
  <pageMargins left="0.78740157499999996" right="0.78740157499999996" top="0.984251969" bottom="0.984251969" header="0.4921259845" footer="0.4921259845"/>
  <headerFooter alignWithMargins="0"/>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7"/>
  <sheetViews>
    <sheetView zoomScale="80" workbookViewId="0">
      <selection activeCell="B7" sqref="B7"/>
    </sheetView>
  </sheetViews>
  <sheetFormatPr baseColWidth="10" defaultRowHeight="15" x14ac:dyDescent="0.25"/>
  <cols>
    <col min="2" max="3" width="23.7109375" customWidth="1"/>
    <col min="4" max="4" width="16.85546875" customWidth="1"/>
    <col min="5" max="5" width="18.7109375" customWidth="1"/>
    <col min="6" max="6" width="15.42578125" customWidth="1"/>
    <col min="7" max="7" width="13.85546875" customWidth="1"/>
    <col min="8" max="8" width="18.28515625" customWidth="1"/>
    <col min="9" max="9" width="34.5703125" customWidth="1"/>
    <col min="10" max="10" width="108.85546875" customWidth="1"/>
    <col min="11" max="11" width="34.42578125" customWidth="1"/>
    <col min="12" max="13" width="50" customWidth="1"/>
    <col min="14" max="14" width="58.85546875" customWidth="1"/>
    <col min="15" max="17" width="9.42578125" customWidth="1"/>
  </cols>
  <sheetData>
    <row r="1" spans="2:18" s="2" customFormat="1" ht="29.25" customHeight="1" x14ac:dyDescent="0.25">
      <c r="B1" s="52" t="s">
        <v>90</v>
      </c>
      <c r="C1" s="52" t="s">
        <v>143</v>
      </c>
      <c r="D1" s="53" t="s">
        <v>91</v>
      </c>
      <c r="E1" s="53" t="s">
        <v>92</v>
      </c>
      <c r="F1" s="52" t="s">
        <v>93</v>
      </c>
      <c r="G1" s="52" t="s">
        <v>94</v>
      </c>
      <c r="H1" s="52" t="s">
        <v>95</v>
      </c>
      <c r="I1" s="52" t="s">
        <v>96</v>
      </c>
      <c r="J1" s="52" t="s">
        <v>97</v>
      </c>
      <c r="K1" s="52" t="s">
        <v>144</v>
      </c>
      <c r="L1" s="52" t="s">
        <v>98</v>
      </c>
      <c r="M1" s="52" t="s">
        <v>100</v>
      </c>
      <c r="N1" s="52" t="s">
        <v>99</v>
      </c>
      <c r="O1" s="54" t="s">
        <v>45</v>
      </c>
      <c r="P1" s="54" t="s">
        <v>46</v>
      </c>
      <c r="Q1" s="54" t="s">
        <v>47</v>
      </c>
      <c r="R1" s="54" t="s">
        <v>44</v>
      </c>
    </row>
    <row r="2" spans="2:18" s="4" customFormat="1" ht="409.5" customHeight="1" x14ac:dyDescent="0.25">
      <c r="B2" s="57"/>
      <c r="C2" s="6"/>
      <c r="D2" s="7"/>
      <c r="E2" s="7"/>
      <c r="F2" s="7"/>
      <c r="G2" s="7"/>
      <c r="H2" s="3"/>
      <c r="I2" s="3"/>
      <c r="J2" s="37"/>
      <c r="K2" s="3"/>
      <c r="L2" s="3"/>
      <c r="M2" s="3"/>
      <c r="N2" s="3"/>
      <c r="O2" s="10"/>
      <c r="P2" s="10"/>
      <c r="Q2" s="10"/>
      <c r="R2" s="10"/>
    </row>
    <row r="3" spans="2:18" s="4" customFormat="1" ht="283.5" customHeight="1" x14ac:dyDescent="0.25">
      <c r="B3" s="6"/>
      <c r="C3" s="6"/>
      <c r="D3" s="7"/>
      <c r="E3" s="7"/>
      <c r="F3" s="8"/>
      <c r="G3" s="7"/>
      <c r="H3" s="3"/>
      <c r="I3" s="3"/>
      <c r="J3" s="28"/>
      <c r="K3" s="3"/>
      <c r="L3" s="3"/>
      <c r="M3" s="3"/>
      <c r="N3" s="3"/>
      <c r="O3" s="10"/>
      <c r="P3" s="10"/>
      <c r="Q3" s="10"/>
      <c r="R3" s="10"/>
    </row>
    <row r="4" spans="2:18" s="4" customFormat="1" ht="369" customHeight="1" x14ac:dyDescent="0.25">
      <c r="B4" s="6"/>
      <c r="C4" s="6"/>
      <c r="D4" s="7"/>
      <c r="E4" s="7"/>
      <c r="F4" s="7"/>
      <c r="G4" s="7"/>
      <c r="H4" s="3"/>
      <c r="I4" s="3"/>
      <c r="J4" s="28"/>
      <c r="K4" s="3"/>
      <c r="L4" s="3"/>
      <c r="M4" s="3"/>
      <c r="N4" s="3"/>
      <c r="O4" s="10"/>
      <c r="P4" s="10"/>
      <c r="Q4" s="10"/>
      <c r="R4" s="10"/>
    </row>
    <row r="5" spans="2:18" s="4" customFormat="1" ht="409.5" customHeight="1" x14ac:dyDescent="0.25">
      <c r="B5" s="6"/>
      <c r="C5" s="6"/>
      <c r="D5" s="7"/>
      <c r="E5" s="7"/>
      <c r="F5" s="7"/>
      <c r="G5" s="7"/>
      <c r="H5" s="3"/>
      <c r="I5" s="3"/>
      <c r="J5" s="3"/>
      <c r="K5" s="3"/>
      <c r="L5" s="3"/>
      <c r="M5" s="3"/>
      <c r="N5" s="3"/>
      <c r="O5" s="10"/>
      <c r="P5" s="10"/>
      <c r="Q5" s="10"/>
      <c r="R5" s="10"/>
    </row>
    <row r="6" spans="2:18" s="4" customFormat="1" ht="409.5" customHeight="1" x14ac:dyDescent="0.25">
      <c r="B6" s="6"/>
      <c r="C6" s="6"/>
      <c r="D6" s="7"/>
      <c r="E6" s="7"/>
      <c r="F6" s="7"/>
      <c r="G6" s="7"/>
      <c r="H6" s="3"/>
      <c r="I6" s="3"/>
      <c r="J6" s="28"/>
      <c r="K6" s="3"/>
      <c r="L6" s="3"/>
      <c r="M6" s="3"/>
      <c r="N6" s="3"/>
      <c r="O6" s="10"/>
      <c r="P6" s="10"/>
      <c r="Q6" s="10"/>
      <c r="R6" s="10"/>
    </row>
    <row r="7" spans="2:18" s="4" customFormat="1" ht="355.5" customHeight="1" x14ac:dyDescent="0.25">
      <c r="B7" s="6"/>
      <c r="C7" s="6"/>
      <c r="D7" s="7"/>
      <c r="E7" s="7"/>
      <c r="F7" s="7"/>
      <c r="G7" s="7"/>
      <c r="H7" s="3"/>
      <c r="I7" s="3"/>
      <c r="J7" s="28"/>
      <c r="K7" s="3"/>
      <c r="L7" s="3"/>
      <c r="M7" s="3"/>
      <c r="N7" s="9"/>
      <c r="O7" s="10"/>
      <c r="P7" s="10"/>
      <c r="Q7" s="10"/>
      <c r="R7" s="10"/>
    </row>
  </sheetData>
  <phoneticPr fontId="11" type="noConversion"/>
  <pageMargins left="0.78740157499999996" right="0.78740157499999996" top="0.984251969" bottom="0.984251969" header="0.4921259845" footer="0.4921259845"/>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3"/>
  <sheetViews>
    <sheetView zoomScale="70" zoomScaleNormal="70" workbookViewId="0">
      <selection activeCell="J5" sqref="J5"/>
    </sheetView>
  </sheetViews>
  <sheetFormatPr baseColWidth="10" defaultRowHeight="15" x14ac:dyDescent="0.25"/>
  <cols>
    <col min="2" max="3" width="23.7109375" customWidth="1"/>
    <col min="4" max="4" width="16.85546875" customWidth="1"/>
    <col min="5" max="5" width="18.7109375" customWidth="1"/>
    <col min="6" max="6" width="15.42578125" customWidth="1"/>
    <col min="7" max="7" width="13.85546875" customWidth="1"/>
    <col min="8" max="8" width="18.28515625" customWidth="1"/>
    <col min="9" max="9" width="34.5703125" customWidth="1"/>
    <col min="10" max="10" width="114.7109375" customWidth="1"/>
    <col min="11" max="11" width="34.42578125" customWidth="1"/>
    <col min="12" max="13" width="50" customWidth="1"/>
    <col min="14" max="14" width="58.85546875" customWidth="1"/>
    <col min="15" max="17" width="9.42578125" customWidth="1"/>
  </cols>
  <sheetData>
    <row r="1" spans="1:18" s="2" customFormat="1" ht="29.25" customHeight="1" x14ac:dyDescent="0.25">
      <c r="B1" s="74" t="s">
        <v>90</v>
      </c>
      <c r="C1" s="74" t="s">
        <v>143</v>
      </c>
      <c r="D1" s="75" t="s">
        <v>91</v>
      </c>
      <c r="E1" s="75" t="s">
        <v>92</v>
      </c>
      <c r="F1" s="74" t="s">
        <v>93</v>
      </c>
      <c r="G1" s="74" t="s">
        <v>94</v>
      </c>
      <c r="H1" s="74" t="s">
        <v>95</v>
      </c>
      <c r="I1" s="74" t="s">
        <v>96</v>
      </c>
      <c r="J1" s="74" t="s">
        <v>97</v>
      </c>
      <c r="K1" s="74" t="s">
        <v>144</v>
      </c>
      <c r="L1" s="74" t="s">
        <v>98</v>
      </c>
      <c r="M1" s="74" t="s">
        <v>100</v>
      </c>
      <c r="N1" s="74" t="s">
        <v>99</v>
      </c>
      <c r="O1" s="76" t="s">
        <v>45</v>
      </c>
      <c r="P1" s="76" t="s">
        <v>46</v>
      </c>
      <c r="Q1" s="76" t="s">
        <v>47</v>
      </c>
      <c r="R1" s="76" t="s">
        <v>44</v>
      </c>
    </row>
    <row r="2" spans="1:18" s="10" customFormat="1" ht="251.25" customHeight="1" x14ac:dyDescent="0.25">
      <c r="A2" s="3"/>
      <c r="B2" s="69" t="s">
        <v>146</v>
      </c>
      <c r="C2" s="6" t="s">
        <v>147</v>
      </c>
      <c r="D2" s="7">
        <v>2010</v>
      </c>
      <c r="E2" s="59" t="s">
        <v>148</v>
      </c>
      <c r="F2" s="7" t="s">
        <v>149</v>
      </c>
      <c r="G2" s="7" t="s">
        <v>150</v>
      </c>
      <c r="H2" s="3" t="s">
        <v>151</v>
      </c>
      <c r="I2" s="3" t="s">
        <v>152</v>
      </c>
      <c r="J2" s="3" t="s">
        <v>153</v>
      </c>
      <c r="K2" s="3" t="s">
        <v>154</v>
      </c>
      <c r="L2" s="3" t="s">
        <v>155</v>
      </c>
      <c r="M2" s="3" t="s">
        <v>156</v>
      </c>
      <c r="N2" s="3"/>
      <c r="O2" s="3">
        <v>75</v>
      </c>
      <c r="P2" s="3"/>
      <c r="Q2" s="3"/>
      <c r="R2" s="3">
        <v>1</v>
      </c>
    </row>
    <row r="3" spans="1:18" s="10" customFormat="1" ht="371.25" customHeight="1" x14ac:dyDescent="0.25">
      <c r="B3" s="61" t="s">
        <v>157</v>
      </c>
      <c r="C3" s="6" t="s">
        <v>158</v>
      </c>
      <c r="D3" s="62">
        <v>38246</v>
      </c>
      <c r="E3" s="7">
        <v>4</v>
      </c>
      <c r="F3" s="7" t="s">
        <v>159</v>
      </c>
      <c r="G3" s="7" t="s">
        <v>160</v>
      </c>
      <c r="H3" s="3" t="s">
        <v>161</v>
      </c>
      <c r="I3" s="3" t="s">
        <v>162</v>
      </c>
      <c r="J3" s="37" t="s">
        <v>163</v>
      </c>
      <c r="K3" s="3" t="s">
        <v>164</v>
      </c>
      <c r="L3" s="3" t="s">
        <v>165</v>
      </c>
      <c r="M3" s="3" t="s">
        <v>166</v>
      </c>
      <c r="N3" s="3"/>
      <c r="O3" s="10">
        <v>76</v>
      </c>
      <c r="R3" s="10">
        <v>1</v>
      </c>
    </row>
    <row r="4" spans="1:18" s="10" customFormat="1" ht="409.6" customHeight="1" x14ac:dyDescent="0.25">
      <c r="B4" s="10" t="s">
        <v>167</v>
      </c>
      <c r="C4" s="69" t="s">
        <v>168</v>
      </c>
      <c r="D4" s="82">
        <v>38418</v>
      </c>
      <c r="E4" s="83">
        <v>8</v>
      </c>
      <c r="F4" s="71" t="s">
        <v>169</v>
      </c>
      <c r="G4" s="71" t="s">
        <v>170</v>
      </c>
      <c r="H4" s="71" t="s">
        <v>171</v>
      </c>
      <c r="I4" s="3" t="s">
        <v>172</v>
      </c>
      <c r="J4" s="61" t="s">
        <v>173</v>
      </c>
      <c r="K4" s="3" t="s">
        <v>174</v>
      </c>
      <c r="L4" s="61" t="s">
        <v>175</v>
      </c>
      <c r="M4" s="61" t="s">
        <v>176</v>
      </c>
      <c r="N4" s="72"/>
      <c r="O4" s="10">
        <v>93</v>
      </c>
      <c r="P4" s="10">
        <v>34</v>
      </c>
      <c r="Q4" s="72"/>
      <c r="R4" s="10">
        <v>1</v>
      </c>
    </row>
    <row r="5" spans="1:18" s="10" customFormat="1" ht="409.6" customHeight="1" x14ac:dyDescent="0.25">
      <c r="B5" s="10" t="s">
        <v>186</v>
      </c>
      <c r="C5" s="69" t="s">
        <v>187</v>
      </c>
      <c r="D5" s="70">
        <v>36125</v>
      </c>
      <c r="E5" s="7" t="s">
        <v>188</v>
      </c>
      <c r="F5" s="71" t="s">
        <v>149</v>
      </c>
      <c r="G5" s="71" t="s">
        <v>42</v>
      </c>
      <c r="H5" s="61" t="s">
        <v>181</v>
      </c>
      <c r="I5" s="61" t="s">
        <v>189</v>
      </c>
      <c r="J5" s="84" t="s">
        <v>248</v>
      </c>
      <c r="K5" s="3" t="s">
        <v>190</v>
      </c>
      <c r="L5" s="85" t="s">
        <v>191</v>
      </c>
      <c r="M5" s="61" t="s">
        <v>192</v>
      </c>
      <c r="N5" s="72"/>
      <c r="O5" s="73">
        <v>76</v>
      </c>
      <c r="P5" s="72"/>
      <c r="Q5" s="72"/>
      <c r="R5" s="73">
        <v>1</v>
      </c>
    </row>
    <row r="6" spans="1:18" s="10" customFormat="1" ht="408.75" customHeight="1" x14ac:dyDescent="0.25">
      <c r="B6" s="73" t="s">
        <v>204</v>
      </c>
      <c r="C6" s="69" t="s">
        <v>205</v>
      </c>
      <c r="D6" s="82">
        <v>37355</v>
      </c>
      <c r="E6" s="83">
        <v>4</v>
      </c>
      <c r="F6" s="71" t="s">
        <v>206</v>
      </c>
      <c r="G6" s="71" t="s">
        <v>207</v>
      </c>
      <c r="H6" s="61" t="s">
        <v>208</v>
      </c>
      <c r="I6" s="61" t="s">
        <v>209</v>
      </c>
      <c r="J6" s="86" t="s">
        <v>249</v>
      </c>
      <c r="K6" s="3" t="s">
        <v>250</v>
      </c>
      <c r="L6" s="61" t="s">
        <v>210</v>
      </c>
      <c r="M6" s="3" t="s">
        <v>251</v>
      </c>
      <c r="N6" s="72"/>
      <c r="O6" s="73">
        <v>75</v>
      </c>
      <c r="P6" s="72"/>
      <c r="Q6" s="72"/>
      <c r="R6" s="73">
        <v>1</v>
      </c>
    </row>
    <row r="7" spans="1:18" s="10" customFormat="1" ht="409.5" customHeight="1" x14ac:dyDescent="0.25">
      <c r="B7" s="3" t="s">
        <v>219</v>
      </c>
      <c r="C7" s="69" t="s">
        <v>220</v>
      </c>
      <c r="D7" s="82">
        <v>40443</v>
      </c>
      <c r="E7" s="83">
        <v>3</v>
      </c>
      <c r="F7" s="71" t="s">
        <v>221</v>
      </c>
      <c r="G7" s="71" t="s">
        <v>222</v>
      </c>
      <c r="H7" s="61" t="s">
        <v>223</v>
      </c>
      <c r="I7" s="61" t="s">
        <v>224</v>
      </c>
      <c r="J7" s="86" t="s">
        <v>227</v>
      </c>
      <c r="K7" s="3" t="s">
        <v>228</v>
      </c>
      <c r="L7" s="85" t="s">
        <v>225</v>
      </c>
      <c r="M7" s="61" t="s">
        <v>226</v>
      </c>
      <c r="N7" s="72"/>
      <c r="O7" s="73">
        <v>75</v>
      </c>
      <c r="P7" s="72"/>
      <c r="Q7" s="72"/>
      <c r="R7" s="73">
        <v>1</v>
      </c>
    </row>
    <row r="8" spans="1:18" s="10" customFormat="1" ht="398.25" customHeight="1" x14ac:dyDescent="0.25">
      <c r="B8" s="73" t="s">
        <v>229</v>
      </c>
      <c r="C8" s="69" t="s">
        <v>230</v>
      </c>
      <c r="D8" s="82">
        <v>38922</v>
      </c>
      <c r="E8" s="83">
        <v>10</v>
      </c>
      <c r="F8" s="71" t="s">
        <v>231</v>
      </c>
      <c r="G8" s="71" t="s">
        <v>232</v>
      </c>
      <c r="H8" s="61" t="s">
        <v>233</v>
      </c>
      <c r="I8" s="61" t="s">
        <v>234</v>
      </c>
      <c r="J8" s="3" t="s">
        <v>237</v>
      </c>
      <c r="K8" s="3" t="s">
        <v>235</v>
      </c>
      <c r="L8" s="72"/>
      <c r="M8" s="87" t="s">
        <v>236</v>
      </c>
      <c r="N8" s="72"/>
      <c r="O8" s="73">
        <v>75</v>
      </c>
      <c r="P8" s="72"/>
      <c r="Q8" s="72"/>
      <c r="R8" s="73">
        <v>1</v>
      </c>
    </row>
    <row r="9" spans="1:18" s="4" customFormat="1" ht="409.5" customHeight="1" x14ac:dyDescent="0.25">
      <c r="B9" s="77"/>
      <c r="C9" s="77"/>
      <c r="D9" s="78"/>
      <c r="E9" s="78"/>
      <c r="F9" s="78"/>
      <c r="G9" s="78"/>
      <c r="H9" s="79"/>
      <c r="I9" s="79"/>
      <c r="J9" s="90"/>
      <c r="K9" s="79"/>
      <c r="L9" s="79"/>
      <c r="M9" s="79"/>
      <c r="N9" s="79"/>
      <c r="O9" s="81"/>
      <c r="P9" s="81"/>
      <c r="Q9" s="81"/>
      <c r="R9" s="81"/>
    </row>
    <row r="10" spans="1:18" s="4" customFormat="1" ht="409.5" customHeight="1" x14ac:dyDescent="0.25">
      <c r="B10" s="6"/>
      <c r="C10" s="6"/>
      <c r="D10" s="7"/>
      <c r="E10" s="7"/>
      <c r="F10" s="7"/>
      <c r="G10" s="7"/>
      <c r="H10" s="3"/>
      <c r="I10" s="3"/>
      <c r="J10" s="28"/>
      <c r="K10" s="3"/>
      <c r="L10" s="3"/>
      <c r="M10" s="3"/>
      <c r="N10" s="3"/>
      <c r="O10" s="10"/>
      <c r="P10" s="10"/>
      <c r="Q10" s="10"/>
      <c r="R10" s="10"/>
    </row>
    <row r="11" spans="1:18" s="4" customFormat="1" ht="384" customHeight="1" x14ac:dyDescent="0.25">
      <c r="B11" s="6"/>
      <c r="C11" s="6"/>
      <c r="D11" s="7"/>
      <c r="E11" s="7"/>
      <c r="F11" s="7"/>
      <c r="G11" s="7"/>
      <c r="H11" s="3"/>
      <c r="I11" s="3"/>
      <c r="J11" s="56"/>
      <c r="K11" s="3"/>
      <c r="L11" s="3"/>
      <c r="M11" s="3"/>
      <c r="N11" s="3"/>
      <c r="O11" s="10"/>
      <c r="P11" s="10"/>
      <c r="Q11" s="10"/>
      <c r="R11" s="10"/>
    </row>
    <row r="12" spans="1:18" s="4" customFormat="1" ht="409.5" customHeight="1" x14ac:dyDescent="0.25">
      <c r="B12" s="6"/>
      <c r="C12" s="6"/>
      <c r="D12" s="7"/>
      <c r="E12" s="7"/>
      <c r="F12" s="7"/>
      <c r="G12" s="7"/>
      <c r="H12" s="3"/>
      <c r="I12" s="3"/>
      <c r="J12" s="3"/>
      <c r="K12" s="3"/>
      <c r="L12" s="3"/>
      <c r="M12" s="3"/>
      <c r="N12" s="3"/>
      <c r="O12" s="10"/>
      <c r="P12" s="10"/>
      <c r="Q12" s="10"/>
      <c r="R12" s="10"/>
    </row>
    <row r="13" spans="1:18" s="4" customFormat="1" ht="326.25" customHeight="1" x14ac:dyDescent="0.25">
      <c r="B13" s="6"/>
      <c r="C13" s="6"/>
      <c r="D13" s="7"/>
      <c r="E13" s="7"/>
      <c r="F13" s="7"/>
      <c r="G13" s="7"/>
      <c r="H13" s="3"/>
      <c r="I13" s="3"/>
      <c r="J13" s="28"/>
      <c r="K13" s="3"/>
      <c r="L13" s="3"/>
      <c r="M13" s="3"/>
      <c r="N13" s="3"/>
      <c r="O13" s="10"/>
      <c r="P13" s="10"/>
      <c r="Q13" s="10"/>
      <c r="R13" s="10"/>
    </row>
    <row r="14" spans="1:18" s="4" customFormat="1" ht="409.5" customHeight="1" x14ac:dyDescent="0.25">
      <c r="B14" s="6"/>
      <c r="C14" s="6"/>
      <c r="D14" s="7"/>
      <c r="E14" s="7"/>
      <c r="F14" s="7"/>
      <c r="G14" s="7"/>
      <c r="H14" s="3"/>
      <c r="I14" s="3"/>
      <c r="J14" s="28"/>
      <c r="K14" s="3"/>
      <c r="L14" s="3"/>
      <c r="M14" s="3"/>
      <c r="N14" s="3"/>
      <c r="O14" s="10"/>
      <c r="P14" s="10"/>
      <c r="Q14" s="10"/>
      <c r="R14" s="10"/>
    </row>
    <row r="15" spans="1:18" s="4" customFormat="1" ht="409.6" customHeight="1" x14ac:dyDescent="0.25">
      <c r="B15" s="6"/>
      <c r="C15" s="6"/>
      <c r="D15" s="7"/>
      <c r="E15" s="7"/>
      <c r="F15" s="7"/>
      <c r="G15" s="7"/>
      <c r="H15" s="3"/>
      <c r="I15" s="3"/>
      <c r="J15" s="28"/>
      <c r="K15" s="3"/>
      <c r="L15" s="3"/>
      <c r="M15" s="3"/>
      <c r="N15" s="9"/>
      <c r="O15" s="10"/>
      <c r="P15" s="10"/>
      <c r="Q15" s="10"/>
      <c r="R15" s="10"/>
    </row>
    <row r="16" spans="1:18" s="4" customFormat="1" ht="409.5" customHeight="1" x14ac:dyDescent="0.25">
      <c r="B16" s="6"/>
      <c r="C16" s="6"/>
      <c r="D16" s="7"/>
      <c r="E16" s="7"/>
      <c r="F16" s="7"/>
      <c r="G16" s="7"/>
      <c r="H16" s="3"/>
      <c r="I16" s="3"/>
      <c r="J16" s="28"/>
      <c r="K16" s="3"/>
      <c r="L16" s="3"/>
      <c r="M16" s="3"/>
      <c r="N16" s="3"/>
      <c r="O16" s="10"/>
      <c r="P16" s="10"/>
      <c r="Q16" s="10"/>
      <c r="R16" s="10"/>
    </row>
    <row r="17" spans="2:18" s="4" customFormat="1" x14ac:dyDescent="0.25">
      <c r="B17" s="6"/>
      <c r="C17" s="6"/>
      <c r="D17" s="7"/>
      <c r="E17" s="7"/>
      <c r="F17" s="7"/>
      <c r="G17" s="7"/>
      <c r="H17" s="3"/>
      <c r="I17" s="3"/>
      <c r="J17" s="36"/>
      <c r="K17" s="3"/>
      <c r="L17" s="3"/>
      <c r="M17" s="3"/>
      <c r="N17" s="6"/>
      <c r="O17" s="10"/>
      <c r="P17" s="10"/>
      <c r="Q17" s="10"/>
      <c r="R17" s="10"/>
    </row>
    <row r="18" spans="2:18" s="4" customFormat="1" ht="409.5" customHeight="1" x14ac:dyDescent="0.25">
      <c r="B18" s="6"/>
      <c r="C18" s="6"/>
      <c r="D18" s="7"/>
      <c r="E18" s="7"/>
      <c r="F18" s="7"/>
      <c r="G18" s="7"/>
      <c r="H18" s="3"/>
      <c r="I18" s="3"/>
      <c r="J18" s="28"/>
      <c r="K18" s="3"/>
      <c r="L18" s="3"/>
      <c r="M18" s="3"/>
      <c r="N18" s="3"/>
      <c r="O18" s="10"/>
      <c r="P18" s="10"/>
      <c r="Q18" s="10"/>
      <c r="R18" s="10"/>
    </row>
    <row r="19" spans="2:18" s="4" customFormat="1" ht="274.5" customHeight="1" x14ac:dyDescent="0.25">
      <c r="B19" s="6"/>
      <c r="C19" s="6"/>
      <c r="D19" s="7"/>
      <c r="E19" s="7"/>
      <c r="F19" s="7"/>
      <c r="G19" s="7"/>
      <c r="H19" s="3"/>
      <c r="I19" s="3"/>
      <c r="J19" s="28"/>
      <c r="K19" s="3"/>
      <c r="L19" s="3"/>
      <c r="M19" s="3"/>
      <c r="N19" s="3"/>
      <c r="O19" s="10"/>
      <c r="P19" s="10"/>
      <c r="Q19" s="10"/>
      <c r="R19" s="10"/>
    </row>
    <row r="20" spans="2:18" s="4" customFormat="1" ht="409.6" customHeight="1" x14ac:dyDescent="0.25">
      <c r="B20" s="6"/>
      <c r="C20" s="6"/>
      <c r="D20" s="7"/>
      <c r="E20" s="7"/>
      <c r="F20" s="7"/>
      <c r="G20" s="7"/>
      <c r="H20" s="3"/>
      <c r="I20" s="3"/>
      <c r="J20" s="3"/>
      <c r="K20" s="3"/>
      <c r="L20" s="3"/>
      <c r="M20" s="3"/>
      <c r="N20" s="3"/>
      <c r="O20" s="10"/>
      <c r="P20" s="10"/>
      <c r="Q20" s="10"/>
      <c r="R20" s="10"/>
    </row>
    <row r="21" spans="2:18" s="4" customFormat="1" ht="409.6" customHeight="1" x14ac:dyDescent="0.25">
      <c r="B21" s="6"/>
      <c r="C21" s="6"/>
      <c r="D21" s="7"/>
      <c r="E21" s="7"/>
      <c r="F21" s="7"/>
      <c r="G21" s="7"/>
      <c r="H21" s="3"/>
      <c r="I21" s="3"/>
      <c r="J21" s="28"/>
      <c r="K21" s="3"/>
      <c r="L21" s="3"/>
      <c r="M21" s="3"/>
      <c r="N21" s="3"/>
      <c r="O21" s="10"/>
      <c r="P21" s="10"/>
      <c r="Q21" s="10"/>
      <c r="R21" s="10"/>
    </row>
    <row r="22" spans="2:18" s="4" customFormat="1" x14ac:dyDescent="0.25">
      <c r="B22" s="6"/>
      <c r="C22" s="6"/>
      <c r="D22" s="7"/>
      <c r="E22" s="7"/>
      <c r="F22" s="7"/>
      <c r="G22" s="7"/>
      <c r="H22" s="3"/>
      <c r="I22" s="3"/>
      <c r="J22" s="28"/>
      <c r="K22" s="3"/>
      <c r="L22" s="3"/>
      <c r="M22" s="3"/>
      <c r="N22" s="3"/>
      <c r="O22" s="10"/>
      <c r="P22" s="10"/>
      <c r="Q22" s="10"/>
      <c r="R22" s="10"/>
    </row>
    <row r="23" spans="2:18" x14ac:dyDescent="0.25">
      <c r="B23" s="6"/>
      <c r="C23" s="6"/>
      <c r="D23" s="7"/>
      <c r="E23" s="7"/>
      <c r="F23" s="7"/>
      <c r="G23" s="7"/>
      <c r="H23" s="3"/>
      <c r="I23" s="3"/>
      <c r="J23" s="28"/>
      <c r="K23" s="3"/>
      <c r="L23" s="3"/>
      <c r="M23" s="3"/>
      <c r="N23" s="3"/>
      <c r="O23" s="10"/>
      <c r="P23" s="10"/>
      <c r="Q23" s="10"/>
      <c r="R23" s="10"/>
    </row>
  </sheetData>
  <phoneticPr fontId="11" type="noConversion"/>
  <hyperlinks>
    <hyperlink ref="B2" r:id="rId1" tooltip="LBMG Worklabs"/>
    <hyperlink ref="C2" r:id="rId2" display="http://www.lbmg-worklabs.com "/>
    <hyperlink ref="C3" r:id="rId3"/>
    <hyperlink ref="C4" r:id="rId4"/>
    <hyperlink ref="C5" r:id="rId5"/>
    <hyperlink ref="C6" r:id="rId6"/>
    <hyperlink ref="C7" r:id="rId7"/>
    <hyperlink ref="C8" r:id="rId8"/>
  </hyperlinks>
  <pageMargins left="0.78740157499999996" right="0.78740157499999996" top="0.984251969" bottom="0.984251969" header="0.4921259845" footer="0.4921259845"/>
  <headerFooter alignWithMargins="0"/>
  <drawing r:id="rId9"/>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
  <sheetViews>
    <sheetView zoomScale="80" workbookViewId="0"/>
  </sheetViews>
  <sheetFormatPr baseColWidth="10" defaultRowHeight="15" x14ac:dyDescent="0.25"/>
  <cols>
    <col min="1" max="2" width="23.7109375" customWidth="1"/>
    <col min="3" max="3" width="16.85546875" customWidth="1"/>
    <col min="4" max="4" width="18.7109375" customWidth="1"/>
    <col min="5" max="5" width="15.42578125" customWidth="1"/>
    <col min="6" max="6" width="13.85546875" customWidth="1"/>
    <col min="7" max="7" width="18.28515625" customWidth="1"/>
    <col min="8" max="8" width="34.5703125" customWidth="1"/>
    <col min="9" max="9" width="108.85546875" customWidth="1"/>
    <col min="10" max="10" width="34.42578125" customWidth="1"/>
    <col min="11" max="12" width="50" customWidth="1"/>
    <col min="13" max="13" width="58.85546875" customWidth="1"/>
    <col min="14" max="16" width="9.42578125" customWidth="1"/>
  </cols>
  <sheetData>
    <row r="1" spans="1:17" s="2" customFormat="1" ht="29.25" customHeight="1" x14ac:dyDescent="0.25">
      <c r="A1" s="52" t="s">
        <v>90</v>
      </c>
      <c r="B1" s="52" t="s">
        <v>143</v>
      </c>
      <c r="C1" s="53" t="s">
        <v>91</v>
      </c>
      <c r="D1" s="53" t="s">
        <v>92</v>
      </c>
      <c r="E1" s="52" t="s">
        <v>93</v>
      </c>
      <c r="F1" s="52" t="s">
        <v>94</v>
      </c>
      <c r="G1" s="52" t="s">
        <v>95</v>
      </c>
      <c r="H1" s="52" t="s">
        <v>96</v>
      </c>
      <c r="I1" s="52" t="s">
        <v>97</v>
      </c>
      <c r="J1" s="52" t="s">
        <v>144</v>
      </c>
      <c r="K1" s="52" t="s">
        <v>98</v>
      </c>
      <c r="L1" s="52" t="s">
        <v>100</v>
      </c>
      <c r="M1" s="52" t="s">
        <v>99</v>
      </c>
      <c r="N1" s="54" t="s">
        <v>45</v>
      </c>
      <c r="O1" s="54" t="s">
        <v>46</v>
      </c>
      <c r="P1" s="54" t="s">
        <v>47</v>
      </c>
      <c r="Q1" s="54" t="s">
        <v>44</v>
      </c>
    </row>
    <row r="2" spans="1:17" s="4" customFormat="1" ht="409.5" customHeight="1" x14ac:dyDescent="0.25">
      <c r="A2" s="57"/>
      <c r="B2" s="6"/>
      <c r="C2" s="7"/>
      <c r="D2" s="7"/>
      <c r="E2" s="7"/>
      <c r="F2" s="7"/>
      <c r="G2" s="3"/>
      <c r="H2" s="3"/>
      <c r="I2" s="36"/>
      <c r="J2" s="3"/>
      <c r="K2" s="3"/>
      <c r="L2" s="3"/>
      <c r="M2" s="6"/>
      <c r="N2" s="10"/>
      <c r="O2" s="10"/>
      <c r="P2" s="10"/>
      <c r="Q2" s="10"/>
    </row>
    <row r="3" spans="1:17" s="4" customFormat="1" ht="409.5" customHeight="1" x14ac:dyDescent="0.25">
      <c r="A3" s="57"/>
      <c r="B3" s="6"/>
      <c r="C3" s="7"/>
      <c r="D3" s="7"/>
      <c r="E3" s="7"/>
      <c r="F3" s="7"/>
      <c r="G3" s="3"/>
      <c r="H3" s="3"/>
      <c r="I3" s="28"/>
      <c r="J3" s="3"/>
      <c r="K3" s="3"/>
      <c r="L3" s="3"/>
      <c r="M3" s="3"/>
      <c r="N3" s="10"/>
      <c r="O3" s="10"/>
      <c r="P3" s="10"/>
      <c r="Q3" s="10"/>
    </row>
    <row r="4" spans="1:17" s="4" customFormat="1" ht="409.5" customHeight="1" x14ac:dyDescent="0.25">
      <c r="A4" s="57"/>
      <c r="B4" s="6"/>
      <c r="C4" s="7"/>
      <c r="D4" s="7"/>
      <c r="E4" s="7"/>
      <c r="F4" s="7"/>
      <c r="G4" s="3"/>
      <c r="H4" s="3"/>
      <c r="I4" s="28"/>
      <c r="J4" s="38"/>
      <c r="K4" s="3"/>
      <c r="L4" s="3"/>
      <c r="M4" s="3"/>
      <c r="N4" s="10"/>
      <c r="O4" s="10"/>
      <c r="P4" s="10"/>
      <c r="Q4" s="10"/>
    </row>
    <row r="5" spans="1:17" s="4" customFormat="1" ht="409.5" customHeight="1" x14ac:dyDescent="0.25">
      <c r="A5" s="6"/>
      <c r="B5" s="6"/>
      <c r="C5" s="7"/>
      <c r="D5" s="7"/>
      <c r="E5" s="7"/>
      <c r="F5" s="7"/>
      <c r="G5" s="3"/>
      <c r="H5" s="3"/>
      <c r="I5" s="28"/>
      <c r="J5" s="3"/>
      <c r="K5" s="3"/>
      <c r="L5" s="3"/>
      <c r="M5" s="3"/>
      <c r="N5" s="10"/>
      <c r="O5" s="10"/>
      <c r="P5" s="10"/>
      <c r="Q5" s="10"/>
    </row>
    <row r="6" spans="1:17" s="4" customFormat="1" x14ac:dyDescent="0.25">
      <c r="A6" s="3"/>
      <c r="B6" s="6"/>
      <c r="C6" s="7"/>
      <c r="D6" s="7"/>
      <c r="E6" s="7"/>
      <c r="F6" s="7"/>
      <c r="H6" s="3"/>
      <c r="I6" s="3"/>
      <c r="J6" s="3"/>
      <c r="K6" s="3"/>
      <c r="L6" s="3"/>
      <c r="M6" s="3"/>
      <c r="N6" s="10"/>
      <c r="O6" s="10"/>
      <c r="P6" s="10"/>
      <c r="Q6" s="10"/>
    </row>
    <row r="7" spans="1:17" s="4" customFormat="1" ht="409.5" customHeight="1" x14ac:dyDescent="0.25">
      <c r="A7" s="6"/>
      <c r="B7" s="6"/>
      <c r="C7" s="55"/>
      <c r="D7" s="7"/>
      <c r="E7" s="7"/>
      <c r="F7" s="7"/>
      <c r="G7" s="3"/>
      <c r="H7" s="3"/>
      <c r="I7" s="28"/>
      <c r="J7" s="3"/>
      <c r="K7" s="3"/>
      <c r="L7" s="3"/>
      <c r="M7" s="3"/>
      <c r="N7" s="10"/>
      <c r="O7" s="10"/>
      <c r="P7" s="10"/>
      <c r="Q7" s="10"/>
    </row>
    <row r="8" spans="1:17" s="4" customFormat="1" ht="408.95" customHeight="1" x14ac:dyDescent="0.25">
      <c r="A8" s="6"/>
      <c r="B8" s="6"/>
      <c r="C8" s="7"/>
      <c r="D8" s="7"/>
      <c r="E8" s="35"/>
      <c r="F8" s="7"/>
      <c r="G8" s="3"/>
      <c r="H8" s="3"/>
      <c r="I8" s="28"/>
      <c r="J8" s="3"/>
      <c r="K8" s="3"/>
      <c r="L8" s="3"/>
      <c r="M8" s="3"/>
      <c r="N8" s="10"/>
      <c r="O8" s="10"/>
      <c r="P8" s="10"/>
      <c r="Q8" s="10"/>
    </row>
  </sheetData>
  <phoneticPr fontId="11" type="noConversion"/>
  <pageMargins left="0.78740157499999996" right="0.78740157499999996" top="0.984251969" bottom="0.984251969" header="0.4921259845" footer="0.4921259845"/>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8"/>
  <sheetViews>
    <sheetView zoomScale="80" workbookViewId="0">
      <selection activeCell="B1" sqref="B1:R2"/>
    </sheetView>
  </sheetViews>
  <sheetFormatPr baseColWidth="10" defaultRowHeight="15" x14ac:dyDescent="0.25"/>
  <cols>
    <col min="2" max="3" width="23.7109375" customWidth="1"/>
    <col min="4" max="4" width="16.85546875" customWidth="1"/>
    <col min="5" max="5" width="18.7109375" customWidth="1"/>
    <col min="6" max="6" width="15.42578125" customWidth="1"/>
    <col min="7" max="7" width="13.85546875" customWidth="1"/>
    <col min="8" max="8" width="18.28515625" customWidth="1"/>
    <col min="9" max="9" width="34.5703125" customWidth="1"/>
    <col min="10" max="10" width="108.85546875" customWidth="1"/>
    <col min="11" max="11" width="34.42578125" customWidth="1"/>
    <col min="12" max="13" width="50" customWidth="1"/>
    <col min="14" max="14" width="58.85546875" customWidth="1"/>
    <col min="15" max="17" width="9.42578125" customWidth="1"/>
  </cols>
  <sheetData>
    <row r="1" spans="2:18" s="2" customFormat="1" ht="29.25" customHeight="1" x14ac:dyDescent="0.25">
      <c r="B1" s="52" t="s">
        <v>90</v>
      </c>
      <c r="C1" s="52" t="s">
        <v>143</v>
      </c>
      <c r="D1" s="53" t="s">
        <v>91</v>
      </c>
      <c r="E1" s="53" t="s">
        <v>92</v>
      </c>
      <c r="F1" s="52" t="s">
        <v>93</v>
      </c>
      <c r="G1" s="52" t="s">
        <v>94</v>
      </c>
      <c r="H1" s="52" t="s">
        <v>95</v>
      </c>
      <c r="I1" s="52" t="s">
        <v>96</v>
      </c>
      <c r="J1" s="52" t="s">
        <v>97</v>
      </c>
      <c r="K1" s="52" t="s">
        <v>144</v>
      </c>
      <c r="L1" s="52" t="s">
        <v>98</v>
      </c>
      <c r="M1" s="52" t="s">
        <v>100</v>
      </c>
      <c r="N1" s="52" t="s">
        <v>99</v>
      </c>
      <c r="O1" s="54" t="s">
        <v>45</v>
      </c>
      <c r="P1" s="54" t="s">
        <v>46</v>
      </c>
      <c r="Q1" s="54" t="s">
        <v>47</v>
      </c>
      <c r="R1" s="54" t="s">
        <v>44</v>
      </c>
    </row>
    <row r="2" spans="2:18" s="4" customFormat="1" ht="401.25" customHeight="1" x14ac:dyDescent="0.25">
      <c r="B2" s="57"/>
      <c r="C2" s="6"/>
      <c r="D2" s="7"/>
      <c r="E2" s="7"/>
      <c r="F2" s="7"/>
      <c r="G2" s="7"/>
      <c r="H2" s="3"/>
      <c r="I2" s="3"/>
      <c r="J2" s="28"/>
      <c r="K2" s="3"/>
      <c r="L2" s="3"/>
      <c r="M2" s="3"/>
      <c r="N2" s="3"/>
      <c r="O2" s="10"/>
      <c r="P2" s="10"/>
      <c r="Q2" s="10"/>
      <c r="R2" s="10"/>
    </row>
    <row r="3" spans="2:18" s="4" customFormat="1" ht="409.5" customHeight="1" x14ac:dyDescent="0.25">
      <c r="B3" s="57"/>
      <c r="C3" s="6"/>
      <c r="D3" s="7"/>
      <c r="E3" s="7"/>
      <c r="F3" s="7"/>
      <c r="G3" s="7"/>
      <c r="H3" s="3"/>
      <c r="I3" s="3"/>
      <c r="J3" s="28"/>
      <c r="K3" s="38"/>
      <c r="L3" s="3"/>
      <c r="M3" s="3"/>
      <c r="N3" s="3"/>
      <c r="O3" s="10"/>
      <c r="P3" s="10"/>
      <c r="Q3" s="10"/>
      <c r="R3" s="10"/>
    </row>
    <row r="4" spans="2:18" s="4" customFormat="1" ht="409.5" customHeight="1" x14ac:dyDescent="0.25">
      <c r="B4" s="6"/>
      <c r="C4" s="6"/>
      <c r="D4" s="7"/>
      <c r="E4" s="7"/>
      <c r="F4" s="7"/>
      <c r="G4" s="7"/>
      <c r="H4" s="3"/>
      <c r="I4" s="3"/>
      <c r="J4" s="28"/>
      <c r="K4" s="3"/>
      <c r="L4" s="3"/>
      <c r="M4" s="3"/>
      <c r="N4" s="3"/>
      <c r="O4" s="10"/>
      <c r="P4" s="10"/>
      <c r="Q4" s="10"/>
      <c r="R4" s="10"/>
    </row>
    <row r="5" spans="2:18" s="4" customFormat="1" ht="408.95" customHeight="1" x14ac:dyDescent="0.25">
      <c r="B5" s="6"/>
      <c r="C5" s="6"/>
      <c r="D5" s="7"/>
      <c r="E5" s="7"/>
      <c r="F5" s="35"/>
      <c r="G5" s="7"/>
      <c r="H5" s="3"/>
      <c r="I5" s="3"/>
      <c r="J5" s="28"/>
      <c r="K5" s="3"/>
      <c r="L5" s="3"/>
      <c r="M5" s="3"/>
      <c r="N5" s="3"/>
      <c r="O5" s="10"/>
      <c r="P5" s="10"/>
      <c r="Q5" s="10"/>
      <c r="R5" s="10"/>
    </row>
    <row r="6" spans="2:18" s="4" customFormat="1" ht="409.5" customHeight="1" x14ac:dyDescent="0.25">
      <c r="B6" s="6"/>
      <c r="C6" s="6"/>
      <c r="D6" s="7"/>
      <c r="E6" s="7"/>
      <c r="F6" s="7"/>
      <c r="G6" s="7"/>
      <c r="H6" s="3"/>
      <c r="I6" s="3"/>
      <c r="J6" s="28"/>
      <c r="K6" s="3"/>
      <c r="L6" s="3"/>
      <c r="M6" s="3"/>
      <c r="N6" s="3"/>
      <c r="O6" s="10"/>
      <c r="P6" s="10"/>
      <c r="Q6" s="10"/>
      <c r="R6" s="10"/>
    </row>
    <row r="7" spans="2:18" s="4" customFormat="1" ht="409.5" customHeight="1" x14ac:dyDescent="0.25">
      <c r="B7" s="6"/>
      <c r="C7" s="6"/>
      <c r="D7" s="7"/>
      <c r="E7" s="7"/>
      <c r="F7" s="7"/>
      <c r="G7" s="7"/>
      <c r="H7" s="3"/>
      <c r="I7" s="3"/>
      <c r="J7" s="28"/>
      <c r="K7" s="3"/>
      <c r="L7" s="3"/>
      <c r="M7" s="3"/>
      <c r="N7" s="3"/>
      <c r="O7" s="10"/>
      <c r="P7" s="10"/>
      <c r="Q7" s="10"/>
      <c r="R7" s="10"/>
    </row>
    <row r="8" spans="2:18" s="4" customFormat="1" ht="409.5" customHeight="1" x14ac:dyDescent="0.25">
      <c r="B8" s="6"/>
      <c r="C8" s="6"/>
      <c r="D8" s="7"/>
      <c r="E8" s="7"/>
      <c r="F8" s="7"/>
      <c r="G8" s="7"/>
      <c r="H8" s="3"/>
      <c r="I8" s="3"/>
      <c r="J8" s="28"/>
      <c r="K8" s="3"/>
      <c r="L8" s="3"/>
      <c r="M8" s="3"/>
      <c r="N8" s="3"/>
      <c r="O8" s="10"/>
      <c r="P8" s="10"/>
      <c r="Q8" s="10"/>
      <c r="R8" s="10"/>
    </row>
  </sheetData>
  <phoneticPr fontId="11" type="noConversion"/>
  <pageMargins left="0.78740157499999996" right="0.78740157499999996" top="0.984251969" bottom="0.984251969" header="0.4921259845" footer="0.4921259845"/>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7"/>
  <sheetViews>
    <sheetView zoomScale="80" workbookViewId="0"/>
  </sheetViews>
  <sheetFormatPr baseColWidth="10" defaultRowHeight="15" x14ac:dyDescent="0.25"/>
  <cols>
    <col min="2" max="3" width="23.7109375" customWidth="1"/>
    <col min="4" max="4" width="16.85546875" customWidth="1"/>
    <col min="5" max="5" width="18.7109375" customWidth="1"/>
    <col min="6" max="6" width="15.42578125" customWidth="1"/>
    <col min="7" max="7" width="13.85546875" customWidth="1"/>
    <col min="8" max="8" width="18.28515625" customWidth="1"/>
    <col min="9" max="9" width="34.5703125" customWidth="1"/>
    <col min="10" max="10" width="108.85546875" customWidth="1"/>
    <col min="11" max="11" width="34.42578125" customWidth="1"/>
    <col min="12" max="13" width="50" customWidth="1"/>
    <col min="14" max="14" width="58.85546875" customWidth="1"/>
    <col min="15" max="17" width="9.42578125" customWidth="1"/>
  </cols>
  <sheetData>
    <row r="1" spans="2:18" s="2" customFormat="1" ht="29.25" customHeight="1" x14ac:dyDescent="0.25">
      <c r="B1" s="52" t="s">
        <v>90</v>
      </c>
      <c r="C1" s="52" t="s">
        <v>143</v>
      </c>
      <c r="D1" s="53" t="s">
        <v>91</v>
      </c>
      <c r="E1" s="53" t="s">
        <v>92</v>
      </c>
      <c r="F1" s="52" t="s">
        <v>93</v>
      </c>
      <c r="G1" s="52" t="s">
        <v>94</v>
      </c>
      <c r="H1" s="52" t="s">
        <v>95</v>
      </c>
      <c r="I1" s="52" t="s">
        <v>96</v>
      </c>
      <c r="J1" s="52" t="s">
        <v>97</v>
      </c>
      <c r="K1" s="52" t="s">
        <v>144</v>
      </c>
      <c r="L1" s="52" t="s">
        <v>98</v>
      </c>
      <c r="M1" s="52" t="s">
        <v>100</v>
      </c>
      <c r="N1" s="52" t="s">
        <v>99</v>
      </c>
      <c r="O1" s="54" t="s">
        <v>45</v>
      </c>
      <c r="P1" s="54" t="s">
        <v>46</v>
      </c>
      <c r="Q1" s="54" t="s">
        <v>47</v>
      </c>
      <c r="R1" s="54" t="s">
        <v>44</v>
      </c>
    </row>
    <row r="2" spans="2:18" s="4" customFormat="1" ht="409.5" customHeight="1" x14ac:dyDescent="0.25">
      <c r="B2" s="57"/>
      <c r="C2" s="6"/>
      <c r="D2" s="7"/>
      <c r="E2" s="7"/>
      <c r="F2" s="7"/>
      <c r="G2" s="7"/>
      <c r="H2" s="3"/>
      <c r="I2" s="3"/>
      <c r="J2" s="28"/>
      <c r="K2" s="3"/>
      <c r="L2" s="3"/>
      <c r="M2" s="3"/>
      <c r="N2" s="3"/>
      <c r="O2" s="10"/>
      <c r="P2" s="10"/>
      <c r="Q2" s="10"/>
      <c r="R2" s="10"/>
    </row>
    <row r="3" spans="2:18" s="4" customFormat="1" ht="409.5" customHeight="1" x14ac:dyDescent="0.25">
      <c r="B3" s="57"/>
      <c r="C3" s="6"/>
      <c r="D3" s="7"/>
      <c r="E3" s="7"/>
      <c r="F3" s="7"/>
      <c r="G3" s="7"/>
      <c r="H3" s="3"/>
      <c r="I3" s="3"/>
      <c r="J3" s="28"/>
      <c r="K3" s="3"/>
      <c r="L3" s="3"/>
      <c r="M3" s="3"/>
      <c r="N3" s="3"/>
      <c r="O3" s="10"/>
      <c r="P3" s="10"/>
      <c r="Q3" s="10"/>
      <c r="R3" s="10"/>
    </row>
    <row r="4" spans="2:18" s="4" customFormat="1" ht="409.6" customHeight="1" x14ac:dyDescent="0.25">
      <c r="B4" s="6"/>
      <c r="C4" s="6"/>
      <c r="D4" s="7"/>
      <c r="E4" s="7"/>
      <c r="F4" s="7"/>
      <c r="G4" s="7"/>
      <c r="H4" s="3"/>
      <c r="I4" s="3"/>
      <c r="J4" s="3"/>
      <c r="K4" s="3"/>
      <c r="L4" s="3"/>
      <c r="M4" s="3"/>
      <c r="N4" s="3"/>
      <c r="O4" s="10"/>
      <c r="P4" s="10"/>
      <c r="Q4" s="10"/>
      <c r="R4" s="10"/>
    </row>
    <row r="5" spans="2:18" s="4" customFormat="1" ht="369" customHeight="1" x14ac:dyDescent="0.25">
      <c r="B5" s="6"/>
      <c r="C5" s="6"/>
      <c r="D5" s="7"/>
      <c r="E5" s="7"/>
      <c r="F5" s="7"/>
      <c r="G5" s="7"/>
      <c r="H5" s="3"/>
      <c r="I5" s="3"/>
      <c r="J5" s="28"/>
      <c r="K5" s="3"/>
      <c r="L5" s="3"/>
      <c r="M5" s="3"/>
      <c r="N5" s="3"/>
      <c r="O5" s="10"/>
      <c r="P5" s="10"/>
      <c r="Q5" s="10"/>
      <c r="R5" s="10"/>
    </row>
    <row r="6" spans="2:18" s="4" customFormat="1" ht="409.5" customHeight="1" x14ac:dyDescent="0.25">
      <c r="B6" s="6"/>
      <c r="C6" s="6"/>
      <c r="D6" s="55"/>
      <c r="E6" s="7"/>
      <c r="F6" s="7"/>
      <c r="G6" s="7"/>
      <c r="H6" s="3"/>
      <c r="I6" s="3"/>
      <c r="J6" s="28"/>
      <c r="K6" s="3"/>
      <c r="L6" s="3"/>
      <c r="M6" s="3"/>
      <c r="N6" s="3"/>
      <c r="O6" s="10"/>
      <c r="P6" s="10"/>
      <c r="Q6" s="10"/>
      <c r="R6" s="10"/>
    </row>
    <row r="7" spans="2:18" s="4" customFormat="1" x14ac:dyDescent="0.25">
      <c r="B7" s="6"/>
      <c r="C7" s="6"/>
      <c r="D7" s="7"/>
      <c r="E7" s="7"/>
      <c r="F7" s="7"/>
      <c r="G7" s="7"/>
      <c r="H7" s="3"/>
      <c r="I7" s="3"/>
      <c r="J7" s="28"/>
      <c r="K7" s="3"/>
      <c r="L7" s="3"/>
      <c r="M7" s="3"/>
      <c r="N7" s="6"/>
      <c r="O7" s="10"/>
      <c r="P7" s="10"/>
      <c r="Q7" s="10"/>
      <c r="R7" s="10"/>
    </row>
  </sheetData>
  <phoneticPr fontId="11" type="noConversion"/>
  <pageMargins left="0.78740157499999996" right="0.78740157499999996" top="0.984251969" bottom="0.984251969" header="0.4921259845" footer="0.4921259845"/>
  <headerFooter alignWithMargins="0"/>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6"/>
  <sheetViews>
    <sheetView zoomScale="80" workbookViewId="0">
      <selection activeCell="D3" sqref="D3"/>
    </sheetView>
  </sheetViews>
  <sheetFormatPr baseColWidth="10" defaultRowHeight="15" x14ac:dyDescent="0.25"/>
  <cols>
    <col min="2" max="3" width="23.7109375" customWidth="1"/>
    <col min="4" max="4" width="16.85546875" customWidth="1"/>
    <col min="5" max="5" width="18.7109375" customWidth="1"/>
    <col min="6" max="6" width="15.42578125" customWidth="1"/>
    <col min="7" max="7" width="13.85546875" customWidth="1"/>
    <col min="8" max="8" width="18.28515625" customWidth="1"/>
    <col min="9" max="9" width="34.5703125" customWidth="1"/>
    <col min="10" max="10" width="140" customWidth="1"/>
    <col min="11" max="11" width="34.42578125" customWidth="1"/>
    <col min="12" max="13" width="50" customWidth="1"/>
    <col min="14" max="14" width="58.85546875" customWidth="1"/>
    <col min="15" max="17" width="9.42578125" customWidth="1"/>
  </cols>
  <sheetData>
    <row r="1" spans="2:18" s="2" customFormat="1" ht="29.25" customHeight="1" x14ac:dyDescent="0.25">
      <c r="B1" s="52" t="s">
        <v>90</v>
      </c>
      <c r="C1" s="52" t="s">
        <v>143</v>
      </c>
      <c r="D1" s="53" t="s">
        <v>91</v>
      </c>
      <c r="E1" s="53" t="s">
        <v>92</v>
      </c>
      <c r="F1" s="52" t="s">
        <v>93</v>
      </c>
      <c r="G1" s="52" t="s">
        <v>94</v>
      </c>
      <c r="H1" s="52" t="s">
        <v>95</v>
      </c>
      <c r="I1" s="52" t="s">
        <v>96</v>
      </c>
      <c r="J1" s="52" t="s">
        <v>97</v>
      </c>
      <c r="K1" s="52" t="s">
        <v>144</v>
      </c>
      <c r="L1" s="52" t="s">
        <v>98</v>
      </c>
      <c r="M1" s="52" t="s">
        <v>100</v>
      </c>
      <c r="N1" s="52" t="s">
        <v>99</v>
      </c>
      <c r="O1" s="54" t="s">
        <v>45</v>
      </c>
      <c r="P1" s="54" t="s">
        <v>46</v>
      </c>
      <c r="Q1" s="54" t="s">
        <v>47</v>
      </c>
      <c r="R1" s="54" t="s">
        <v>44</v>
      </c>
    </row>
    <row r="2" spans="2:18" s="4" customFormat="1" ht="409.5" customHeight="1" x14ac:dyDescent="0.25">
      <c r="B2" s="66" t="s">
        <v>211</v>
      </c>
      <c r="C2" s="58" t="s">
        <v>212</v>
      </c>
      <c r="D2" s="63">
        <v>39845</v>
      </c>
      <c r="E2" s="1">
        <v>1</v>
      </c>
      <c r="F2" s="64" t="s">
        <v>213</v>
      </c>
      <c r="G2" s="64" t="s">
        <v>42</v>
      </c>
      <c r="H2" s="65" t="s">
        <v>214</v>
      </c>
      <c r="I2" s="65" t="s">
        <v>216</v>
      </c>
      <c r="J2" s="67" t="s">
        <v>215</v>
      </c>
      <c r="K2" s="5" t="s">
        <v>217</v>
      </c>
      <c r="L2"/>
      <c r="M2" s="67" t="s">
        <v>218</v>
      </c>
      <c r="N2"/>
      <c r="O2" s="66">
        <v>26</v>
      </c>
      <c r="P2" s="4">
        <v>21</v>
      </c>
      <c r="Q2"/>
      <c r="R2" s="66">
        <v>1</v>
      </c>
    </row>
    <row r="3" spans="2:18" s="4" customFormat="1" ht="358.5" customHeight="1" x14ac:dyDescent="0.25">
      <c r="B3" s="57"/>
      <c r="C3" s="6"/>
      <c r="D3" s="7"/>
      <c r="E3" s="7"/>
      <c r="F3" s="7"/>
      <c r="G3" s="7"/>
      <c r="H3" s="3"/>
      <c r="I3" s="3"/>
      <c r="J3" s="28"/>
      <c r="K3" s="3"/>
      <c r="L3" s="3"/>
      <c r="M3" s="3"/>
      <c r="N3" s="3"/>
      <c r="O3" s="10"/>
      <c r="P3" s="10"/>
      <c r="Q3" s="10"/>
      <c r="R3" s="10"/>
    </row>
    <row r="4" spans="2:18" s="4" customFormat="1" ht="408" customHeight="1" x14ac:dyDescent="0.25">
      <c r="B4" s="6"/>
      <c r="C4" s="6"/>
      <c r="D4" s="7"/>
      <c r="E4" s="7"/>
      <c r="F4" s="7"/>
      <c r="G4" s="7"/>
      <c r="H4" s="3"/>
      <c r="I4" s="3"/>
      <c r="J4" s="28"/>
      <c r="K4" s="3"/>
      <c r="L4" s="3"/>
      <c r="M4" s="3"/>
      <c r="N4" s="3"/>
      <c r="O4" s="10"/>
      <c r="P4" s="10"/>
      <c r="Q4" s="10"/>
      <c r="R4" s="10"/>
    </row>
    <row r="5" spans="2:18" s="4" customFormat="1" ht="283.5" customHeight="1" x14ac:dyDescent="0.25">
      <c r="B5" s="6"/>
      <c r="C5" s="6"/>
      <c r="D5" s="7"/>
      <c r="E5" s="7"/>
      <c r="F5" s="8"/>
      <c r="G5" s="7"/>
      <c r="H5" s="3"/>
      <c r="I5" s="3"/>
      <c r="J5" s="36"/>
      <c r="K5" s="3"/>
      <c r="L5" s="3"/>
      <c r="M5" s="3"/>
      <c r="N5" s="6"/>
      <c r="O5" s="10"/>
      <c r="P5" s="10"/>
      <c r="Q5" s="10"/>
      <c r="R5" s="10"/>
    </row>
    <row r="6" spans="2:18" s="4" customFormat="1" ht="321.75" customHeight="1" x14ac:dyDescent="0.25">
      <c r="B6" s="6"/>
      <c r="C6" s="6"/>
      <c r="D6" s="7"/>
      <c r="E6" s="7"/>
      <c r="F6" s="7"/>
      <c r="G6" s="7"/>
      <c r="H6" s="3"/>
      <c r="I6" s="3"/>
      <c r="J6" s="28"/>
      <c r="K6" s="3"/>
      <c r="L6" s="3"/>
      <c r="M6" s="3"/>
      <c r="N6" s="3"/>
      <c r="O6" s="10"/>
      <c r="P6" s="10"/>
      <c r="Q6" s="10"/>
      <c r="R6" s="10"/>
    </row>
  </sheetData>
  <phoneticPr fontId="11" type="noConversion"/>
  <hyperlinks>
    <hyperlink ref="C2" r:id="rId1"/>
  </hyperlinks>
  <pageMargins left="0.78740157499999996" right="0.78740157499999996" top="0.984251969" bottom="0.984251969" header="0.4921259845" footer="0.4921259845"/>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2"/>
  <sheetViews>
    <sheetView workbookViewId="0">
      <selection activeCell="D2" sqref="D2"/>
    </sheetView>
  </sheetViews>
  <sheetFormatPr baseColWidth="10" defaultRowHeight="15" x14ac:dyDescent="0.25"/>
  <cols>
    <col min="2" max="2" width="27.28515625" customWidth="1"/>
    <col min="3" max="3" width="28" customWidth="1"/>
    <col min="6" max="6" width="31" customWidth="1"/>
    <col min="8" max="8" width="20.7109375" customWidth="1"/>
    <col min="9" max="9" width="44.5703125" customWidth="1"/>
    <col min="10" max="10" width="70.7109375" customWidth="1"/>
    <col min="11" max="11" width="37.140625" customWidth="1"/>
    <col min="12" max="12" width="16.7109375" customWidth="1"/>
    <col min="13" max="13" width="21.85546875" customWidth="1"/>
    <col min="14" max="16" width="11.42578125" customWidth="1"/>
  </cols>
  <sheetData>
    <row r="1" spans="2:18" ht="30" x14ac:dyDescent="0.25">
      <c r="B1" s="74" t="s">
        <v>90</v>
      </c>
      <c r="C1" s="74" t="s">
        <v>143</v>
      </c>
      <c r="D1" s="75" t="s">
        <v>91</v>
      </c>
      <c r="E1" s="75" t="s">
        <v>92</v>
      </c>
      <c r="F1" s="74" t="s">
        <v>93</v>
      </c>
      <c r="G1" s="74" t="s">
        <v>94</v>
      </c>
      <c r="H1" s="74" t="s">
        <v>95</v>
      </c>
      <c r="I1" s="74" t="s">
        <v>96</v>
      </c>
      <c r="J1" s="74" t="s">
        <v>97</v>
      </c>
      <c r="K1" s="74" t="s">
        <v>144</v>
      </c>
      <c r="L1" s="74" t="s">
        <v>98</v>
      </c>
      <c r="M1" s="74" t="s">
        <v>100</v>
      </c>
      <c r="N1" s="74" t="s">
        <v>99</v>
      </c>
      <c r="O1" s="76" t="s">
        <v>45</v>
      </c>
      <c r="P1" s="76" t="s">
        <v>46</v>
      </c>
      <c r="Q1" s="76" t="s">
        <v>47</v>
      </c>
      <c r="R1" s="76" t="s">
        <v>44</v>
      </c>
    </row>
    <row r="2" spans="2:18" s="72" customFormat="1" ht="285" x14ac:dyDescent="0.25">
      <c r="B2" s="10" t="s">
        <v>177</v>
      </c>
      <c r="C2" s="69" t="s">
        <v>178</v>
      </c>
      <c r="D2" s="70">
        <v>39722</v>
      </c>
      <c r="E2" s="7" t="s">
        <v>179</v>
      </c>
      <c r="F2" s="71" t="s">
        <v>180</v>
      </c>
      <c r="G2" s="71" t="s">
        <v>42</v>
      </c>
      <c r="H2" s="71" t="s">
        <v>181</v>
      </c>
      <c r="I2" s="61" t="s">
        <v>182</v>
      </c>
      <c r="J2" s="3" t="s">
        <v>183</v>
      </c>
      <c r="K2" s="61" t="s">
        <v>246</v>
      </c>
      <c r="L2" s="61" t="s">
        <v>184</v>
      </c>
      <c r="M2" s="61" t="s">
        <v>185</v>
      </c>
      <c r="O2" s="73">
        <v>27</v>
      </c>
      <c r="P2" s="10">
        <v>14</v>
      </c>
      <c r="R2" s="73">
        <v>1</v>
      </c>
    </row>
  </sheetData>
  <hyperlinks>
    <hyperlink ref="C2"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2"/>
  <sheetViews>
    <sheetView workbookViewId="0">
      <selection activeCell="C2" sqref="C2"/>
    </sheetView>
  </sheetViews>
  <sheetFormatPr baseColWidth="10" defaultRowHeight="15" x14ac:dyDescent="0.25"/>
  <cols>
    <col min="2" max="2" width="25.140625" customWidth="1"/>
    <col min="3" max="3" width="33.28515625" customWidth="1"/>
    <col min="8" max="8" width="22.42578125" customWidth="1"/>
    <col min="9" max="9" width="46.7109375" customWidth="1"/>
    <col min="10" max="10" width="51.28515625" customWidth="1"/>
    <col min="11" max="11" width="31.85546875" customWidth="1"/>
    <col min="12" max="12" width="24" customWidth="1"/>
    <col min="13" max="13" width="16.85546875" customWidth="1"/>
  </cols>
  <sheetData>
    <row r="1" spans="2:18" ht="30" x14ac:dyDescent="0.25">
      <c r="B1" s="74" t="s">
        <v>90</v>
      </c>
      <c r="C1" s="74" t="s">
        <v>143</v>
      </c>
      <c r="D1" s="75" t="s">
        <v>91</v>
      </c>
      <c r="E1" s="75" t="s">
        <v>92</v>
      </c>
      <c r="F1" s="74" t="s">
        <v>93</v>
      </c>
      <c r="G1" s="74" t="s">
        <v>94</v>
      </c>
      <c r="H1" s="74" t="s">
        <v>95</v>
      </c>
      <c r="I1" s="74" t="s">
        <v>96</v>
      </c>
      <c r="J1" s="74" t="s">
        <v>97</v>
      </c>
      <c r="K1" s="74" t="s">
        <v>144</v>
      </c>
      <c r="L1" s="74" t="s">
        <v>98</v>
      </c>
      <c r="M1" s="74" t="s">
        <v>100</v>
      </c>
      <c r="N1" s="74" t="s">
        <v>99</v>
      </c>
      <c r="O1" s="76" t="s">
        <v>45</v>
      </c>
      <c r="P1" s="76" t="s">
        <v>46</v>
      </c>
      <c r="Q1" s="76" t="s">
        <v>47</v>
      </c>
      <c r="R1" s="76" t="s">
        <v>44</v>
      </c>
    </row>
    <row r="2" spans="2:18" s="72" customFormat="1" ht="409.5" x14ac:dyDescent="0.25">
      <c r="B2" s="73" t="s">
        <v>193</v>
      </c>
      <c r="C2" s="69" t="s">
        <v>194</v>
      </c>
      <c r="D2" s="70">
        <v>34060</v>
      </c>
      <c r="E2" s="3" t="s">
        <v>195</v>
      </c>
      <c r="F2" s="71" t="s">
        <v>196</v>
      </c>
      <c r="G2" s="71" t="s">
        <v>197</v>
      </c>
      <c r="H2" s="3" t="s">
        <v>198</v>
      </c>
      <c r="I2" s="61" t="s">
        <v>199</v>
      </c>
      <c r="J2" s="86" t="s">
        <v>200</v>
      </c>
      <c r="K2" s="3" t="s">
        <v>202</v>
      </c>
      <c r="L2" s="88" t="s">
        <v>203</v>
      </c>
      <c r="M2" s="3" t="s">
        <v>201</v>
      </c>
      <c r="O2" s="73">
        <v>59</v>
      </c>
      <c r="R2" s="73">
        <v>1</v>
      </c>
    </row>
  </sheetData>
  <hyperlinks>
    <hyperlink ref="C2" r:id="rId1"/>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2"/>
  <sheetViews>
    <sheetView workbookViewId="0">
      <selection activeCell="B2" sqref="B2"/>
    </sheetView>
  </sheetViews>
  <sheetFormatPr baseColWidth="10" defaultRowHeight="15" x14ac:dyDescent="0.25"/>
  <cols>
    <col min="2" max="2" width="27.5703125" customWidth="1"/>
    <col min="3" max="3" width="58.7109375" customWidth="1"/>
    <col min="8" max="8" width="20.28515625" customWidth="1"/>
    <col min="9" max="9" width="33.42578125" customWidth="1"/>
    <col min="10" max="10" width="43.42578125" customWidth="1"/>
    <col min="11" max="11" width="26.42578125" customWidth="1"/>
    <col min="12" max="12" width="26.7109375" customWidth="1"/>
  </cols>
  <sheetData>
    <row r="1" spans="2:18" ht="30" x14ac:dyDescent="0.25">
      <c r="B1" s="74" t="s">
        <v>90</v>
      </c>
      <c r="C1" s="74" t="s">
        <v>143</v>
      </c>
      <c r="D1" s="75" t="s">
        <v>91</v>
      </c>
      <c r="E1" s="75" t="s">
        <v>92</v>
      </c>
      <c r="F1" s="74" t="s">
        <v>93</v>
      </c>
      <c r="G1" s="74" t="s">
        <v>94</v>
      </c>
      <c r="H1" s="74" t="s">
        <v>95</v>
      </c>
      <c r="I1" s="74" t="s">
        <v>96</v>
      </c>
      <c r="J1" s="74" t="s">
        <v>97</v>
      </c>
      <c r="K1" s="74" t="s">
        <v>144</v>
      </c>
      <c r="L1" s="74" t="s">
        <v>98</v>
      </c>
      <c r="M1" s="74" t="s">
        <v>100</v>
      </c>
      <c r="N1" s="74" t="s">
        <v>99</v>
      </c>
      <c r="O1" s="76" t="s">
        <v>45</v>
      </c>
      <c r="P1" s="76" t="s">
        <v>46</v>
      </c>
      <c r="Q1" s="76" t="s">
        <v>47</v>
      </c>
      <c r="R1" s="76" t="s">
        <v>44</v>
      </c>
    </row>
    <row r="2" spans="2:18" s="72" customFormat="1" ht="255" x14ac:dyDescent="0.25">
      <c r="B2" s="73" t="s">
        <v>238</v>
      </c>
      <c r="C2" s="69" t="s">
        <v>239</v>
      </c>
      <c r="D2" s="82">
        <v>36739</v>
      </c>
      <c r="E2" s="83">
        <v>1</v>
      </c>
      <c r="F2" s="71" t="s">
        <v>240</v>
      </c>
      <c r="H2" s="89" t="s">
        <v>241</v>
      </c>
      <c r="I2" s="89" t="s">
        <v>242</v>
      </c>
      <c r="J2" s="3" t="s">
        <v>243</v>
      </c>
      <c r="K2" s="89" t="s">
        <v>245</v>
      </c>
      <c r="L2" s="3" t="s">
        <v>244</v>
      </c>
      <c r="O2" s="73">
        <v>57</v>
      </c>
      <c r="R2" s="73">
        <v>1</v>
      </c>
    </row>
  </sheetData>
  <hyperlinks>
    <hyperlink ref="C2"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13</vt:i4>
      </vt:variant>
    </vt:vector>
  </HeadingPairs>
  <TitlesOfParts>
    <vt:vector size="13" baseType="lpstr">
      <vt:lpstr>Tous</vt:lpstr>
      <vt:lpstr>Stats</vt:lpstr>
      <vt:lpstr>Alsace</vt:lpstr>
      <vt:lpstr>Aquitaine</vt:lpstr>
      <vt:lpstr>Bretagne</vt:lpstr>
      <vt:lpstr>Ile de France</vt:lpstr>
      <vt:lpstr>Languedoc-R</vt:lpstr>
      <vt:lpstr>Midi-Pyrénées</vt:lpstr>
      <vt:lpstr>PACA</vt:lpstr>
      <vt:lpstr>Rhône-Alpes</vt:lpstr>
      <vt:lpstr>Haute-Normandie</vt:lpstr>
      <vt:lpstr>Nord-Pas-De-Calais</vt:lpstr>
      <vt:lpstr>Lorraine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stagiaire</dc:creator>
  <cp:lastModifiedBy>kevin roy</cp:lastModifiedBy>
  <cp:lastPrinted>2010-07-07T14:56:59Z</cp:lastPrinted>
  <dcterms:created xsi:type="dcterms:W3CDTF">2010-06-08T08:23:36Z</dcterms:created>
  <dcterms:modified xsi:type="dcterms:W3CDTF">2013-02-25T10:19:42Z</dcterms:modified>
</cp:coreProperties>
</file>