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3" sheetId="2" r:id="rId2"/>
  </sheets>
  <externalReferences>
    <externalReference r:id="rId3"/>
  </externalReferences>
  <definedNames>
    <definedName name="PeriodStart">'[1]Request Form'!$C$2</definedName>
  </definedNames>
  <calcPr calcId="152511"/>
  <fileRecoveryPr repairLoad="1"/>
</workbook>
</file>

<file path=xl/calcChain.xml><?xml version="1.0" encoding="utf-8"?>
<calcChain xmlns="http://schemas.openxmlformats.org/spreadsheetml/2006/main">
  <c r="L28" i="1" l="1"/>
  <c r="K28" i="1"/>
  <c r="J28" i="1"/>
  <c r="I28" i="1"/>
  <c r="H28" i="1"/>
  <c r="N27" i="1"/>
  <c r="F27" i="1"/>
  <c r="E27" i="1"/>
  <c r="D27" i="1"/>
  <c r="G27" i="1" s="1"/>
  <c r="N26" i="1"/>
  <c r="F26" i="1"/>
  <c r="E26" i="1"/>
  <c r="D26" i="1"/>
  <c r="G26" i="1" s="1"/>
  <c r="N25" i="1"/>
  <c r="F25" i="1"/>
  <c r="E25" i="1"/>
  <c r="D25" i="1"/>
  <c r="G25" i="1" s="1"/>
  <c r="N24" i="1"/>
  <c r="F24" i="1"/>
  <c r="E24" i="1"/>
  <c r="D24" i="1"/>
  <c r="G24" i="1" s="1"/>
  <c r="N23" i="1"/>
  <c r="F23" i="1"/>
  <c r="E23" i="1"/>
  <c r="D23" i="1"/>
  <c r="G23" i="1" s="1"/>
  <c r="N22" i="1"/>
  <c r="F22" i="1"/>
  <c r="E22" i="1"/>
  <c r="D22" i="1"/>
  <c r="G22" i="1" s="1"/>
  <c r="N21" i="1"/>
  <c r="F21" i="1"/>
  <c r="E21" i="1"/>
  <c r="D21" i="1"/>
  <c r="G21" i="1" s="1"/>
  <c r="N20" i="1"/>
  <c r="G20" i="1"/>
  <c r="F20" i="1"/>
  <c r="E20" i="1"/>
  <c r="D20" i="1"/>
  <c r="N19" i="1"/>
  <c r="F19" i="1"/>
  <c r="E19" i="1"/>
  <c r="D19" i="1"/>
  <c r="G19" i="1" s="1"/>
  <c r="N18" i="1"/>
  <c r="F18" i="1"/>
  <c r="E18" i="1"/>
  <c r="D18" i="1"/>
  <c r="G18" i="1" s="1"/>
  <c r="N17" i="1"/>
  <c r="F17" i="1"/>
  <c r="E17" i="1"/>
  <c r="D17" i="1"/>
  <c r="G17" i="1" s="1"/>
  <c r="N16" i="1"/>
  <c r="G16" i="1"/>
  <c r="F16" i="1"/>
  <c r="E16" i="1"/>
  <c r="D16" i="1"/>
  <c r="N15" i="1"/>
  <c r="F15" i="1"/>
  <c r="E15" i="1"/>
  <c r="D15" i="1"/>
  <c r="G15" i="1" s="1"/>
  <c r="N14" i="1"/>
  <c r="F14" i="1"/>
  <c r="E14" i="1"/>
  <c r="D14" i="1"/>
  <c r="G14" i="1" s="1"/>
  <c r="N13" i="1"/>
  <c r="F13" i="1"/>
  <c r="E13" i="1"/>
  <c r="D13" i="1"/>
  <c r="G13" i="1" s="1"/>
  <c r="N12" i="1"/>
  <c r="F12" i="1"/>
  <c r="E12" i="1"/>
  <c r="D12" i="1"/>
  <c r="G12" i="1" s="1"/>
  <c r="N11" i="1"/>
  <c r="D11" i="1"/>
  <c r="G11" i="1" s="1"/>
  <c r="N10" i="1"/>
  <c r="F10" i="1"/>
  <c r="E10" i="1"/>
  <c r="D10" i="1"/>
  <c r="G10" i="1" s="1"/>
  <c r="N9" i="1"/>
  <c r="F9" i="1"/>
  <c r="E9" i="1"/>
  <c r="D9" i="1"/>
  <c r="G9" i="1" s="1"/>
  <c r="N8" i="1"/>
  <c r="F8" i="1"/>
  <c r="E8" i="1"/>
  <c r="D8" i="1"/>
  <c r="G8" i="1" s="1"/>
  <c r="N7" i="1"/>
  <c r="F7" i="1"/>
  <c r="E7" i="1"/>
  <c r="D7" i="1"/>
  <c r="G7" i="1" s="1"/>
  <c r="L5" i="1"/>
  <c r="K5" i="1"/>
  <c r="J5" i="1"/>
  <c r="I5" i="1"/>
  <c r="N28" i="1" l="1"/>
</calcChain>
</file>

<file path=xl/sharedStrings.xml><?xml version="1.0" encoding="utf-8"?>
<sst xmlns="http://schemas.openxmlformats.org/spreadsheetml/2006/main" count="7" uniqueCount="6">
  <si>
    <t>N° compte</t>
  </si>
  <si>
    <t>N° compte FR</t>
  </si>
  <si>
    <t>Libellé</t>
  </si>
  <si>
    <t>Date début</t>
  </si>
  <si>
    <t>010001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</si>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</sst>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4" fontId="0" fillId="0" borderId="3" xfId="1" applyNumberFormat="1" applyFon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2" fillId="0" borderId="5" xfId="0" applyFont="1" applyBorder="1" applyAlignment="1">
      <alignment horizontal="right" vertical="center" indent="1"/>
    </xf>
    <xf numFmtId="4" fontId="0" fillId="0" borderId="6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2" fillId="0" borderId="5" xfId="0" applyFont="1" applyBorder="1" applyAlignment="1">
      <alignment horizontal="right" vertical="center" indent="1"/>
    </xf>
  </cellXfs>
  <cellStyles count="2">
    <cellStyle name="Milliers" xfId="1" builtinId="3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ta\Desktop\Groupe%20OB%20balances%20conso%20_v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est Form"/>
      <sheetName val="Mappage de compte"/>
      <sheetName val="Report"/>
      <sheetName val="Feuil3"/>
      <sheetName val="Feuil12"/>
      <sheetName val="Feuil13"/>
      <sheetName val="Feuil14"/>
      <sheetName val="Feuil15"/>
      <sheetName val="Feuil16"/>
      <sheetName val="Feuil17"/>
      <sheetName val="Feuil18"/>
      <sheetName val="Feuil19"/>
      <sheetName val="Feuil20"/>
    </sheetNames>
    <sheetDataSet>
      <sheetData sheetId="0">
        <row r="2">
          <cell r="C2" t="str">
            <v>01/01/2015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N28"/>
  <sheetViews>
    <sheetView workbookViewId="0">
      <selection activeCell="E7" sqref="E7"/>
    </sheetView>
  </sheetViews>
  <sheetFormatPr baseColWidth="10" defaultColWidth="9.140625" defaultRowHeight="15" x14ac:dyDescent="0.25"/>
  <cols>
    <col min="6" max="6" width="29.5703125" bestFit="1" customWidth="1"/>
    <col min="8" max="8" width="14.140625" bestFit="1" customWidth="1"/>
    <col min="9" max="11" width="10.7109375" bestFit="1" customWidth="1"/>
    <col min="12" max="12" width="12.140625" bestFit="1" customWidth="1"/>
    <col min="14" max="14" width="14.140625" bestFit="1" customWidth="1"/>
  </cols>
  <sheetData>
    <row r="5" spans="4:14" x14ac:dyDescent="0.25">
      <c r="D5" s="1" t="s">
        <v>0</v>
      </c>
      <c r="E5" s="1" t="s">
        <v>1</v>
      </c>
      <c r="F5" s="1" t="s">
        <v>2</v>
      </c>
      <c r="G5" s="1" t="s">
        <v>3</v>
      </c>
      <c r="H5" s="2" t="s">
        <v>4</v>
      </c>
      <c r="I5" s="2" t="str">
        <f>"010010"</f>
        <v>010010</v>
      </c>
      <c r="J5" s="2" t="str">
        <f>"010011"</f>
        <v>010011</v>
      </c>
      <c r="K5" s="2" t="str">
        <f>"010012"</f>
        <v>010012</v>
      </c>
      <c r="L5" s="2" t="str">
        <f>"010013"</f>
        <v>010013</v>
      </c>
      <c r="M5" s="3"/>
      <c r="N5" s="1" t="s">
        <v>5</v>
      </c>
    </row>
    <row r="6" spans="4:14" x14ac:dyDescent="0.25">
      <c r="D6" s="4"/>
      <c r="E6" s="4"/>
      <c r="F6" s="4"/>
      <c r="G6" s="4"/>
      <c r="H6" s="5"/>
      <c r="I6" s="5"/>
      <c r="J6" s="5"/>
      <c r="K6" s="5"/>
      <c r="L6" s="5"/>
      <c r="M6" s="6"/>
      <c r="N6" s="7"/>
    </row>
    <row r="7" spans="4:14" x14ac:dyDescent="0.25">
      <c r="D7" s="8" t="str">
        <f>"100000"</f>
        <v>100000</v>
      </c>
      <c r="E7" s="8" t="str">
        <f>"101300"</f>
        <v>101300</v>
      </c>
      <c r="F7" s="8" t="str">
        <f>"Capital Souscrit"</f>
        <v>Capital Souscrit</v>
      </c>
      <c r="G7" s="8" t="str">
        <f t="shared" ref="G7:G27" si="0">IF(OR(LEFT($D7,1)="6",LEFT($D7,1)="7"),PeriodStart,"")</f>
        <v/>
      </c>
      <c r="H7" s="9">
        <v>-81500000</v>
      </c>
      <c r="I7" s="9">
        <v>-265000</v>
      </c>
      <c r="J7" s="9">
        <v>-90000</v>
      </c>
      <c r="K7" s="9">
        <v>-136341.44</v>
      </c>
      <c r="L7" s="9">
        <v>-114999.99999999999</v>
      </c>
      <c r="M7" s="8"/>
      <c r="N7" s="10">
        <f>SUM(H7:M7)</f>
        <v>-82106341.439999998</v>
      </c>
    </row>
    <row r="8" spans="4:14" x14ac:dyDescent="0.25">
      <c r="D8" s="8" t="str">
        <f>"101000"</f>
        <v>101000</v>
      </c>
      <c r="E8" s="8" t="str">
        <f>"101300"</f>
        <v>101300</v>
      </c>
      <c r="F8" s="8" t="str">
        <f>"Capital non appelé"</f>
        <v>Capital non appelé</v>
      </c>
      <c r="G8" s="8" t="str">
        <f t="shared" si="0"/>
        <v/>
      </c>
      <c r="H8" s="9">
        <v>2</v>
      </c>
      <c r="I8" s="9">
        <v>0</v>
      </c>
      <c r="J8" s="9">
        <v>0</v>
      </c>
      <c r="K8" s="9">
        <v>0</v>
      </c>
      <c r="L8" s="9">
        <v>0</v>
      </c>
      <c r="M8" s="8"/>
      <c r="N8" s="10">
        <f t="shared" ref="N8:N27" si="1">SUM(H8:M8)</f>
        <v>2</v>
      </c>
    </row>
    <row r="9" spans="4:14" x14ac:dyDescent="0.25">
      <c r="D9" s="8" t="str">
        <f>"101100"</f>
        <v>101100</v>
      </c>
      <c r="E9" s="8" t="str">
        <f>"467000"</f>
        <v>467000</v>
      </c>
      <c r="F9" s="8" t="str">
        <f>"Fonds Associatif"</f>
        <v>Fonds Associatif</v>
      </c>
      <c r="G9" s="8" t="str">
        <f t="shared" si="0"/>
        <v/>
      </c>
      <c r="H9" s="9">
        <v>3</v>
      </c>
      <c r="I9" s="9">
        <v>0</v>
      </c>
      <c r="J9" s="9">
        <v>0</v>
      </c>
      <c r="K9" s="9">
        <v>0</v>
      </c>
      <c r="L9" s="9">
        <v>0</v>
      </c>
      <c r="M9" s="8"/>
      <c r="N9" s="10">
        <f t="shared" si="1"/>
        <v>3</v>
      </c>
    </row>
    <row r="10" spans="4:14" x14ac:dyDescent="0.25">
      <c r="D10" s="8" t="str">
        <f>"110000"</f>
        <v>110000</v>
      </c>
      <c r="E10" s="8" t="str">
        <f>"109000"</f>
        <v>109000</v>
      </c>
      <c r="F10" s="8" t="str">
        <f>"Prime d'émission"</f>
        <v>Prime d'émission</v>
      </c>
      <c r="G10" s="8" t="str">
        <f t="shared" si="0"/>
        <v/>
      </c>
      <c r="H10" s="9">
        <v>3</v>
      </c>
      <c r="I10" s="9">
        <v>-38.67</v>
      </c>
      <c r="J10" s="9">
        <v>0</v>
      </c>
      <c r="K10" s="9">
        <v>0</v>
      </c>
      <c r="L10" s="9">
        <v>0</v>
      </c>
      <c r="M10" s="8"/>
      <c r="N10" s="10">
        <f t="shared" si="1"/>
        <v>-35.67</v>
      </c>
    </row>
    <row r="11" spans="4:14" x14ac:dyDescent="0.25">
      <c r="D11" s="8" t="str">
        <f>"111111"</f>
        <v>111111</v>
      </c>
      <c r="E11" s="8"/>
      <c r="F11" s="8"/>
      <c r="G11" s="8" t="str">
        <f t="shared" si="0"/>
        <v/>
      </c>
      <c r="H11" s="9">
        <v>4</v>
      </c>
      <c r="I11" s="9">
        <v>0</v>
      </c>
      <c r="J11" s="9">
        <v>0</v>
      </c>
      <c r="K11" s="9">
        <v>0</v>
      </c>
      <c r="L11" s="9">
        <v>0</v>
      </c>
      <c r="M11" s="8"/>
      <c r="N11" s="10">
        <f t="shared" si="1"/>
        <v>4</v>
      </c>
    </row>
    <row r="12" spans="4:14" x14ac:dyDescent="0.25">
      <c r="D12" s="8" t="str">
        <f>"121000"</f>
        <v>121000</v>
      </c>
      <c r="E12" s="8" t="str">
        <f>"106880"</f>
        <v>106880</v>
      </c>
      <c r="F12" s="8" t="str">
        <f>"+value réévaluat° s/immo corp"</f>
        <v>+value réévaluat° s/immo corp</v>
      </c>
      <c r="G12" s="8" t="str">
        <f t="shared" si="0"/>
        <v/>
      </c>
      <c r="H12" s="9">
        <v>4</v>
      </c>
      <c r="I12" s="9">
        <v>0</v>
      </c>
      <c r="J12" s="9">
        <v>0</v>
      </c>
      <c r="K12" s="9">
        <v>0</v>
      </c>
      <c r="L12" s="9">
        <v>0</v>
      </c>
      <c r="M12" s="8"/>
      <c r="N12" s="10">
        <f t="shared" si="1"/>
        <v>4</v>
      </c>
    </row>
    <row r="13" spans="4:14" x14ac:dyDescent="0.25">
      <c r="D13" s="8" t="str">
        <f>"121001"</f>
        <v>121001</v>
      </c>
      <c r="E13" s="8" t="str">
        <f>"106880"</f>
        <v>106880</v>
      </c>
      <c r="F13" s="8" t="str">
        <f>"+value réévaluat° s/immo corp"</f>
        <v>+value réévaluat° s/immo corp</v>
      </c>
      <c r="G13" s="8" t="str">
        <f t="shared" si="0"/>
        <v/>
      </c>
      <c r="H13" s="9">
        <v>4</v>
      </c>
      <c r="I13" s="9">
        <v>0</v>
      </c>
      <c r="J13" s="9">
        <v>0</v>
      </c>
      <c r="K13" s="9">
        <v>0</v>
      </c>
      <c r="L13" s="9">
        <v>0</v>
      </c>
      <c r="M13" s="8"/>
      <c r="N13" s="10">
        <f t="shared" si="1"/>
        <v>4</v>
      </c>
    </row>
    <row r="14" spans="4:14" x14ac:dyDescent="0.25">
      <c r="D14" s="8" t="str">
        <f>"121009"</f>
        <v>121009</v>
      </c>
      <c r="E14" s="8" t="str">
        <f>"105000"</f>
        <v>105000</v>
      </c>
      <c r="F14" s="8" t="str">
        <f>"Quotité amortie de la +value"</f>
        <v>Quotité amortie de la +value</v>
      </c>
      <c r="G14" s="8" t="str">
        <f t="shared" si="0"/>
        <v/>
      </c>
      <c r="H14" s="9">
        <v>4</v>
      </c>
      <c r="I14" s="9">
        <v>0</v>
      </c>
      <c r="J14" s="9">
        <v>0</v>
      </c>
      <c r="K14" s="9">
        <v>0</v>
      </c>
      <c r="L14" s="9">
        <v>0</v>
      </c>
      <c r="M14" s="8"/>
      <c r="N14" s="10">
        <f t="shared" si="1"/>
        <v>4</v>
      </c>
    </row>
    <row r="15" spans="4:14" x14ac:dyDescent="0.25">
      <c r="D15" s="8" t="str">
        <f>"122000"</f>
        <v>122000</v>
      </c>
      <c r="E15" s="8" t="str">
        <f t="shared" ref="E15:E21" si="2">"106880"</f>
        <v>106880</v>
      </c>
      <c r="F15" s="8" t="str">
        <f>"+Value Réévaluat° s/Participat"</f>
        <v>+Value Réévaluat° s/Participat</v>
      </c>
      <c r="G15" s="8" t="str">
        <f t="shared" si="0"/>
        <v/>
      </c>
      <c r="H15" s="9">
        <v>-9467772.1600000001</v>
      </c>
      <c r="I15" s="9">
        <v>0</v>
      </c>
      <c r="J15" s="9">
        <v>0</v>
      </c>
      <c r="K15" s="9">
        <v>0</v>
      </c>
      <c r="L15" s="9">
        <v>0</v>
      </c>
      <c r="M15" s="8"/>
      <c r="N15" s="10">
        <f t="shared" si="1"/>
        <v>-9467772.1600000001</v>
      </c>
    </row>
    <row r="16" spans="4:14" x14ac:dyDescent="0.25">
      <c r="D16" s="8" t="str">
        <f>"130000"</f>
        <v>130000</v>
      </c>
      <c r="E16" s="8" t="str">
        <f t="shared" si="2"/>
        <v>106880</v>
      </c>
      <c r="F16" s="8" t="str">
        <f>"Réserve légale"</f>
        <v>Réserve légale</v>
      </c>
      <c r="G16" s="8" t="str">
        <f t="shared" si="0"/>
        <v/>
      </c>
      <c r="H16" s="9">
        <v>-8150000</v>
      </c>
      <c r="I16" s="9">
        <v>-26500</v>
      </c>
      <c r="J16" s="9">
        <v>-9000</v>
      </c>
      <c r="K16" s="9">
        <v>-13634.14</v>
      </c>
      <c r="L16" s="9">
        <v>-7436.8099999999995</v>
      </c>
      <c r="M16" s="8"/>
      <c r="N16" s="10">
        <f t="shared" si="1"/>
        <v>-8206570.9499999993</v>
      </c>
    </row>
    <row r="17" spans="4:14" x14ac:dyDescent="0.25">
      <c r="D17" s="8" t="str">
        <f>"131000"</f>
        <v>131000</v>
      </c>
      <c r="E17" s="8" t="str">
        <f t="shared" si="2"/>
        <v>106880</v>
      </c>
      <c r="F17" s="8" t="str">
        <f>"Réserve indisponible"</f>
        <v>Réserve indisponible</v>
      </c>
      <c r="G17" s="8" t="str">
        <f t="shared" si="0"/>
        <v/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8"/>
      <c r="N17" s="10">
        <f t="shared" si="1"/>
        <v>0</v>
      </c>
    </row>
    <row r="18" spans="4:14" x14ac:dyDescent="0.25">
      <c r="D18" s="8" t="str">
        <f>"132000"</f>
        <v>132000</v>
      </c>
      <c r="E18" s="8" t="str">
        <f t="shared" si="2"/>
        <v>106880</v>
      </c>
      <c r="F18" s="8" t="str">
        <f>"Réserve immunisée"</f>
        <v>Réserve immunisée</v>
      </c>
      <c r="G18" s="8" t="str">
        <f t="shared" si="0"/>
        <v/>
      </c>
      <c r="H18" s="9">
        <v>0</v>
      </c>
      <c r="I18" s="9">
        <v>0</v>
      </c>
      <c r="J18" s="9">
        <v>0</v>
      </c>
      <c r="K18" s="9">
        <v>-37859.5</v>
      </c>
      <c r="L18" s="9">
        <v>0</v>
      </c>
      <c r="M18" s="8"/>
      <c r="N18" s="10">
        <f t="shared" si="1"/>
        <v>-37859.5</v>
      </c>
    </row>
    <row r="19" spans="4:14" x14ac:dyDescent="0.25">
      <c r="D19" s="8" t="str">
        <f>"132100"</f>
        <v>132100</v>
      </c>
      <c r="E19" s="8" t="str">
        <f t="shared" si="2"/>
        <v>106880</v>
      </c>
      <c r="F19" s="8" t="str">
        <f>"Rés. immunisée investissement"</f>
        <v>Rés. immunisée investissement</v>
      </c>
      <c r="G19" s="8" t="str">
        <f t="shared" si="0"/>
        <v/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8"/>
      <c r="N19" s="10">
        <f t="shared" si="1"/>
        <v>0</v>
      </c>
    </row>
    <row r="20" spans="4:14" x14ac:dyDescent="0.25">
      <c r="D20" s="8" t="str">
        <f>"133000"</f>
        <v>133000</v>
      </c>
      <c r="E20" s="8" t="str">
        <f t="shared" si="2"/>
        <v>106880</v>
      </c>
      <c r="F20" s="8" t="str">
        <f>"Réserve disponible"</f>
        <v>Réserve disponible</v>
      </c>
      <c r="G20" s="8" t="str">
        <f t="shared" si="0"/>
        <v/>
      </c>
      <c r="H20" s="9">
        <v>0</v>
      </c>
      <c r="I20" s="9">
        <v>-782.33</v>
      </c>
      <c r="J20" s="9">
        <v>0</v>
      </c>
      <c r="K20" s="9">
        <v>0</v>
      </c>
      <c r="L20" s="9">
        <v>0</v>
      </c>
      <c r="M20" s="8"/>
      <c r="N20" s="10">
        <f t="shared" si="1"/>
        <v>-782.33</v>
      </c>
    </row>
    <row r="21" spans="4:14" x14ac:dyDescent="0.25">
      <c r="D21" s="8" t="str">
        <f>"133100"</f>
        <v>133100</v>
      </c>
      <c r="E21" s="8" t="str">
        <f t="shared" si="2"/>
        <v>106880</v>
      </c>
      <c r="F21" s="8" t="str">
        <f>"Amortissement s/Plus Value I"</f>
        <v>Amortissement s/Plus Value I</v>
      </c>
      <c r="G21" s="8" t="str">
        <f t="shared" si="0"/>
        <v/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8"/>
      <c r="N21" s="10">
        <f t="shared" si="1"/>
        <v>0</v>
      </c>
    </row>
    <row r="22" spans="4:14" x14ac:dyDescent="0.25">
      <c r="D22" s="8" t="str">
        <f>"140000"</f>
        <v>140000</v>
      </c>
      <c r="E22" s="8" t="str">
        <f>"119000"</f>
        <v>119000</v>
      </c>
      <c r="F22" s="8" t="str">
        <f>"Bénéfice reporté"</f>
        <v>Bénéfice reporté</v>
      </c>
      <c r="G22" s="8" t="str">
        <f t="shared" si="0"/>
        <v/>
      </c>
      <c r="H22" s="9">
        <v>-41660062.420000002</v>
      </c>
      <c r="I22" s="9">
        <v>-141592.69999999998</v>
      </c>
      <c r="J22" s="9">
        <v>-418028.67</v>
      </c>
      <c r="K22" s="9">
        <v>-51299.179999999993</v>
      </c>
      <c r="L22" s="9">
        <v>0</v>
      </c>
      <c r="M22" s="8"/>
      <c r="N22" s="10">
        <f t="shared" si="1"/>
        <v>-42270982.970000006</v>
      </c>
    </row>
    <row r="23" spans="4:14" x14ac:dyDescent="0.25">
      <c r="D23" s="8" t="str">
        <f>"141000"</f>
        <v>141000</v>
      </c>
      <c r="E23" s="8" t="str">
        <f>"119000"</f>
        <v>119000</v>
      </c>
      <c r="F23" s="8" t="str">
        <f>"Perte reportée"</f>
        <v>Perte reportée</v>
      </c>
      <c r="G23" s="8" t="str">
        <f t="shared" si="0"/>
        <v/>
      </c>
      <c r="H23" s="9">
        <v>0</v>
      </c>
      <c r="I23" s="9">
        <v>0</v>
      </c>
      <c r="J23" s="9">
        <v>0</v>
      </c>
      <c r="K23" s="9">
        <v>0</v>
      </c>
      <c r="L23" s="9">
        <v>77054.33</v>
      </c>
      <c r="M23" s="8"/>
      <c r="N23" s="10">
        <f t="shared" si="1"/>
        <v>77054.33</v>
      </c>
    </row>
    <row r="24" spans="4:14" x14ac:dyDescent="0.25">
      <c r="D24" s="8" t="str">
        <f>"150000"</f>
        <v>150000</v>
      </c>
      <c r="E24" s="8" t="str">
        <f>"131000"</f>
        <v>131000</v>
      </c>
      <c r="F24" s="8" t="str">
        <f>"Subsides en K"</f>
        <v>Subsides en K</v>
      </c>
      <c r="G24" s="8" t="str">
        <f t="shared" si="0"/>
        <v/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/>
      <c r="N24" s="10">
        <f t="shared" si="1"/>
        <v>0</v>
      </c>
    </row>
    <row r="25" spans="4:14" x14ac:dyDescent="0.25">
      <c r="D25" s="8" t="str">
        <f>"150900"</f>
        <v>150900</v>
      </c>
      <c r="E25" s="8" t="str">
        <f>"139000"</f>
        <v>139000</v>
      </c>
      <c r="F25" s="8" t="str">
        <f>"Amortissement Subsides en K"</f>
        <v>Amortissement Subsides en K</v>
      </c>
      <c r="G25" s="8" t="str">
        <f t="shared" si="0"/>
        <v/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8"/>
      <c r="N25" s="10">
        <f t="shared" si="1"/>
        <v>0</v>
      </c>
    </row>
    <row r="26" spans="4:14" x14ac:dyDescent="0.25">
      <c r="D26" s="8" t="str">
        <f>"160000"</f>
        <v>160000</v>
      </c>
      <c r="E26" s="8" t="str">
        <f>"151800"</f>
        <v>151800</v>
      </c>
      <c r="F26" s="8" t="str">
        <f>"Prov. pension-obligation"</f>
        <v>Prov. pension-obligation</v>
      </c>
      <c r="G26" s="8" t="str">
        <f t="shared" si="0"/>
        <v/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8"/>
      <c r="N26" s="10">
        <f t="shared" si="1"/>
        <v>0</v>
      </c>
    </row>
    <row r="27" spans="4:14" x14ac:dyDescent="0.25">
      <c r="D27" s="8" t="str">
        <f>"161000"</f>
        <v>161000</v>
      </c>
      <c r="E27" s="8" t="str">
        <f>"151800"</f>
        <v>151800</v>
      </c>
      <c r="F27" s="8" t="str">
        <f>"Prov. charges fiscales"</f>
        <v>Prov. charges fiscales</v>
      </c>
      <c r="G27" s="8" t="str">
        <f t="shared" si="0"/>
        <v/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8"/>
      <c r="N27" s="10">
        <f t="shared" si="1"/>
        <v>0</v>
      </c>
    </row>
    <row r="28" spans="4:14" x14ac:dyDescent="0.25">
      <c r="D28" s="15" t="s">
        <v>5</v>
      </c>
      <c r="E28" s="15"/>
      <c r="F28" s="15"/>
      <c r="G28" s="11"/>
      <c r="H28" s="12">
        <f>SUM(H7:H27)</f>
        <v>-140777810.57999998</v>
      </c>
      <c r="I28" s="12">
        <f>SUM(I7:I27)</f>
        <v>-433913.69999999995</v>
      </c>
      <c r="J28" s="12">
        <f>SUM(J7:J27)</f>
        <v>-517028.67</v>
      </c>
      <c r="K28" s="12">
        <f>SUM(K7:K27)</f>
        <v>-239134.26</v>
      </c>
      <c r="L28" s="12">
        <f>SUM(L7:L27)</f>
        <v>-45382.479999999981</v>
      </c>
      <c r="M28" s="13"/>
      <c r="N28" s="14">
        <f>SUM(N7:N27)</f>
        <v>-142013269.69</v>
      </c>
    </row>
  </sheetData>
  <mergeCells count="1">
    <mergeCell ref="D28:F28"/>
  </mergeCells>
  <conditionalFormatting sqref="H5:M5">
    <cfRule type="expression" dxfId="0" priority="1">
      <formula>H2="Oui"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6:A84"/>
  <sheetViews>
    <sheetView tabSelected="1" workbookViewId="0">
      <selection sqref="A1:D30"/>
    </sheetView>
  </sheetViews>
  <sheetFormatPr baseColWidth="10" defaultRowHeight="15" x14ac:dyDescent="0.25"/>
  <sheetData>
    <row r="76" spans="1:1" x14ac:dyDescent="0.25">
      <c r="A76">
        <v>10001</v>
      </c>
    </row>
    <row r="77" spans="1:1" x14ac:dyDescent="0.25">
      <c r="A77">
        <v>10001</v>
      </c>
    </row>
    <row r="78" spans="1:1" x14ac:dyDescent="0.25">
      <c r="A78">
        <v>10001</v>
      </c>
    </row>
    <row r="79" spans="1:1" x14ac:dyDescent="0.25">
      <c r="A79">
        <v>10001</v>
      </c>
    </row>
    <row r="80" spans="1:1" x14ac:dyDescent="0.25">
      <c r="A80">
        <v>10001</v>
      </c>
    </row>
    <row r="81" spans="1:1" x14ac:dyDescent="0.25">
      <c r="A81">
        <v>10001</v>
      </c>
    </row>
    <row r="82" spans="1:1" x14ac:dyDescent="0.25">
      <c r="A82">
        <v>10001</v>
      </c>
    </row>
    <row r="83" spans="1:1" x14ac:dyDescent="0.25">
      <c r="A83">
        <v>10001</v>
      </c>
    </row>
    <row r="84" spans="1:1" x14ac:dyDescent="0.25">
      <c r="A84">
        <v>10001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2016-01-20T09:35:52Z</dcterms:modified>
</cp:coreProperties>
</file>